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drawings/drawing4.xml" ContentType="application/vnd.openxmlformats-officedocument.drawingml.chartshapes+xml"/>
  <Override PartName="/xl/charts/chart6.xml" ContentType="application/vnd.openxmlformats-officedocument.drawingml.chart+xml"/>
  <Override PartName="/xl/theme/themeOverride2.xml" ContentType="application/vnd.openxmlformats-officedocument.themeOverrid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ml.chartshape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ml.chartshapes+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ml.chartshapes+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ml.chartshapes+xml"/>
  <Override PartName="/xl/drawings/drawing12.xml" ContentType="application/vnd.openxmlformats-officedocument.drawing+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ml.chartshapes+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4.xml" ContentType="application/vnd.openxmlformats-officedocument.drawingml.chartshapes+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5.xml" ContentType="application/vnd.openxmlformats-officedocument.drawingml.chartshapes+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6.xml" ContentType="application/vnd.openxmlformats-officedocument.drawingml.chartshapes+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7.xml" ContentType="application/vnd.openxmlformats-officedocument.drawingml.chartshapes+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8.xml" ContentType="application/vnd.openxmlformats-officedocument.drawingml.chartshapes+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9.xml" ContentType="application/vnd.openxmlformats-officedocument.drawingml.chartshapes+xml"/>
  <Override PartName="/xl/drawings/drawing20.xml" ContentType="application/vnd.openxmlformats-officedocument.drawing+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1.xml" ContentType="application/vnd.openxmlformats-officedocument.drawing+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22.xml" ContentType="application/vnd.openxmlformats-officedocument.drawing+xml"/>
  <Override PartName="/xl/charts/chart35.xml" ContentType="application/vnd.openxmlformats-officedocument.drawingml.chart+xml"/>
  <Override PartName="/xl/theme/themeOverride3.xml" ContentType="application/vnd.openxmlformats-officedocument.themeOverride+xml"/>
  <Override PartName="/xl/drawings/drawing23.xml" ContentType="application/vnd.openxmlformats-officedocument.drawing+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24.xml" ContentType="application/vnd.openxmlformats-officedocument.drawing+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25.xml" ContentType="application/vnd.openxmlformats-officedocument.drawing+xml"/>
  <Override PartName="/xl/drawings/drawing26.xml" ContentType="application/vnd.openxmlformats-officedocument.drawing+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27.xml" ContentType="application/vnd.openxmlformats-officedocument.drawing+xml"/>
  <Override PartName="/xl/drawings/drawing28.xml" ContentType="application/vnd.openxmlformats-officedocument.drawing+xml"/>
  <Override PartName="/xl/charts/chart44.xml" ContentType="application/vnd.openxmlformats-officedocument.drawingml.chart+xml"/>
  <Override PartName="/xl/charts/style42.xml" ContentType="application/vnd.ms-office.chartstyle+xml"/>
  <Override PartName="/xl/charts/colors42.xml" ContentType="application/vnd.ms-office.chartcolorstyle+xml"/>
  <Override PartName="/xl/charts/chart45.xml" ContentType="application/vnd.openxmlformats-officedocument.drawingml.chart+xml"/>
  <Override PartName="/xl/charts/style43.xml" ContentType="application/vnd.ms-office.chartstyle+xml"/>
  <Override PartName="/xl/charts/colors43.xml" ContentType="application/vnd.ms-office.chartcolorstyle+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charts/chart47.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29.xml" ContentType="application/vnd.openxmlformats-officedocument.drawingml.chartshapes+xml"/>
  <Override PartName="/xl/charts/chart48.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30.xml" ContentType="application/vnd.openxmlformats-officedocument.drawingml.chartshapes+xml"/>
  <Override PartName="/xl/charts/chart49.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31.xml" ContentType="application/vnd.openxmlformats-officedocument.drawingml.chartshapes+xml"/>
  <Override PartName="/xl/charts/chart50.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32.xml" ContentType="application/vnd.openxmlformats-officedocument.drawingml.chartshapes+xml"/>
  <Override PartName="/xl/drawings/drawing33.xml" ContentType="application/vnd.openxmlformats-officedocument.drawing+xml"/>
  <Override PartName="/xl/charts/chart51.xml" ContentType="application/vnd.openxmlformats-officedocument.drawingml.chart+xml"/>
  <Override PartName="/xl/charts/style49.xml" ContentType="application/vnd.ms-office.chartstyle+xml"/>
  <Override PartName="/xl/charts/colors49.xml" ContentType="application/vnd.ms-office.chartcolorstyle+xml"/>
  <Override PartName="/xl/charts/chart52.xml" ContentType="application/vnd.openxmlformats-officedocument.drawingml.chart+xml"/>
  <Override PartName="/xl/charts/style50.xml" ContentType="application/vnd.ms-office.chartstyle+xml"/>
  <Override PartName="/xl/charts/colors50.xml" ContentType="application/vnd.ms-office.chartcolorstyle+xml"/>
  <Override PartName="/xl/charts/chart53.xml" ContentType="application/vnd.openxmlformats-officedocument.drawingml.chart+xml"/>
  <Override PartName="/xl/charts/style51.xml" ContentType="application/vnd.ms-office.chartstyle+xml"/>
  <Override PartName="/xl/charts/colors51.xml" ContentType="application/vnd.ms-office.chartcolorstyle+xml"/>
  <Override PartName="/xl/charts/chart54.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34.xml" ContentType="application/vnd.openxmlformats-officedocument.drawingml.chartshapes+xml"/>
  <Override PartName="/xl/charts/chart55.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35.xml" ContentType="application/vnd.openxmlformats-officedocument.drawingml.chartshapes+xml"/>
  <Override PartName="/xl/charts/chart56.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charts/chart57.xml" ContentType="application/vnd.openxmlformats-officedocument.drawingml.chart+xml"/>
  <Override PartName="/xl/charts/style55.xml" ContentType="application/vnd.ms-office.chartstyle+xml"/>
  <Override PartName="/xl/charts/colors55.xml" ContentType="application/vnd.ms-office.chartcolorstyle+xml"/>
  <Override PartName="/xl/charts/chart58.xml" ContentType="application/vnd.openxmlformats-officedocument.drawingml.chart+xml"/>
  <Override PartName="/xl/charts/style56.xml" ContentType="application/vnd.ms-office.chartstyle+xml"/>
  <Override PartName="/xl/charts/colors56.xml" ContentType="application/vnd.ms-office.chartcolorstyle+xml"/>
  <Override PartName="/xl/charts/chart59.xml" ContentType="application/vnd.openxmlformats-officedocument.drawingml.chart+xml"/>
  <Override PartName="/xl/charts/style57.xml" ContentType="application/vnd.ms-office.chartstyle+xml"/>
  <Override PartName="/xl/charts/colors57.xml" ContentType="application/vnd.ms-office.chartcolorstyle+xml"/>
  <Override PartName="/xl/charts/chart60.xml" ContentType="application/vnd.openxmlformats-officedocument.drawingml.chart+xml"/>
  <Override PartName="/xl/charts/style58.xml" ContentType="application/vnd.ms-office.chartstyle+xml"/>
  <Override PartName="/xl/charts/colors58.xml" ContentType="application/vnd.ms-office.chartcolorstyle+xml"/>
  <Override PartName="/xl/charts/chart61.xml" ContentType="application/vnd.openxmlformats-officedocument.drawingml.chart+xml"/>
  <Override PartName="/xl/charts/style59.xml" ContentType="application/vnd.ms-office.chartstyle+xml"/>
  <Override PartName="/xl/charts/colors59.xml" ContentType="application/vnd.ms-office.chartcolorstyle+xml"/>
  <Override PartName="/xl/charts/chart62.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8.xml" ContentType="application/vnd.openxmlformats-officedocument.drawingml.chartshapes+xml"/>
  <Override PartName="/xl/charts/chart63.xml" ContentType="application/vnd.openxmlformats-officedocument.drawingml.chart+xml"/>
  <Override PartName="/xl/charts/style61.xml" ContentType="application/vnd.ms-office.chartstyle+xml"/>
  <Override PartName="/xl/charts/colors61.xml" ContentType="application/vnd.ms-office.chartcolorstyle+xml"/>
  <Override PartName="/xl/charts/chart64.xml" ContentType="application/vnd.openxmlformats-officedocument.drawingml.chart+xml"/>
  <Override PartName="/xl/charts/style62.xml" ContentType="application/vnd.ms-office.chartstyle+xml"/>
  <Override PartName="/xl/charts/colors62.xml" ContentType="application/vnd.ms-office.chartcolorstyle+xml"/>
  <Override PartName="/xl/charts/chart65.xml" ContentType="application/vnd.openxmlformats-officedocument.drawingml.chart+xml"/>
  <Override PartName="/xl/charts/style63.xml" ContentType="application/vnd.ms-office.chartstyle+xml"/>
  <Override PartName="/xl/charts/colors63.xml" ContentType="application/vnd.ms-office.chartcolorstyle+xml"/>
  <Override PartName="/xl/charts/chart66.xml" ContentType="application/vnd.openxmlformats-officedocument.drawingml.chart+xml"/>
  <Override PartName="/xl/charts/style64.xml" ContentType="application/vnd.ms-office.chartstyle+xml"/>
  <Override PartName="/xl/charts/colors64.xml" ContentType="application/vnd.ms-office.chartcolorstyle+xml"/>
  <Override PartName="/xl/charts/chart67.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39.xml" ContentType="application/vnd.openxmlformats-officedocument.drawing+xml"/>
  <Override PartName="/xl/charts/chart68.xml" ContentType="application/vnd.openxmlformats-officedocument.drawingml.chart+xml"/>
  <Override PartName="/xl/charts/style66.xml" ContentType="application/vnd.ms-office.chartstyle+xml"/>
  <Override PartName="/xl/charts/colors66.xml" ContentType="application/vnd.ms-office.chartcolorstyle+xml"/>
  <Override PartName="/xl/charts/chart69.xml" ContentType="application/vnd.openxmlformats-officedocument.drawingml.chart+xml"/>
  <Override PartName="/xl/charts/style67.xml" ContentType="application/vnd.ms-office.chartstyle+xml"/>
  <Override PartName="/xl/charts/colors67.xml" ContentType="application/vnd.ms-office.chartcolorstyle+xml"/>
  <Override PartName="/xl/charts/chart70.xml" ContentType="application/vnd.openxmlformats-officedocument.drawingml.chart+xml"/>
  <Override PartName="/xl/charts/style68.xml" ContentType="application/vnd.ms-office.chartstyle+xml"/>
  <Override PartName="/xl/charts/colors68.xml" ContentType="application/vnd.ms-office.chartcolorstyle+xml"/>
  <Override PartName="/xl/charts/chart71.xml" ContentType="application/vnd.openxmlformats-officedocument.drawingml.chart+xml"/>
  <Override PartName="/xl/charts/style69.xml" ContentType="application/vnd.ms-office.chartstyle+xml"/>
  <Override PartName="/xl/charts/colors69.xml" ContentType="application/vnd.ms-office.chartcolorstyle+xml"/>
  <Override PartName="/xl/charts/chart72.xml" ContentType="application/vnd.openxmlformats-officedocument.drawingml.chart+xml"/>
  <Override PartName="/xl/charts/style70.xml" ContentType="application/vnd.ms-office.chartstyle+xml"/>
  <Override PartName="/xl/charts/colors70.xml" ContentType="application/vnd.ms-office.chartcolorstyle+xml"/>
  <Override PartName="/xl/charts/chart73.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40.xml" ContentType="application/vnd.openxmlformats-officedocument.drawingml.chartshapes+xml"/>
  <Override PartName="/xl/drawings/drawing41.xml" ContentType="application/vnd.openxmlformats-officedocument.drawing+xml"/>
  <Override PartName="/xl/charts/chart74.xml" ContentType="application/vnd.openxmlformats-officedocument.drawingml.chart+xml"/>
  <Override PartName="/xl/charts/style72.xml" ContentType="application/vnd.ms-office.chartstyle+xml"/>
  <Override PartName="/xl/charts/colors72.xml" ContentType="application/vnd.ms-office.chartcolorstyle+xml"/>
  <Override PartName="/xl/charts/chart75.xml" ContentType="application/vnd.openxmlformats-officedocument.drawingml.chart+xml"/>
  <Override PartName="/xl/charts/style73.xml" ContentType="application/vnd.ms-office.chartstyle+xml"/>
  <Override PartName="/xl/charts/colors73.xml" ContentType="application/vnd.ms-office.chartcolorstyle+xml"/>
  <Override PartName="/xl/charts/chart76.xml" ContentType="application/vnd.openxmlformats-officedocument.drawingml.chart+xml"/>
  <Override PartName="/xl/charts/style74.xml" ContentType="application/vnd.ms-office.chartstyle+xml"/>
  <Override PartName="/xl/charts/colors74.xml" ContentType="application/vnd.ms-office.chartcolorstyle+xml"/>
  <Override PartName="/xl/charts/chart77.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42.xml" ContentType="application/vnd.openxmlformats-officedocument.drawingml.chartshapes+xml"/>
  <Override PartName="/xl/charts/chart78.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43.xml" ContentType="application/vnd.openxmlformats-officedocument.drawingml.chartshapes+xml"/>
  <Override PartName="/xl/drawings/drawing44.xml" ContentType="application/vnd.openxmlformats-officedocument.drawing+xml"/>
  <Override PartName="/xl/charts/chart79.xml" ContentType="application/vnd.openxmlformats-officedocument.drawingml.chart+xml"/>
  <Override PartName="/xl/charts/style77.xml" ContentType="application/vnd.ms-office.chartstyle+xml"/>
  <Override PartName="/xl/charts/colors77.xml" ContentType="application/vnd.ms-office.chartcolorstyle+xml"/>
  <Override PartName="/xl/charts/chart80.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5.xml" ContentType="application/vnd.openxmlformats-officedocument.drawing+xml"/>
  <Override PartName="/xl/charts/chart81.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46.xml" ContentType="application/vnd.openxmlformats-officedocument.drawingml.chartshapes+xml"/>
  <Override PartName="/xl/drawings/drawing47.xml" ContentType="application/vnd.openxmlformats-officedocument.drawing+xml"/>
  <Override PartName="/xl/drawings/drawing48.xml" ContentType="application/vnd.openxmlformats-officedocument.drawing+xml"/>
  <Override PartName="/xl/charts/chart82.xml" ContentType="application/vnd.openxmlformats-officedocument.drawingml.chart+xml"/>
  <Override PartName="/xl/charts/style80.xml" ContentType="application/vnd.ms-office.chartstyle+xml"/>
  <Override PartName="/xl/charts/colors80.xml" ContentType="application/vnd.ms-office.chartcolorstyle+xml"/>
  <Override PartName="/xl/charts/chart83.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49.xml" ContentType="application/vnd.openxmlformats-officedocument.drawingml.chartshapes+xml"/>
  <Override PartName="/xl/drawings/drawing5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ЦяКнига"/>
  <mc:AlternateContent xmlns:mc="http://schemas.openxmlformats.org/markup-compatibility/2006">
    <mc:Choice Requires="x15">
      <x15ac:absPath xmlns:x15ac="http://schemas.microsoft.com/office/spreadsheetml/2010/11/ac" url="D:\Monthly\2024\Чарти січень\Форматування усіх чартів\2024\Макро\"/>
    </mc:Choice>
  </mc:AlternateContent>
  <xr:revisionPtr revIDLastSave="0" documentId="13_ncr:1_{B5BC9C35-C181-4F79-8E05-1F83DFE2EFF4}" xr6:coauthVersionLast="47" xr6:coauthVersionMax="47" xr10:uidLastSave="{00000000-0000-0000-0000-000000000000}"/>
  <bookViews>
    <workbookView xWindow="-120" yWindow="-120" windowWidth="29040" windowHeight="15840" firstSheet="1" activeTab="1" xr2:uid="{00000000-000D-0000-FFFF-FFFF00000000}"/>
  </bookViews>
  <sheets>
    <sheet name="Чарти 5-7" sheetId="21" r:id="rId1"/>
    <sheet name="charts_data_all" sheetId="36" r:id="rId2"/>
    <sheet name="Таблиці 2-3" sheetId="24" r:id="rId3"/>
    <sheet name="Прогноз Зарплати 2023" sheetId="19" r:id="rId4"/>
    <sheet name="Ворк юа (зп)" sheetId="27" r:id="rId5"/>
    <sheet name="Ворк юа (вакансії)" sheetId="28" r:id="rId6"/>
    <sheet name="Беробіття " sheetId="35" r:id="rId7"/>
    <sheet name="Очікування по безробіттю" sheetId="29" r:id="rId8"/>
    <sheet name="Статус тих хто мав роботу" sheetId="30" r:id="rId9"/>
    <sheet name="REER" sheetId="26" r:id="rId10"/>
    <sheet name="ЗВР-інт 2022-2023" sheetId="25" r:id="rId11"/>
    <sheet name="Місячна сезонність" sheetId="23" r:id="rId12"/>
    <sheet name="Повернення до таргету 2023" sheetId="32" r:id="rId13"/>
    <sheet name="ІСЦ (Стрим Інфл) (всяке)" sheetId="34" r:id="rId14"/>
    <sheet name="ІЦВ (Стрим Інфл)+" sheetId="10" r:id="rId15"/>
    <sheet name="ІСЦ (Стрим Інфл)" sheetId="11" r:id="rId16"/>
    <sheet name="Дефлятор модель (CPI-PPI) (С-1)" sheetId="17" r:id="rId17"/>
    <sheet name="Дефлятор модель (CPI-PPI) (С-2)" sheetId="20" r:id="rId18"/>
    <sheet name="Області" sheetId="18" r:id="rId19"/>
    <sheet name="Прогноз Зарплати 2021" sheetId="9" r:id="rId20"/>
    <sheet name="Прогноз Зарплати 2022" sheetId="16" r:id="rId21"/>
    <sheet name="структура" sheetId="22" r:id="rId22"/>
    <sheet name="Дефлятор модель (CPI-PPI) Інфл" sheetId="12" r:id="rId23"/>
    <sheet name="К-сть штатних прац" sheetId="14" r:id="rId24"/>
    <sheet name="Штатые сотрудники" sheetId="15" r:id="rId25"/>
    <sheet name="Others" sheetId="8" r:id="rId26"/>
    <sheet name="Дефлятор (UACPI)" sheetId="4" r:id="rId27"/>
    <sheet name="Прогноз курса" sheetId="7" r:id="rId28"/>
    <sheet name="ІЦВ (Obs-102)" sheetId="3"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s>
  <definedNames>
    <definedName name="\C" localSheetId="26">#REF!</definedName>
    <definedName name="\C" localSheetId="28">#REF!</definedName>
    <definedName name="\C" localSheetId="12">#REF!</definedName>
    <definedName name="\C" localSheetId="19">#REF!</definedName>
    <definedName name="\C" localSheetId="20">#REF!</definedName>
    <definedName name="\C" localSheetId="3">#REF!</definedName>
    <definedName name="\C">#REF!</definedName>
    <definedName name="\D" localSheetId="26">#REF!</definedName>
    <definedName name="\D" localSheetId="28">#REF!</definedName>
    <definedName name="\D" localSheetId="12">#REF!</definedName>
    <definedName name="\D" localSheetId="19">#REF!</definedName>
    <definedName name="\D" localSheetId="20">#REF!</definedName>
    <definedName name="\D" localSheetId="3">#REF!</definedName>
    <definedName name="\D">#REF!</definedName>
    <definedName name="\E" localSheetId="26">#REF!</definedName>
    <definedName name="\E" localSheetId="28">#REF!</definedName>
    <definedName name="\E" localSheetId="12">#REF!</definedName>
    <definedName name="\E" localSheetId="19">#REF!</definedName>
    <definedName name="\E" localSheetId="20">#REF!</definedName>
    <definedName name="\E" localSheetId="3">#REF!</definedName>
    <definedName name="\E">#REF!</definedName>
    <definedName name="\H" localSheetId="26">#REF!</definedName>
    <definedName name="\H" localSheetId="28">#REF!</definedName>
    <definedName name="\H">#REF!</definedName>
    <definedName name="\K" localSheetId="26">#REF!</definedName>
    <definedName name="\K" localSheetId="28">#REF!</definedName>
    <definedName name="\K">#REF!</definedName>
    <definedName name="\L" localSheetId="26">#REF!</definedName>
    <definedName name="\L" localSheetId="28">#REF!</definedName>
    <definedName name="\L">#REF!</definedName>
    <definedName name="\P" localSheetId="26">#REF!</definedName>
    <definedName name="\P" localSheetId="28">#REF!</definedName>
    <definedName name="\P">#REF!</definedName>
    <definedName name="\Q" localSheetId="26">#REF!</definedName>
    <definedName name="\Q" localSheetId="28">#REF!</definedName>
    <definedName name="\Q">#REF!</definedName>
    <definedName name="\S" localSheetId="26">#REF!</definedName>
    <definedName name="\S" localSheetId="28">#REF!</definedName>
    <definedName name="\S">#REF!</definedName>
    <definedName name="\T" localSheetId="26">#REF!</definedName>
    <definedName name="\T" localSheetId="28">#REF!</definedName>
    <definedName name="\T">#REF!</definedName>
    <definedName name="\V" localSheetId="26">#REF!</definedName>
    <definedName name="\V" localSheetId="28">#REF!</definedName>
    <definedName name="\V">#REF!</definedName>
    <definedName name="\W" localSheetId="26">#REF!</definedName>
    <definedName name="\W" localSheetId="28">#REF!</definedName>
    <definedName name="\W">#REF!</definedName>
    <definedName name="\X" localSheetId="26">#REF!</definedName>
    <definedName name="\X" localSheetId="28">#REF!</definedName>
    <definedName name="\X">#REF!</definedName>
    <definedName name="____________________________cp1" localSheetId="12" hidden="1">{"'előző év december'!$A$2:$CP$214"}</definedName>
    <definedName name="____________________________cp1" hidden="1">{"'előző év december'!$A$2:$CP$214"}</definedName>
    <definedName name="____________________________cp10" localSheetId="12" hidden="1">{"'előző év december'!$A$2:$CP$214"}</definedName>
    <definedName name="____________________________cp10" hidden="1">{"'előző év december'!$A$2:$CP$214"}</definedName>
    <definedName name="____________________________cp11" localSheetId="12" hidden="1">{"'előző év december'!$A$2:$CP$214"}</definedName>
    <definedName name="____________________________cp11" hidden="1">{"'előző év december'!$A$2:$CP$214"}</definedName>
    <definedName name="____________________________cp2" localSheetId="12" hidden="1">{"'előző év december'!$A$2:$CP$214"}</definedName>
    <definedName name="____________________________cp2" hidden="1">{"'előző év december'!$A$2:$CP$214"}</definedName>
    <definedName name="____________________________cp3" localSheetId="12" hidden="1">{"'előző év december'!$A$2:$CP$214"}</definedName>
    <definedName name="____________________________cp3" hidden="1">{"'előző év december'!$A$2:$CP$214"}</definedName>
    <definedName name="____________________________cp4" localSheetId="12" hidden="1">{"'előző év december'!$A$2:$CP$214"}</definedName>
    <definedName name="____________________________cp4" hidden="1">{"'előző év december'!$A$2:$CP$214"}</definedName>
    <definedName name="____________________________cp5" localSheetId="12" hidden="1">{"'előző év december'!$A$2:$CP$214"}</definedName>
    <definedName name="____________________________cp5" hidden="1">{"'előző év december'!$A$2:$CP$214"}</definedName>
    <definedName name="____________________________cp6" localSheetId="12" hidden="1">{"'előző év december'!$A$2:$CP$214"}</definedName>
    <definedName name="____________________________cp6" hidden="1">{"'előző év december'!$A$2:$CP$214"}</definedName>
    <definedName name="____________________________cp7" localSheetId="12" hidden="1">{"'előző év december'!$A$2:$CP$214"}</definedName>
    <definedName name="____________________________cp7" hidden="1">{"'előző év december'!$A$2:$CP$214"}</definedName>
    <definedName name="____________________________cp8" localSheetId="12" hidden="1">{"'előző év december'!$A$2:$CP$214"}</definedName>
    <definedName name="____________________________cp8" hidden="1">{"'előző év december'!$A$2:$CP$214"}</definedName>
    <definedName name="____________________________cp9" localSheetId="12" hidden="1">{"'előző év december'!$A$2:$CP$214"}</definedName>
    <definedName name="____________________________cp9" hidden="1">{"'előző év december'!$A$2:$CP$214"}</definedName>
    <definedName name="____________________________cpr2" localSheetId="12" hidden="1">{"'előző év december'!$A$2:$CP$214"}</definedName>
    <definedName name="____________________________cpr2" hidden="1">{"'előző év december'!$A$2:$CP$214"}</definedName>
    <definedName name="____________________________cpr3" localSheetId="12" hidden="1">{"'előző év december'!$A$2:$CP$214"}</definedName>
    <definedName name="____________________________cpr3" hidden="1">{"'előző év december'!$A$2:$CP$214"}</definedName>
    <definedName name="____________________________cpr4" localSheetId="12" hidden="1">{"'előző év december'!$A$2:$CP$214"}</definedName>
    <definedName name="____________________________cpr4" hidden="1">{"'előző év december'!$A$2:$CP$214"}</definedName>
    <definedName name="___________________________cp1" localSheetId="12" hidden="1">{"'előző év december'!$A$2:$CP$214"}</definedName>
    <definedName name="___________________________cp1" hidden="1">{"'előző év december'!$A$2:$CP$214"}</definedName>
    <definedName name="___________________________cp10" localSheetId="12" hidden="1">{"'előző év december'!$A$2:$CP$214"}</definedName>
    <definedName name="___________________________cp10" hidden="1">{"'előző év december'!$A$2:$CP$214"}</definedName>
    <definedName name="___________________________cp11" localSheetId="12" hidden="1">{"'előző év december'!$A$2:$CP$214"}</definedName>
    <definedName name="___________________________cp11" hidden="1">{"'előző év december'!$A$2:$CP$214"}</definedName>
    <definedName name="___________________________cp2" localSheetId="12" hidden="1">{"'előző év december'!$A$2:$CP$214"}</definedName>
    <definedName name="___________________________cp2" hidden="1">{"'előző év december'!$A$2:$CP$214"}</definedName>
    <definedName name="___________________________cp3" localSheetId="12" hidden="1">{"'előző év december'!$A$2:$CP$214"}</definedName>
    <definedName name="___________________________cp3" hidden="1">{"'előző év december'!$A$2:$CP$214"}</definedName>
    <definedName name="___________________________cp4" localSheetId="12" hidden="1">{"'előző év december'!$A$2:$CP$214"}</definedName>
    <definedName name="___________________________cp4" hidden="1">{"'előző év december'!$A$2:$CP$214"}</definedName>
    <definedName name="___________________________cp5" localSheetId="12" hidden="1">{"'előző év december'!$A$2:$CP$214"}</definedName>
    <definedName name="___________________________cp5" hidden="1">{"'előző év december'!$A$2:$CP$214"}</definedName>
    <definedName name="___________________________cp6" localSheetId="12" hidden="1">{"'előző év december'!$A$2:$CP$214"}</definedName>
    <definedName name="___________________________cp6" hidden="1">{"'előző év december'!$A$2:$CP$214"}</definedName>
    <definedName name="___________________________cp7" localSheetId="12" hidden="1">{"'előző év december'!$A$2:$CP$214"}</definedName>
    <definedName name="___________________________cp7" hidden="1">{"'előző év december'!$A$2:$CP$214"}</definedName>
    <definedName name="___________________________cp8" localSheetId="12" hidden="1">{"'előző év december'!$A$2:$CP$214"}</definedName>
    <definedName name="___________________________cp8" hidden="1">{"'előző év december'!$A$2:$CP$214"}</definedName>
    <definedName name="___________________________cp9" localSheetId="12" hidden="1">{"'előző év december'!$A$2:$CP$214"}</definedName>
    <definedName name="___________________________cp9" hidden="1">{"'előző év december'!$A$2:$CP$214"}</definedName>
    <definedName name="___________________________cpr2" localSheetId="12" hidden="1">{"'előző év december'!$A$2:$CP$214"}</definedName>
    <definedName name="___________________________cpr2" hidden="1">{"'előző év december'!$A$2:$CP$214"}</definedName>
    <definedName name="___________________________cpr3" localSheetId="12" hidden="1">{"'előző év december'!$A$2:$CP$214"}</definedName>
    <definedName name="___________________________cpr3" hidden="1">{"'előző év december'!$A$2:$CP$214"}</definedName>
    <definedName name="___________________________cpr4" localSheetId="12" hidden="1">{"'előző év december'!$A$2:$CP$214"}</definedName>
    <definedName name="___________________________cpr4" hidden="1">{"'előző év december'!$A$2:$CP$214"}</definedName>
    <definedName name="__________________________cp1" localSheetId="12" hidden="1">{"'előző év december'!$A$2:$CP$214"}</definedName>
    <definedName name="__________________________cp1" hidden="1">{"'előző év december'!$A$2:$CP$214"}</definedName>
    <definedName name="__________________________cp10" localSheetId="12" hidden="1">{"'előző év december'!$A$2:$CP$214"}</definedName>
    <definedName name="__________________________cp10" hidden="1">{"'előző év december'!$A$2:$CP$214"}</definedName>
    <definedName name="__________________________cp11" localSheetId="12" hidden="1">{"'előző év december'!$A$2:$CP$214"}</definedName>
    <definedName name="__________________________cp11" hidden="1">{"'előző év december'!$A$2:$CP$214"}</definedName>
    <definedName name="__________________________cp2" localSheetId="12" hidden="1">{"'előző év december'!$A$2:$CP$214"}</definedName>
    <definedName name="__________________________cp2" hidden="1">{"'előző év december'!$A$2:$CP$214"}</definedName>
    <definedName name="__________________________cp3" localSheetId="12" hidden="1">{"'előző év december'!$A$2:$CP$214"}</definedName>
    <definedName name="__________________________cp3" hidden="1">{"'előző év december'!$A$2:$CP$214"}</definedName>
    <definedName name="__________________________cp4" localSheetId="12" hidden="1">{"'előző év december'!$A$2:$CP$214"}</definedName>
    <definedName name="__________________________cp4" hidden="1">{"'előző év december'!$A$2:$CP$214"}</definedName>
    <definedName name="__________________________cp5" localSheetId="12" hidden="1">{"'előző év december'!$A$2:$CP$214"}</definedName>
    <definedName name="__________________________cp5" hidden="1">{"'előző év december'!$A$2:$CP$214"}</definedName>
    <definedName name="__________________________cp6" localSheetId="12" hidden="1">{"'előző év december'!$A$2:$CP$214"}</definedName>
    <definedName name="__________________________cp6" hidden="1">{"'előző év december'!$A$2:$CP$214"}</definedName>
    <definedName name="__________________________cp7" localSheetId="12" hidden="1">{"'előző év december'!$A$2:$CP$214"}</definedName>
    <definedName name="__________________________cp7" hidden="1">{"'előző év december'!$A$2:$CP$214"}</definedName>
    <definedName name="__________________________cp8" localSheetId="12" hidden="1">{"'előző év december'!$A$2:$CP$214"}</definedName>
    <definedName name="__________________________cp8" hidden="1">{"'előző év december'!$A$2:$CP$214"}</definedName>
    <definedName name="__________________________cp9" localSheetId="12" hidden="1">{"'előző év december'!$A$2:$CP$214"}</definedName>
    <definedName name="__________________________cp9" hidden="1">{"'előző év december'!$A$2:$CP$214"}</definedName>
    <definedName name="__________________________cpr2" localSheetId="12" hidden="1">{"'előző év december'!$A$2:$CP$214"}</definedName>
    <definedName name="__________________________cpr2" hidden="1">{"'előző év december'!$A$2:$CP$214"}</definedName>
    <definedName name="__________________________cpr3" localSheetId="12" hidden="1">{"'előző év december'!$A$2:$CP$214"}</definedName>
    <definedName name="__________________________cpr3" hidden="1">{"'előző év december'!$A$2:$CP$214"}</definedName>
    <definedName name="__________________________cpr4" localSheetId="12" hidden="1">{"'előző év december'!$A$2:$CP$214"}</definedName>
    <definedName name="__________________________cpr4" hidden="1">{"'előző év december'!$A$2:$CP$214"}</definedName>
    <definedName name="_________________________cp1" localSheetId="12" hidden="1">{"'előző év december'!$A$2:$CP$214"}</definedName>
    <definedName name="_________________________cp1" hidden="1">{"'előző év december'!$A$2:$CP$214"}</definedName>
    <definedName name="_________________________cp10" localSheetId="12" hidden="1">{"'előző év december'!$A$2:$CP$214"}</definedName>
    <definedName name="_________________________cp10" hidden="1">{"'előző év december'!$A$2:$CP$214"}</definedName>
    <definedName name="_________________________cp11" localSheetId="12" hidden="1">{"'előző év december'!$A$2:$CP$214"}</definedName>
    <definedName name="_________________________cp11" hidden="1">{"'előző év december'!$A$2:$CP$214"}</definedName>
    <definedName name="_________________________cp2" localSheetId="12" hidden="1">{"'előző év december'!$A$2:$CP$214"}</definedName>
    <definedName name="_________________________cp2" hidden="1">{"'előző év december'!$A$2:$CP$214"}</definedName>
    <definedName name="_________________________cp3" localSheetId="12" hidden="1">{"'előző év december'!$A$2:$CP$214"}</definedName>
    <definedName name="_________________________cp3" hidden="1">{"'előző év december'!$A$2:$CP$214"}</definedName>
    <definedName name="_________________________cp4" localSheetId="12" hidden="1">{"'előző év december'!$A$2:$CP$214"}</definedName>
    <definedName name="_________________________cp4" hidden="1">{"'előző év december'!$A$2:$CP$214"}</definedName>
    <definedName name="_________________________cp5" localSheetId="12" hidden="1">{"'előző év december'!$A$2:$CP$214"}</definedName>
    <definedName name="_________________________cp5" hidden="1">{"'előző év december'!$A$2:$CP$214"}</definedName>
    <definedName name="_________________________cp6" localSheetId="12" hidden="1">{"'előző év december'!$A$2:$CP$214"}</definedName>
    <definedName name="_________________________cp6" hidden="1">{"'előző év december'!$A$2:$CP$214"}</definedName>
    <definedName name="_________________________cp7" localSheetId="12" hidden="1">{"'előző év december'!$A$2:$CP$214"}</definedName>
    <definedName name="_________________________cp7" hidden="1">{"'előző év december'!$A$2:$CP$214"}</definedName>
    <definedName name="_________________________cp8" localSheetId="12" hidden="1">{"'előző év december'!$A$2:$CP$214"}</definedName>
    <definedName name="_________________________cp8" hidden="1">{"'előző év december'!$A$2:$CP$214"}</definedName>
    <definedName name="_________________________cp9" localSheetId="12" hidden="1">{"'előző év december'!$A$2:$CP$214"}</definedName>
    <definedName name="_________________________cp9" hidden="1">{"'előző év december'!$A$2:$CP$214"}</definedName>
    <definedName name="_________________________cpr2" localSheetId="12" hidden="1">{"'előző év december'!$A$2:$CP$214"}</definedName>
    <definedName name="_________________________cpr2" hidden="1">{"'előző év december'!$A$2:$CP$214"}</definedName>
    <definedName name="_________________________cpr3" localSheetId="12" hidden="1">{"'előző év december'!$A$2:$CP$214"}</definedName>
    <definedName name="_________________________cpr3" hidden="1">{"'előző év december'!$A$2:$CP$214"}</definedName>
    <definedName name="_________________________cpr4" localSheetId="12" hidden="1">{"'előző év december'!$A$2:$CP$214"}</definedName>
    <definedName name="_________________________cpr4" hidden="1">{"'előző év december'!$A$2:$CP$214"}</definedName>
    <definedName name="________________________cp1" localSheetId="12" hidden="1">{"'előző év december'!$A$2:$CP$214"}</definedName>
    <definedName name="________________________cp1" hidden="1">{"'előző év december'!$A$2:$CP$214"}</definedName>
    <definedName name="________________________cp10" localSheetId="12" hidden="1">{"'előző év december'!$A$2:$CP$214"}</definedName>
    <definedName name="________________________cp10" hidden="1">{"'előző év december'!$A$2:$CP$214"}</definedName>
    <definedName name="________________________cp11" localSheetId="12" hidden="1">{"'előző év december'!$A$2:$CP$214"}</definedName>
    <definedName name="________________________cp11" hidden="1">{"'előző év december'!$A$2:$CP$214"}</definedName>
    <definedName name="________________________cp2" localSheetId="12" hidden="1">{"'előző év december'!$A$2:$CP$214"}</definedName>
    <definedName name="________________________cp2" hidden="1">{"'előző év december'!$A$2:$CP$214"}</definedName>
    <definedName name="________________________cp3" localSheetId="12" hidden="1">{"'előző év december'!$A$2:$CP$214"}</definedName>
    <definedName name="________________________cp3" hidden="1">{"'előző év december'!$A$2:$CP$214"}</definedName>
    <definedName name="________________________cp4" localSheetId="12" hidden="1">{"'előző év december'!$A$2:$CP$214"}</definedName>
    <definedName name="________________________cp4" hidden="1">{"'előző év december'!$A$2:$CP$214"}</definedName>
    <definedName name="________________________cp5" localSheetId="12" hidden="1">{"'előző év december'!$A$2:$CP$214"}</definedName>
    <definedName name="________________________cp5" hidden="1">{"'előző év december'!$A$2:$CP$214"}</definedName>
    <definedName name="________________________cp6" localSheetId="12" hidden="1">{"'előző év december'!$A$2:$CP$214"}</definedName>
    <definedName name="________________________cp6" hidden="1">{"'előző év december'!$A$2:$CP$214"}</definedName>
    <definedName name="________________________cp7" localSheetId="12" hidden="1">{"'előző év december'!$A$2:$CP$214"}</definedName>
    <definedName name="________________________cp7" hidden="1">{"'előző év december'!$A$2:$CP$214"}</definedName>
    <definedName name="________________________cp8" localSheetId="12" hidden="1">{"'előző év december'!$A$2:$CP$214"}</definedName>
    <definedName name="________________________cp8" hidden="1">{"'előző év december'!$A$2:$CP$214"}</definedName>
    <definedName name="________________________cp9" localSheetId="12" hidden="1">{"'előző év december'!$A$2:$CP$214"}</definedName>
    <definedName name="________________________cp9" hidden="1">{"'előző év december'!$A$2:$CP$214"}</definedName>
    <definedName name="________________________cpr2" localSheetId="12" hidden="1">{"'előző év december'!$A$2:$CP$214"}</definedName>
    <definedName name="________________________cpr2" hidden="1">{"'előző év december'!$A$2:$CP$214"}</definedName>
    <definedName name="________________________cpr3" localSheetId="12" hidden="1">{"'előző év december'!$A$2:$CP$214"}</definedName>
    <definedName name="________________________cpr3" hidden="1">{"'előző év december'!$A$2:$CP$214"}</definedName>
    <definedName name="________________________cpr4" localSheetId="12" hidden="1">{"'előző év december'!$A$2:$CP$214"}</definedName>
    <definedName name="________________________cpr4" hidden="1">{"'előző év december'!$A$2:$CP$214"}</definedName>
    <definedName name="_______________________cp1" localSheetId="12" hidden="1">{"'előző év december'!$A$2:$CP$214"}</definedName>
    <definedName name="_______________________cp1" hidden="1">{"'előző év december'!$A$2:$CP$214"}</definedName>
    <definedName name="_______________________cp10" localSheetId="12" hidden="1">{"'előző év december'!$A$2:$CP$214"}</definedName>
    <definedName name="_______________________cp10" hidden="1">{"'előző év december'!$A$2:$CP$214"}</definedName>
    <definedName name="_______________________cp11" localSheetId="12" hidden="1">{"'előző év december'!$A$2:$CP$214"}</definedName>
    <definedName name="_______________________cp11" hidden="1">{"'előző év december'!$A$2:$CP$214"}</definedName>
    <definedName name="_______________________cp2" localSheetId="12" hidden="1">{"'előző év december'!$A$2:$CP$214"}</definedName>
    <definedName name="_______________________cp2" hidden="1">{"'előző év december'!$A$2:$CP$214"}</definedName>
    <definedName name="_______________________cp3" localSheetId="12" hidden="1">{"'előző év december'!$A$2:$CP$214"}</definedName>
    <definedName name="_______________________cp3" hidden="1">{"'előző év december'!$A$2:$CP$214"}</definedName>
    <definedName name="_______________________cp4" localSheetId="12" hidden="1">{"'előző év december'!$A$2:$CP$214"}</definedName>
    <definedName name="_______________________cp4" hidden="1">{"'előző év december'!$A$2:$CP$214"}</definedName>
    <definedName name="_______________________cp5" localSheetId="12" hidden="1">{"'előző év december'!$A$2:$CP$214"}</definedName>
    <definedName name="_______________________cp5" hidden="1">{"'előző év december'!$A$2:$CP$214"}</definedName>
    <definedName name="_______________________cp6" localSheetId="12" hidden="1">{"'előző év december'!$A$2:$CP$214"}</definedName>
    <definedName name="_______________________cp6" hidden="1">{"'előző év december'!$A$2:$CP$214"}</definedName>
    <definedName name="_______________________cp7" localSheetId="12" hidden="1">{"'előző év december'!$A$2:$CP$214"}</definedName>
    <definedName name="_______________________cp7" hidden="1">{"'előző év december'!$A$2:$CP$214"}</definedName>
    <definedName name="_______________________cp8" localSheetId="12" hidden="1">{"'előző év december'!$A$2:$CP$214"}</definedName>
    <definedName name="_______________________cp8" hidden="1">{"'előző év december'!$A$2:$CP$214"}</definedName>
    <definedName name="_______________________cp9" localSheetId="12" hidden="1">{"'előző év december'!$A$2:$CP$214"}</definedName>
    <definedName name="_______________________cp9" hidden="1">{"'előző év december'!$A$2:$CP$214"}</definedName>
    <definedName name="_______________________cpr2" localSheetId="12" hidden="1">{"'előző év december'!$A$2:$CP$214"}</definedName>
    <definedName name="_______________________cpr2" hidden="1">{"'előző év december'!$A$2:$CP$214"}</definedName>
    <definedName name="_______________________cpr3" localSheetId="12" hidden="1">{"'előző év december'!$A$2:$CP$214"}</definedName>
    <definedName name="_______________________cpr3" hidden="1">{"'előző év december'!$A$2:$CP$214"}</definedName>
    <definedName name="_______________________cpr4" localSheetId="12" hidden="1">{"'előző év december'!$A$2:$CP$214"}</definedName>
    <definedName name="_______________________cpr4" hidden="1">{"'előző év december'!$A$2:$CP$214"}</definedName>
    <definedName name="______________________cp1" localSheetId="12" hidden="1">{"'előző év december'!$A$2:$CP$214"}</definedName>
    <definedName name="______________________cp1" hidden="1">{"'előző év december'!$A$2:$CP$214"}</definedName>
    <definedName name="______________________cp10" localSheetId="12" hidden="1">{"'előző év december'!$A$2:$CP$214"}</definedName>
    <definedName name="______________________cp10" hidden="1">{"'előző év december'!$A$2:$CP$214"}</definedName>
    <definedName name="______________________cp11" localSheetId="12" hidden="1">{"'előző év december'!$A$2:$CP$214"}</definedName>
    <definedName name="______________________cp11" hidden="1">{"'előző év december'!$A$2:$CP$214"}</definedName>
    <definedName name="______________________cp2" localSheetId="12" hidden="1">{"'előző év december'!$A$2:$CP$214"}</definedName>
    <definedName name="______________________cp2" hidden="1">{"'előző év december'!$A$2:$CP$214"}</definedName>
    <definedName name="______________________cp3" localSheetId="12" hidden="1">{"'előző év december'!$A$2:$CP$214"}</definedName>
    <definedName name="______________________cp3" hidden="1">{"'előző év december'!$A$2:$CP$214"}</definedName>
    <definedName name="______________________cp4" localSheetId="12" hidden="1">{"'előző év december'!$A$2:$CP$214"}</definedName>
    <definedName name="______________________cp4" hidden="1">{"'előző év december'!$A$2:$CP$214"}</definedName>
    <definedName name="______________________cp5" localSheetId="12" hidden="1">{"'előző év december'!$A$2:$CP$214"}</definedName>
    <definedName name="______________________cp5" hidden="1">{"'előző év december'!$A$2:$CP$214"}</definedName>
    <definedName name="______________________cp6" localSheetId="12" hidden="1">{"'előző év december'!$A$2:$CP$214"}</definedName>
    <definedName name="______________________cp6" hidden="1">{"'előző év december'!$A$2:$CP$214"}</definedName>
    <definedName name="______________________cp7" localSheetId="12" hidden="1">{"'előző év december'!$A$2:$CP$214"}</definedName>
    <definedName name="______________________cp7" hidden="1">{"'előző év december'!$A$2:$CP$214"}</definedName>
    <definedName name="______________________cp8" localSheetId="12" hidden="1">{"'előző év december'!$A$2:$CP$214"}</definedName>
    <definedName name="______________________cp8" hidden="1">{"'előző év december'!$A$2:$CP$214"}</definedName>
    <definedName name="______________________cp9" localSheetId="12" hidden="1">{"'előző év december'!$A$2:$CP$214"}</definedName>
    <definedName name="______________________cp9" hidden="1">{"'előző év december'!$A$2:$CP$214"}</definedName>
    <definedName name="______________________cpr2" localSheetId="12" hidden="1">{"'előző év december'!$A$2:$CP$214"}</definedName>
    <definedName name="______________________cpr2" hidden="1">{"'előző év december'!$A$2:$CP$214"}</definedName>
    <definedName name="______________________cpr3" localSheetId="12" hidden="1">{"'előző év december'!$A$2:$CP$214"}</definedName>
    <definedName name="______________________cpr3" hidden="1">{"'előző év december'!$A$2:$CP$214"}</definedName>
    <definedName name="______________________cpr4" localSheetId="12" hidden="1">{"'előző év december'!$A$2:$CP$214"}</definedName>
    <definedName name="______________________cpr4" hidden="1">{"'előző év december'!$A$2:$CP$214"}</definedName>
    <definedName name="_____________________cp1" localSheetId="12" hidden="1">{"'előző év december'!$A$2:$CP$214"}</definedName>
    <definedName name="_____________________cp1" hidden="1">{"'előző év december'!$A$2:$CP$214"}</definedName>
    <definedName name="_____________________cp10" localSheetId="12" hidden="1">{"'előző év december'!$A$2:$CP$214"}</definedName>
    <definedName name="_____________________cp10" hidden="1">{"'előző év december'!$A$2:$CP$214"}</definedName>
    <definedName name="_____________________cp11" localSheetId="12" hidden="1">{"'előző év december'!$A$2:$CP$214"}</definedName>
    <definedName name="_____________________cp11" hidden="1">{"'előző év december'!$A$2:$CP$214"}</definedName>
    <definedName name="_____________________cp2" localSheetId="12" hidden="1">{"'előző év december'!$A$2:$CP$214"}</definedName>
    <definedName name="_____________________cp2" hidden="1">{"'előző év december'!$A$2:$CP$214"}</definedName>
    <definedName name="_____________________cp3" localSheetId="12" hidden="1">{"'előző év december'!$A$2:$CP$214"}</definedName>
    <definedName name="_____________________cp3" hidden="1">{"'előző év december'!$A$2:$CP$214"}</definedName>
    <definedName name="_____________________cp4" localSheetId="12" hidden="1">{"'előző év december'!$A$2:$CP$214"}</definedName>
    <definedName name="_____________________cp4" hidden="1">{"'előző év december'!$A$2:$CP$214"}</definedName>
    <definedName name="_____________________cp5" localSheetId="12" hidden="1">{"'előző év december'!$A$2:$CP$214"}</definedName>
    <definedName name="_____________________cp5" hidden="1">{"'előző év december'!$A$2:$CP$214"}</definedName>
    <definedName name="_____________________cp6" localSheetId="12" hidden="1">{"'előző év december'!$A$2:$CP$214"}</definedName>
    <definedName name="_____________________cp6" hidden="1">{"'előző év december'!$A$2:$CP$214"}</definedName>
    <definedName name="_____________________cp7" localSheetId="12" hidden="1">{"'előző év december'!$A$2:$CP$214"}</definedName>
    <definedName name="_____________________cp7" hidden="1">{"'előző év december'!$A$2:$CP$214"}</definedName>
    <definedName name="_____________________cp8" localSheetId="12" hidden="1">{"'előző év december'!$A$2:$CP$214"}</definedName>
    <definedName name="_____________________cp8" hidden="1">{"'előző év december'!$A$2:$CP$214"}</definedName>
    <definedName name="_____________________cp9" localSheetId="12" hidden="1">{"'előző év december'!$A$2:$CP$214"}</definedName>
    <definedName name="_____________________cp9" hidden="1">{"'előző év december'!$A$2:$CP$214"}</definedName>
    <definedName name="_____________________cpr2" localSheetId="12" hidden="1">{"'előző év december'!$A$2:$CP$214"}</definedName>
    <definedName name="_____________________cpr2" hidden="1">{"'előző év december'!$A$2:$CP$214"}</definedName>
    <definedName name="_____________________cpr3" localSheetId="12" hidden="1">{"'előző év december'!$A$2:$CP$214"}</definedName>
    <definedName name="_____________________cpr3" hidden="1">{"'előző év december'!$A$2:$CP$214"}</definedName>
    <definedName name="_____________________cpr4" localSheetId="12" hidden="1">{"'előző év december'!$A$2:$CP$214"}</definedName>
    <definedName name="_____________________cpr4" hidden="1">{"'előző év december'!$A$2:$CP$214"}</definedName>
    <definedName name="____________________cp1" localSheetId="12" hidden="1">{"'előző év december'!$A$2:$CP$214"}</definedName>
    <definedName name="____________________cp1" hidden="1">{"'előző év december'!$A$2:$CP$214"}</definedName>
    <definedName name="____________________cp10" localSheetId="12" hidden="1">{"'előző év december'!$A$2:$CP$214"}</definedName>
    <definedName name="____________________cp10" hidden="1">{"'előző év december'!$A$2:$CP$214"}</definedName>
    <definedName name="____________________cp11" localSheetId="12" hidden="1">{"'előző év december'!$A$2:$CP$214"}</definedName>
    <definedName name="____________________cp11" hidden="1">{"'előző év december'!$A$2:$CP$214"}</definedName>
    <definedName name="____________________cp2" localSheetId="12" hidden="1">{"'előző év december'!$A$2:$CP$214"}</definedName>
    <definedName name="____________________cp2" hidden="1">{"'előző év december'!$A$2:$CP$214"}</definedName>
    <definedName name="____________________cp3" localSheetId="12" hidden="1">{"'előző év december'!$A$2:$CP$214"}</definedName>
    <definedName name="____________________cp3" hidden="1">{"'előző év december'!$A$2:$CP$214"}</definedName>
    <definedName name="____________________cp4" localSheetId="12" hidden="1">{"'előző év december'!$A$2:$CP$214"}</definedName>
    <definedName name="____________________cp4" hidden="1">{"'előző év december'!$A$2:$CP$214"}</definedName>
    <definedName name="____________________cp5" localSheetId="12" hidden="1">{"'előző év december'!$A$2:$CP$214"}</definedName>
    <definedName name="____________________cp5" hidden="1">{"'előző év december'!$A$2:$CP$214"}</definedName>
    <definedName name="____________________cp6" localSheetId="12" hidden="1">{"'előző év december'!$A$2:$CP$214"}</definedName>
    <definedName name="____________________cp6" hidden="1">{"'előző év december'!$A$2:$CP$214"}</definedName>
    <definedName name="____________________cp7" localSheetId="12" hidden="1">{"'előző év december'!$A$2:$CP$214"}</definedName>
    <definedName name="____________________cp7" hidden="1">{"'előző év december'!$A$2:$CP$214"}</definedName>
    <definedName name="____________________cp8" localSheetId="12" hidden="1">{"'előző év december'!$A$2:$CP$214"}</definedName>
    <definedName name="____________________cp8" hidden="1">{"'előző év december'!$A$2:$CP$214"}</definedName>
    <definedName name="____________________cp9" localSheetId="12" hidden="1">{"'előző év december'!$A$2:$CP$214"}</definedName>
    <definedName name="____________________cp9" hidden="1">{"'előző év december'!$A$2:$CP$214"}</definedName>
    <definedName name="____________________cpr2" localSheetId="12" hidden="1">{"'előző év december'!$A$2:$CP$214"}</definedName>
    <definedName name="____________________cpr2" hidden="1">{"'előző év december'!$A$2:$CP$214"}</definedName>
    <definedName name="____________________cpr3" localSheetId="12" hidden="1">{"'előző év december'!$A$2:$CP$214"}</definedName>
    <definedName name="____________________cpr3" hidden="1">{"'előző év december'!$A$2:$CP$214"}</definedName>
    <definedName name="____________________cpr4" localSheetId="12" hidden="1">{"'előző év december'!$A$2:$CP$214"}</definedName>
    <definedName name="____________________cpr4" hidden="1">{"'előző év december'!$A$2:$CP$214"}</definedName>
    <definedName name="____________________t06" localSheetId="12" hidden="1">{#N/A,#N/A,FALSE,"т04"}</definedName>
    <definedName name="____________________t06" localSheetId="8" hidden="1">{#N/A,#N/A,FALSE,"т04"}</definedName>
    <definedName name="____________________t06" hidden="1">{#N/A,#N/A,FALSE,"т04"}</definedName>
    <definedName name="___________________cp1" localSheetId="12" hidden="1">{"'előző év december'!$A$2:$CP$214"}</definedName>
    <definedName name="___________________cp1" hidden="1">{"'előző év december'!$A$2:$CP$214"}</definedName>
    <definedName name="___________________cp10" localSheetId="12" hidden="1">{"'előző év december'!$A$2:$CP$214"}</definedName>
    <definedName name="___________________cp10" hidden="1">{"'előző év december'!$A$2:$CP$214"}</definedName>
    <definedName name="___________________cp11" localSheetId="12" hidden="1">{"'előző év december'!$A$2:$CP$214"}</definedName>
    <definedName name="___________________cp11" hidden="1">{"'előző év december'!$A$2:$CP$214"}</definedName>
    <definedName name="___________________cp2" localSheetId="12" hidden="1">{"'előző év december'!$A$2:$CP$214"}</definedName>
    <definedName name="___________________cp2" hidden="1">{"'előző év december'!$A$2:$CP$214"}</definedName>
    <definedName name="___________________cp3" localSheetId="12" hidden="1">{"'előző év december'!$A$2:$CP$214"}</definedName>
    <definedName name="___________________cp3" hidden="1">{"'előző év december'!$A$2:$CP$214"}</definedName>
    <definedName name="___________________cp4" localSheetId="12" hidden="1">{"'előző év december'!$A$2:$CP$214"}</definedName>
    <definedName name="___________________cp4" hidden="1">{"'előző év december'!$A$2:$CP$214"}</definedName>
    <definedName name="___________________cp5" localSheetId="12" hidden="1">{"'előző év december'!$A$2:$CP$214"}</definedName>
    <definedName name="___________________cp5" hidden="1">{"'előző év december'!$A$2:$CP$214"}</definedName>
    <definedName name="___________________cp6" localSheetId="12" hidden="1">{"'előző év december'!$A$2:$CP$214"}</definedName>
    <definedName name="___________________cp6" hidden="1">{"'előző év december'!$A$2:$CP$214"}</definedName>
    <definedName name="___________________cp7" localSheetId="12" hidden="1">{"'előző év december'!$A$2:$CP$214"}</definedName>
    <definedName name="___________________cp7" hidden="1">{"'előző év december'!$A$2:$CP$214"}</definedName>
    <definedName name="___________________cp8" localSheetId="12" hidden="1">{"'előző év december'!$A$2:$CP$214"}</definedName>
    <definedName name="___________________cp8" hidden="1">{"'előző év december'!$A$2:$CP$214"}</definedName>
    <definedName name="___________________cp9" localSheetId="12" hidden="1">{"'előző év december'!$A$2:$CP$214"}</definedName>
    <definedName name="___________________cp9" hidden="1">{"'előző év december'!$A$2:$CP$214"}</definedName>
    <definedName name="___________________cpr2" localSheetId="12" hidden="1">{"'előző év december'!$A$2:$CP$214"}</definedName>
    <definedName name="___________________cpr2" hidden="1">{"'előző év december'!$A$2:$CP$214"}</definedName>
    <definedName name="___________________cpr3" localSheetId="12" hidden="1">{"'előző év december'!$A$2:$CP$214"}</definedName>
    <definedName name="___________________cpr3" hidden="1">{"'előző év december'!$A$2:$CP$214"}</definedName>
    <definedName name="___________________cpr4" localSheetId="12" hidden="1">{"'előző év december'!$A$2:$CP$214"}</definedName>
    <definedName name="___________________cpr4" hidden="1">{"'előző év december'!$A$2:$CP$214"}</definedName>
    <definedName name="___________________t04" localSheetId="12" hidden="1">{#N/A,#N/A,FALSE,"т04"}</definedName>
    <definedName name="___________________t04" localSheetId="8" hidden="1">{#N/A,#N/A,FALSE,"т04"}</definedName>
    <definedName name="___________________t04" hidden="1">{#N/A,#N/A,FALSE,"т04"}</definedName>
    <definedName name="___________________t06" localSheetId="12" hidden="1">{#N/A,#N/A,FALSE,"т04"}</definedName>
    <definedName name="___________________t06" localSheetId="8" hidden="1">{#N/A,#N/A,FALSE,"т04"}</definedName>
    <definedName name="___________________t06" hidden="1">{#N/A,#N/A,FALSE,"т04"}</definedName>
    <definedName name="__________________cp1" localSheetId="12" hidden="1">{"'előző év december'!$A$2:$CP$214"}</definedName>
    <definedName name="__________________cp1" hidden="1">{"'előző év december'!$A$2:$CP$214"}</definedName>
    <definedName name="__________________cp10" localSheetId="12" hidden="1">{"'előző év december'!$A$2:$CP$214"}</definedName>
    <definedName name="__________________cp10" hidden="1">{"'előző év december'!$A$2:$CP$214"}</definedName>
    <definedName name="__________________cp11" localSheetId="12" hidden="1">{"'előző év december'!$A$2:$CP$214"}</definedName>
    <definedName name="__________________cp11" hidden="1">{"'előző év december'!$A$2:$CP$214"}</definedName>
    <definedName name="__________________cp2" localSheetId="12" hidden="1">{"'előző év december'!$A$2:$CP$214"}</definedName>
    <definedName name="__________________cp2" hidden="1">{"'előző év december'!$A$2:$CP$214"}</definedName>
    <definedName name="__________________cp3" localSheetId="12" hidden="1">{"'előző év december'!$A$2:$CP$214"}</definedName>
    <definedName name="__________________cp3" hidden="1">{"'előző év december'!$A$2:$CP$214"}</definedName>
    <definedName name="__________________cp4" localSheetId="12" hidden="1">{"'előző év december'!$A$2:$CP$214"}</definedName>
    <definedName name="__________________cp4" hidden="1">{"'előző év december'!$A$2:$CP$214"}</definedName>
    <definedName name="__________________cp5" localSheetId="12" hidden="1">{"'előző év december'!$A$2:$CP$214"}</definedName>
    <definedName name="__________________cp5" hidden="1">{"'előző év december'!$A$2:$CP$214"}</definedName>
    <definedName name="__________________cp6" localSheetId="12" hidden="1">{"'előző év december'!$A$2:$CP$214"}</definedName>
    <definedName name="__________________cp6" hidden="1">{"'előző év december'!$A$2:$CP$214"}</definedName>
    <definedName name="__________________cp7" localSheetId="12" hidden="1">{"'előző év december'!$A$2:$CP$214"}</definedName>
    <definedName name="__________________cp7" hidden="1">{"'előző év december'!$A$2:$CP$214"}</definedName>
    <definedName name="__________________cp8" localSheetId="12" hidden="1">{"'előző év december'!$A$2:$CP$214"}</definedName>
    <definedName name="__________________cp8" hidden="1">{"'előző év december'!$A$2:$CP$214"}</definedName>
    <definedName name="__________________cp9" localSheetId="12" hidden="1">{"'előző év december'!$A$2:$CP$214"}</definedName>
    <definedName name="__________________cp9" hidden="1">{"'előző év december'!$A$2:$CP$214"}</definedName>
    <definedName name="__________________cpr2" localSheetId="12" hidden="1">{"'előző év december'!$A$2:$CP$214"}</definedName>
    <definedName name="__________________cpr2" hidden="1">{"'előző év december'!$A$2:$CP$214"}</definedName>
    <definedName name="__________________cpr3" localSheetId="12" hidden="1">{"'előző év december'!$A$2:$CP$214"}</definedName>
    <definedName name="__________________cpr3" hidden="1">{"'előző év december'!$A$2:$CP$214"}</definedName>
    <definedName name="__________________cpr4" localSheetId="12" hidden="1">{"'előző év december'!$A$2:$CP$214"}</definedName>
    <definedName name="__________________cpr4" hidden="1">{"'előző év december'!$A$2:$CP$214"}</definedName>
    <definedName name="__________________t04" localSheetId="12" hidden="1">{#N/A,#N/A,FALSE,"т04"}</definedName>
    <definedName name="__________________t04" localSheetId="8" hidden="1">{#N/A,#N/A,FALSE,"т04"}</definedName>
    <definedName name="__________________t04" hidden="1">{#N/A,#N/A,FALSE,"т04"}</definedName>
    <definedName name="__________________t06" localSheetId="12" hidden="1">{#N/A,#N/A,FALSE,"т04"}</definedName>
    <definedName name="__________________t06" localSheetId="8" hidden="1">{#N/A,#N/A,FALSE,"т04"}</definedName>
    <definedName name="__________________t06" hidden="1">{#N/A,#N/A,FALSE,"т04"}</definedName>
    <definedName name="_________________cp1" localSheetId="12" hidden="1">{"'előző év december'!$A$2:$CP$214"}</definedName>
    <definedName name="_________________cp1" hidden="1">{"'előző év december'!$A$2:$CP$214"}</definedName>
    <definedName name="_________________cp10" localSheetId="12" hidden="1">{"'előző év december'!$A$2:$CP$214"}</definedName>
    <definedName name="_________________cp10" hidden="1">{"'előző év december'!$A$2:$CP$214"}</definedName>
    <definedName name="_________________cp11" localSheetId="12" hidden="1">{"'előző év december'!$A$2:$CP$214"}</definedName>
    <definedName name="_________________cp11" hidden="1">{"'előző év december'!$A$2:$CP$214"}</definedName>
    <definedName name="_________________cp2" localSheetId="12" hidden="1">{"'előző év december'!$A$2:$CP$214"}</definedName>
    <definedName name="_________________cp2" hidden="1">{"'előző év december'!$A$2:$CP$214"}</definedName>
    <definedName name="_________________cp3" localSheetId="12" hidden="1">{"'előző év december'!$A$2:$CP$214"}</definedName>
    <definedName name="_________________cp3" hidden="1">{"'előző év december'!$A$2:$CP$214"}</definedName>
    <definedName name="_________________cp4" localSheetId="12" hidden="1">{"'előző év december'!$A$2:$CP$214"}</definedName>
    <definedName name="_________________cp4" hidden="1">{"'előző év december'!$A$2:$CP$214"}</definedName>
    <definedName name="_________________cp5" localSheetId="12" hidden="1">{"'előző év december'!$A$2:$CP$214"}</definedName>
    <definedName name="_________________cp5" hidden="1">{"'előző év december'!$A$2:$CP$214"}</definedName>
    <definedName name="_________________cp6" localSheetId="12" hidden="1">{"'előző év december'!$A$2:$CP$214"}</definedName>
    <definedName name="_________________cp6" hidden="1">{"'előző év december'!$A$2:$CP$214"}</definedName>
    <definedName name="_________________cp7" localSheetId="12" hidden="1">{"'előző év december'!$A$2:$CP$214"}</definedName>
    <definedName name="_________________cp7" hidden="1">{"'előző év december'!$A$2:$CP$214"}</definedName>
    <definedName name="_________________cp8" localSheetId="12" hidden="1">{"'előző év december'!$A$2:$CP$214"}</definedName>
    <definedName name="_________________cp8" hidden="1">{"'előző év december'!$A$2:$CP$214"}</definedName>
    <definedName name="_________________cp9" localSheetId="12" hidden="1">{"'előző év december'!$A$2:$CP$214"}</definedName>
    <definedName name="_________________cp9" hidden="1">{"'előző év december'!$A$2:$CP$214"}</definedName>
    <definedName name="_________________cpr2" localSheetId="12" hidden="1">{"'előző év december'!$A$2:$CP$214"}</definedName>
    <definedName name="_________________cpr2" hidden="1">{"'előző év december'!$A$2:$CP$214"}</definedName>
    <definedName name="_________________cpr3" localSheetId="12" hidden="1">{"'előző év december'!$A$2:$CP$214"}</definedName>
    <definedName name="_________________cpr3" hidden="1">{"'előző év december'!$A$2:$CP$214"}</definedName>
    <definedName name="_________________cpr4" localSheetId="12" hidden="1">{"'előző év december'!$A$2:$CP$214"}</definedName>
    <definedName name="_________________cpr4" hidden="1">{"'előző év december'!$A$2:$CP$214"}</definedName>
    <definedName name="_________________t04" localSheetId="12" hidden="1">{#N/A,#N/A,FALSE,"т04"}</definedName>
    <definedName name="_________________t04" localSheetId="8" hidden="1">{#N/A,#N/A,FALSE,"т04"}</definedName>
    <definedName name="_________________t04" hidden="1">{#N/A,#N/A,FALSE,"т04"}</definedName>
    <definedName name="_________________t06" localSheetId="12" hidden="1">{#N/A,#N/A,FALSE,"т04"}</definedName>
    <definedName name="_________________t06" localSheetId="8" hidden="1">{#N/A,#N/A,FALSE,"т04"}</definedName>
    <definedName name="_________________t06" hidden="1">{#N/A,#N/A,FALSE,"т04"}</definedName>
    <definedName name="________________cp1" localSheetId="12" hidden="1">{"'előző év december'!$A$2:$CP$214"}</definedName>
    <definedName name="________________cp1" hidden="1">{"'előző év december'!$A$2:$CP$214"}</definedName>
    <definedName name="________________cp10" localSheetId="12" hidden="1">{"'előző év december'!$A$2:$CP$214"}</definedName>
    <definedName name="________________cp10" hidden="1">{"'előző év december'!$A$2:$CP$214"}</definedName>
    <definedName name="________________cp11" localSheetId="12" hidden="1">{"'előző év december'!$A$2:$CP$214"}</definedName>
    <definedName name="________________cp11" hidden="1">{"'előző év december'!$A$2:$CP$214"}</definedName>
    <definedName name="________________cp2" localSheetId="12" hidden="1">{"'előző év december'!$A$2:$CP$214"}</definedName>
    <definedName name="________________cp2" hidden="1">{"'előző év december'!$A$2:$CP$214"}</definedName>
    <definedName name="________________cp3" localSheetId="12" hidden="1">{"'előző év december'!$A$2:$CP$214"}</definedName>
    <definedName name="________________cp3" hidden="1">{"'előző év december'!$A$2:$CP$214"}</definedName>
    <definedName name="________________cp4" localSheetId="12" hidden="1">{"'előző év december'!$A$2:$CP$214"}</definedName>
    <definedName name="________________cp4" hidden="1">{"'előző év december'!$A$2:$CP$214"}</definedName>
    <definedName name="________________cp5" localSheetId="12" hidden="1">{"'előző év december'!$A$2:$CP$214"}</definedName>
    <definedName name="________________cp5" hidden="1">{"'előző év december'!$A$2:$CP$214"}</definedName>
    <definedName name="________________cp6" localSheetId="12" hidden="1">{"'előző év december'!$A$2:$CP$214"}</definedName>
    <definedName name="________________cp6" hidden="1">{"'előző év december'!$A$2:$CP$214"}</definedName>
    <definedName name="________________cp7" localSheetId="12" hidden="1">{"'előző év december'!$A$2:$CP$214"}</definedName>
    <definedName name="________________cp7" hidden="1">{"'előző év december'!$A$2:$CP$214"}</definedName>
    <definedName name="________________cp8" localSheetId="12" hidden="1">{"'előző év december'!$A$2:$CP$214"}</definedName>
    <definedName name="________________cp8" hidden="1">{"'előző év december'!$A$2:$CP$214"}</definedName>
    <definedName name="________________cp9" localSheetId="12" hidden="1">{"'előző év december'!$A$2:$CP$214"}</definedName>
    <definedName name="________________cp9" hidden="1">{"'előző év december'!$A$2:$CP$214"}</definedName>
    <definedName name="________________cpr2" localSheetId="12" hidden="1">{"'előző év december'!$A$2:$CP$214"}</definedName>
    <definedName name="________________cpr2" hidden="1">{"'előző év december'!$A$2:$CP$214"}</definedName>
    <definedName name="________________cpr3" localSheetId="12" hidden="1">{"'előző év december'!$A$2:$CP$214"}</definedName>
    <definedName name="________________cpr3" hidden="1">{"'előző év december'!$A$2:$CP$214"}</definedName>
    <definedName name="________________cpr4" localSheetId="12" hidden="1">{"'előző év december'!$A$2:$CP$214"}</definedName>
    <definedName name="________________cpr4" hidden="1">{"'előző év december'!$A$2:$CP$214"}</definedName>
    <definedName name="________________t04" localSheetId="12" hidden="1">{#N/A,#N/A,FALSE,"т04"}</definedName>
    <definedName name="________________t04" localSheetId="8" hidden="1">{#N/A,#N/A,FALSE,"т04"}</definedName>
    <definedName name="________________t04" hidden="1">{#N/A,#N/A,FALSE,"т04"}</definedName>
    <definedName name="________________t06" localSheetId="12" hidden="1">{#N/A,#N/A,FALSE,"т04"}</definedName>
    <definedName name="________________t06" localSheetId="8" hidden="1">{#N/A,#N/A,FALSE,"т04"}</definedName>
    <definedName name="________________t06" hidden="1">{#N/A,#N/A,FALSE,"т04"}</definedName>
    <definedName name="_______________cp1" localSheetId="12" hidden="1">{"'előző év december'!$A$2:$CP$214"}</definedName>
    <definedName name="_______________cp1" hidden="1">{"'előző év december'!$A$2:$CP$214"}</definedName>
    <definedName name="_______________cp10" localSheetId="12" hidden="1">{"'előző év december'!$A$2:$CP$214"}</definedName>
    <definedName name="_______________cp10" hidden="1">{"'előző év december'!$A$2:$CP$214"}</definedName>
    <definedName name="_______________cp11" localSheetId="12" hidden="1">{"'előző év december'!$A$2:$CP$214"}</definedName>
    <definedName name="_______________cp11" hidden="1">{"'előző év december'!$A$2:$CP$214"}</definedName>
    <definedName name="_______________cp2" localSheetId="12" hidden="1">{"'előző év december'!$A$2:$CP$214"}</definedName>
    <definedName name="_______________cp2" hidden="1">{"'előző év december'!$A$2:$CP$214"}</definedName>
    <definedName name="_______________cp3" localSheetId="12" hidden="1">{"'előző év december'!$A$2:$CP$214"}</definedName>
    <definedName name="_______________cp3" hidden="1">{"'előző év december'!$A$2:$CP$214"}</definedName>
    <definedName name="_______________cp4" localSheetId="12" hidden="1">{"'előző év december'!$A$2:$CP$214"}</definedName>
    <definedName name="_______________cp4" hidden="1">{"'előző év december'!$A$2:$CP$214"}</definedName>
    <definedName name="_______________cp5" localSheetId="12" hidden="1">{"'előző év december'!$A$2:$CP$214"}</definedName>
    <definedName name="_______________cp5" hidden="1">{"'előző év december'!$A$2:$CP$214"}</definedName>
    <definedName name="_______________cp6" localSheetId="12" hidden="1">{"'előző év december'!$A$2:$CP$214"}</definedName>
    <definedName name="_______________cp6" hidden="1">{"'előző év december'!$A$2:$CP$214"}</definedName>
    <definedName name="_______________cp7" localSheetId="12" hidden="1">{"'előző év december'!$A$2:$CP$214"}</definedName>
    <definedName name="_______________cp7" hidden="1">{"'előző év december'!$A$2:$CP$214"}</definedName>
    <definedName name="_______________cp8" localSheetId="12" hidden="1">{"'előző év december'!$A$2:$CP$214"}</definedName>
    <definedName name="_______________cp8" hidden="1">{"'előző év december'!$A$2:$CP$214"}</definedName>
    <definedName name="_______________cp9" localSheetId="12" hidden="1">{"'előző év december'!$A$2:$CP$214"}</definedName>
    <definedName name="_______________cp9" hidden="1">{"'előző év december'!$A$2:$CP$214"}</definedName>
    <definedName name="_______________cpr2" localSheetId="12" hidden="1">{"'előző év december'!$A$2:$CP$214"}</definedName>
    <definedName name="_______________cpr2" hidden="1">{"'előző év december'!$A$2:$CP$214"}</definedName>
    <definedName name="_______________cpr3" localSheetId="12" hidden="1">{"'előző év december'!$A$2:$CP$214"}</definedName>
    <definedName name="_______________cpr3" hidden="1">{"'előző év december'!$A$2:$CP$214"}</definedName>
    <definedName name="_______________cpr4" localSheetId="12" hidden="1">{"'előző év december'!$A$2:$CP$214"}</definedName>
    <definedName name="_______________cpr4" hidden="1">{"'előző év december'!$A$2:$CP$214"}</definedName>
    <definedName name="_______________t04" localSheetId="12" hidden="1">{#N/A,#N/A,FALSE,"т04"}</definedName>
    <definedName name="_______________t04" localSheetId="8" hidden="1">{#N/A,#N/A,FALSE,"т04"}</definedName>
    <definedName name="_______________t04" hidden="1">{#N/A,#N/A,FALSE,"т04"}</definedName>
    <definedName name="_______________t06" localSheetId="12" hidden="1">{#N/A,#N/A,FALSE,"т04"}</definedName>
    <definedName name="_______________t06" localSheetId="8" hidden="1">{#N/A,#N/A,FALSE,"т04"}</definedName>
    <definedName name="_______________t06" hidden="1">{#N/A,#N/A,FALSE,"т04"}</definedName>
    <definedName name="______________cp1" localSheetId="12" hidden="1">{"'előző év december'!$A$2:$CP$214"}</definedName>
    <definedName name="______________cp1" hidden="1">{"'előző év december'!$A$2:$CP$214"}</definedName>
    <definedName name="______________cp10" localSheetId="12" hidden="1">{"'előző év december'!$A$2:$CP$214"}</definedName>
    <definedName name="______________cp10" hidden="1">{"'előző év december'!$A$2:$CP$214"}</definedName>
    <definedName name="______________cp11" localSheetId="12" hidden="1">{"'előző év december'!$A$2:$CP$214"}</definedName>
    <definedName name="______________cp11" hidden="1">{"'előző év december'!$A$2:$CP$214"}</definedName>
    <definedName name="______________cp2" localSheetId="12" hidden="1">{"'előző év december'!$A$2:$CP$214"}</definedName>
    <definedName name="______________cp2" hidden="1">{"'előző év december'!$A$2:$CP$214"}</definedName>
    <definedName name="______________cp3" localSheetId="12" hidden="1">{"'előző év december'!$A$2:$CP$214"}</definedName>
    <definedName name="______________cp3" hidden="1">{"'előző év december'!$A$2:$CP$214"}</definedName>
    <definedName name="______________cp4" localSheetId="12" hidden="1">{"'előző év december'!$A$2:$CP$214"}</definedName>
    <definedName name="______________cp4" hidden="1">{"'előző év december'!$A$2:$CP$214"}</definedName>
    <definedName name="______________cp5" localSheetId="12" hidden="1">{"'előző év december'!$A$2:$CP$214"}</definedName>
    <definedName name="______________cp5" hidden="1">{"'előző év december'!$A$2:$CP$214"}</definedName>
    <definedName name="______________cp6" localSheetId="12" hidden="1">{"'előző év december'!$A$2:$CP$214"}</definedName>
    <definedName name="______________cp6" hidden="1">{"'előző év december'!$A$2:$CP$214"}</definedName>
    <definedName name="______________cp7" localSheetId="12" hidden="1">{"'előző év december'!$A$2:$CP$214"}</definedName>
    <definedName name="______________cp7" hidden="1">{"'előző év december'!$A$2:$CP$214"}</definedName>
    <definedName name="______________cp8" localSheetId="12" hidden="1">{"'előző év december'!$A$2:$CP$214"}</definedName>
    <definedName name="______________cp8" hidden="1">{"'előző év december'!$A$2:$CP$214"}</definedName>
    <definedName name="______________cp9" localSheetId="12" hidden="1">{"'előző év december'!$A$2:$CP$214"}</definedName>
    <definedName name="______________cp9" hidden="1">{"'előző év december'!$A$2:$CP$214"}</definedName>
    <definedName name="______________cpr2" localSheetId="12" hidden="1">{"'előző év december'!$A$2:$CP$214"}</definedName>
    <definedName name="______________cpr2" hidden="1">{"'előző év december'!$A$2:$CP$214"}</definedName>
    <definedName name="______________cpr3" localSheetId="12" hidden="1">{"'előző év december'!$A$2:$CP$214"}</definedName>
    <definedName name="______________cpr3" hidden="1">{"'előző év december'!$A$2:$CP$214"}</definedName>
    <definedName name="______________cpr4" localSheetId="12" hidden="1">{"'előző év december'!$A$2:$CP$214"}</definedName>
    <definedName name="______________cpr4" hidden="1">{"'előző év december'!$A$2:$CP$214"}</definedName>
    <definedName name="______________t04" localSheetId="12" hidden="1">{#N/A,#N/A,FALSE,"т04"}</definedName>
    <definedName name="______________t04" localSheetId="8" hidden="1">{#N/A,#N/A,FALSE,"т04"}</definedName>
    <definedName name="______________t04" hidden="1">{#N/A,#N/A,FALSE,"т04"}</definedName>
    <definedName name="______________t06" localSheetId="12" hidden="1">{#N/A,#N/A,FALSE,"т04"}</definedName>
    <definedName name="______________t06" localSheetId="8" hidden="1">{#N/A,#N/A,FALSE,"т04"}</definedName>
    <definedName name="______________t06" hidden="1">{#N/A,#N/A,FALSE,"т04"}</definedName>
    <definedName name="_____________aaa" localSheetId="12" hidden="1">{"'előző év december'!$A$2:$CP$214"}</definedName>
    <definedName name="_____________aaa" hidden="1">{"'előző év december'!$A$2:$CP$214"}</definedName>
    <definedName name="_____________cp1" localSheetId="12" hidden="1">{"'előző év december'!$A$2:$CP$214"}</definedName>
    <definedName name="_____________cp1" hidden="1">{"'előző év december'!$A$2:$CP$214"}</definedName>
    <definedName name="_____________cp10" localSheetId="12" hidden="1">{"'előző év december'!$A$2:$CP$214"}</definedName>
    <definedName name="_____________cp10" hidden="1">{"'előző év december'!$A$2:$CP$214"}</definedName>
    <definedName name="_____________cp11" localSheetId="12" hidden="1">{"'előző év december'!$A$2:$CP$214"}</definedName>
    <definedName name="_____________cp11" hidden="1">{"'előző év december'!$A$2:$CP$214"}</definedName>
    <definedName name="_____________cp2" localSheetId="12" hidden="1">{"'előző év december'!$A$2:$CP$214"}</definedName>
    <definedName name="_____________cp2" hidden="1">{"'előző év december'!$A$2:$CP$214"}</definedName>
    <definedName name="_____________cp3" localSheetId="12" hidden="1">{"'előző év december'!$A$2:$CP$214"}</definedName>
    <definedName name="_____________cp3" hidden="1">{"'előző év december'!$A$2:$CP$214"}</definedName>
    <definedName name="_____________cp4" localSheetId="12" hidden="1">{"'előző év december'!$A$2:$CP$214"}</definedName>
    <definedName name="_____________cp4" hidden="1">{"'előző év december'!$A$2:$CP$214"}</definedName>
    <definedName name="_____________cp5" localSheetId="12" hidden="1">{"'előző év december'!$A$2:$CP$214"}</definedName>
    <definedName name="_____________cp5" hidden="1">{"'előző év december'!$A$2:$CP$214"}</definedName>
    <definedName name="_____________cp6" localSheetId="12" hidden="1">{"'előző év december'!$A$2:$CP$214"}</definedName>
    <definedName name="_____________cp6" hidden="1">{"'előző év december'!$A$2:$CP$214"}</definedName>
    <definedName name="_____________cp7" localSheetId="12" hidden="1">{"'előző év december'!$A$2:$CP$214"}</definedName>
    <definedName name="_____________cp7" hidden="1">{"'előző év december'!$A$2:$CP$214"}</definedName>
    <definedName name="_____________cp8" localSheetId="12" hidden="1">{"'előző év december'!$A$2:$CP$214"}</definedName>
    <definedName name="_____________cp8" hidden="1">{"'előző év december'!$A$2:$CP$214"}</definedName>
    <definedName name="_____________cp9" localSheetId="12" hidden="1">{"'előző év december'!$A$2:$CP$214"}</definedName>
    <definedName name="_____________cp9" hidden="1">{"'előző év december'!$A$2:$CP$214"}</definedName>
    <definedName name="_____________cpr2" localSheetId="12" hidden="1">{"'előző év december'!$A$2:$CP$214"}</definedName>
    <definedName name="_____________cpr2" hidden="1">{"'előző év december'!$A$2:$CP$214"}</definedName>
    <definedName name="_____________cpr3" localSheetId="12" hidden="1">{"'előző év december'!$A$2:$CP$214"}</definedName>
    <definedName name="_____________cpr3" hidden="1">{"'előző év december'!$A$2:$CP$214"}</definedName>
    <definedName name="_____________cpr4" localSheetId="12" hidden="1">{"'előző év december'!$A$2:$CP$214"}</definedName>
    <definedName name="_____________cpr4" hidden="1">{"'előző év december'!$A$2:$CP$214"}</definedName>
    <definedName name="_____________t04" localSheetId="12" hidden="1">{#N/A,#N/A,FALSE,"т04"}</definedName>
    <definedName name="_____________t04" localSheetId="8" hidden="1">{#N/A,#N/A,FALSE,"т04"}</definedName>
    <definedName name="_____________t04" hidden="1">{#N/A,#N/A,FALSE,"т04"}</definedName>
    <definedName name="_____________t06" localSheetId="12" hidden="1">{#N/A,#N/A,FALSE,"т04"}</definedName>
    <definedName name="_____________t06" localSheetId="8" hidden="1">{#N/A,#N/A,FALSE,"т04"}</definedName>
    <definedName name="_____________t06" hidden="1">{#N/A,#N/A,FALSE,"т04"}</definedName>
    <definedName name="____________cp1" localSheetId="12" hidden="1">{"'előző év december'!$A$2:$CP$214"}</definedName>
    <definedName name="____________cp1" hidden="1">{"'előző év december'!$A$2:$CP$214"}</definedName>
    <definedName name="____________cp10" localSheetId="12" hidden="1">{"'előző év december'!$A$2:$CP$214"}</definedName>
    <definedName name="____________cp10" hidden="1">{"'előző év december'!$A$2:$CP$214"}</definedName>
    <definedName name="____________cp11" localSheetId="12" hidden="1">{"'előző év december'!$A$2:$CP$214"}</definedName>
    <definedName name="____________cp11" hidden="1">{"'előző év december'!$A$2:$CP$214"}</definedName>
    <definedName name="____________cp2" localSheetId="12" hidden="1">{"'előző év december'!$A$2:$CP$214"}</definedName>
    <definedName name="____________cp2" hidden="1">{"'előző év december'!$A$2:$CP$214"}</definedName>
    <definedName name="____________cp3" localSheetId="12" hidden="1">{"'előző év december'!$A$2:$CP$214"}</definedName>
    <definedName name="____________cp3" hidden="1">{"'előző év december'!$A$2:$CP$214"}</definedName>
    <definedName name="____________cp4" localSheetId="12" hidden="1">{"'előző év december'!$A$2:$CP$214"}</definedName>
    <definedName name="____________cp4" hidden="1">{"'előző év december'!$A$2:$CP$214"}</definedName>
    <definedName name="____________cp5" localSheetId="12" hidden="1">{"'előző év december'!$A$2:$CP$214"}</definedName>
    <definedName name="____________cp5" hidden="1">{"'előző év december'!$A$2:$CP$214"}</definedName>
    <definedName name="____________cp6" localSheetId="12" hidden="1">{"'előző év december'!$A$2:$CP$214"}</definedName>
    <definedName name="____________cp6" hidden="1">{"'előző év december'!$A$2:$CP$214"}</definedName>
    <definedName name="____________cp7" localSheetId="12" hidden="1">{"'előző év december'!$A$2:$CP$214"}</definedName>
    <definedName name="____________cp7" hidden="1">{"'előző év december'!$A$2:$CP$214"}</definedName>
    <definedName name="____________cp8" localSheetId="12" hidden="1">{"'előző év december'!$A$2:$CP$214"}</definedName>
    <definedName name="____________cp8" hidden="1">{"'előző év december'!$A$2:$CP$214"}</definedName>
    <definedName name="____________cp9" localSheetId="12" hidden="1">{"'előző év december'!$A$2:$CP$214"}</definedName>
    <definedName name="____________cp9" hidden="1">{"'előző év december'!$A$2:$CP$214"}</definedName>
    <definedName name="____________cpr2" localSheetId="12" hidden="1">{"'előző év december'!$A$2:$CP$214"}</definedName>
    <definedName name="____________cpr2" hidden="1">{"'előző év december'!$A$2:$CP$214"}</definedName>
    <definedName name="____________cpr3" localSheetId="12" hidden="1">{"'előző év december'!$A$2:$CP$214"}</definedName>
    <definedName name="____________cpr3" hidden="1">{"'előző év december'!$A$2:$CP$214"}</definedName>
    <definedName name="____________cpr4" localSheetId="12" hidden="1">{"'előző év december'!$A$2:$CP$214"}</definedName>
    <definedName name="____________cpr4" hidden="1">{"'előző év december'!$A$2:$CP$214"}</definedName>
    <definedName name="____________t04" localSheetId="12" hidden="1">{#N/A,#N/A,FALSE,"т04"}</definedName>
    <definedName name="____________t04" localSheetId="8" hidden="1">{#N/A,#N/A,FALSE,"т04"}</definedName>
    <definedName name="____________t04" hidden="1">{#N/A,#N/A,FALSE,"т04"}</definedName>
    <definedName name="___________cp1" localSheetId="12" hidden="1">{"'előző év december'!$A$2:$CP$214"}</definedName>
    <definedName name="___________cp1" hidden="1">{"'előző év december'!$A$2:$CP$214"}</definedName>
    <definedName name="___________cp10" localSheetId="12" hidden="1">{"'előző év december'!$A$2:$CP$214"}</definedName>
    <definedName name="___________cp10" hidden="1">{"'előző év december'!$A$2:$CP$214"}</definedName>
    <definedName name="___________cp11" localSheetId="12" hidden="1">{"'előző év december'!$A$2:$CP$214"}</definedName>
    <definedName name="___________cp11" hidden="1">{"'előző év december'!$A$2:$CP$214"}</definedName>
    <definedName name="___________cp2" localSheetId="12" hidden="1">{"'előző év december'!$A$2:$CP$214"}</definedName>
    <definedName name="___________cp2" hidden="1">{"'előző év december'!$A$2:$CP$214"}</definedName>
    <definedName name="___________cp3" localSheetId="12" hidden="1">{"'előző év december'!$A$2:$CP$214"}</definedName>
    <definedName name="___________cp3" hidden="1">{"'előző év december'!$A$2:$CP$214"}</definedName>
    <definedName name="___________cp4" localSheetId="12" hidden="1">{"'előző év december'!$A$2:$CP$214"}</definedName>
    <definedName name="___________cp4" hidden="1">{"'előző év december'!$A$2:$CP$214"}</definedName>
    <definedName name="___________cp5" localSheetId="12" hidden="1">{"'előző év december'!$A$2:$CP$214"}</definedName>
    <definedName name="___________cp5" hidden="1">{"'előző év december'!$A$2:$CP$214"}</definedName>
    <definedName name="___________cp6" localSheetId="12" hidden="1">{"'előző év december'!$A$2:$CP$214"}</definedName>
    <definedName name="___________cp6" hidden="1">{"'előző év december'!$A$2:$CP$214"}</definedName>
    <definedName name="___________cp7" localSheetId="12" hidden="1">{"'előző év december'!$A$2:$CP$214"}</definedName>
    <definedName name="___________cp7" hidden="1">{"'előző év december'!$A$2:$CP$214"}</definedName>
    <definedName name="___________cp8" localSheetId="12" hidden="1">{"'előző év december'!$A$2:$CP$214"}</definedName>
    <definedName name="___________cp8" hidden="1">{"'előző év december'!$A$2:$CP$214"}</definedName>
    <definedName name="___________cp9" localSheetId="12" hidden="1">{"'előző év december'!$A$2:$CP$214"}</definedName>
    <definedName name="___________cp9" hidden="1">{"'előző év december'!$A$2:$CP$214"}</definedName>
    <definedName name="___________cpr2" localSheetId="12" hidden="1">{"'előző év december'!$A$2:$CP$214"}</definedName>
    <definedName name="___________cpr2" hidden="1">{"'előző év december'!$A$2:$CP$214"}</definedName>
    <definedName name="___________cpr3" localSheetId="12" hidden="1">{"'előző év december'!$A$2:$CP$214"}</definedName>
    <definedName name="___________cpr3" hidden="1">{"'előző év december'!$A$2:$CP$214"}</definedName>
    <definedName name="___________cpr4" localSheetId="12" hidden="1">{"'előző év december'!$A$2:$CP$214"}</definedName>
    <definedName name="___________cpr4" hidden="1">{"'előző év december'!$A$2:$CP$214"}</definedName>
    <definedName name="___________t04" localSheetId="12" hidden="1">{#N/A,#N/A,FALSE,"т04"}</definedName>
    <definedName name="___________t04" localSheetId="8" hidden="1">{#N/A,#N/A,FALSE,"т04"}</definedName>
    <definedName name="___________t04" hidden="1">{#N/A,#N/A,FALSE,"т04"}</definedName>
    <definedName name="___________t06" localSheetId="12" hidden="1">{#N/A,#N/A,FALSE,"т04"}</definedName>
    <definedName name="___________t06" localSheetId="8" hidden="1">{#N/A,#N/A,FALSE,"т04"}</definedName>
    <definedName name="___________t06" hidden="1">{#N/A,#N/A,FALSE,"т04"}</definedName>
    <definedName name="___________tab06">#REF!</definedName>
    <definedName name="___________tab07">#REF!</definedName>
    <definedName name="___________Tab1">#REF!</definedName>
    <definedName name="___________UKR1">#REF!</definedName>
    <definedName name="___________UKR2">#REF!</definedName>
    <definedName name="___________UKR3">#REF!</definedName>
    <definedName name="__________cp1" localSheetId="12" hidden="1">{"'előző év december'!$A$2:$CP$214"}</definedName>
    <definedName name="__________cp1" hidden="1">{"'előző év december'!$A$2:$CP$214"}</definedName>
    <definedName name="__________cp10" localSheetId="12" hidden="1">{"'előző év december'!$A$2:$CP$214"}</definedName>
    <definedName name="__________cp10" hidden="1">{"'előző év december'!$A$2:$CP$214"}</definedName>
    <definedName name="__________cp11" localSheetId="12" hidden="1">{"'előző év december'!$A$2:$CP$214"}</definedName>
    <definedName name="__________cp11" hidden="1">{"'előző év december'!$A$2:$CP$214"}</definedName>
    <definedName name="__________cp2" localSheetId="12" hidden="1">{"'előző év december'!$A$2:$CP$214"}</definedName>
    <definedName name="__________cp2" hidden="1">{"'előző év december'!$A$2:$CP$214"}</definedName>
    <definedName name="__________cp3" localSheetId="12" hidden="1">{"'előző év december'!$A$2:$CP$214"}</definedName>
    <definedName name="__________cp3" hidden="1">{"'előző év december'!$A$2:$CP$214"}</definedName>
    <definedName name="__________cp4" localSheetId="12" hidden="1">{"'előző év december'!$A$2:$CP$214"}</definedName>
    <definedName name="__________cp4" hidden="1">{"'előző év december'!$A$2:$CP$214"}</definedName>
    <definedName name="__________cp5" localSheetId="12" hidden="1">{"'előző év december'!$A$2:$CP$214"}</definedName>
    <definedName name="__________cp5" hidden="1">{"'előző év december'!$A$2:$CP$214"}</definedName>
    <definedName name="__________cp6" localSheetId="12" hidden="1">{"'előző év december'!$A$2:$CP$214"}</definedName>
    <definedName name="__________cp6" hidden="1">{"'előző év december'!$A$2:$CP$214"}</definedName>
    <definedName name="__________cp7" localSheetId="12" hidden="1">{"'előző év december'!$A$2:$CP$214"}</definedName>
    <definedName name="__________cp7" hidden="1">{"'előző év december'!$A$2:$CP$214"}</definedName>
    <definedName name="__________cp8" localSheetId="12" hidden="1">{"'előző év december'!$A$2:$CP$214"}</definedName>
    <definedName name="__________cp8" hidden="1">{"'előző év december'!$A$2:$CP$214"}</definedName>
    <definedName name="__________cp9" localSheetId="12" hidden="1">{"'előző év december'!$A$2:$CP$214"}</definedName>
    <definedName name="__________cp9" hidden="1">{"'előző év december'!$A$2:$CP$214"}</definedName>
    <definedName name="__________cpr2" localSheetId="12" hidden="1">{"'előző év december'!$A$2:$CP$214"}</definedName>
    <definedName name="__________cpr2" hidden="1">{"'előző év december'!$A$2:$CP$214"}</definedName>
    <definedName name="__________cpr3" localSheetId="12" hidden="1">{"'előző év december'!$A$2:$CP$214"}</definedName>
    <definedName name="__________cpr3" hidden="1">{"'előző év december'!$A$2:$CP$214"}</definedName>
    <definedName name="__________cpr4" localSheetId="12" hidden="1">{"'előző év december'!$A$2:$CP$214"}</definedName>
    <definedName name="__________cpr4" hidden="1">{"'előző év december'!$A$2:$CP$214"}</definedName>
    <definedName name="__________t04" localSheetId="12" hidden="1">{#N/A,#N/A,FALSE,"т04"}</definedName>
    <definedName name="__________t04" localSheetId="8" hidden="1">{#N/A,#N/A,FALSE,"т04"}</definedName>
    <definedName name="__________t04" hidden="1">{#N/A,#N/A,FALSE,"т04"}</definedName>
    <definedName name="__________t06" localSheetId="12" hidden="1">{#N/A,#N/A,FALSE,"т04"}</definedName>
    <definedName name="__________t06" localSheetId="8" hidden="1">{#N/A,#N/A,FALSE,"т04"}</definedName>
    <definedName name="__________t06" hidden="1">{#N/A,#N/A,FALSE,"т04"}</definedName>
    <definedName name="__________tab06">#REF!</definedName>
    <definedName name="__________tab07">#REF!</definedName>
    <definedName name="__________Tab1">#REF!</definedName>
    <definedName name="__________UKR1">#REF!</definedName>
    <definedName name="__________UKR2">#REF!</definedName>
    <definedName name="__________UKR3">#REF!</definedName>
    <definedName name="_________cp1" localSheetId="12" hidden="1">{"'előző év december'!$A$2:$CP$214"}</definedName>
    <definedName name="_________cp1" hidden="1">{"'előző év december'!$A$2:$CP$214"}</definedName>
    <definedName name="_________cp10" localSheetId="12" hidden="1">{"'előző év december'!$A$2:$CP$214"}</definedName>
    <definedName name="_________cp10" hidden="1">{"'előző év december'!$A$2:$CP$214"}</definedName>
    <definedName name="_________cp11" localSheetId="12" hidden="1">{"'előző év december'!$A$2:$CP$214"}</definedName>
    <definedName name="_________cp11" hidden="1">{"'előző év december'!$A$2:$CP$214"}</definedName>
    <definedName name="_________cp2" localSheetId="12" hidden="1">{"'előző év december'!$A$2:$CP$214"}</definedName>
    <definedName name="_________cp2" hidden="1">{"'előző év december'!$A$2:$CP$214"}</definedName>
    <definedName name="_________cp3" localSheetId="12" hidden="1">{"'előző év december'!$A$2:$CP$214"}</definedName>
    <definedName name="_________cp3" hidden="1">{"'előző év december'!$A$2:$CP$214"}</definedName>
    <definedName name="_________cp4" localSheetId="12" hidden="1">{"'előző év december'!$A$2:$CP$214"}</definedName>
    <definedName name="_________cp4" hidden="1">{"'előző év december'!$A$2:$CP$214"}</definedName>
    <definedName name="_________cp5" localSheetId="12" hidden="1">{"'előző év december'!$A$2:$CP$214"}</definedName>
    <definedName name="_________cp5" hidden="1">{"'előző év december'!$A$2:$CP$214"}</definedName>
    <definedName name="_________cp6" localSheetId="12" hidden="1">{"'előző év december'!$A$2:$CP$214"}</definedName>
    <definedName name="_________cp6" hidden="1">{"'előző év december'!$A$2:$CP$214"}</definedName>
    <definedName name="_________cp7" localSheetId="12" hidden="1">{"'előző év december'!$A$2:$CP$214"}</definedName>
    <definedName name="_________cp7" hidden="1">{"'előző év december'!$A$2:$CP$214"}</definedName>
    <definedName name="_________cp8" localSheetId="12" hidden="1">{"'előző év december'!$A$2:$CP$214"}</definedName>
    <definedName name="_________cp8" hidden="1">{"'előző év december'!$A$2:$CP$214"}</definedName>
    <definedName name="_________cp9" localSheetId="12" hidden="1">{"'előző év december'!$A$2:$CP$214"}</definedName>
    <definedName name="_________cp9" hidden="1">{"'előző év december'!$A$2:$CP$214"}</definedName>
    <definedName name="_________cpr2" localSheetId="12" hidden="1">{"'előző év december'!$A$2:$CP$214"}</definedName>
    <definedName name="_________cpr2" hidden="1">{"'előző év december'!$A$2:$CP$214"}</definedName>
    <definedName name="_________cpr3" localSheetId="12" hidden="1">{"'előző év december'!$A$2:$CP$214"}</definedName>
    <definedName name="_________cpr3" hidden="1">{"'előző év december'!$A$2:$CP$214"}</definedName>
    <definedName name="_________cpr4" localSheetId="12" hidden="1">{"'előző év december'!$A$2:$CP$214"}</definedName>
    <definedName name="_________cpr4" hidden="1">{"'előző év december'!$A$2:$CP$214"}</definedName>
    <definedName name="_________t04" localSheetId="12" hidden="1">{#N/A,#N/A,FALSE,"т04"}</definedName>
    <definedName name="_________t04" localSheetId="8" hidden="1">{#N/A,#N/A,FALSE,"т04"}</definedName>
    <definedName name="_________t04" hidden="1">{#N/A,#N/A,FALSE,"т04"}</definedName>
    <definedName name="_________t06" localSheetId="12" hidden="1">{#N/A,#N/A,FALSE,"т04"}</definedName>
    <definedName name="_________t06" localSheetId="8" hidden="1">{#N/A,#N/A,FALSE,"т04"}</definedName>
    <definedName name="_________t06" hidden="1">{#N/A,#N/A,FALSE,"т04"}</definedName>
    <definedName name="_________tab06">#REF!</definedName>
    <definedName name="_________tab07">#REF!</definedName>
    <definedName name="_________Tab1">#REF!</definedName>
    <definedName name="_________UKR1">#REF!</definedName>
    <definedName name="_________UKR2">#REF!</definedName>
    <definedName name="_________UKR3">#REF!</definedName>
    <definedName name="________cp1" localSheetId="12" hidden="1">{"'előző év december'!$A$2:$CP$214"}</definedName>
    <definedName name="________cp1" hidden="1">{"'előző év december'!$A$2:$CP$214"}</definedName>
    <definedName name="________cp10" localSheetId="12" hidden="1">{"'előző év december'!$A$2:$CP$214"}</definedName>
    <definedName name="________cp10" hidden="1">{"'előző év december'!$A$2:$CP$214"}</definedName>
    <definedName name="________cp11" localSheetId="12" hidden="1">{"'előző év december'!$A$2:$CP$214"}</definedName>
    <definedName name="________cp11" hidden="1">{"'előző év december'!$A$2:$CP$214"}</definedName>
    <definedName name="________cp2" localSheetId="12" hidden="1">{"'előző év december'!$A$2:$CP$214"}</definedName>
    <definedName name="________cp2" hidden="1">{"'előző év december'!$A$2:$CP$214"}</definedName>
    <definedName name="________cp3" localSheetId="12" hidden="1">{"'előző év december'!$A$2:$CP$214"}</definedName>
    <definedName name="________cp3" hidden="1">{"'előző év december'!$A$2:$CP$214"}</definedName>
    <definedName name="________cp4" localSheetId="12" hidden="1">{"'előző év december'!$A$2:$CP$214"}</definedName>
    <definedName name="________cp4" hidden="1">{"'előző év december'!$A$2:$CP$214"}</definedName>
    <definedName name="________cp5" localSheetId="12" hidden="1">{"'előző év december'!$A$2:$CP$214"}</definedName>
    <definedName name="________cp5" hidden="1">{"'előző év december'!$A$2:$CP$214"}</definedName>
    <definedName name="________cp6" localSheetId="12" hidden="1">{"'előző év december'!$A$2:$CP$214"}</definedName>
    <definedName name="________cp6" hidden="1">{"'előző év december'!$A$2:$CP$214"}</definedName>
    <definedName name="________cp7" localSheetId="12" hidden="1">{"'előző év december'!$A$2:$CP$214"}</definedName>
    <definedName name="________cp7" hidden="1">{"'előző év december'!$A$2:$CP$214"}</definedName>
    <definedName name="________cp8" localSheetId="12" hidden="1">{"'előző év december'!$A$2:$CP$214"}</definedName>
    <definedName name="________cp8" hidden="1">{"'előző év december'!$A$2:$CP$214"}</definedName>
    <definedName name="________cp9" localSheetId="12" hidden="1">{"'előző év december'!$A$2:$CP$214"}</definedName>
    <definedName name="________cp9" hidden="1">{"'előző év december'!$A$2:$CP$214"}</definedName>
    <definedName name="________cpr2" localSheetId="12" hidden="1">{"'előző év december'!$A$2:$CP$214"}</definedName>
    <definedName name="________cpr2" hidden="1">{"'előző év december'!$A$2:$CP$214"}</definedName>
    <definedName name="________cpr3" localSheetId="12" hidden="1">{"'előző év december'!$A$2:$CP$214"}</definedName>
    <definedName name="________cpr3" hidden="1">{"'előző év december'!$A$2:$CP$214"}</definedName>
    <definedName name="________cpr4" localSheetId="12" hidden="1">{"'előző év december'!$A$2:$CP$214"}</definedName>
    <definedName name="________cpr4" hidden="1">{"'előző év december'!$A$2:$CP$214"}</definedName>
    <definedName name="________t04" localSheetId="12" hidden="1">{#N/A,#N/A,FALSE,"т04"}</definedName>
    <definedName name="________t04" localSheetId="8" hidden="1">{#N/A,#N/A,FALSE,"т04"}</definedName>
    <definedName name="________t04" hidden="1">{#N/A,#N/A,FALSE,"т04"}</definedName>
    <definedName name="________t06" localSheetId="12" hidden="1">{#N/A,#N/A,FALSE,"т04"}</definedName>
    <definedName name="________t06" localSheetId="8" hidden="1">{#N/A,#N/A,FALSE,"т04"}</definedName>
    <definedName name="________t06" hidden="1">{#N/A,#N/A,FALSE,"т04"}</definedName>
    <definedName name="________tab06">#REF!</definedName>
    <definedName name="________tab07">#REF!</definedName>
    <definedName name="________Tab1">#REF!</definedName>
    <definedName name="________UKR1">#REF!</definedName>
    <definedName name="________UKR2">#REF!</definedName>
    <definedName name="________UKR3">#REF!</definedName>
    <definedName name="_______cp1" localSheetId="12" hidden="1">{"'előző év december'!$A$2:$CP$214"}</definedName>
    <definedName name="_______cp1" hidden="1">{"'előző év december'!$A$2:$CP$214"}</definedName>
    <definedName name="_______cp10" localSheetId="12" hidden="1">{"'előző év december'!$A$2:$CP$214"}</definedName>
    <definedName name="_______cp10" hidden="1">{"'előző év december'!$A$2:$CP$214"}</definedName>
    <definedName name="_______cp11" localSheetId="12" hidden="1">{"'előző év december'!$A$2:$CP$214"}</definedName>
    <definedName name="_______cp11" hidden="1">{"'előző év december'!$A$2:$CP$214"}</definedName>
    <definedName name="_______cp2" localSheetId="12" hidden="1">{"'előző év december'!$A$2:$CP$214"}</definedName>
    <definedName name="_______cp2" hidden="1">{"'előző év december'!$A$2:$CP$214"}</definedName>
    <definedName name="_______cp3" localSheetId="12" hidden="1">{"'előző év december'!$A$2:$CP$214"}</definedName>
    <definedName name="_______cp3" hidden="1">{"'előző év december'!$A$2:$CP$214"}</definedName>
    <definedName name="_______cp4" localSheetId="12" hidden="1">{"'előző év december'!$A$2:$CP$214"}</definedName>
    <definedName name="_______cp4" hidden="1">{"'előző év december'!$A$2:$CP$214"}</definedName>
    <definedName name="_______cp5" localSheetId="12" hidden="1">{"'előző év december'!$A$2:$CP$214"}</definedName>
    <definedName name="_______cp5" hidden="1">{"'előző év december'!$A$2:$CP$214"}</definedName>
    <definedName name="_______cp6" localSheetId="12" hidden="1">{"'előző év december'!$A$2:$CP$214"}</definedName>
    <definedName name="_______cp6" hidden="1">{"'előző év december'!$A$2:$CP$214"}</definedName>
    <definedName name="_______cp7" localSheetId="12" hidden="1">{"'előző év december'!$A$2:$CP$214"}</definedName>
    <definedName name="_______cp7" hidden="1">{"'előző év december'!$A$2:$CP$214"}</definedName>
    <definedName name="_______cp8" localSheetId="12" hidden="1">{"'előző év december'!$A$2:$CP$214"}</definedName>
    <definedName name="_______cp8" hidden="1">{"'előző év december'!$A$2:$CP$214"}</definedName>
    <definedName name="_______cp9" localSheetId="12" hidden="1">{"'előző év december'!$A$2:$CP$214"}</definedName>
    <definedName name="_______cp9" hidden="1">{"'előző év december'!$A$2:$CP$214"}</definedName>
    <definedName name="_______cpr2" localSheetId="12" hidden="1">{"'előző év december'!$A$2:$CP$214"}</definedName>
    <definedName name="_______cpr2" hidden="1">{"'előző év december'!$A$2:$CP$214"}</definedName>
    <definedName name="_______cpr3" localSheetId="12" hidden="1">{"'előző év december'!$A$2:$CP$214"}</definedName>
    <definedName name="_______cpr3" hidden="1">{"'előző év december'!$A$2:$CP$214"}</definedName>
    <definedName name="_______cpr4" localSheetId="12" hidden="1">{"'előző év december'!$A$2:$CP$214"}</definedName>
    <definedName name="_______cpr4" hidden="1">{"'előző év december'!$A$2:$CP$214"}</definedName>
    <definedName name="_______t04" localSheetId="12" hidden="1">{#N/A,#N/A,FALSE,"т04"}</definedName>
    <definedName name="_______t04" localSheetId="8" hidden="1">{#N/A,#N/A,FALSE,"т04"}</definedName>
    <definedName name="_______t04" hidden="1">{#N/A,#N/A,FALSE,"т04"}</definedName>
    <definedName name="_______t06" localSheetId="12" hidden="1">{#N/A,#N/A,FALSE,"т04"}</definedName>
    <definedName name="_______t06" localSheetId="8" hidden="1">{#N/A,#N/A,FALSE,"т04"}</definedName>
    <definedName name="_______t06" hidden="1">{#N/A,#N/A,FALSE,"т04"}</definedName>
    <definedName name="_______tab06">#REF!</definedName>
    <definedName name="_______tab07">#REF!</definedName>
    <definedName name="_______Tab1">#REF!</definedName>
    <definedName name="_______UKR1">#REF!</definedName>
    <definedName name="_______UKR2">#REF!</definedName>
    <definedName name="_______UKR3">#REF!</definedName>
    <definedName name="______cp1" localSheetId="12" hidden="1">{"'előző év december'!$A$2:$CP$214"}</definedName>
    <definedName name="______cp1" hidden="1">{"'előző év december'!$A$2:$CP$214"}</definedName>
    <definedName name="______cp10" localSheetId="12" hidden="1">{"'előző év december'!$A$2:$CP$214"}</definedName>
    <definedName name="______cp10" hidden="1">{"'előző év december'!$A$2:$CP$214"}</definedName>
    <definedName name="______cp11" localSheetId="12" hidden="1">{"'előző év december'!$A$2:$CP$214"}</definedName>
    <definedName name="______cp11" hidden="1">{"'előző év december'!$A$2:$CP$214"}</definedName>
    <definedName name="______cp2" localSheetId="12" hidden="1">{"'előző év december'!$A$2:$CP$214"}</definedName>
    <definedName name="______cp2" hidden="1">{"'előző év december'!$A$2:$CP$214"}</definedName>
    <definedName name="______cp3" localSheetId="12" hidden="1">{"'előző év december'!$A$2:$CP$214"}</definedName>
    <definedName name="______cp3" hidden="1">{"'előző év december'!$A$2:$CP$214"}</definedName>
    <definedName name="______cp4" localSheetId="12" hidden="1">{"'előző év december'!$A$2:$CP$214"}</definedName>
    <definedName name="______cp4" hidden="1">{"'előző év december'!$A$2:$CP$214"}</definedName>
    <definedName name="______cp5" localSheetId="12" hidden="1">{"'előző év december'!$A$2:$CP$214"}</definedName>
    <definedName name="______cp5" hidden="1">{"'előző év december'!$A$2:$CP$214"}</definedName>
    <definedName name="______cp6" localSheetId="12" hidden="1">{"'előző év december'!$A$2:$CP$214"}</definedName>
    <definedName name="______cp6" hidden="1">{"'előző év december'!$A$2:$CP$214"}</definedName>
    <definedName name="______cp7" localSheetId="12" hidden="1">{"'előző év december'!$A$2:$CP$214"}</definedName>
    <definedName name="______cp7" hidden="1">{"'előző év december'!$A$2:$CP$214"}</definedName>
    <definedName name="______cp8" localSheetId="12" hidden="1">{"'előző év december'!$A$2:$CP$214"}</definedName>
    <definedName name="______cp8" hidden="1">{"'előző év december'!$A$2:$CP$214"}</definedName>
    <definedName name="______cp9" localSheetId="12" hidden="1">{"'előző év december'!$A$2:$CP$214"}</definedName>
    <definedName name="______cp9" hidden="1">{"'előző év december'!$A$2:$CP$214"}</definedName>
    <definedName name="______cpr2" localSheetId="12" hidden="1">{"'előző év december'!$A$2:$CP$214"}</definedName>
    <definedName name="______cpr2" hidden="1">{"'előző év december'!$A$2:$CP$214"}</definedName>
    <definedName name="______cpr3" localSheetId="12" hidden="1">{"'előző év december'!$A$2:$CP$214"}</definedName>
    <definedName name="______cpr3" hidden="1">{"'előző év december'!$A$2:$CP$214"}</definedName>
    <definedName name="______cpr4" localSheetId="12" hidden="1">{"'előző év december'!$A$2:$CP$214"}</definedName>
    <definedName name="______cpr4" hidden="1">{"'előző év december'!$A$2:$CP$214"}</definedName>
    <definedName name="______t04" localSheetId="10" hidden="1">{#N/A,#N/A,FALSE,"т04"}</definedName>
    <definedName name="______t04" localSheetId="7" hidden="1">{#N/A,#N/A,FALSE,"т04"}</definedName>
    <definedName name="______t04" localSheetId="12" hidden="1">{#N/A,#N/A,FALSE,"т04"}</definedName>
    <definedName name="______t04" localSheetId="20" hidden="1">{#N/A,#N/A,FALSE,"т04"}</definedName>
    <definedName name="______t04" localSheetId="3" hidden="1">{#N/A,#N/A,FALSE,"т04"}</definedName>
    <definedName name="______t04" localSheetId="8" hidden="1">{#N/A,#N/A,FALSE,"т04"}</definedName>
    <definedName name="______t04" localSheetId="2" hidden="1">{#N/A,#N/A,FALSE,"т04"}</definedName>
    <definedName name="______t04" hidden="1">{#N/A,#N/A,FALSE,"т04"}</definedName>
    <definedName name="______t06" localSheetId="10" hidden="1">{#N/A,#N/A,FALSE,"т04"}</definedName>
    <definedName name="______t06" localSheetId="7" hidden="1">{#N/A,#N/A,FALSE,"т04"}</definedName>
    <definedName name="______t06" localSheetId="12" hidden="1">{#N/A,#N/A,FALSE,"т04"}</definedName>
    <definedName name="______t06" localSheetId="20" hidden="1">{#N/A,#N/A,FALSE,"т04"}</definedName>
    <definedName name="______t06" localSheetId="3" hidden="1">{#N/A,#N/A,FALSE,"т04"}</definedName>
    <definedName name="______t06" localSheetId="8" hidden="1">{#N/A,#N/A,FALSE,"т04"}</definedName>
    <definedName name="______t06" localSheetId="2" hidden="1">{#N/A,#N/A,FALSE,"т04"}</definedName>
    <definedName name="______t06" hidden="1">{#N/A,#N/A,FALSE,"т04"}</definedName>
    <definedName name="______tab06">#REF!</definedName>
    <definedName name="______tab07">#REF!</definedName>
    <definedName name="______Tab1">#REF!</definedName>
    <definedName name="______UKR1">#REF!</definedName>
    <definedName name="______UKR2">#REF!</definedName>
    <definedName name="______UKR3">#REF!</definedName>
    <definedName name="_____cp1" localSheetId="12" hidden="1">{"'előző év december'!$A$2:$CP$214"}</definedName>
    <definedName name="_____cp1" hidden="1">{"'előző év december'!$A$2:$CP$214"}</definedName>
    <definedName name="_____cp10" localSheetId="12" hidden="1">{"'előző év december'!$A$2:$CP$214"}</definedName>
    <definedName name="_____cp10" hidden="1">{"'előző év december'!$A$2:$CP$214"}</definedName>
    <definedName name="_____cp11" localSheetId="12" hidden="1">{"'előző év december'!$A$2:$CP$214"}</definedName>
    <definedName name="_____cp11" hidden="1">{"'előző év december'!$A$2:$CP$214"}</definedName>
    <definedName name="_____cp2" localSheetId="12" hidden="1">{"'előző év december'!$A$2:$CP$214"}</definedName>
    <definedName name="_____cp2" hidden="1">{"'előző év december'!$A$2:$CP$214"}</definedName>
    <definedName name="_____cp3" localSheetId="12" hidden="1">{"'előző év december'!$A$2:$CP$214"}</definedName>
    <definedName name="_____cp3" hidden="1">{"'előző év december'!$A$2:$CP$214"}</definedName>
    <definedName name="_____cp4" localSheetId="12" hidden="1">{"'előző év december'!$A$2:$CP$214"}</definedName>
    <definedName name="_____cp4" hidden="1">{"'előző év december'!$A$2:$CP$214"}</definedName>
    <definedName name="_____cp5" localSheetId="12" hidden="1">{"'előző év december'!$A$2:$CP$214"}</definedName>
    <definedName name="_____cp5" hidden="1">{"'előző év december'!$A$2:$CP$214"}</definedName>
    <definedName name="_____cp6" localSheetId="12" hidden="1">{"'előző év december'!$A$2:$CP$214"}</definedName>
    <definedName name="_____cp6" hidden="1">{"'előző év december'!$A$2:$CP$214"}</definedName>
    <definedName name="_____cp7" localSheetId="12" hidden="1">{"'előző év december'!$A$2:$CP$214"}</definedName>
    <definedName name="_____cp7" hidden="1">{"'előző év december'!$A$2:$CP$214"}</definedName>
    <definedName name="_____cp8" localSheetId="12" hidden="1">{"'előző év december'!$A$2:$CP$214"}</definedName>
    <definedName name="_____cp8" hidden="1">{"'előző év december'!$A$2:$CP$214"}</definedName>
    <definedName name="_____cp9" localSheetId="12" hidden="1">{"'előző év december'!$A$2:$CP$214"}</definedName>
    <definedName name="_____cp9" hidden="1">{"'előző év december'!$A$2:$CP$214"}</definedName>
    <definedName name="_____cpr2" localSheetId="12" hidden="1">{"'előző év december'!$A$2:$CP$214"}</definedName>
    <definedName name="_____cpr2" hidden="1">{"'előző év december'!$A$2:$CP$214"}</definedName>
    <definedName name="_____cpr3" localSheetId="12" hidden="1">{"'előző év december'!$A$2:$CP$214"}</definedName>
    <definedName name="_____cpr3" hidden="1">{"'előző év december'!$A$2:$CP$214"}</definedName>
    <definedName name="_____cpr4" localSheetId="12" hidden="1">{"'előző év december'!$A$2:$CP$214"}</definedName>
    <definedName name="_____cpr4" hidden="1">{"'előző év december'!$A$2:$CP$214"}</definedName>
    <definedName name="_____t04" localSheetId="10" hidden="1">{#N/A,#N/A,FALSE,"т04"}</definedName>
    <definedName name="_____t04" localSheetId="7" hidden="1">{#N/A,#N/A,FALSE,"т04"}</definedName>
    <definedName name="_____t04" localSheetId="12" hidden="1">{#N/A,#N/A,FALSE,"т04"}</definedName>
    <definedName name="_____t04" localSheetId="20" hidden="1">{#N/A,#N/A,FALSE,"т04"}</definedName>
    <definedName name="_____t04" localSheetId="3" hidden="1">{#N/A,#N/A,FALSE,"т04"}</definedName>
    <definedName name="_____t04" localSheetId="8" hidden="1">{#N/A,#N/A,FALSE,"т04"}</definedName>
    <definedName name="_____t04" localSheetId="2" hidden="1">{#N/A,#N/A,FALSE,"т04"}</definedName>
    <definedName name="_____t04" hidden="1">{#N/A,#N/A,FALSE,"т04"}</definedName>
    <definedName name="_____t06" localSheetId="10" hidden="1">{#N/A,#N/A,FALSE,"т04"}</definedName>
    <definedName name="_____t06" localSheetId="7" hidden="1">{#N/A,#N/A,FALSE,"т04"}</definedName>
    <definedName name="_____t06" localSheetId="12" hidden="1">{#N/A,#N/A,FALSE,"т04"}</definedName>
    <definedName name="_____t06" localSheetId="20" hidden="1">{#N/A,#N/A,FALSE,"т04"}</definedName>
    <definedName name="_____t06" localSheetId="3" hidden="1">{#N/A,#N/A,FALSE,"т04"}</definedName>
    <definedName name="_____t06" localSheetId="8" hidden="1">{#N/A,#N/A,FALSE,"т04"}</definedName>
    <definedName name="_____t06" localSheetId="2" hidden="1">{#N/A,#N/A,FALSE,"т04"}</definedName>
    <definedName name="_____t06" hidden="1">{#N/A,#N/A,FALSE,"т04"}</definedName>
    <definedName name="_____tab06">#REF!</definedName>
    <definedName name="_____tab07">#REF!</definedName>
    <definedName name="_____Tab1">#REF!</definedName>
    <definedName name="_____UKR1">#REF!</definedName>
    <definedName name="_____UKR2">#REF!</definedName>
    <definedName name="_____UKR3">#REF!</definedName>
    <definedName name="____cp1" localSheetId="12" hidden="1">{"'előző év december'!$A$2:$CP$214"}</definedName>
    <definedName name="____cp1" hidden="1">{"'előző év december'!$A$2:$CP$214"}</definedName>
    <definedName name="____cp10" localSheetId="12" hidden="1">{"'előző év december'!$A$2:$CP$214"}</definedName>
    <definedName name="____cp10" hidden="1">{"'előző év december'!$A$2:$CP$214"}</definedName>
    <definedName name="____cp11" localSheetId="12" hidden="1">{"'előző év december'!$A$2:$CP$214"}</definedName>
    <definedName name="____cp11" hidden="1">{"'előző év december'!$A$2:$CP$214"}</definedName>
    <definedName name="____cp2" localSheetId="12" hidden="1">{"'előző év december'!$A$2:$CP$214"}</definedName>
    <definedName name="____cp2" hidden="1">{"'előző év december'!$A$2:$CP$214"}</definedName>
    <definedName name="____cp3" localSheetId="12" hidden="1">{"'előző év december'!$A$2:$CP$214"}</definedName>
    <definedName name="____cp3" hidden="1">{"'előző év december'!$A$2:$CP$214"}</definedName>
    <definedName name="____cp4" localSheetId="12" hidden="1">{"'előző év december'!$A$2:$CP$214"}</definedName>
    <definedName name="____cp4" hidden="1">{"'előző év december'!$A$2:$CP$214"}</definedName>
    <definedName name="____cp5" localSheetId="12" hidden="1">{"'előző év december'!$A$2:$CP$214"}</definedName>
    <definedName name="____cp5" hidden="1">{"'előző év december'!$A$2:$CP$214"}</definedName>
    <definedName name="____cp6" localSheetId="12" hidden="1">{"'előző év december'!$A$2:$CP$214"}</definedName>
    <definedName name="____cp6" hidden="1">{"'előző év december'!$A$2:$CP$214"}</definedName>
    <definedName name="____cp7" localSheetId="12" hidden="1">{"'előző év december'!$A$2:$CP$214"}</definedName>
    <definedName name="____cp7" hidden="1">{"'előző év december'!$A$2:$CP$214"}</definedName>
    <definedName name="____cp8" localSheetId="12" hidden="1">{"'előző év december'!$A$2:$CP$214"}</definedName>
    <definedName name="____cp8" hidden="1">{"'előző év december'!$A$2:$CP$214"}</definedName>
    <definedName name="____cp9" localSheetId="12" hidden="1">{"'előző év december'!$A$2:$CP$214"}</definedName>
    <definedName name="____cp9" hidden="1">{"'előző év december'!$A$2:$CP$214"}</definedName>
    <definedName name="____cpr2" localSheetId="12" hidden="1">{"'előző év december'!$A$2:$CP$214"}</definedName>
    <definedName name="____cpr2" hidden="1">{"'előző év december'!$A$2:$CP$214"}</definedName>
    <definedName name="____cpr3" localSheetId="12" hidden="1">{"'előző év december'!$A$2:$CP$214"}</definedName>
    <definedName name="____cpr3" hidden="1">{"'előző év december'!$A$2:$CP$214"}</definedName>
    <definedName name="____cpr4" localSheetId="12" hidden="1">{"'előző év december'!$A$2:$CP$214"}</definedName>
    <definedName name="____cpr4" hidden="1">{"'előző év december'!$A$2:$CP$214"}</definedName>
    <definedName name="____Mn2" localSheetId="12" hidden="1">{#N/A,#N/A,FALSE,"т02бд"}</definedName>
    <definedName name="____Mn2" localSheetId="8" hidden="1">{#N/A,#N/A,FALSE,"т02бд"}</definedName>
    <definedName name="____Mn2" hidden="1">{#N/A,#N/A,FALSE,"т02бд"}</definedName>
    <definedName name="____t04" localSheetId="10" hidden="1">{#N/A,#N/A,FALSE,"т04"}</definedName>
    <definedName name="____t04" localSheetId="7" hidden="1">{#N/A,#N/A,FALSE,"т04"}</definedName>
    <definedName name="____t04" localSheetId="12" hidden="1">{#N/A,#N/A,FALSE,"т04"}</definedName>
    <definedName name="____t04" localSheetId="20" hidden="1">{#N/A,#N/A,FALSE,"т04"}</definedName>
    <definedName name="____t04" localSheetId="3" hidden="1">{#N/A,#N/A,FALSE,"т04"}</definedName>
    <definedName name="____t04" localSheetId="8" hidden="1">{#N/A,#N/A,FALSE,"т04"}</definedName>
    <definedName name="____t04" localSheetId="2" hidden="1">{#N/A,#N/A,FALSE,"т04"}</definedName>
    <definedName name="____t04" hidden="1">{#N/A,#N/A,FALSE,"т04"}</definedName>
    <definedName name="____t06" localSheetId="10" hidden="1">{#N/A,#N/A,FALSE,"т04"}</definedName>
    <definedName name="____t06" localSheetId="7" hidden="1">{#N/A,#N/A,FALSE,"т04"}</definedName>
    <definedName name="____t06" localSheetId="12" hidden="1">{#N/A,#N/A,FALSE,"т04"}</definedName>
    <definedName name="____t06" localSheetId="20" hidden="1">{#N/A,#N/A,FALSE,"т04"}</definedName>
    <definedName name="____t06" localSheetId="3" hidden="1">{#N/A,#N/A,FALSE,"т04"}</definedName>
    <definedName name="____t06" localSheetId="8" hidden="1">{#N/A,#N/A,FALSE,"т04"}</definedName>
    <definedName name="____t06" localSheetId="2" hidden="1">{#N/A,#N/A,FALSE,"т04"}</definedName>
    <definedName name="____t06" hidden="1">{#N/A,#N/A,FALSE,"т04"}</definedName>
    <definedName name="____tab06">#REF!</definedName>
    <definedName name="____tab07">#REF!</definedName>
    <definedName name="____Tab1">#REF!</definedName>
    <definedName name="____UKR1">#REF!</definedName>
    <definedName name="____UKR2">#REF!</definedName>
    <definedName name="____UKR3">#REF!</definedName>
    <definedName name="___cp1" localSheetId="12" hidden="1">{"'előző év december'!$A$2:$CP$214"}</definedName>
    <definedName name="___cp1" hidden="1">{"'előző év december'!$A$2:$CP$214"}</definedName>
    <definedName name="___cp10" localSheetId="12" hidden="1">{"'előző év december'!$A$2:$CP$214"}</definedName>
    <definedName name="___cp10" hidden="1">{"'előző év december'!$A$2:$CP$214"}</definedName>
    <definedName name="___cp11" localSheetId="12" hidden="1">{"'előző év december'!$A$2:$CP$214"}</definedName>
    <definedName name="___cp11" hidden="1">{"'előző év december'!$A$2:$CP$214"}</definedName>
    <definedName name="___cp2" localSheetId="12" hidden="1">{"'előző év december'!$A$2:$CP$214"}</definedName>
    <definedName name="___cp2" hidden="1">{"'előző év december'!$A$2:$CP$214"}</definedName>
    <definedName name="___cp3" localSheetId="12" hidden="1">{"'előző év december'!$A$2:$CP$214"}</definedName>
    <definedName name="___cp3" hidden="1">{"'előző év december'!$A$2:$CP$214"}</definedName>
    <definedName name="___cp4" localSheetId="12" hidden="1">{"'előző év december'!$A$2:$CP$214"}</definedName>
    <definedName name="___cp4" hidden="1">{"'előző év december'!$A$2:$CP$214"}</definedName>
    <definedName name="___cp5" localSheetId="12" hidden="1">{"'előző év december'!$A$2:$CP$214"}</definedName>
    <definedName name="___cp5" hidden="1">{"'előző év december'!$A$2:$CP$214"}</definedName>
    <definedName name="___cp6" localSheetId="12" hidden="1">{"'előző év december'!$A$2:$CP$214"}</definedName>
    <definedName name="___cp6" hidden="1">{"'előző év december'!$A$2:$CP$214"}</definedName>
    <definedName name="___cp7" localSheetId="12" hidden="1">{"'előző év december'!$A$2:$CP$214"}</definedName>
    <definedName name="___cp7" hidden="1">{"'előző év december'!$A$2:$CP$214"}</definedName>
    <definedName name="___cp8" localSheetId="12" hidden="1">{"'előző év december'!$A$2:$CP$214"}</definedName>
    <definedName name="___cp8" hidden="1">{"'előző év december'!$A$2:$CP$214"}</definedName>
    <definedName name="___cp9" localSheetId="12" hidden="1">{"'előző év december'!$A$2:$CP$214"}</definedName>
    <definedName name="___cp9" hidden="1">{"'előző év december'!$A$2:$CP$214"}</definedName>
    <definedName name="___cpr2" localSheetId="12" hidden="1">{"'előző év december'!$A$2:$CP$214"}</definedName>
    <definedName name="___cpr2" hidden="1">{"'előző év december'!$A$2:$CP$214"}</definedName>
    <definedName name="___cpr3" localSheetId="12" hidden="1">{"'előző év december'!$A$2:$CP$214"}</definedName>
    <definedName name="___cpr3" hidden="1">{"'előző év december'!$A$2:$CP$214"}</definedName>
    <definedName name="___cpr4" localSheetId="12" hidden="1">{"'előző év december'!$A$2:$CP$214"}</definedName>
    <definedName name="___cpr4" hidden="1">{"'előző év december'!$A$2:$CP$214"}</definedName>
    <definedName name="___Mn2" localSheetId="12" hidden="1">{#N/A,#N/A,FALSE,"т02бд"}</definedName>
    <definedName name="___Mn2" localSheetId="8" hidden="1">{#N/A,#N/A,FALSE,"т02бд"}</definedName>
    <definedName name="___Mn2" hidden="1">{#N/A,#N/A,FALSE,"т02бд"}</definedName>
    <definedName name="___t04" localSheetId="10" hidden="1">{#N/A,#N/A,FALSE,"т04"}</definedName>
    <definedName name="___t04" localSheetId="7" hidden="1">{#N/A,#N/A,FALSE,"т04"}</definedName>
    <definedName name="___t04" localSheetId="12" hidden="1">{#N/A,#N/A,FALSE,"т04"}</definedName>
    <definedName name="___t04" localSheetId="20" hidden="1">{#N/A,#N/A,FALSE,"т04"}</definedName>
    <definedName name="___t04" localSheetId="3" hidden="1">{#N/A,#N/A,FALSE,"т04"}</definedName>
    <definedName name="___t04" localSheetId="8" hidden="1">{#N/A,#N/A,FALSE,"т04"}</definedName>
    <definedName name="___t04" localSheetId="2" hidden="1">{#N/A,#N/A,FALSE,"т04"}</definedName>
    <definedName name="___t04" hidden="1">{#N/A,#N/A,FALSE,"т04"}</definedName>
    <definedName name="___t06" localSheetId="10" hidden="1">{#N/A,#N/A,FALSE,"т04"}</definedName>
    <definedName name="___t06" localSheetId="7" hidden="1">{#N/A,#N/A,FALSE,"т04"}</definedName>
    <definedName name="___t06" localSheetId="12" hidden="1">{#N/A,#N/A,FALSE,"т04"}</definedName>
    <definedName name="___t06" localSheetId="20" hidden="1">{#N/A,#N/A,FALSE,"т04"}</definedName>
    <definedName name="___t06" localSheetId="3" hidden="1">{#N/A,#N/A,FALSE,"т04"}</definedName>
    <definedName name="___t06" localSheetId="8" hidden="1">{#N/A,#N/A,FALSE,"т04"}</definedName>
    <definedName name="___t06" localSheetId="2" hidden="1">{#N/A,#N/A,FALSE,"т04"}</definedName>
    <definedName name="___t06" hidden="1">{#N/A,#N/A,FALSE,"т04"}</definedName>
    <definedName name="___tab06" localSheetId="7">#REF!</definedName>
    <definedName name="___tab06" localSheetId="12">#REF!</definedName>
    <definedName name="___tab06" localSheetId="8">#REF!</definedName>
    <definedName name="___tab06">#REF!</definedName>
    <definedName name="___tab07" localSheetId="7">#REF!</definedName>
    <definedName name="___tab07" localSheetId="12">#REF!</definedName>
    <definedName name="___tab07" localSheetId="8">#REF!</definedName>
    <definedName name="___tab07">#REF!</definedName>
    <definedName name="___Tab1" localSheetId="7">#REF!</definedName>
    <definedName name="___Tab1" localSheetId="12">#REF!</definedName>
    <definedName name="___Tab1" localSheetId="8">#REF!</definedName>
    <definedName name="___Tab1">#REF!</definedName>
    <definedName name="___to5" localSheetId="12" hidden="1">{#VALUE!,#N/A,FALSE,0}</definedName>
    <definedName name="___to5" localSheetId="8" hidden="1">{#VALUE!,#N/A,FALSE,0}</definedName>
    <definedName name="___to5" hidden="1">{#VALUE!,#N/A,FALSE,0}</definedName>
    <definedName name="___to9" localSheetId="12" hidden="1">{#VALUE!,#N/A,FALSE,0}</definedName>
    <definedName name="___to9" localSheetId="8" hidden="1">{#VALUE!,#N/A,FALSE,0}</definedName>
    <definedName name="___to9" hidden="1">{#VALUE!,#N/A,FALSE,0}</definedName>
    <definedName name="___UKR1">#REF!</definedName>
    <definedName name="___UKR2">#REF!</definedName>
    <definedName name="___UKR3">#REF!</definedName>
    <definedName name="___xlc_DefaultDisplayOption___" hidden="1">"caption"</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123Graph_CIMPORTS" hidden="1">#REF!</definedName>
    <definedName name="__123Graph_XGRAPH3" hidden="1">[1]GDP!#REF!</definedName>
    <definedName name="__cp1" localSheetId="12" hidden="1">{"'előző év december'!$A$2:$CP$214"}</definedName>
    <definedName name="__cp1" hidden="1">{"'előző év december'!$A$2:$CP$214"}</definedName>
    <definedName name="__cp10" localSheetId="12" hidden="1">{"'előző év december'!$A$2:$CP$214"}</definedName>
    <definedName name="__cp10" hidden="1">{"'előző év december'!$A$2:$CP$214"}</definedName>
    <definedName name="__cp11" localSheetId="12" hidden="1">{"'előző év december'!$A$2:$CP$214"}</definedName>
    <definedName name="__cp11" hidden="1">{"'előző év december'!$A$2:$CP$214"}</definedName>
    <definedName name="__cp2" localSheetId="12" hidden="1">{"'előző év december'!$A$2:$CP$214"}</definedName>
    <definedName name="__cp2" hidden="1">{"'előző év december'!$A$2:$CP$214"}</definedName>
    <definedName name="__cp3" localSheetId="12" hidden="1">{"'előző év december'!$A$2:$CP$214"}</definedName>
    <definedName name="__cp3" hidden="1">{"'előző év december'!$A$2:$CP$214"}</definedName>
    <definedName name="__cp4" localSheetId="12" hidden="1">{"'előző év december'!$A$2:$CP$214"}</definedName>
    <definedName name="__cp4" hidden="1">{"'előző év december'!$A$2:$CP$214"}</definedName>
    <definedName name="__cp5" localSheetId="12" hidden="1">{"'előző év december'!$A$2:$CP$214"}</definedName>
    <definedName name="__cp5" hidden="1">{"'előző év december'!$A$2:$CP$214"}</definedName>
    <definedName name="__cp6" localSheetId="12" hidden="1">{"'előző év december'!$A$2:$CP$214"}</definedName>
    <definedName name="__cp6" hidden="1">{"'előző év december'!$A$2:$CP$214"}</definedName>
    <definedName name="__cp7" localSheetId="12" hidden="1">{"'előző év december'!$A$2:$CP$214"}</definedName>
    <definedName name="__cp7" hidden="1">{"'előző év december'!$A$2:$CP$214"}</definedName>
    <definedName name="__cp8" localSheetId="12" hidden="1">{"'előző év december'!$A$2:$CP$214"}</definedName>
    <definedName name="__cp8" hidden="1">{"'előző év december'!$A$2:$CP$214"}</definedName>
    <definedName name="__cp9" localSheetId="12" hidden="1">{"'előző év december'!$A$2:$CP$214"}</definedName>
    <definedName name="__cp9" hidden="1">{"'előző év december'!$A$2:$CP$214"}</definedName>
    <definedName name="__cpr2" localSheetId="12" hidden="1">{"'előző év december'!$A$2:$CP$214"}</definedName>
    <definedName name="__cpr2" hidden="1">{"'előző év december'!$A$2:$CP$214"}</definedName>
    <definedName name="__cpr3" localSheetId="12" hidden="1">{"'előző év december'!$A$2:$CP$214"}</definedName>
    <definedName name="__cpr3" hidden="1">{"'előző év december'!$A$2:$CP$214"}</definedName>
    <definedName name="__cpr4" localSheetId="12" hidden="1">{"'előző év december'!$A$2:$CP$214"}</definedName>
    <definedName name="__cpr4" hidden="1">{"'előző év december'!$A$2:$CP$214"}</definedName>
    <definedName name="__DVM3">[2]Links!$V$6</definedName>
    <definedName name="__Mn2" localSheetId="12" hidden="1">{#N/A,#N/A,FALSE,"т02бд"}</definedName>
    <definedName name="__Mn2" localSheetId="8" hidden="1">{#N/A,#N/A,FALSE,"т02бд"}</definedName>
    <definedName name="__Mn2" hidden="1">{#N/A,#N/A,FALSE,"т02бд"}</definedName>
    <definedName name="__t04" localSheetId="10" hidden="1">{#N/A,#N/A,FALSE,"т04"}</definedName>
    <definedName name="__t04" localSheetId="7" hidden="1">{#N/A,#N/A,FALSE,"т04"}</definedName>
    <definedName name="__t04" localSheetId="12" hidden="1">{#N/A,#N/A,FALSE,"т04"}</definedName>
    <definedName name="__t04" localSheetId="20" hidden="1">{#N/A,#N/A,FALSE,"т04"}</definedName>
    <definedName name="__t04" localSheetId="3" hidden="1">{#N/A,#N/A,FALSE,"т04"}</definedName>
    <definedName name="__t04" localSheetId="8" hidden="1">{#N/A,#N/A,FALSE,"т04"}</definedName>
    <definedName name="__t04" localSheetId="2" hidden="1">{#N/A,#N/A,FALSE,"т04"}</definedName>
    <definedName name="__t04" hidden="1">{#N/A,#N/A,FALSE,"т04"}</definedName>
    <definedName name="__t06" localSheetId="10" hidden="1">{#N/A,#N/A,FALSE,"т04"}</definedName>
    <definedName name="__t06" localSheetId="7" hidden="1">{#N/A,#N/A,FALSE,"т04"}</definedName>
    <definedName name="__t06" localSheetId="12" hidden="1">{#N/A,#N/A,FALSE,"т04"}</definedName>
    <definedName name="__t06" localSheetId="20" hidden="1">{#N/A,#N/A,FALSE,"т04"}</definedName>
    <definedName name="__t06" localSheetId="3" hidden="1">{#N/A,#N/A,FALSE,"т04"}</definedName>
    <definedName name="__t06" localSheetId="8" hidden="1">{#N/A,#N/A,FALSE,"т04"}</definedName>
    <definedName name="__t06" localSheetId="2" hidden="1">{#N/A,#N/A,FALSE,"т04"}</definedName>
    <definedName name="__t06" hidden="1">{#N/A,#N/A,FALSE,"т04"}</definedName>
    <definedName name="__tab06" localSheetId="7">#REF!</definedName>
    <definedName name="__tab06" localSheetId="12">#REF!</definedName>
    <definedName name="__tab06" localSheetId="8">#REF!</definedName>
    <definedName name="__tab06">#REF!</definedName>
    <definedName name="__tab07" localSheetId="7">#REF!</definedName>
    <definedName name="__tab07" localSheetId="12">#REF!</definedName>
    <definedName name="__tab07" localSheetId="8">#REF!</definedName>
    <definedName name="__tab07">#REF!</definedName>
    <definedName name="__Tab1" localSheetId="7">#REF!</definedName>
    <definedName name="__Tab1" localSheetId="12">#REF!</definedName>
    <definedName name="__Tab1" localSheetId="8">#REF!</definedName>
    <definedName name="__Tab1">#REF!</definedName>
    <definedName name="__to5" localSheetId="12" hidden="1">{#VALUE!,#N/A,FALSE,0}</definedName>
    <definedName name="__to5" localSheetId="8" hidden="1">{#VALUE!,#N/A,FALSE,0}</definedName>
    <definedName name="__to5" hidden="1">{#VALUE!,#N/A,FALSE,0}</definedName>
    <definedName name="__to9" localSheetId="12" hidden="1">{#VALUE!,#N/A,FALSE,0}</definedName>
    <definedName name="__to9" localSheetId="8" hidden="1">{#VALUE!,#N/A,FALSE,0}</definedName>
    <definedName name="__to9" hidden="1">{#VALUE!,#N/A,FALSE,0}</definedName>
    <definedName name="__UKR1">#REF!</definedName>
    <definedName name="__UKR2">#REF!</definedName>
    <definedName name="__UKR3">#REF!</definedName>
    <definedName name="__VM3">[2]Links!$V$4</definedName>
    <definedName name="_1_0ju" hidden="1">#REF!</definedName>
    <definedName name="_13__123Graph_AINVENT_SALES" hidden="1">#REF!</definedName>
    <definedName name="_14__123Graph_AMIMPMA_1" hidden="1">#REF!</definedName>
    <definedName name="_15__123Graph_ANDA_OIN" hidden="1">#REF!</definedName>
    <definedName name="_16__123Graph_AR_BMONEY" hidden="1">#REF!</definedName>
    <definedName name="_1SR">'[3]1S'!#REF!</definedName>
    <definedName name="_29__123Graph_BNDA_OIN" hidden="1">#REF!</definedName>
    <definedName name="_2Macros_Import_.qbop" localSheetId="13">[4]!'[Macros Import].qbop'</definedName>
    <definedName name="_2Macros_Import_.qbop">[4]!'[Macros Import].qbop'</definedName>
    <definedName name="_2SR">'[3]2SR'!#REF!</definedName>
    <definedName name="_30__123Graph_BR_BMONEY" hidden="1">#REF!</definedName>
    <definedName name="_33__123Graph_CMIMPMA_0" hidden="1">#REF!</definedName>
    <definedName name="_35__123Graph_DMIMPMA_1" hidden="1">#REF!</definedName>
    <definedName name="_36__123Graph_EMIMPMA_0" hidden="1">#REF!</definedName>
    <definedName name="_37__123Graph_EMIMPMA_1" hidden="1">#REF!</definedName>
    <definedName name="_38__123Graph_FMIMPMA_0" hidden="1">#REF!</definedName>
    <definedName name="_40__123Graph_XMIMPMA_0" hidden="1">#REF!</definedName>
    <definedName name="_41__123Graph_XR_BMONEY" hidden="1">#REF!</definedName>
    <definedName name="_43_0ju" hidden="1">#REF!</definedName>
    <definedName name="_5" hidden="1">"'fe529223-ccb6-4524-849c-d66f41dc525f'"</definedName>
    <definedName name="_A1111" localSheetId="12" hidden="1">{"'Всего'!$A$1:$F$19"}</definedName>
    <definedName name="_A1111" hidden="1">{"'Всего'!$A$1:$F$19"}</definedName>
    <definedName name="_AMO_RefreshMultipleList" hidden="1">"'&lt;Items /&gt;'"</definedName>
    <definedName name="_AMO_UniqueIdentifier" hidden="1">"'679eb493-a52f-4fb9-8105-78a9dcae96cb'"</definedName>
    <definedName name="_AMO_XmlVersion" hidden="1">"'1'"</definedName>
    <definedName name="_cp1" localSheetId="12" hidden="1">{"'előző év december'!$A$2:$CP$214"}</definedName>
    <definedName name="_cp1" hidden="1">{"'előző év december'!$A$2:$CP$214"}</definedName>
    <definedName name="_cp10" localSheetId="12" hidden="1">{"'előző év december'!$A$2:$CP$214"}</definedName>
    <definedName name="_cp10" hidden="1">{"'előző év december'!$A$2:$CP$214"}</definedName>
    <definedName name="_cp11" localSheetId="12" hidden="1">{"'előző év december'!$A$2:$CP$214"}</definedName>
    <definedName name="_cp11" hidden="1">{"'előző év december'!$A$2:$CP$214"}</definedName>
    <definedName name="_cp2" localSheetId="12" hidden="1">{"'előző év december'!$A$2:$CP$214"}</definedName>
    <definedName name="_cp2" hidden="1">{"'előző év december'!$A$2:$CP$214"}</definedName>
    <definedName name="_cp3" localSheetId="12" hidden="1">{"'előző év december'!$A$2:$CP$214"}</definedName>
    <definedName name="_cp3" hidden="1">{"'előző év december'!$A$2:$CP$214"}</definedName>
    <definedName name="_cp4" localSheetId="12" hidden="1">{"'előző év december'!$A$2:$CP$214"}</definedName>
    <definedName name="_cp4" hidden="1">{"'előző év december'!$A$2:$CP$214"}</definedName>
    <definedName name="_cp5" localSheetId="12" hidden="1">{"'előző év december'!$A$2:$CP$214"}</definedName>
    <definedName name="_cp5" hidden="1">{"'előző év december'!$A$2:$CP$214"}</definedName>
    <definedName name="_cp6" localSheetId="12" hidden="1">{"'előző év december'!$A$2:$CP$214"}</definedName>
    <definedName name="_cp6" hidden="1">{"'előző év december'!$A$2:$CP$214"}</definedName>
    <definedName name="_cp7" localSheetId="12" hidden="1">{"'előző év december'!$A$2:$CP$214"}</definedName>
    <definedName name="_cp7" hidden="1">{"'előző év december'!$A$2:$CP$214"}</definedName>
    <definedName name="_cp8" localSheetId="12" hidden="1">{"'előző év december'!$A$2:$CP$214"}</definedName>
    <definedName name="_cp8" hidden="1">{"'előző év december'!$A$2:$CP$214"}</definedName>
    <definedName name="_cp9" localSheetId="12" hidden="1">{"'előző év december'!$A$2:$CP$214"}</definedName>
    <definedName name="_cp9" hidden="1">{"'előző év december'!$A$2:$CP$214"}</definedName>
    <definedName name="_cpi2">#REF!</definedName>
    <definedName name="_cpr2" localSheetId="12" hidden="1">{"'előző év december'!$A$2:$CP$214"}</definedName>
    <definedName name="_cpr2" hidden="1">{"'előző év december'!$A$2:$CP$214"}</definedName>
    <definedName name="_cpr3" localSheetId="12" hidden="1">{"'előző év december'!$A$2:$CP$214"}</definedName>
    <definedName name="_cpr3" hidden="1">{"'előző év december'!$A$2:$CP$214"}</definedName>
    <definedName name="_cpr4" localSheetId="12" hidden="1">{"'előző év december'!$A$2:$CP$214"}</definedName>
    <definedName name="_cpr4" hidden="1">{"'előző év december'!$A$2:$CP$214"}</definedName>
    <definedName name="_Dist_Bin" hidden="1">#REF!</definedName>
    <definedName name="_Dist_Values" hidden="1">#REF!</definedName>
    <definedName name="_DVM3">[2]Links!$V$6</definedName>
    <definedName name="_Fill" hidden="1">#REF!</definedName>
    <definedName name="_Fill1" hidden="1">#REF!</definedName>
    <definedName name="_g7.2" localSheetId="10" hidden="1">{#N/A,#N/A,FALSE,"т04"}</definedName>
    <definedName name="_g7.2" localSheetId="7" hidden="1">{#N/A,#N/A,FALSE,"т04"}</definedName>
    <definedName name="_g7.2" localSheetId="12" hidden="1">{#N/A,#N/A,FALSE,"т04"}</definedName>
    <definedName name="_g7.2" localSheetId="20" hidden="1">{#N/A,#N/A,FALSE,"т04"}</definedName>
    <definedName name="_g7.2" localSheetId="3" hidden="1">{#N/A,#N/A,FALSE,"т04"}</definedName>
    <definedName name="_g7.2" localSheetId="8" hidden="1">{#N/A,#N/A,FALSE,"т04"}</definedName>
    <definedName name="_g7.2" localSheetId="2" hidden="1">{#N/A,#N/A,FALSE,"т04"}</definedName>
    <definedName name="_g7.2" hidden="1">{#N/A,#N/A,FALSE,"т04"}</definedName>
    <definedName name="_jsnfjsndj" hidden="1">#REF!</definedName>
    <definedName name="_Key1" hidden="1">#REF!</definedName>
    <definedName name="_Key2" hidden="1">#REF!</definedName>
    <definedName name="_l" localSheetId="12" hidden="1">{"'előző év december'!$A$2:$CP$214"}</definedName>
    <definedName name="_l" hidden="1">{"'előző év december'!$A$2:$CP$214"}</definedName>
    <definedName name="_M3">[2]Links!$F$3</definedName>
    <definedName name="_Mn2" localSheetId="7" hidden="1">{#N/A,#N/A,FALSE,"т02бд"}</definedName>
    <definedName name="_Mn2" localSheetId="12" hidden="1">{#N/A,#N/A,FALSE,"т02бд"}</definedName>
    <definedName name="_Mn2" localSheetId="8" hidden="1">{#N/A,#N/A,FALSE,"т02бд"}</definedName>
    <definedName name="_Mn2" hidden="1">{#N/A,#N/A,FALSE,"т02бд"}</definedName>
    <definedName name="_Mn2_2" localSheetId="12" hidden="1">{#N/A,#N/A,FALSE,"т02бд"}</definedName>
    <definedName name="_Mn2_2" localSheetId="8" hidden="1">{#N/A,#N/A,FALSE,"т02бд"}</definedName>
    <definedName name="_Mn2_2" hidden="1">{#N/A,#N/A,FALSE,"т02бд"}</definedName>
    <definedName name="_Mn2_2_1" localSheetId="12" hidden="1">{#N/A,#N/A,FALSE,"т02бд"}</definedName>
    <definedName name="_Mn2_2_1" localSheetId="8" hidden="1">{#N/A,#N/A,FALSE,"т02бд"}</definedName>
    <definedName name="_Mn2_2_1" hidden="1">{#N/A,#N/A,FALSE,"т02бд"}</definedName>
    <definedName name="_Order1" hidden="1">255</definedName>
    <definedName name="_Order2" hidden="1">255</definedName>
    <definedName name="_p" localSheetId="12" hidden="1">{"'előző év december'!$A$2:$CP$214"}</definedName>
    <definedName name="_p" hidden="1">{"'előző év december'!$A$2:$CP$214"}</definedName>
    <definedName name="_Parse_Out" hidden="1">#REF!</definedName>
    <definedName name="_Regression_Int" hidden="1">1</definedName>
    <definedName name="_Regression_Out" hidden="1">#REF!</definedName>
    <definedName name="_Regression_X" hidden="1">#REF!</definedName>
    <definedName name="_Regression_Y" hidden="1">#REF!</definedName>
    <definedName name="_Sort" hidden="1">#REF!</definedName>
    <definedName name="_t04" localSheetId="10" hidden="1">{#N/A,#N/A,FALSE,"т04"}</definedName>
    <definedName name="_t04" localSheetId="7" hidden="1">{#N/A,#N/A,FALSE,"т04"}</definedName>
    <definedName name="_t04" localSheetId="12" hidden="1">{#N/A,#N/A,FALSE,"т04"}</definedName>
    <definedName name="_t04" localSheetId="20" hidden="1">{#N/A,#N/A,FALSE,"т04"}</definedName>
    <definedName name="_t04" localSheetId="3" hidden="1">{#N/A,#N/A,FALSE,"т04"}</definedName>
    <definedName name="_t04" localSheetId="8" hidden="1">{#N/A,#N/A,FALSE,"т04"}</definedName>
    <definedName name="_t04" localSheetId="2" hidden="1">{#N/A,#N/A,FALSE,"т04"}</definedName>
    <definedName name="_t04" hidden="1">{#N/A,#N/A,FALSE,"т04"}</definedName>
    <definedName name="_t04_2" localSheetId="12" hidden="1">{#N/A,#N/A,FALSE,"т04"}</definedName>
    <definedName name="_t04_2" localSheetId="8" hidden="1">{#N/A,#N/A,FALSE,"т04"}</definedName>
    <definedName name="_t04_2" hidden="1">{#N/A,#N/A,FALSE,"т04"}</definedName>
    <definedName name="_t04_2_1" localSheetId="12" hidden="1">{#N/A,#N/A,FALSE,"т04"}</definedName>
    <definedName name="_t04_2_1" localSheetId="8" hidden="1">{#N/A,#N/A,FALSE,"т04"}</definedName>
    <definedName name="_t04_2_1" hidden="1">{#N/A,#N/A,FALSE,"т04"}</definedName>
    <definedName name="_t06" localSheetId="10" hidden="1">{#N/A,#N/A,FALSE,"т04"}</definedName>
    <definedName name="_t06" localSheetId="7" hidden="1">{#N/A,#N/A,FALSE,"т04"}</definedName>
    <definedName name="_t06" localSheetId="12" hidden="1">{#N/A,#N/A,FALSE,"т04"}</definedName>
    <definedName name="_t06" localSheetId="20" hidden="1">{#N/A,#N/A,FALSE,"т04"}</definedName>
    <definedName name="_t06" localSheetId="3" hidden="1">{#N/A,#N/A,FALSE,"т04"}</definedName>
    <definedName name="_t06" localSheetId="8" hidden="1">{#N/A,#N/A,FALSE,"т04"}</definedName>
    <definedName name="_t06" localSheetId="2" hidden="1">{#N/A,#N/A,FALSE,"т04"}</definedName>
    <definedName name="_t06" hidden="1">{#N/A,#N/A,FALSE,"т04"}</definedName>
    <definedName name="_t06_2" localSheetId="12" hidden="1">{#N/A,#N/A,FALSE,"т04"}</definedName>
    <definedName name="_t06_2" localSheetId="8" hidden="1">{#N/A,#N/A,FALSE,"т04"}</definedName>
    <definedName name="_t06_2" hidden="1">{#N/A,#N/A,FALSE,"т04"}</definedName>
    <definedName name="_t06_2_1" localSheetId="12" hidden="1">{#N/A,#N/A,FALSE,"т04"}</definedName>
    <definedName name="_t06_2_1" localSheetId="8" hidden="1">{#N/A,#N/A,FALSE,"т04"}</definedName>
    <definedName name="_t06_2_1" hidden="1">{#N/A,#N/A,FALSE,"т04"}</definedName>
    <definedName name="_tab06" localSheetId="26">#REF!</definedName>
    <definedName name="_tab06" localSheetId="28">#REF!</definedName>
    <definedName name="_tab06" localSheetId="12">#REF!</definedName>
    <definedName name="_tab06" localSheetId="19">#REF!</definedName>
    <definedName name="_tab06" localSheetId="20">#REF!</definedName>
    <definedName name="_tab06" localSheetId="3">#REF!</definedName>
    <definedName name="_tab06">#REF!</definedName>
    <definedName name="_tab07" localSheetId="26">#REF!</definedName>
    <definedName name="_tab07" localSheetId="28">#REF!</definedName>
    <definedName name="_tab07" localSheetId="12">#REF!</definedName>
    <definedName name="_tab07" localSheetId="19">#REF!</definedName>
    <definedName name="_tab07" localSheetId="20">#REF!</definedName>
    <definedName name="_tab07" localSheetId="3">#REF!</definedName>
    <definedName name="_tab07">#REF!</definedName>
    <definedName name="_Tab1" localSheetId="26">#REF!</definedName>
    <definedName name="_Tab1" localSheetId="28">#REF!</definedName>
    <definedName name="_Tab1" localSheetId="12">#REF!</definedName>
    <definedName name="_Tab1" localSheetId="19">#REF!</definedName>
    <definedName name="_Tab1" localSheetId="20">#REF!</definedName>
    <definedName name="_Tab1" localSheetId="3">#REF!</definedName>
    <definedName name="_Tab1">#REF!</definedName>
    <definedName name="_to5" localSheetId="12" hidden="1">{#VALUE!,#N/A,FALSE,0}</definedName>
    <definedName name="_to5" localSheetId="8" hidden="1">{#VALUE!,#N/A,FALSE,0}</definedName>
    <definedName name="_to5" hidden="1">{#VALUE!,#N/A,FALSE,0}</definedName>
    <definedName name="_to9" localSheetId="12" hidden="1">{#VALUE!,#N/A,FALSE,0}</definedName>
    <definedName name="_to9" localSheetId="8" hidden="1">{#VALUE!,#N/A,FALSE,0}</definedName>
    <definedName name="_to9" hidden="1">{#VALUE!,#N/A,FALSE,0}</definedName>
    <definedName name="_UKR1" localSheetId="26">#REF!</definedName>
    <definedName name="_UKR1" localSheetId="28">#REF!</definedName>
    <definedName name="_UKR1" localSheetId="12">#REF!</definedName>
    <definedName name="_UKR1">#REF!</definedName>
    <definedName name="_UKR2" localSheetId="26">#REF!</definedName>
    <definedName name="_UKR2" localSheetId="28">#REF!</definedName>
    <definedName name="_UKR2" localSheetId="12">#REF!</definedName>
    <definedName name="_UKR2">#REF!</definedName>
    <definedName name="_UKR3" localSheetId="26">#REF!</definedName>
    <definedName name="_UKR3" localSheetId="28">#REF!</definedName>
    <definedName name="_UKR3" localSheetId="12">#REF!</definedName>
    <definedName name="_UKR3">#REF!</definedName>
    <definedName name="_VM3">[2]Links!$V$4</definedName>
    <definedName name="_wpi2">#REF!</definedName>
    <definedName name="_xlnm._FilterDatabase" localSheetId="1" hidden="1">charts_data_all!$A$2:$BF$118</definedName>
    <definedName name="_xlnm._FilterDatabase" localSheetId="21" hidden="1">структура!$A$7:$L$539</definedName>
    <definedName name="_xlnm._FilterDatabase" localSheetId="24" hidden="1">'Штатые сотрудники'!$A$142:$B$142</definedName>
    <definedName name="a" localSheetId="26">#REF!</definedName>
    <definedName name="a" localSheetId="28">#REF!</definedName>
    <definedName name="a" localSheetId="12">#REF!</definedName>
    <definedName name="a" localSheetId="19">#REF!</definedName>
    <definedName name="a" localSheetId="20">#REF!</definedName>
    <definedName name="a" localSheetId="3">#REF!</definedName>
    <definedName name="a">#REF!</definedName>
    <definedName name="aaa" localSheetId="7" hidden="1">#REF!</definedName>
    <definedName name="aaa" localSheetId="12" hidden="1">{"'előző év december'!$A$2:$CP$214"}</definedName>
    <definedName name="aaa" localSheetId="8" hidden="1">#REF!</definedName>
    <definedName name="aaa" hidden="1">{"'előző év december'!$A$2:$CP$214"}</definedName>
    <definedName name="aaa_2" localSheetId="12" hidden="1">{#N/A,#N/A,FALSE,"т02бд"}</definedName>
    <definedName name="aaa_2" localSheetId="8" hidden="1">{#N/A,#N/A,FALSE,"т02бд"}</definedName>
    <definedName name="aaa_2" hidden="1">{#N/A,#N/A,FALSE,"т02бд"}</definedName>
    <definedName name="aaa_2_1" localSheetId="12" hidden="1">{#N/A,#N/A,FALSE,"т02бд"}</definedName>
    <definedName name="aaa_2_1" localSheetId="8" hidden="1">{#N/A,#N/A,FALSE,"т02бд"}</definedName>
    <definedName name="aaa_2_1" hidden="1">{#N/A,#N/A,FALSE,"т02бд"}</definedName>
    <definedName name="aaaaa" localSheetId="12" hidden="1">{"'előző év december'!$A$2:$CP$214"}</definedName>
    <definedName name="aaaaa" hidden="1">{"'előző év december'!$A$2:$CP$214"}</definedName>
    <definedName name="AccessDatabase" hidden="1">"D:\WIK\Отчеты\Планерка\2002\10\$101002_.mdb"</definedName>
    <definedName name="activité1" localSheetId="12" hidden="1">{"résultats",#N/A,FALSE,"résultats SFS";"indicateurs",#N/A,FALSE,"résultats SFS";"commentaires",#N/A,FALSE,"commentaires SFS";"graphiques",#N/A,FALSE,"graphiques SFS"}</definedName>
    <definedName name="activité1" hidden="1">{"résultats",#N/A,FALSE,"résultats SFS";"indicateurs",#N/A,FALSE,"résultats SFS";"commentaires",#N/A,FALSE,"commentaires SFS";"graphiques",#N/A,FALSE,"graphiques SFS"}</definedName>
    <definedName name="activité11" localSheetId="12" hidden="1">{"résultats",#N/A,FALSE,"résultats SFS";"indicateurs",#N/A,FALSE,"résultats SFS";"commentaires",#N/A,FALSE,"commentaires SFS";"graphiques",#N/A,FALSE,"graphiques SFS"}</definedName>
    <definedName name="activité11" hidden="1">{"résultats",#N/A,FALSE,"résultats SFS";"indicateurs",#N/A,FALSE,"résultats SFS";"commentaires",#N/A,FALSE,"commentaires SFS";"graphiques",#N/A,FALSE,"graphiques SFS"}</definedName>
    <definedName name="af" localSheetId="7" hidden="1">{#N/A,#N/A,FALSE,"т02бд"}</definedName>
    <definedName name="af" localSheetId="12" hidden="1">{#N/A,#N/A,FALSE,"т02бд"}</definedName>
    <definedName name="af" localSheetId="8" hidden="1">{#N/A,#N/A,FALSE,"т02бд"}</definedName>
    <definedName name="af" hidden="1">{#N/A,#N/A,FALSE,"т02бд"}</definedName>
    <definedName name="af_2" localSheetId="12" hidden="1">{#N/A,#N/A,FALSE,"т02бд"}</definedName>
    <definedName name="af_2" localSheetId="8" hidden="1">{#N/A,#N/A,FALSE,"т02бд"}</definedName>
    <definedName name="af_2" hidden="1">{#N/A,#N/A,FALSE,"т02бд"}</definedName>
    <definedName name="af_2_1" localSheetId="12" hidden="1">{#N/A,#N/A,FALSE,"т02бд"}</definedName>
    <definedName name="af_2_1" localSheetId="8" hidden="1">{#N/A,#N/A,FALSE,"т02бд"}</definedName>
    <definedName name="af_2_1" hidden="1">{#N/A,#N/A,FALSE,"т02бд"}</definedName>
    <definedName name="Agency_List">[5]Control!$H$17:$H$19</definedName>
    <definedName name="AGR">[6]C!$L$14</definedName>
    <definedName name="AGR_F">[2]Links!$T$4</definedName>
    <definedName name="AGR_P">[2]Links!$X$10</definedName>
    <definedName name="AGRM">[2]Links!$J$14</definedName>
    <definedName name="AGRMY">[2]Links!$J$24</definedName>
    <definedName name="AGRR">[6]C!$L$15</definedName>
    <definedName name="AGRR_F">[2]Links!$T$21</definedName>
    <definedName name="AGRR_P">[2]Links!$X$11</definedName>
    <definedName name="AGRRMY">[2]Links!#REF!</definedName>
    <definedName name="AGRY">[2]Links!$J$9</definedName>
    <definedName name="All_Data" localSheetId="26">#REF!</definedName>
    <definedName name="All_Data" localSheetId="28">#REF!</definedName>
    <definedName name="All_Data" localSheetId="12">#REF!</definedName>
    <definedName name="All_Data" localSheetId="19">#REF!</definedName>
    <definedName name="All_Data" localSheetId="20">#REF!</definedName>
    <definedName name="All_Data" localSheetId="3">#REF!</definedName>
    <definedName name="All_Data">#REF!</definedName>
    <definedName name="anscount" hidden="1">1</definedName>
    <definedName name="asasa" localSheetId="7" hidden="1">{#N/A,#N/A,FALSE,"т02бд"}</definedName>
    <definedName name="asasa" localSheetId="12" hidden="1">{#N/A,#N/A,FALSE,"т02бд"}</definedName>
    <definedName name="asasa" localSheetId="8" hidden="1">{#N/A,#N/A,FALSE,"т02бд"}</definedName>
    <definedName name="asasa" hidden="1">{#N/A,#N/A,FALSE,"т02бд"}</definedName>
    <definedName name="asasa_2" localSheetId="12" hidden="1">{#N/A,#N/A,FALSE,"т02бд"}</definedName>
    <definedName name="asasa_2" localSheetId="8" hidden="1">{#N/A,#N/A,FALSE,"т02бд"}</definedName>
    <definedName name="asasa_2" hidden="1">{#N/A,#N/A,FALSE,"т02бд"}</definedName>
    <definedName name="asasa_2_1" localSheetId="12" hidden="1">{#N/A,#N/A,FALSE,"т02бд"}</definedName>
    <definedName name="asasa_2_1" localSheetId="8" hidden="1">{#N/A,#N/A,FALSE,"т02бд"}</definedName>
    <definedName name="asasa_2_1" hidden="1">{#N/A,#N/A,FALSE,"т02бд"}</definedName>
    <definedName name="asdasd" localSheetId="12" hidden="1">{"'előző év december'!$A$2:$CP$214"}</definedName>
    <definedName name="asdasd" hidden="1">{"'előző év december'!$A$2:$CP$214"}</definedName>
    <definedName name="asdf" localSheetId="12" hidden="1">{"'előző év december'!$A$2:$CP$214"}</definedName>
    <definedName name="asdf" hidden="1">{"'előző év december'!$A$2:$CP$214"}</definedName>
    <definedName name="asdfasd" localSheetId="12" hidden="1">{"'előző év december'!$A$2:$CP$214"}</definedName>
    <definedName name="asdfasd" hidden="1">{"'előző év december'!$A$2:$CP$214"}</definedName>
    <definedName name="asf" localSheetId="7" hidden="1">{#N/A,#N/A,FALSE,"т02бд"}</definedName>
    <definedName name="asf" localSheetId="12" hidden="1">{#N/A,#N/A,FALSE,"т02бд"}</definedName>
    <definedName name="asf" localSheetId="8" hidden="1">{#N/A,#N/A,FALSE,"т02бд"}</definedName>
    <definedName name="asf" hidden="1">{#N/A,#N/A,FALSE,"т02бд"}</definedName>
    <definedName name="asf_2" localSheetId="12" hidden="1">{#N/A,#N/A,FALSE,"т02бд"}</definedName>
    <definedName name="asf_2" localSheetId="8" hidden="1">{#N/A,#N/A,FALSE,"т02бд"}</definedName>
    <definedName name="asf_2" hidden="1">{#N/A,#N/A,FALSE,"т02бд"}</definedName>
    <definedName name="asf_2_1" localSheetId="12" hidden="1">{#N/A,#N/A,FALSE,"т02бд"}</definedName>
    <definedName name="asf_2_1" localSheetId="8" hidden="1">{#N/A,#N/A,FALSE,"т02бд"}</definedName>
    <definedName name="asf_2_1" hidden="1">{#N/A,#N/A,FALSE,"т02бд"}</definedName>
    <definedName name="asfasg" localSheetId="7" hidden="1">{#N/A,#N/A,FALSE,"т02бд"}</definedName>
    <definedName name="asfasg" localSheetId="12" hidden="1">{#N/A,#N/A,FALSE,"т02бд"}</definedName>
    <definedName name="asfasg" localSheetId="8" hidden="1">{#N/A,#N/A,FALSE,"т02бд"}</definedName>
    <definedName name="asfasg" hidden="1">{#N/A,#N/A,FALSE,"т02бд"}</definedName>
    <definedName name="asfasg_2" localSheetId="12" hidden="1">{#N/A,#N/A,FALSE,"т02бд"}</definedName>
    <definedName name="asfasg_2" localSheetId="8" hidden="1">{#N/A,#N/A,FALSE,"т02бд"}</definedName>
    <definedName name="asfasg_2" hidden="1">{#N/A,#N/A,FALSE,"т02бд"}</definedName>
    <definedName name="asfasg_2_1" localSheetId="12" hidden="1">{#N/A,#N/A,FALSE,"т02бд"}</definedName>
    <definedName name="asfasg_2_1" localSheetId="8" hidden="1">{#N/A,#N/A,FALSE,"т02бд"}</definedName>
    <definedName name="asfasg_2_1" hidden="1">{#N/A,#N/A,FALSE,"т02бд"}</definedName>
    <definedName name="asfdasdf" localSheetId="7" hidden="1">{#N/A,#N/A,FALSE,"т04"}</definedName>
    <definedName name="asfdasdf" localSheetId="12" hidden="1">{#N/A,#N/A,FALSE,"т04"}</definedName>
    <definedName name="asfdasdf" localSheetId="8" hidden="1">{#N/A,#N/A,FALSE,"т04"}</definedName>
    <definedName name="asfdasdf" hidden="1">{#N/A,#N/A,FALSE,"т04"}</definedName>
    <definedName name="asfdasdf_2" localSheetId="12" hidden="1">{#N/A,#N/A,FALSE,"т04"}</definedName>
    <definedName name="asfdasdf_2" localSheetId="8" hidden="1">{#N/A,#N/A,FALSE,"т04"}</definedName>
    <definedName name="asfdasdf_2" hidden="1">{#N/A,#N/A,FALSE,"т04"}</definedName>
    <definedName name="asfdasdf_2_1" localSheetId="12" hidden="1">{#N/A,#N/A,FALSE,"т04"}</definedName>
    <definedName name="asfdasdf_2_1" localSheetId="8" hidden="1">{#N/A,#N/A,FALSE,"т04"}</definedName>
    <definedName name="asfdasdf_2_1" hidden="1">{#N/A,#N/A,FALSE,"т04"}</definedName>
    <definedName name="asgf" localSheetId="7" hidden="1">{#N/A,#N/A,FALSE,"т02бд"}</definedName>
    <definedName name="asgf" localSheetId="12" hidden="1">{#N/A,#N/A,FALSE,"т02бд"}</definedName>
    <definedName name="asgf" localSheetId="8" hidden="1">{#N/A,#N/A,FALSE,"т02бд"}</definedName>
    <definedName name="asgf" hidden="1">{#N/A,#N/A,FALSE,"т02бд"}</definedName>
    <definedName name="asgf_2" localSheetId="12" hidden="1">{#N/A,#N/A,FALSE,"т02бд"}</definedName>
    <definedName name="asgf_2" localSheetId="8" hidden="1">{#N/A,#N/A,FALSE,"т02бд"}</definedName>
    <definedName name="asgf_2" hidden="1">{#N/A,#N/A,FALSE,"т02бд"}</definedName>
    <definedName name="asgf_2_1" localSheetId="12" hidden="1">{#N/A,#N/A,FALSE,"т02бд"}</definedName>
    <definedName name="asgf_2_1" localSheetId="8" hidden="1">{#N/A,#N/A,FALSE,"т02бд"}</definedName>
    <definedName name="asgf_2_1" hidden="1">{#N/A,#N/A,FALSE,"т02бд"}</definedName>
    <definedName name="b" localSheetId="12" hidden="1">{#N/A,#N/A,FALSE,"т02бд"}</definedName>
    <definedName name="b" localSheetId="8" hidden="1">{#N/A,#N/A,FALSE,"т02бд"}</definedName>
    <definedName name="b" hidden="1">{#N/A,#N/A,FALSE,"т02бд"}</definedName>
    <definedName name="b_1" localSheetId="12" hidden="1">{#N/A,#N/A,FALSE,"т02бд"}</definedName>
    <definedName name="b_1" localSheetId="8" hidden="1">{#N/A,#N/A,FALSE,"т02бд"}</definedName>
    <definedName name="b_1" hidden="1">{#N/A,#N/A,FALSE,"т02бд"}</definedName>
    <definedName name="b_2" localSheetId="12" hidden="1">{#N/A,#N/A,FALSE,"т02бд"}</definedName>
    <definedName name="b_2" localSheetId="8" hidden="1">{#N/A,#N/A,FALSE,"т02бд"}</definedName>
    <definedName name="b_2" hidden="1">{#N/A,#N/A,FALSE,"т02бд"}</definedName>
    <definedName name="Balance_of_payments" localSheetId="26">#REF!</definedName>
    <definedName name="Balance_of_payments" localSheetId="28">#REF!</definedName>
    <definedName name="Balance_of_payments" localSheetId="12">#REF!</definedName>
    <definedName name="Balance_of_payments" localSheetId="19">#REF!</definedName>
    <definedName name="Balance_of_payments" localSheetId="20">#REF!</definedName>
    <definedName name="Balance_of_payments" localSheetId="3">#REF!</definedName>
    <definedName name="Balance_of_payments">#REF!</definedName>
    <definedName name="BASE">[7]Links!$B$10</definedName>
    <definedName name="BASEC">[8]Links!$B$28</definedName>
    <definedName name="BASEMY">[7]Links!$B$55</definedName>
    <definedName name="BASEPA">[7]Links!$B$73</definedName>
    <definedName name="BASEQ">[8]Links!$B$37</definedName>
    <definedName name="BASEQA">[8]Links!$B$46</definedName>
    <definedName name="BASEY">[7]Links!$B$19</definedName>
    <definedName name="BASEYA">[8]Links!$B$64</definedName>
    <definedName name="BAZA">'[9]Мульт-ор М2, швидкість'!$E$1:$E$65536</definedName>
    <definedName name="bbb" localSheetId="7" hidden="1">{#N/A,#N/A,FALSE,"т02бд"}</definedName>
    <definedName name="bbb" localSheetId="12" hidden="1">{#N/A,#N/A,FALSE,"т02бд"}</definedName>
    <definedName name="bbb" localSheetId="8" hidden="1">{#N/A,#N/A,FALSE,"т02бд"}</definedName>
    <definedName name="bbb" hidden="1">{#N/A,#N/A,FALSE,"т02бд"}</definedName>
    <definedName name="bbb_2" localSheetId="12" hidden="1">{#N/A,#N/A,FALSE,"т02бд"}</definedName>
    <definedName name="bbb_2" localSheetId="8" hidden="1">{#N/A,#N/A,FALSE,"т02бд"}</definedName>
    <definedName name="bbb_2" hidden="1">{#N/A,#N/A,FALSE,"т02бд"}</definedName>
    <definedName name="bbb_2_1" localSheetId="12" hidden="1">{#N/A,#N/A,FALSE,"т02бд"}</definedName>
    <definedName name="bbb_2_1" localSheetId="8" hidden="1">{#N/A,#N/A,FALSE,"т02бд"}</definedName>
    <definedName name="bbb_2_1" hidden="1">{#N/A,#N/A,FALSE,"т02бд"}</definedName>
    <definedName name="BDEF">[6]C!$L$35</definedName>
    <definedName name="BDEF_f">[2]Links!#REF!</definedName>
    <definedName name="BDEFG">[2]Links!$Z$32</definedName>
    <definedName name="BDEFgdp_f">[2]Links!#REF!</definedName>
    <definedName name="BDEFM">[2]Links!$Z$16</definedName>
    <definedName name="BDEFMG">[2]Links!$Z$28</definedName>
    <definedName name="BEXP">[6]C!$L$34</definedName>
    <definedName name="BEXP_F">[2]Links!$T$17</definedName>
    <definedName name="BEXP_P">[2]Links!$X$29</definedName>
    <definedName name="BEXPG">[2]Links!$Z$31</definedName>
    <definedName name="BEXPgdp_f">[2]Links!#REF!</definedName>
    <definedName name="BEXPM">[2]Links!$Z$15</definedName>
    <definedName name="BEXPMG">[2]Links!$Z$27</definedName>
    <definedName name="BGS">[6]C!$L$43</definedName>
    <definedName name="BGSG">[2]Links!$Z$39</definedName>
    <definedName name="BGSM">[2]Links!$Z$20</definedName>
    <definedName name="BGSMG">[2]Links!$Z$36</definedName>
    <definedName name="BGSY">[2]Links!$V$17</definedName>
    <definedName name="BGSYG">[2]Links!$V$20</definedName>
    <definedName name="BLANK">#REF!</definedName>
    <definedName name="BLPH1" hidden="1">#REF!</definedName>
    <definedName name="BLPH2" hidden="1">#REF!</definedName>
    <definedName name="BLPH3" hidden="1">#REF!</definedName>
    <definedName name="bn" localSheetId="12" hidden="1">{"'előző év december'!$A$2:$CP$214"}</definedName>
    <definedName name="bn" hidden="1">{"'előző év december'!$A$2:$CP$214"}</definedName>
    <definedName name="bnn" localSheetId="12" hidden="1">{"'előző év december'!$A$2:$CP$214"}</definedName>
    <definedName name="bnn" hidden="1">{"'előző év december'!$A$2:$CP$214"}</definedName>
    <definedName name="BOP_Y" localSheetId="12" hidden="1">{"BOP_TAB",#N/A,FALSE,"N";"MIDTERM_TAB",#N/A,FALSE,"O";"FUND_CRED",#N/A,FALSE,"P";"DEBT_TAB1",#N/A,FALSE,"Q";"DEBT_TAB2",#N/A,FALSE,"Q";"FORFIN_TAB1",#N/A,FALSE,"R";"FORFIN_TAB2",#N/A,FALSE,"R";"BOP_ANALY",#N/A,FALSE,"U"}</definedName>
    <definedName name="BOP_Y" localSheetId="8" hidden="1">{"BOP_TAB",#N/A,FALSE,"N";"MIDTERM_TAB",#N/A,FALSE,"O";"FUND_CRED",#N/A,FALSE,"P";"DEBT_TAB1",#N/A,FALSE,"Q";"DEBT_TAB2",#N/A,FALSE,"Q";"FORFIN_TAB1",#N/A,FALSE,"R";"FORFIN_TAB2",#N/A,FALSE,"R";"BOP_ANALY",#N/A,FALSE,"U"}</definedName>
    <definedName name="BOP_Y" hidden="1">{"BOP_TAB",#N/A,FALSE,"N";"MIDTERM_TAB",#N/A,FALSE,"O";"FUND_CRED",#N/A,FALSE,"P";"DEBT_TAB1",#N/A,FALSE,"Q";"DEBT_TAB2",#N/A,FALSE,"Q";"FORFIN_TAB1",#N/A,FALSE,"R";"FORFIN_TAB2",#N/A,FALSE,"R";"BOP_ANALY",#N/A,FALSE,"U"}</definedName>
    <definedName name="bp" localSheetId="26" hidden="1">{"BOP_TAB",#N/A,FALSE,"N";"MIDTERM_TAB",#N/A,FALSE,"O";"FUND_CRED",#N/A,FALSE,"P";"DEBT_TAB1",#N/A,FALSE,"Q";"DEBT_TAB2",#N/A,FALSE,"Q";"FORFIN_TAB1",#N/A,FALSE,"R";"FORFIN_TAB2",#N/A,FALSE,"R";"BOP_ANALY",#N/A,FALSE,"U"}</definedName>
    <definedName name="bp" localSheetId="16" hidden="1">{"BOP_TAB",#N/A,FALSE,"N";"MIDTERM_TAB",#N/A,FALSE,"O";"FUND_CRED",#N/A,FALSE,"P";"DEBT_TAB1",#N/A,FALSE,"Q";"DEBT_TAB2",#N/A,FALSE,"Q";"FORFIN_TAB1",#N/A,FALSE,"R";"FORFIN_TAB2",#N/A,FALSE,"R";"BOP_ANALY",#N/A,FALSE,"U"}</definedName>
    <definedName name="bp" localSheetId="17" hidden="1">{"BOP_TAB",#N/A,FALSE,"N";"MIDTERM_TAB",#N/A,FALSE,"O";"FUND_CRED",#N/A,FALSE,"P";"DEBT_TAB1",#N/A,FALSE,"Q";"DEBT_TAB2",#N/A,FALSE,"Q";"FORFIN_TAB1",#N/A,FALSE,"R";"FORFIN_TAB2",#N/A,FALSE,"R";"BOP_ANALY",#N/A,FALSE,"U"}</definedName>
    <definedName name="bp" localSheetId="22" hidden="1">{"BOP_TAB",#N/A,FALSE,"N";"MIDTERM_TAB",#N/A,FALSE,"O";"FUND_CRED",#N/A,FALSE,"P";"DEBT_TAB1",#N/A,FALSE,"Q";"DEBT_TAB2",#N/A,FALSE,"Q";"FORFIN_TAB1",#N/A,FALSE,"R";"FORFIN_TAB2",#N/A,FALSE,"R";"BOP_ANALY",#N/A,FALSE,"U"}</definedName>
    <definedName name="bp" localSheetId="10" hidden="1">{"BOP_TAB",#N/A,FALSE,"N";"MIDTERM_TAB",#N/A,FALSE,"O";"FUND_CRED",#N/A,FALSE,"P";"DEBT_TAB1",#N/A,FALSE,"Q";"DEBT_TAB2",#N/A,FALSE,"Q";"FORFIN_TAB1",#N/A,FALSE,"R";"FORFIN_TAB2",#N/A,FALSE,"R";"BOP_ANALY",#N/A,FALSE,"U"}</definedName>
    <definedName name="bp" localSheetId="28" hidden="1">{"BOP_TAB",#N/A,FALSE,"N";"MIDTERM_TAB",#N/A,FALSE,"O";"FUND_CRED",#N/A,FALSE,"P";"DEBT_TAB1",#N/A,FALSE,"Q";"DEBT_TAB2",#N/A,FALSE,"Q";"FORFIN_TAB1",#N/A,FALSE,"R";"FORFIN_TAB2",#N/A,FALSE,"R";"BOP_ANALY",#N/A,FALSE,"U"}</definedName>
    <definedName name="bp" localSheetId="14" hidden="1">{"BOP_TAB",#N/A,FALSE,"N";"MIDTERM_TAB",#N/A,FALSE,"O";"FUND_CRED",#N/A,FALSE,"P";"DEBT_TAB1",#N/A,FALSE,"Q";"DEBT_TAB2",#N/A,FALSE,"Q";"FORFIN_TAB1",#N/A,FALSE,"R";"FORFIN_TAB2",#N/A,FALSE,"R";"BOP_ANALY",#N/A,FALSE,"U"}</definedName>
    <definedName name="bp" localSheetId="7" hidden="1">{"BOP_TAB",#N/A,FALSE,"N";"MIDTERM_TAB",#N/A,FALSE,"O";"FUND_CRED",#N/A,FALSE,"P";"DEBT_TAB1",#N/A,FALSE,"Q";"DEBT_TAB2",#N/A,FALSE,"Q";"FORFIN_TAB1",#N/A,FALSE,"R";"FORFIN_TAB2",#N/A,FALSE,"R";"BOP_ANALY",#N/A,FALSE,"U"}</definedName>
    <definedName name="bp" localSheetId="12" hidden="1">{"BOP_TAB",#N/A,FALSE,"N";"MIDTERM_TAB",#N/A,FALSE,"O";"FUND_CRED",#N/A,FALSE,"P";"DEBT_TAB1",#N/A,FALSE,"Q";"DEBT_TAB2",#N/A,FALSE,"Q";"FORFIN_TAB1",#N/A,FALSE,"R";"FORFIN_TAB2",#N/A,FALSE,"R";"BOP_ANALY",#N/A,FALSE,"U"}</definedName>
    <definedName name="bp" localSheetId="19" hidden="1">{"BOP_TAB",#N/A,FALSE,"N";"MIDTERM_TAB",#N/A,FALSE,"O";"FUND_CRED",#N/A,FALSE,"P";"DEBT_TAB1",#N/A,FALSE,"Q";"DEBT_TAB2",#N/A,FALSE,"Q";"FORFIN_TAB1",#N/A,FALSE,"R";"FORFIN_TAB2",#N/A,FALSE,"R";"BOP_ANALY",#N/A,FALSE,"U"}</definedName>
    <definedName name="bp" localSheetId="20" hidden="1">{"BOP_TAB",#N/A,FALSE,"N";"MIDTERM_TAB",#N/A,FALSE,"O";"FUND_CRED",#N/A,FALSE,"P";"DEBT_TAB1",#N/A,FALSE,"Q";"DEBT_TAB2",#N/A,FALSE,"Q";"FORFIN_TAB1",#N/A,FALSE,"R";"FORFIN_TAB2",#N/A,FALSE,"R";"BOP_ANALY",#N/A,FALSE,"U"}</definedName>
    <definedName name="bp" localSheetId="3" hidden="1">{"BOP_TAB",#N/A,FALSE,"N";"MIDTERM_TAB",#N/A,FALSE,"O";"FUND_CRED",#N/A,FALSE,"P";"DEBT_TAB1",#N/A,FALSE,"Q";"DEBT_TAB2",#N/A,FALSE,"Q";"FORFIN_TAB1",#N/A,FALSE,"R";"FORFIN_TAB2",#N/A,FALSE,"R";"BOP_ANALY",#N/A,FALSE,"U"}</definedName>
    <definedName name="bp" localSheetId="8" hidden="1">{"BOP_TAB",#N/A,FALSE,"N";"MIDTERM_TAB",#N/A,FALSE,"O";"FUND_CRED",#N/A,FALSE,"P";"DEBT_TAB1",#N/A,FALSE,"Q";"DEBT_TAB2",#N/A,FALSE,"Q";"FORFIN_TAB1",#N/A,FALSE,"R";"FORFIN_TAB2",#N/A,FALSE,"R";"BOP_ANALY",#N/A,FALSE,"U"}</definedName>
    <definedName name="bp" localSheetId="2" hidden="1">{"BOP_TAB",#N/A,FALSE,"N";"MIDTERM_TAB",#N/A,FALSE,"O";"FUND_CRED",#N/A,FALSE,"P";"DEBT_TAB1",#N/A,FALSE,"Q";"DEBT_TAB2",#N/A,FALSE,"Q";"FORFIN_TAB1",#N/A,FALSE,"R";"FORFIN_TAB2",#N/A,FALSE,"R";"BOP_ANALY",#N/A,FALSE,"U"}</definedName>
    <definedName name="bp" hidden="1">{"BOP_TAB",#N/A,FALSE,"N";"MIDTERM_TAB",#N/A,FALSE,"O";"FUND_CRED",#N/A,FALSE,"P";"DEBT_TAB1",#N/A,FALSE,"Q";"DEBT_TAB2",#N/A,FALSE,"Q";"FORFIN_TAB1",#N/A,FALSE,"R";"FORFIN_TAB2",#N/A,FALSE,"R";"BOP_ANALY",#N/A,FALSE,"U"}</definedName>
    <definedName name="bp_1" localSheetId="12" hidden="1">{"BOP_TAB",#N/A,FALSE,"N";"MIDTERM_TAB",#N/A,FALSE,"O";"FUND_CRED",#N/A,FALSE,"P";"DEBT_TAB1",#N/A,FALSE,"Q";"DEBT_TAB2",#N/A,FALSE,"Q";"FORFIN_TAB1",#N/A,FALSE,"R";"FORFIN_TAB2",#N/A,FALSE,"R";"BOP_ANALY",#N/A,FALSE,"U"}</definedName>
    <definedName name="bp_1" localSheetId="8" hidden="1">{"BOP_TAB",#N/A,FALSE,"N";"MIDTERM_TAB",#N/A,FALSE,"O";"FUND_CRED",#N/A,FALSE,"P";"DEBT_TAB1",#N/A,FALSE,"Q";"DEBT_TAB2",#N/A,FALSE,"Q";"FORFIN_TAB1",#N/A,FALSE,"R";"FORFIN_TAB2",#N/A,FALSE,"R";"BOP_ANALY",#N/A,FALSE,"U"}</definedName>
    <definedName name="bp_1" hidden="1">{"BOP_TAB",#N/A,FALSE,"N";"MIDTERM_TAB",#N/A,FALSE,"O";"FUND_CRED",#N/A,FALSE,"P";"DEBT_TAB1",#N/A,FALSE,"Q";"DEBT_TAB2",#N/A,FALSE,"Q";"FORFIN_TAB1",#N/A,FALSE,"R";"FORFIN_TAB2",#N/A,FALSE,"R";"BOP_ANALY",#N/A,FALSE,"U"}</definedName>
    <definedName name="bp_2" localSheetId="12" hidden="1">{"BOP_TAB",#N/A,FALSE,"N";"MIDTERM_TAB",#N/A,FALSE,"O";"FUND_CRED",#N/A,FALSE,"P";"DEBT_TAB1",#N/A,FALSE,"Q";"DEBT_TAB2",#N/A,FALSE,"Q";"FORFIN_TAB1",#N/A,FALSE,"R";"FORFIN_TAB2",#N/A,FALSE,"R";"BOP_ANALY",#N/A,FALSE,"U"}</definedName>
    <definedName name="bp_2" localSheetId="8" hidden="1">{"BOP_TAB",#N/A,FALSE,"N";"MIDTERM_TAB",#N/A,FALSE,"O";"FUND_CRED",#N/A,FALSE,"P";"DEBT_TAB1",#N/A,FALSE,"Q";"DEBT_TAB2",#N/A,FALSE,"Q";"FORFIN_TAB1",#N/A,FALSE,"R";"FORFIN_TAB2",#N/A,FALSE,"R";"BOP_ANALY",#N/A,FALSE,"U"}</definedName>
    <definedName name="bp_2" hidden="1">{"BOP_TAB",#N/A,FALSE,"N";"MIDTERM_TAB",#N/A,FALSE,"O";"FUND_CRED",#N/A,FALSE,"P";"DEBT_TAB1",#N/A,FALSE,"Q";"DEBT_TAB2",#N/A,FALSE,"Q";"FORFIN_TAB1",#N/A,FALSE,"R";"FORFIN_TAB2",#N/A,FALSE,"R";"BOP_ANALY",#N/A,FALSE,"U"}</definedName>
    <definedName name="BREV">[6]C!$L$32</definedName>
    <definedName name="BREV_F">[2]Links!$T$16</definedName>
    <definedName name="BREV_P">[2]Links!$X$27</definedName>
    <definedName name="BREVG">[2]Links!$Z$30</definedName>
    <definedName name="BREVgdp_f">[2]Links!#REF!</definedName>
    <definedName name="BREVM">[2]Links!$Z$14</definedName>
    <definedName name="BREVMG">[2]Links!$Z$26</definedName>
    <definedName name="BRO" localSheetId="26">#REF!</definedName>
    <definedName name="BRO" localSheetId="28">#REF!</definedName>
    <definedName name="BRO" localSheetId="12">#REF!</definedName>
    <definedName name="BRO" localSheetId="19">#REF!</definedName>
    <definedName name="BRO" localSheetId="20">#REF!</definedName>
    <definedName name="BRO" localSheetId="3">#REF!</definedName>
    <definedName name="BRO">#REF!</definedName>
    <definedName name="brr" localSheetId="12" hidden="1">{"'előző év december'!$A$2:$CP$214"}</definedName>
    <definedName name="brr" hidden="1">{"'előző év december'!$A$2:$CP$214"}</definedName>
    <definedName name="BUControlSheet_CurrencySelections">[10]Control!$A$19:$A$20</definedName>
    <definedName name="BUControlSheet_FormulaSelections">[10]Control!$A$16:$A$17</definedName>
    <definedName name="BUControlSheet_RevisionSelections">[10]Control!$A$21:$A$22</definedName>
    <definedName name="BUControlSheet_ScaleSelections">[10]Control!$J$35:$J$36</definedName>
    <definedName name="BudArrears" localSheetId="26">#REF!</definedName>
    <definedName name="BudArrears" localSheetId="28">#REF!</definedName>
    <definedName name="BudArrears" localSheetId="12">#REF!</definedName>
    <definedName name="BudArrears" localSheetId="19">#REF!</definedName>
    <definedName name="BudArrears" localSheetId="20">#REF!</definedName>
    <definedName name="BudArrears" localSheetId="3">#REF!</definedName>
    <definedName name="BudArrears">#REF!</definedName>
    <definedName name="budfin" localSheetId="26">#REF!</definedName>
    <definedName name="budfin" localSheetId="28">#REF!</definedName>
    <definedName name="budfin" localSheetId="12">#REF!</definedName>
    <definedName name="budfin" localSheetId="19">#REF!</definedName>
    <definedName name="budfin" localSheetId="20">#REF!</definedName>
    <definedName name="budfin" localSheetId="3">#REF!</definedName>
    <definedName name="budfin">#REF!</definedName>
    <definedName name="Budget" localSheetId="26">#REF!</definedName>
    <definedName name="Budget" localSheetId="28">#REF!</definedName>
    <definedName name="Budget" localSheetId="12">#REF!</definedName>
    <definedName name="Budget" localSheetId="19">#REF!</definedName>
    <definedName name="Budget" localSheetId="20">#REF!</definedName>
    <definedName name="Budget" localSheetId="3">#REF!</definedName>
    <definedName name="Budget">#REF!</definedName>
    <definedName name="budget_financing" localSheetId="26">#REF!</definedName>
    <definedName name="budget_financing" localSheetId="28">#REF!</definedName>
    <definedName name="budget_financing">#REF!</definedName>
    <definedName name="bull">[2]C!#REF!</definedName>
    <definedName name="Central" localSheetId="26">#REF!</definedName>
    <definedName name="Central" localSheetId="28">#REF!</definedName>
    <definedName name="Central" localSheetId="12">#REF!</definedName>
    <definedName name="Central">#REF!</definedName>
    <definedName name="cfgfd" localSheetId="12" hidden="1">{"'előző év december'!$A$2:$CP$214"}</definedName>
    <definedName name="cfgfd" hidden="1">{"'előző év december'!$A$2:$CP$214"}</definedName>
    <definedName name="Chart_ROE_ROA_2007" localSheetId="12" hidden="1">{"'előző év december'!$A$2:$CP$214"}</definedName>
    <definedName name="Chart_ROE_ROA_2007" hidden="1">{"'előző év december'!$A$2:$CP$214"}</definedName>
    <definedName name="CIQWBGuid" hidden="1">"bf171f1b-7df5-45fb-8634-350c0bcd1c78"</definedName>
    <definedName name="CONS_f">[2]Links!#REF!</definedName>
    <definedName name="Coordinator_List">[5]Control!$J$20:$J$21</definedName>
    <definedName name="Country">[11]Control!$C$1</definedName>
    <definedName name="cp" localSheetId="12" hidden="1">{"'előző év december'!$A$2:$CP$214"}</definedName>
    <definedName name="cp" hidden="1">{"'előző év december'!$A$2:$CP$214"}</definedName>
    <definedName name="CPI">#REF!</definedName>
    <definedName name="CPI_F">[2]Links!$T$24</definedName>
    <definedName name="cpi_fanchart" localSheetId="12" hidden="1">{"'előző év december'!$A$2:$CP$214"}</definedName>
    <definedName name="cpi_fanchart" hidden="1">{"'előző év december'!$A$2:$CP$214"}</definedName>
    <definedName name="CPI_I">#REF!</definedName>
    <definedName name="CPI_P">[2]Links!$X$4</definedName>
    <definedName name="CPIA_f">[2]Links!#REF!</definedName>
    <definedName name="CPIADDR">[2]C!#REF!</definedName>
    <definedName name="CPIAVG">[6]C!$L$9</definedName>
    <definedName name="CPIAVG_F">[2]Links!$T$25</definedName>
    <definedName name="CPIAVG_P">[2]Links!$X$6</definedName>
    <definedName name="CPIC">[8]Links!$B$20</definedName>
    <definedName name="CPICA">[2]Links!$B$27</definedName>
    <definedName name="CPIF">[2]Links!$B$3</definedName>
    <definedName name="CPIF_F">[2]Links!$T$26</definedName>
    <definedName name="CPIFA_f">[2]Links!#REF!</definedName>
    <definedName name="CPIFAVG_F">[2]Links!$T$27</definedName>
    <definedName name="CPIFC">[8]Links!$B$21</definedName>
    <definedName name="CPIFCA">[2]Links!$B$28</definedName>
    <definedName name="CPIFmov_f">[2]Links!#REF!</definedName>
    <definedName name="CPIFMY">[2]Links!$B$18</definedName>
    <definedName name="CPIFMYA">[2]Links!$B$23</definedName>
    <definedName name="CPIFPA">[8]Links!$B$66</definedName>
    <definedName name="CPIFQ">[8]Links!$B$30</definedName>
    <definedName name="CPIFQA">[8]Links!$B$39</definedName>
    <definedName name="CPIFY">[2]Links!$B$8</definedName>
    <definedName name="CPIFYA">[8]Links!$B$57</definedName>
    <definedName name="CPImov_f">[2]Links!#REF!</definedName>
    <definedName name="CPIMY">[2]Links!$B$17</definedName>
    <definedName name="cpimya">[2]Links!$B$22</definedName>
    <definedName name="CPINF">[2]Links!$B$4</definedName>
    <definedName name="CPINF_F">[2]Links!$T$28</definedName>
    <definedName name="CPINFA_f">[2]Links!#REF!</definedName>
    <definedName name="CPINFAVG_F">[2]Links!$T$29</definedName>
    <definedName name="CPINFC">[8]Links!$B$22</definedName>
    <definedName name="CPINFCA">[2]Links!$B$29</definedName>
    <definedName name="CPINFmov_f">[2]Links!#REF!</definedName>
    <definedName name="CPINFMY">[2]Links!$B$19</definedName>
    <definedName name="CPINFMYA">[2]Links!$B$24</definedName>
    <definedName name="CPINFPA">[8]Links!$B$67</definedName>
    <definedName name="CPINFQ">[8]Links!$B$31</definedName>
    <definedName name="CPINFQA">[8]Links!$B$40</definedName>
    <definedName name="CPINFY">[2]Links!$B$9</definedName>
    <definedName name="CPINFYA">[8]Links!$B$58</definedName>
    <definedName name="CPIPA">[8]Links!$B$65</definedName>
    <definedName name="CPIQ">[8]Links!$B$29</definedName>
    <definedName name="CPIQA">[8]Links!$B$38</definedName>
    <definedName name="CPIS">[2]Links!$B$5</definedName>
    <definedName name="CPIS_F">[2]Links!$T$30</definedName>
    <definedName name="CPISA_f">[2]Links!#REF!</definedName>
    <definedName name="CPISAVG_F">[2]Links!$T$31</definedName>
    <definedName name="CPISC">[8]Links!$B$23</definedName>
    <definedName name="CPISCA">[2]Links!$B$30</definedName>
    <definedName name="CPISmov_f">[2]Links!#REF!</definedName>
    <definedName name="CPISMY">[2]Links!$B$20</definedName>
    <definedName name="CPISMYA">[2]Links!$B$25</definedName>
    <definedName name="CPISPA">[8]Links!$B$68</definedName>
    <definedName name="CPISQ">[8]Links!$B$32</definedName>
    <definedName name="CPISQA">[8]Links!$B$41</definedName>
    <definedName name="CPISY">[2]Links!$B$10</definedName>
    <definedName name="CPISYA">[8]Links!$B$59</definedName>
    <definedName name="CPIY">[2]Links!$B$7</definedName>
    <definedName name="CPIYA">[8]Links!$B$56</definedName>
    <definedName name="cppp" localSheetId="12" hidden="1">{"'előző év december'!$A$2:$CP$214"}</definedName>
    <definedName name="cppp" hidden="1">{"'előző év december'!$A$2:$CP$214"}</definedName>
    <definedName name="cpr" localSheetId="12" hidden="1">{"'előző év december'!$A$2:$CP$214"}</definedName>
    <definedName name="cpr" hidden="1">{"'előző év december'!$A$2:$CP$214"}</definedName>
    <definedName name="cprsa" localSheetId="12" hidden="1">{"'előző év december'!$A$2:$CP$214"}</definedName>
    <definedName name="cprsa" hidden="1">{"'előző év december'!$A$2:$CP$214"}</definedName>
    <definedName name="CRED">[2]Links!$D$2</definedName>
    <definedName name="CRED_F">[2]Links!$T$43</definedName>
    <definedName name="CREDM">[2]Links!$D$6</definedName>
    <definedName name="CREDRATE">[2]Links!$R$15</definedName>
    <definedName name="CREDRATE_F">[2]Links!$T$47</definedName>
    <definedName name="CREDRM">[2]Links!$D$8</definedName>
    <definedName name="CREDRTYA">[2]Links!$V$13</definedName>
    <definedName name="CREDRY">[2]Links!$D$12</definedName>
    <definedName name="CREDY">[2]Links!$D$10</definedName>
    <definedName name="CREDYN">[2]Links!$D$18</definedName>
    <definedName name="CREDYND">[2]Links!$D$20</definedName>
    <definedName name="ctyList" localSheetId="26">#REF!</definedName>
    <definedName name="ctyList" localSheetId="28">#REF!</definedName>
    <definedName name="ctyList" localSheetId="12">#REF!</definedName>
    <definedName name="ctyList" localSheetId="19">#REF!</definedName>
    <definedName name="ctyList" localSheetId="20">#REF!</definedName>
    <definedName name="ctyList" localSheetId="3">#REF!</definedName>
    <definedName name="ctyList">#REF!</definedName>
    <definedName name="CURR_f" localSheetId="12">[2]Links!#REF!</definedName>
    <definedName name="CURR_f">[2]Links!#REF!</definedName>
    <definedName name="Currency_Def">[5]Control!$BA$330:$BA$487</definedName>
    <definedName name="CurrencyList" localSheetId="7">'[12]Report Form'!$B$5:$B$7</definedName>
    <definedName name="CurrencyList" localSheetId="8">'[12]Report Form'!$B$5:$B$7</definedName>
    <definedName name="CurrencyList">'[12]Report Form'!$B$5:$B$7</definedName>
    <definedName name="Current_account" localSheetId="26">#REF!</definedName>
    <definedName name="Current_account" localSheetId="28">#REF!</definedName>
    <definedName name="Current_account" localSheetId="12">#REF!</definedName>
    <definedName name="Current_account" localSheetId="19">#REF!</definedName>
    <definedName name="Current_account" localSheetId="20">#REF!</definedName>
    <definedName name="Current_account" localSheetId="3">#REF!</definedName>
    <definedName name="Current_account">#REF!</definedName>
    <definedName name="CurrentM">[2]C!$E$5</definedName>
    <definedName name="CURRENTYEAR" localSheetId="12">#REF!</definedName>
    <definedName name="CURRENTYEAR" localSheetId="20">#REF!</definedName>
    <definedName name="CURRENTYEAR" localSheetId="3">#REF!</definedName>
    <definedName name="CURRENTYEAR">#REF!</definedName>
    <definedName name="cx" localSheetId="12" hidden="1">{"'előző év december'!$A$2:$CP$214"}</definedName>
    <definedName name="cx" hidden="1">{"'előző év december'!$A$2:$CP$214"}</definedName>
    <definedName name="d" localSheetId="12" hidden="1">{"'előző év december'!$A$2:$CP$214"}</definedName>
    <definedName name="d" hidden="1">{"'előző év december'!$A$2:$CP$214"}</definedName>
    <definedName name="D_SHARES_f">[2]Links!#REF!</definedName>
    <definedName name="data">'[13]2002'!$B$2:$B$378</definedName>
    <definedName name="date" localSheetId="12">#REF!</definedName>
    <definedName name="date">#REF!</definedName>
    <definedName name="DATES" localSheetId="26">#REF!</definedName>
    <definedName name="DATES" localSheetId="28">#REF!</definedName>
    <definedName name="DATES" localSheetId="12">#REF!</definedName>
    <definedName name="DATES" localSheetId="19">#REF!</definedName>
    <definedName name="DATES" localSheetId="20">#REF!</definedName>
    <definedName name="DATES" localSheetId="3">#REF!</definedName>
    <definedName name="DATES">#REF!</definedName>
    <definedName name="DATESA" localSheetId="26">#REF!</definedName>
    <definedName name="DATESA" localSheetId="28">#REF!</definedName>
    <definedName name="DATESA" localSheetId="12">#REF!</definedName>
    <definedName name="DATESA" localSheetId="19">#REF!</definedName>
    <definedName name="DATESA" localSheetId="20">#REF!</definedName>
    <definedName name="DATESA" localSheetId="3">#REF!</definedName>
    <definedName name="DATESA">#REF!</definedName>
    <definedName name="DATESM" localSheetId="26">#REF!</definedName>
    <definedName name="DATESM" localSheetId="28">#REF!</definedName>
    <definedName name="DATESM">#REF!</definedName>
    <definedName name="DATESQ" localSheetId="26">#REF!</definedName>
    <definedName name="DATESQ" localSheetId="28">#REF!</definedName>
    <definedName name="DATESQ">#REF!</definedName>
    <definedName name="DD_f">[2]Links!#REF!</definedName>
    <definedName name="ddd" localSheetId="7" hidden="1">{#N/A,#N/A,FALSE,"т04"}</definedName>
    <definedName name="ddd" localSheetId="12" hidden="1">{#N/A,#N/A,FALSE,"т04"}</definedName>
    <definedName name="ddd" localSheetId="8" hidden="1">{#N/A,#N/A,FALSE,"т04"}</definedName>
    <definedName name="ddd" hidden="1">{#N/A,#N/A,FALSE,"т04"}</definedName>
    <definedName name="ddd_1" localSheetId="12" hidden="1">{#N/A,#N/A,FALSE,"т04"}</definedName>
    <definedName name="ddd_1" localSheetId="8" hidden="1">{#N/A,#N/A,FALSE,"т04"}</definedName>
    <definedName name="ddd_1" hidden="1">{#N/A,#N/A,FALSE,"т04"}</definedName>
    <definedName name="ddd_2" localSheetId="12" hidden="1">{#N/A,#N/A,FALSE,"т04"}</definedName>
    <definedName name="ddd_2" localSheetId="8" hidden="1">{#N/A,#N/A,FALSE,"т04"}</definedName>
    <definedName name="ddd_2" hidden="1">{#N/A,#N/A,FALSE,"т04"}</definedName>
    <definedName name="dddd" localSheetId="12" hidden="1">{"'Всего'!$A$1:$F$19"}</definedName>
    <definedName name="dddd" hidden="1">{"'Всего'!$A$1:$F$19"}</definedName>
    <definedName name="DDN">[2]Links!$F$6</definedName>
    <definedName name="DDNM">[2]Links!$F$13</definedName>
    <definedName name="DDNRM">[2]Links!$H$13</definedName>
    <definedName name="DDNRY">[2]Links!$H$20</definedName>
    <definedName name="DDNY">[2]Links!$F$20</definedName>
    <definedName name="DDNYN">[2]Links!$F$34</definedName>
    <definedName name="DDNYND">[2]Links!$F$41</definedName>
    <definedName name="DEFL">#REF!</definedName>
    <definedName name="defl2">#REF!</definedName>
    <definedName name="DEPO">[2]Links!$D$3</definedName>
    <definedName name="DEPO_F">[2]Links!$T$44</definedName>
    <definedName name="DEPOM">[2]Links!$D$7</definedName>
    <definedName name="DEPORATE">[2]Links!$R$16</definedName>
    <definedName name="DEPORATE_F">[2]Links!$T$48</definedName>
    <definedName name="DEPORM">[2]Links!$D$9</definedName>
    <definedName name="DEPORTYA">[2]Links!$V$14</definedName>
    <definedName name="DEPORY">[2]Links!$D$13</definedName>
    <definedName name="DEPOY">[2]Links!$D$11</definedName>
    <definedName name="DEPOYN">[2]Links!$D$19</definedName>
    <definedName name="DEPOYND">[2]Links!$D$21</definedName>
    <definedName name="deux" localSheetId="12" hidden="1">{"résultats",#N/A,FALSE,"résultats SFS";"indicateurs",#N/A,FALSE,"résultats SFS";"commentaires",#N/A,FALSE,"commentaires SFS";"graphiques",#N/A,FALSE,"graphiques SFS"}</definedName>
    <definedName name="deux" hidden="1">{"résultats",#N/A,FALSE,"résultats SFS";"indicateurs",#N/A,FALSE,"résultats SFS";"commentaires",#N/A,FALSE,"commentaires SFS";"graphiques",#N/A,FALSE,"graphiques SFS"}</definedName>
    <definedName name="dfdfdf" localSheetId="7" hidden="1">{#N/A,#N/A,FALSE,"т02бд"}</definedName>
    <definedName name="dfdfdf" localSheetId="12" hidden="1">{#N/A,#N/A,FALSE,"т02бд"}</definedName>
    <definedName name="dfdfdf" localSheetId="8" hidden="1">{#N/A,#N/A,FALSE,"т02бд"}</definedName>
    <definedName name="dfdfdf" hidden="1">{#N/A,#N/A,FALSE,"т02бд"}</definedName>
    <definedName name="dfdfdf_2" localSheetId="12" hidden="1">{#N/A,#N/A,FALSE,"т02бд"}</definedName>
    <definedName name="dfdfdf_2" localSheetId="8" hidden="1">{#N/A,#N/A,FALSE,"т02бд"}</definedName>
    <definedName name="dfdfdf_2" hidden="1">{#N/A,#N/A,FALSE,"т02бд"}</definedName>
    <definedName name="dfdfdf_2_1" localSheetId="12" hidden="1">{#N/A,#N/A,FALSE,"т02бд"}</definedName>
    <definedName name="dfdfdf_2_1" localSheetId="8" hidden="1">{#N/A,#N/A,FALSE,"т02бд"}</definedName>
    <definedName name="dfdfdf_2_1" hidden="1">{#N/A,#N/A,FALSE,"т02бд"}</definedName>
    <definedName name="dfhdf" localSheetId="12" hidden="1">{"'előző év december'!$A$2:$CP$214"}</definedName>
    <definedName name="dfhdf" hidden="1">{"'előző év december'!$A$2:$CP$214"}</definedName>
    <definedName name="Dif_1">[14]C!$N$146</definedName>
    <definedName name="Dif_2">[14]C!$BB$139</definedName>
    <definedName name="drfgdfgf" localSheetId="7" hidden="1">{#N/A,#N/A,FALSE,"Лист4"}</definedName>
    <definedName name="drfgdfgf" localSheetId="12" hidden="1">{#N/A,#N/A,FALSE,"Лист4"}</definedName>
    <definedName name="drfgdfgf" localSheetId="8" hidden="1">{#N/A,#N/A,FALSE,"Лист4"}</definedName>
    <definedName name="drfgdfgf" hidden="1">{#N/A,#N/A,FALSE,"Лист4"}</definedName>
    <definedName name="ds" localSheetId="12" hidden="1">{"'előző év december'!$A$2:$CP$214"}</definedName>
    <definedName name="ds" hidden="1">{"'előző év december'!$A$2:$CP$214"}</definedName>
    <definedName name="dsf" localSheetId="7" hidden="1">{#N/A,#N/A,FALSE,"т02бд"}</definedName>
    <definedName name="dsf" localSheetId="12" hidden="1">{#N/A,#N/A,FALSE,"т02бд"}</definedName>
    <definedName name="dsf" localSheetId="8" hidden="1">{#N/A,#N/A,FALSE,"т02бд"}</definedName>
    <definedName name="dsf" hidden="1">{#N/A,#N/A,FALSE,"т02бд"}</definedName>
    <definedName name="dsf_2" localSheetId="12" hidden="1">{#N/A,#N/A,FALSE,"т02бд"}</definedName>
    <definedName name="dsf_2" localSheetId="8" hidden="1">{#N/A,#N/A,FALSE,"т02бд"}</definedName>
    <definedName name="dsf_2" hidden="1">{#N/A,#N/A,FALSE,"т02бд"}</definedName>
    <definedName name="dsf_2_1" localSheetId="12" hidden="1">{#N/A,#N/A,FALSE,"т02бд"}</definedName>
    <definedName name="dsf_2_1" localSheetId="8" hidden="1">{#N/A,#N/A,FALSE,"т02бд"}</definedName>
    <definedName name="dsf_2_1" hidden="1">{#N/A,#N/A,FALSE,"т02бд"}</definedName>
    <definedName name="dsfb" localSheetId="7" hidden="1">{#N/A,#N/A,FALSE,"т02бд"}</definedName>
    <definedName name="dsfb" localSheetId="12" hidden="1">{#N/A,#N/A,FALSE,"т02бд"}</definedName>
    <definedName name="dsfb" localSheetId="8" hidden="1">{#N/A,#N/A,FALSE,"т02бд"}</definedName>
    <definedName name="dsfb" hidden="1">{#N/A,#N/A,FALSE,"т02бд"}</definedName>
    <definedName name="dsfb_2" localSheetId="12" hidden="1">{#N/A,#N/A,FALSE,"т02бд"}</definedName>
    <definedName name="dsfb_2" localSheetId="8" hidden="1">{#N/A,#N/A,FALSE,"т02бд"}</definedName>
    <definedName name="dsfb_2" hidden="1">{#N/A,#N/A,FALSE,"т02бд"}</definedName>
    <definedName name="dsfb_2_1" localSheetId="12" hidden="1">{#N/A,#N/A,FALSE,"т02бд"}</definedName>
    <definedName name="dsfb_2_1" localSheetId="8" hidden="1">{#N/A,#N/A,FALSE,"т02бд"}</definedName>
    <definedName name="dsfb_2_1" hidden="1">{#N/A,#N/A,FALSE,"т02бд"}</definedName>
    <definedName name="dsfg" localSheetId="7" hidden="1">{#N/A,#N/A,FALSE,"т02бд"}</definedName>
    <definedName name="dsfg" localSheetId="12" hidden="1">{#N/A,#N/A,FALSE,"т02бд"}</definedName>
    <definedName name="dsfg" localSheetId="8" hidden="1">{#N/A,#N/A,FALSE,"т02бд"}</definedName>
    <definedName name="dsfg" hidden="1">{#N/A,#N/A,FALSE,"т02бд"}</definedName>
    <definedName name="dsfg_2" localSheetId="12" hidden="1">{#N/A,#N/A,FALSE,"т02бд"}</definedName>
    <definedName name="dsfg_2" localSheetId="8" hidden="1">{#N/A,#N/A,FALSE,"т02бд"}</definedName>
    <definedName name="dsfg_2" hidden="1">{#N/A,#N/A,FALSE,"т02бд"}</definedName>
    <definedName name="dsfg_2_1" localSheetId="12" hidden="1">{#N/A,#N/A,FALSE,"т02бд"}</definedName>
    <definedName name="dsfg_2_1" localSheetId="8" hidden="1">{#N/A,#N/A,FALSE,"т02бд"}</definedName>
    <definedName name="dsfg_2_1" hidden="1">{#N/A,#N/A,FALSE,"т02бд"}</definedName>
    <definedName name="dsfgsdfg" localSheetId="12" hidden="1">{"'előző év december'!$A$2:$CP$214"}</definedName>
    <definedName name="dsfgsdfg" hidden="1">{"'előző év december'!$A$2:$CP$214"}</definedName>
    <definedName name="dsfsdfsd">#REF!</definedName>
    <definedName name="dsssssss">#REF!</definedName>
    <definedName name="DUSAYA">[2]Links!$V$10</definedName>
    <definedName name="DVM0">[2]Links!$V$5</definedName>
    <definedName name="DVM0M">[2]Links!$J$33</definedName>
    <definedName name="DVM0MC">[2]Links!$J$36</definedName>
    <definedName name="DVM3M">[2]Links!$J$34</definedName>
    <definedName name="DVM3MC">[2]Links!$J$37</definedName>
    <definedName name="DVM3P">[2]Links!$V$23</definedName>
    <definedName name="DWAGEYA">[2]Links!$V$8</definedName>
    <definedName name="dyf" localSheetId="12" hidden="1">{"'előző év december'!$A$2:$CP$214"}</definedName>
    <definedName name="dyf" hidden="1">{"'előző év december'!$A$2:$CP$214"}</definedName>
    <definedName name="DynamicUAH_nom2" localSheetId="12" hidden="1">{"'Всего'!$A$1:$F$19"}</definedName>
    <definedName name="DynamicUAH_nom2" hidden="1">{"'Всего'!$A$1:$F$19"}</definedName>
    <definedName name="E">[6]C!$L$22</definedName>
    <definedName name="E_F">[2]Links!$T$13</definedName>
    <definedName name="E_P">[2]Links!$X$17</definedName>
    <definedName name="EAD_CR_Chart_Nadzor_new" localSheetId="12" hidden="1">{"'Всего'!$A$1:$F$19"}</definedName>
    <definedName name="EAD_CR_Chart_Nadzor_new" hidden="1">{"'Всего'!$A$1:$F$19"}</definedName>
    <definedName name="edr" localSheetId="12" hidden="1">{"'előző év december'!$A$2:$CP$214"}</definedName>
    <definedName name="edr" hidden="1">{"'előző év december'!$A$2:$CP$214"}</definedName>
    <definedName name="EdssBatchRange" localSheetId="26">#REF!</definedName>
    <definedName name="EdssBatchRange" localSheetId="28">#REF!</definedName>
    <definedName name="EdssBatchRange">#REF!</definedName>
    <definedName name="efdef" localSheetId="12" hidden="1">{"'előző év december'!$A$2:$CP$214"}</definedName>
    <definedName name="efdef" hidden="1">{"'előző év december'!$A$2:$CP$214"}</definedName>
    <definedName name="EGS">[6]C!$L$41</definedName>
    <definedName name="EGS_P">[2]Links!$X$35</definedName>
    <definedName name="EGSG">[2]Links!$Z$37</definedName>
    <definedName name="EGSM">[2]Links!$Z$18</definedName>
    <definedName name="EGSMG">[2]Links!$Z$34</definedName>
    <definedName name="EGSY">[2]Links!$V$15</definedName>
    <definedName name="EGSYG">[2]Links!$V$18</definedName>
    <definedName name="ENTL">[6]C!$L$17</definedName>
    <definedName name="ENTL_F">[2]Links!$T$8</definedName>
    <definedName name="ENTL_P">[2]Links!$X$13</definedName>
    <definedName name="ENTLMN">[2]Links!$Z$22</definedName>
    <definedName name="ENTLY">[2]Links!$Z$25</definedName>
    <definedName name="ENTP">[6]C!$L$16</definedName>
    <definedName name="ENTP_F">[2]Links!$T$7</definedName>
    <definedName name="ENTP_P">[2]Links!$X$12</definedName>
    <definedName name="ENTPMN">[2]Links!$Z$21</definedName>
    <definedName name="ENTPY">[2]Links!$Z$24</definedName>
    <definedName name="ENTS">[6]C!$L$18</definedName>
    <definedName name="ENTS_f">[2]Links!#REF!</definedName>
    <definedName name="ENTSM">[2]Links!#REF!</definedName>
    <definedName name="ENTSMN">[2]Links!$Z$23</definedName>
    <definedName name="eqe" localSheetId="12" hidden="1">{"'előző év december'!$A$2:$CP$214"}</definedName>
    <definedName name="eqe" hidden="1">{"'előző év december'!$A$2:$CP$214"}</definedName>
    <definedName name="ert" localSheetId="12" hidden="1">{"'előző év december'!$A$2:$CP$214"}</definedName>
    <definedName name="ert" hidden="1">{"'előző év december'!$A$2:$CP$214"}</definedName>
    <definedName name="ertertwertwert" localSheetId="12" hidden="1">{"'előző év december'!$A$2:$CP$214"}</definedName>
    <definedName name="ertertwertwert" hidden="1">{"'előző év december'!$A$2:$CP$214"}</definedName>
    <definedName name="EXP">[2]Links!$L$5</definedName>
    <definedName name="Exp_GDP" localSheetId="26">#REF!</definedName>
    <definedName name="Exp_GDP" localSheetId="28">#REF!</definedName>
    <definedName name="Exp_GDP" localSheetId="12">#REF!</definedName>
    <definedName name="Exp_GDP">#REF!</definedName>
    <definedName name="Exp_nom" localSheetId="26">#REF!</definedName>
    <definedName name="Exp_nom" localSheetId="28">#REF!</definedName>
    <definedName name="Exp_nom" localSheetId="12">#REF!</definedName>
    <definedName name="Exp_nom">#REF!</definedName>
    <definedName name="EXPC">[2]Links!$L$17</definedName>
    <definedName name="EXPCP">[2]Links!$L$21</definedName>
    <definedName name="EXPEND_f">[2]Links!#REF!</definedName>
    <definedName name="EXPENDO_f">[2]Links!#REF!</definedName>
    <definedName name="EXPM">[2]Links!$L$9</definedName>
    <definedName name="EXPRCY">[2]Links!$L$41</definedName>
    <definedName name="EXPRM">[2]Links!$L$29</definedName>
    <definedName name="EXRAVR">[6]C!$L$24</definedName>
    <definedName name="EXRAVR_P">[2]Links!$X$19</definedName>
    <definedName name="EXREND">[6]C!$L$25</definedName>
    <definedName name="EXREND_P">[2]Links!$X$20</definedName>
    <definedName name="f" localSheetId="26">#REF!</definedName>
    <definedName name="f" localSheetId="28">#REF!</definedName>
    <definedName name="f" localSheetId="12">#REF!</definedName>
    <definedName name="f">#REF!</definedName>
    <definedName name="fdfs" localSheetId="12" hidden="1">{#N/A,#N/A,FALSE,"т02бд"}</definedName>
    <definedName name="fdfs" localSheetId="8" hidden="1">{#N/A,#N/A,FALSE,"т02бд"}</definedName>
    <definedName name="fdfs" hidden="1">{#N/A,#N/A,FALSE,"т02бд"}</definedName>
    <definedName name="FDI">[6]C!$L$40</definedName>
    <definedName name="ff" localSheetId="10" hidden="1">{#N/A,#N/A,FALSE,"т02бд"}</definedName>
    <definedName name="ff" localSheetId="7" hidden="1">{#N/A,#N/A,FALSE,"т02бд"}</definedName>
    <definedName name="ff" localSheetId="12" hidden="1">{#N/A,#N/A,FALSE,"т02бд"}</definedName>
    <definedName name="ff" localSheetId="20" hidden="1">{#N/A,#N/A,FALSE,"т02бд"}</definedName>
    <definedName name="ff" localSheetId="3" hidden="1">{#N/A,#N/A,FALSE,"т02бд"}</definedName>
    <definedName name="ff" localSheetId="8" hidden="1">{#N/A,#N/A,FALSE,"т02бд"}</definedName>
    <definedName name="ff" localSheetId="2" hidden="1">{#N/A,#N/A,FALSE,"т02бд"}</definedName>
    <definedName name="ff" hidden="1">{#N/A,#N/A,FALSE,"т02бд"}</definedName>
    <definedName name="fff" localSheetId="7" hidden="1">{#N/A,#N/A,FALSE,"т02бд"}</definedName>
    <definedName name="fff" localSheetId="12" hidden="1">{#N/A,#N/A,FALSE,"т02бд"}</definedName>
    <definedName name="fff" localSheetId="8" hidden="1">{#N/A,#N/A,FALSE,"т02бд"}</definedName>
    <definedName name="fff" hidden="1">{#N/A,#N/A,FALSE,"т02бд"}</definedName>
    <definedName name="fff_2" localSheetId="12" hidden="1">{#N/A,#N/A,FALSE,"т02бд"}</definedName>
    <definedName name="fff_2" localSheetId="8" hidden="1">{#N/A,#N/A,FALSE,"т02бд"}</definedName>
    <definedName name="fff_2" hidden="1">{#N/A,#N/A,FALSE,"т02бд"}</definedName>
    <definedName name="fff_2_1" localSheetId="12" hidden="1">{#N/A,#N/A,FALSE,"т02бд"}</definedName>
    <definedName name="fff_2_1" localSheetId="8" hidden="1">{#N/A,#N/A,FALSE,"т02бд"}</definedName>
    <definedName name="fff_2_1" hidden="1">{#N/A,#N/A,FALSE,"т02бд"}</definedName>
    <definedName name="fffffff" localSheetId="7" hidden="1">{#N/A,#N/A,FALSE,"т17-1банки (2)"}</definedName>
    <definedName name="fffffff" localSheetId="12" hidden="1">{#N/A,#N/A,FALSE,"т17-1банки (2)"}</definedName>
    <definedName name="fffffff" localSheetId="8" hidden="1">{#N/A,#N/A,FALSE,"т17-1банки (2)"}</definedName>
    <definedName name="fffffff" hidden="1">{#N/A,#N/A,FALSE,"т17-1банки (2)"}</definedName>
    <definedName name="fffffff_1" localSheetId="12" hidden="1">{#N/A,#N/A,FALSE,"т17-1банки (2)"}</definedName>
    <definedName name="fffffff_1" localSheetId="8" hidden="1">{#N/A,#N/A,FALSE,"т17-1банки (2)"}</definedName>
    <definedName name="fffffff_1" hidden="1">{#N/A,#N/A,FALSE,"т17-1банки (2)"}</definedName>
    <definedName name="fffffff_2" localSheetId="12" hidden="1">{#N/A,#N/A,FALSE,"т17-1банки (2)"}</definedName>
    <definedName name="fffffff_2" localSheetId="8" hidden="1">{#N/A,#N/A,FALSE,"т17-1банки (2)"}</definedName>
    <definedName name="fffffff_2" hidden="1">{#N/A,#N/A,FALSE,"т17-1банки (2)"}</definedName>
    <definedName name="ffg" localSheetId="12" hidden="1">{"'előző év december'!$A$2:$CP$214"}</definedName>
    <definedName name="ffg" hidden="1">{"'előző év december'!$A$2:$CP$214"}</definedName>
    <definedName name="fg" localSheetId="12" hidden="1">{"'előző év december'!$A$2:$CP$214"}</definedName>
    <definedName name="fg" hidden="1">{"'előző év december'!$A$2:$CP$214"}</definedName>
    <definedName name="fgf" localSheetId="7" hidden="1">{#N/A,#N/A,FALSE,"т02бд"}</definedName>
    <definedName name="fgf" localSheetId="12" hidden="1">{#N/A,#N/A,FALSE,"т02бд"}</definedName>
    <definedName name="fgf" localSheetId="8" hidden="1">{#N/A,#N/A,FALSE,"т02бд"}</definedName>
    <definedName name="fgf" hidden="1">{#N/A,#N/A,FALSE,"т02бд"}</definedName>
    <definedName name="fgf_2" localSheetId="12" hidden="1">{#N/A,#N/A,FALSE,"т02бд"}</definedName>
    <definedName name="fgf_2" localSheetId="8" hidden="1">{#N/A,#N/A,FALSE,"т02бд"}</definedName>
    <definedName name="fgf_2" hidden="1">{#N/A,#N/A,FALSE,"т02бд"}</definedName>
    <definedName name="fgf_2_1" localSheetId="12" hidden="1">{#N/A,#N/A,FALSE,"т02бд"}</definedName>
    <definedName name="fgf_2_1" localSheetId="8" hidden="1">{#N/A,#N/A,FALSE,"т02бд"}</definedName>
    <definedName name="fgf_2_1" hidden="1">{#N/A,#N/A,FALSE,"т02бд"}</definedName>
    <definedName name="fgfgf" localSheetId="7" hidden="1">{#N/A,#N/A,FALSE,"т02бд"}</definedName>
    <definedName name="fgfgf" localSheetId="12" hidden="1">{#N/A,#N/A,FALSE,"т02бд"}</definedName>
    <definedName name="fgfgf" localSheetId="8" hidden="1">{#N/A,#N/A,FALSE,"т02бд"}</definedName>
    <definedName name="fgfgf" hidden="1">{#N/A,#N/A,FALSE,"т02бд"}</definedName>
    <definedName name="fgfgf_2" localSheetId="12" hidden="1">{#N/A,#N/A,FALSE,"т02бд"}</definedName>
    <definedName name="fgfgf_2" localSheetId="8" hidden="1">{#N/A,#N/A,FALSE,"т02бд"}</definedName>
    <definedName name="fgfgf_2" hidden="1">{#N/A,#N/A,FALSE,"т02бд"}</definedName>
    <definedName name="fgfgf_2_1" localSheetId="12" hidden="1">{#N/A,#N/A,FALSE,"т02бд"}</definedName>
    <definedName name="fgfgf_2_1" localSheetId="8" hidden="1">{#N/A,#N/A,FALSE,"т02бд"}</definedName>
    <definedName name="fgfgf_2_1" hidden="1">{#N/A,#N/A,FALSE,"т02бд"}</definedName>
    <definedName name="fgfgfgfgfgf" localSheetId="7" hidden="1">{#N/A,#N/A,FALSE,"т02бд"}</definedName>
    <definedName name="fgfgfgfgfgf" localSheetId="12" hidden="1">{#N/A,#N/A,FALSE,"т02бд"}</definedName>
    <definedName name="fgfgfgfgfgf" localSheetId="8" hidden="1">{#N/A,#N/A,FALSE,"т02бд"}</definedName>
    <definedName name="fgfgfgfgfgf" hidden="1">{#N/A,#N/A,FALSE,"т02бд"}</definedName>
    <definedName name="fgfgfgfgfgf_2" localSheetId="12" hidden="1">{#N/A,#N/A,FALSE,"т02бд"}</definedName>
    <definedName name="fgfgfgfgfgf_2" localSheetId="8" hidden="1">{#N/A,#N/A,FALSE,"т02бд"}</definedName>
    <definedName name="fgfgfgfgfgf_2" hidden="1">{#N/A,#N/A,FALSE,"т02бд"}</definedName>
    <definedName name="fgfgfgfgfgf_2_1" localSheetId="12" hidden="1">{#N/A,#N/A,FALSE,"т02бд"}</definedName>
    <definedName name="fgfgfgfgfgf_2_1" localSheetId="8" hidden="1">{#N/A,#N/A,FALSE,"т02бд"}</definedName>
    <definedName name="fgfgfgfgfgf_2_1" hidden="1">{#N/A,#N/A,FALSE,"т02бд"}</definedName>
    <definedName name="fgh" localSheetId="12" hidden="1">{"'előző év december'!$A$2:$CP$214"}</definedName>
    <definedName name="fgh" hidden="1">{"'előző év december'!$A$2:$CP$214"}</definedName>
    <definedName name="fghf" localSheetId="12" hidden="1">{"'előző év december'!$A$2:$CP$214"}</definedName>
    <definedName name="fghf" hidden="1">{"'előző év december'!$A$2:$CP$214"}</definedName>
    <definedName name="fgk" localSheetId="7" hidden="1">{#N/A,#N/A,FALSE,"т17-1банки (2)"}</definedName>
    <definedName name="fgk" localSheetId="12" hidden="1">{#N/A,#N/A,FALSE,"т17-1банки (2)"}</definedName>
    <definedName name="fgk" localSheetId="8" hidden="1">{#N/A,#N/A,FALSE,"т17-1банки (2)"}</definedName>
    <definedName name="fgk" hidden="1">{#N/A,#N/A,FALSE,"т17-1банки (2)"}</definedName>
    <definedName name="fgk_2" localSheetId="12" hidden="1">{#N/A,#N/A,FALSE,"т17-1банки (2)"}</definedName>
    <definedName name="fgk_2" localSheetId="8" hidden="1">{#N/A,#N/A,FALSE,"т17-1банки (2)"}</definedName>
    <definedName name="fgk_2" hidden="1">{#N/A,#N/A,FALSE,"т17-1банки (2)"}</definedName>
    <definedName name="fgk_2_1" localSheetId="12" hidden="1">{#N/A,#N/A,FALSE,"т17-1банки (2)"}</definedName>
    <definedName name="fgk_2_1" localSheetId="8" hidden="1">{#N/A,#N/A,FALSE,"т17-1банки (2)"}</definedName>
    <definedName name="fgk_2_1" hidden="1">{#N/A,#N/A,FALSE,"т17-1банки (2)"}</definedName>
    <definedName name="fgkf" localSheetId="7" hidden="1">{#N/A,#N/A,FALSE,"т02бд"}</definedName>
    <definedName name="fgkf" localSheetId="12" hidden="1">{#N/A,#N/A,FALSE,"т02бд"}</definedName>
    <definedName name="fgkf" localSheetId="8" hidden="1">{#N/A,#N/A,FALSE,"т02бд"}</definedName>
    <definedName name="fgkf" hidden="1">{#N/A,#N/A,FALSE,"т02бд"}</definedName>
    <definedName name="fgkf_2" localSheetId="12" hidden="1">{#N/A,#N/A,FALSE,"т02бд"}</definedName>
    <definedName name="fgkf_2" localSheetId="8" hidden="1">{#N/A,#N/A,FALSE,"т02бд"}</definedName>
    <definedName name="fgkf_2" hidden="1">{#N/A,#N/A,FALSE,"т02бд"}</definedName>
    <definedName name="fgkf_2_1" localSheetId="12" hidden="1">{#N/A,#N/A,FALSE,"т02бд"}</definedName>
    <definedName name="fgkf_2_1" localSheetId="8" hidden="1">{#N/A,#N/A,FALSE,"т02бд"}</definedName>
    <definedName name="fgkf_2_1" hidden="1">{#N/A,#N/A,FALSE,"т02бд"}</definedName>
    <definedName name="fkfgk" localSheetId="7" hidden="1">{#N/A,#N/A,FALSE,"т04"}</definedName>
    <definedName name="fkfgk" localSheetId="12" hidden="1">{#N/A,#N/A,FALSE,"т04"}</definedName>
    <definedName name="fkfgk" localSheetId="8" hidden="1">{#N/A,#N/A,FALSE,"т04"}</definedName>
    <definedName name="fkfgk" hidden="1">{#N/A,#N/A,FALSE,"т04"}</definedName>
    <definedName name="fkfgk_2" localSheetId="12" hidden="1">{#N/A,#N/A,FALSE,"т04"}</definedName>
    <definedName name="fkfgk_2" localSheetId="8" hidden="1">{#N/A,#N/A,FALSE,"т04"}</definedName>
    <definedName name="fkfgk_2" hidden="1">{#N/A,#N/A,FALSE,"т04"}</definedName>
    <definedName name="fkfgk_2_1" localSheetId="12" hidden="1">{#N/A,#N/A,FALSE,"т04"}</definedName>
    <definedName name="fkfgk_2_1" localSheetId="8" hidden="1">{#N/A,#N/A,FALSE,"т04"}</definedName>
    <definedName name="fkfgk_2_1" hidden="1">{#N/A,#N/A,FALSE,"т04"}</definedName>
    <definedName name="fkfkgk" localSheetId="7" hidden="1">{#N/A,#N/A,FALSE,"т02бд"}</definedName>
    <definedName name="fkfkgk" localSheetId="12" hidden="1">{#N/A,#N/A,FALSE,"т02бд"}</definedName>
    <definedName name="fkfkgk" localSheetId="8" hidden="1">{#N/A,#N/A,FALSE,"т02бд"}</definedName>
    <definedName name="fkfkgk" hidden="1">{#N/A,#N/A,FALSE,"т02бд"}</definedName>
    <definedName name="fkfkgk_2" localSheetId="12" hidden="1">{#N/A,#N/A,FALSE,"т02бд"}</definedName>
    <definedName name="fkfkgk_2" localSheetId="8" hidden="1">{#N/A,#N/A,FALSE,"т02бд"}</definedName>
    <definedName name="fkfkgk_2" hidden="1">{#N/A,#N/A,FALSE,"т02бд"}</definedName>
    <definedName name="fkfkgk_2_1" localSheetId="12" hidden="1">{#N/A,#N/A,FALSE,"т02бд"}</definedName>
    <definedName name="fkfkgk_2_1" localSheetId="8" hidden="1">{#N/A,#N/A,FALSE,"т02бд"}</definedName>
    <definedName name="fkfkgk_2_1" hidden="1">{#N/A,#N/A,FALSE,"т02бд"}</definedName>
    <definedName name="Food_comp" localSheetId="12" hidden="1">{#N/A,#N/A,FALSE,"т02бд"}</definedName>
    <definedName name="Food_comp" localSheetId="8" hidden="1">{#N/A,#N/A,FALSE,"т02бд"}</definedName>
    <definedName name="Food_comp" hidden="1">{#N/A,#N/A,FALSE,"т02бд"}</definedName>
    <definedName name="Food_comp_1" localSheetId="12" hidden="1">{#N/A,#N/A,FALSE,"т02бд"}</definedName>
    <definedName name="Food_comp_1" localSheetId="8" hidden="1">{#N/A,#N/A,FALSE,"т02бд"}</definedName>
    <definedName name="Food_comp_1" hidden="1">{#N/A,#N/A,FALSE,"т02бд"}</definedName>
    <definedName name="Food_comp_2" localSheetId="12" hidden="1">{#N/A,#N/A,FALSE,"т02бд"}</definedName>
    <definedName name="Food_comp_2" localSheetId="8" hidden="1">{#N/A,#N/A,FALSE,"т02бд"}</definedName>
    <definedName name="Food_comp_2" hidden="1">{#N/A,#N/A,FALSE,"т02бд"}</definedName>
    <definedName name="FOR_KV" localSheetId="12" hidden="1">{"BOP_TAB",#N/A,FALSE,"N";"MIDTERM_TAB",#N/A,FALSE,"O";"FUND_CRED",#N/A,FALSE,"P";"DEBT_TAB1",#N/A,FALSE,"Q";"DEBT_TAB2",#N/A,FALSE,"Q";"FORFIN_TAB1",#N/A,FALSE,"R";"FORFIN_TAB2",#N/A,FALSE,"R";"BOP_ANALY",#N/A,FALSE,"U"}</definedName>
    <definedName name="FOR_KV" localSheetId="8" hidden="1">{"BOP_TAB",#N/A,FALSE,"N";"MIDTERM_TAB",#N/A,FALSE,"O";"FUND_CRED",#N/A,FALSE,"P";"DEBT_TAB1",#N/A,FALSE,"Q";"DEBT_TAB2",#N/A,FALSE,"Q";"FORFIN_TAB1",#N/A,FALSE,"R";"FORFIN_TAB2",#N/A,FALSE,"R";"BOP_ANALY",#N/A,FALSE,"U"}</definedName>
    <definedName name="FOR_KV" hidden="1">{"BOP_TAB",#N/A,FALSE,"N";"MIDTERM_TAB",#N/A,FALSE,"O";"FUND_CRED",#N/A,FALSE,"P";"DEBT_TAB1",#N/A,FALSE,"Q";"DEBT_TAB2",#N/A,FALSE,"Q";"FORFIN_TAB1",#N/A,FALSE,"R";"FORFIN_TAB2",#N/A,FALSE,"R";"BOP_ANALY",#N/A,FALSE,"U"}</definedName>
    <definedName name="FOR_KV_2" localSheetId="12" hidden="1">{"BOP_TAB",#N/A,FALSE,"N";"MIDTERM_TAB",#N/A,FALSE,"O";"FUND_CRED",#N/A,FALSE,"P";"DEBT_TAB1",#N/A,FALSE,"Q";"DEBT_TAB2",#N/A,FALSE,"Q";"FORFIN_TAB1",#N/A,FALSE,"R";"FORFIN_TAB2",#N/A,FALSE,"R";"BOP_ANALY",#N/A,FALSE,"U"}</definedName>
    <definedName name="FOR_KV_2" localSheetId="8" hidden="1">{"BOP_TAB",#N/A,FALSE,"N";"MIDTERM_TAB",#N/A,FALSE,"O";"FUND_CRED",#N/A,FALSE,"P";"DEBT_TAB1",#N/A,FALSE,"Q";"DEBT_TAB2",#N/A,FALSE,"Q";"FORFIN_TAB1",#N/A,FALSE,"R";"FORFIN_TAB2",#N/A,FALSE,"R";"BOP_ANALY",#N/A,FALSE,"U"}</definedName>
    <definedName name="FOR_KV_2" hidden="1">{"BOP_TAB",#N/A,FALSE,"N";"MIDTERM_TAB",#N/A,FALSE,"O";"FUND_CRED",#N/A,FALSE,"P";"DEBT_TAB1",#N/A,FALSE,"Q";"DEBT_TAB2",#N/A,FALSE,"Q";"FORFIN_TAB1",#N/A,FALSE,"R";"FORFIN_TAB2",#N/A,FALSE,"R";"BOP_ANALY",#N/A,FALSE,"U"}</definedName>
    <definedName name="FOR_KV_2_1" localSheetId="12" hidden="1">{"BOP_TAB",#N/A,FALSE,"N";"MIDTERM_TAB",#N/A,FALSE,"O";"FUND_CRED",#N/A,FALSE,"P";"DEBT_TAB1",#N/A,FALSE,"Q";"DEBT_TAB2",#N/A,FALSE,"Q";"FORFIN_TAB1",#N/A,FALSE,"R";"FORFIN_TAB2",#N/A,FALSE,"R";"BOP_ANALY",#N/A,FALSE,"U"}</definedName>
    <definedName name="FOR_KV_2_1" localSheetId="8" hidden="1">{"BOP_TAB",#N/A,FALSE,"N";"MIDTERM_TAB",#N/A,FALSE,"O";"FUND_CRED",#N/A,FALSE,"P";"DEBT_TAB1",#N/A,FALSE,"Q";"DEBT_TAB2",#N/A,FALSE,"Q";"FORFIN_TAB1",#N/A,FALSE,"R";"FORFIN_TAB2",#N/A,FALSE,"R";"BOP_ANALY",#N/A,FALSE,"U"}</definedName>
    <definedName name="FOR_KV_2_1" hidden="1">{"BOP_TAB",#N/A,FALSE,"N";"MIDTERM_TAB",#N/A,FALSE,"O";"FUND_CRED",#N/A,FALSE,"P";"DEBT_TAB1",#N/A,FALSE,"Q";"DEBT_TAB2",#N/A,FALSE,"Q";"FORFIN_TAB1",#N/A,FALSE,"R";"FORFIN_TAB2",#N/A,FALSE,"R";"BOP_ANALY",#N/A,FALSE,"U"}</definedName>
    <definedName name="Foreign_liabilities" localSheetId="26">#REF!</definedName>
    <definedName name="Foreign_liabilities" localSheetId="28">#REF!</definedName>
    <definedName name="Foreign_liabilities" localSheetId="12">#REF!</definedName>
    <definedName name="Foreign_liabilities" localSheetId="19">#REF!</definedName>
    <definedName name="Foreign_liabilities" localSheetId="20">#REF!</definedName>
    <definedName name="Foreign_liabilities" localSheetId="3">#REF!</definedName>
    <definedName name="Foreign_liabilities">#REF!</definedName>
    <definedName name="FrequencyList" localSheetId="7">'[12]Report Form'!$F$4:$F$8</definedName>
    <definedName name="FrequencyList" localSheetId="8">'[12]Report Form'!$F$4:$F$8</definedName>
    <definedName name="FrequencyList">'[12]Report Form'!$F$4:$F$8</definedName>
    <definedName name="frt" localSheetId="12" hidden="1">{"'előző év december'!$A$2:$CP$214"}</definedName>
    <definedName name="frt" hidden="1">{"'előző év december'!$A$2:$CP$214"}</definedName>
    <definedName name="fthf" localSheetId="12" hidden="1">{"'előző év december'!$A$2:$CP$214"}</definedName>
    <definedName name="fthf" hidden="1">{"'előző év december'!$A$2:$CP$214"}</definedName>
    <definedName name="fuh" localSheetId="12" hidden="1">{#N/A,#N/A,FALSE,"т02бд"}</definedName>
    <definedName name="fuh" localSheetId="8" hidden="1">{#N/A,#N/A,FALSE,"т02бд"}</definedName>
    <definedName name="fuh" hidden="1">{#N/A,#N/A,FALSE,"т02бд"}</definedName>
    <definedName name="fx" localSheetId="12" hidden="1">{#N/A,#N/A,FALSE,"т02бд"}</definedName>
    <definedName name="fx" localSheetId="8" hidden="1">{#N/A,#N/A,FALSE,"т02бд"}</definedName>
    <definedName name="fx" hidden="1">{#N/A,#N/A,FALSE,"т02бд"}</definedName>
    <definedName name="g" localSheetId="7">#REF!</definedName>
    <definedName name="g" localSheetId="12" hidden="1">{"'előző év december'!$A$2:$CP$214"}</definedName>
    <definedName name="g" localSheetId="8">#REF!</definedName>
    <definedName name="g" hidden="1">{"'előző év december'!$A$2:$CP$214"}</definedName>
    <definedName name="g7.2" localSheetId="10" hidden="1">{#N/A,#N/A,FALSE,"т04"}</definedName>
    <definedName name="g7.2" localSheetId="7" hidden="1">{#N/A,#N/A,FALSE,"т04"}</definedName>
    <definedName name="g7.2" localSheetId="12" hidden="1">{#N/A,#N/A,FALSE,"т04"}</definedName>
    <definedName name="g7.2" localSheetId="20" hidden="1">{#N/A,#N/A,FALSE,"т04"}</definedName>
    <definedName name="g7.2" localSheetId="3" hidden="1">{#N/A,#N/A,FALSE,"т04"}</definedName>
    <definedName name="g7.2" localSheetId="8" hidden="1">{#N/A,#N/A,FALSE,"т04"}</definedName>
    <definedName name="g7.2" localSheetId="2" hidden="1">{#N/A,#N/A,FALSE,"т04"}</definedName>
    <definedName name="g7.2" hidden="1">{#N/A,#N/A,FALSE,"т04"}</definedName>
    <definedName name="Gabor" localSheetId="12" hidden="1">{"'előző év december'!$A$2:$CP$214"}</definedName>
    <definedName name="Gabor" hidden="1">{"'előző év december'!$A$2:$CP$214"}</definedName>
    <definedName name="GDP" localSheetId="10">#REF!</definedName>
    <definedName name="GDP" localSheetId="7">[6]C!$L$6</definedName>
    <definedName name="GDP" localSheetId="12">#REF!</definedName>
    <definedName name="GDP" localSheetId="8">[6]C!$L$6</definedName>
    <definedName name="GDP">#REF!</definedName>
    <definedName name="GDP_F">[2]Links!$T$2</definedName>
    <definedName name="GDP_P">[2]Links!$X$2</definedName>
    <definedName name="GDPDme">[2]Links!$R$20</definedName>
    <definedName name="GDPgrowth" localSheetId="26">#REF!</definedName>
    <definedName name="GDPgrowth" localSheetId="28">#REF!</definedName>
    <definedName name="GDPgrowth" localSheetId="12">#REF!</definedName>
    <definedName name="GDPgrowth" localSheetId="19">#REF!</definedName>
    <definedName name="GDPgrowth" localSheetId="20">#REF!</definedName>
    <definedName name="GDPgrowth" localSheetId="3">#REF!</definedName>
    <definedName name="GDPgrowth">#REF!</definedName>
    <definedName name="GDPM">[2]Links!$J$12</definedName>
    <definedName name="GDPM_f">[2]Links!#REF!</definedName>
    <definedName name="GDPMNC_f">[2]Links!#REF!</definedName>
    <definedName name="GDPMY">[2]Links!$J$22</definedName>
    <definedName name="GDPNC_f">[2]Links!#REF!</definedName>
    <definedName name="GDPR">[6]C!$L$7</definedName>
    <definedName name="GDPR_F">[2]Links!$T$19</definedName>
    <definedName name="GDPR_P">[2]Links!$X$3</definedName>
    <definedName name="GDPRG_f">[2]Links!#REF!</definedName>
    <definedName name="GDPRM">[2]Links!$R$2</definedName>
    <definedName name="GDPRM_f">[2]Links!#REF!</definedName>
    <definedName name="GDPRMG_f">[2]Links!#REF!</definedName>
    <definedName name="GDPRMOC_f">[2]Links!#REF!</definedName>
    <definedName name="GDPRNC_f">[2]Links!#REF!</definedName>
    <definedName name="GDPY">[2]Links!$J$7</definedName>
    <definedName name="gg" localSheetId="12" hidden="1">{"'előző év december'!$A$2:$CP$214"}</definedName>
    <definedName name="gg" hidden="1">{"'előző év december'!$A$2:$CP$214"}</definedName>
    <definedName name="ggg" localSheetId="7" hidden="1">{#N/A,#N/A,FALSE,"т02бд"}</definedName>
    <definedName name="ggg" localSheetId="12" hidden="1">{#N/A,#N/A,FALSE,"т02бд"}</definedName>
    <definedName name="ggg" localSheetId="8" hidden="1">{#N/A,#N/A,FALSE,"т02бд"}</definedName>
    <definedName name="ggg" hidden="1">{#N/A,#N/A,FALSE,"т02бд"}</definedName>
    <definedName name="ggg_2" localSheetId="12" hidden="1">{#N/A,#N/A,FALSE,"т02бд"}</definedName>
    <definedName name="ggg_2" localSheetId="8" hidden="1">{#N/A,#N/A,FALSE,"т02бд"}</definedName>
    <definedName name="ggg_2" hidden="1">{#N/A,#N/A,FALSE,"т02бд"}</definedName>
    <definedName name="ggg_2_1" localSheetId="12" hidden="1">{#N/A,#N/A,FALSE,"т02бд"}</definedName>
    <definedName name="ggg_2_1" localSheetId="8" hidden="1">{#N/A,#N/A,FALSE,"т02бд"}</definedName>
    <definedName name="ggg_2_1" hidden="1">{#N/A,#N/A,FALSE,"т02бд"}</definedName>
    <definedName name="gggg" localSheetId="12" hidden="1">{"'előző év december'!$A$2:$CP$214"}</definedName>
    <definedName name="gggg" hidden="1">{"'előző év december'!$A$2:$CP$214"}</definedName>
    <definedName name="gggggg" localSheetId="7" hidden="1">{#N/A,#N/A,FALSE,"т02бд"}</definedName>
    <definedName name="gggggg" localSheetId="12" hidden="1">{#N/A,#N/A,FALSE,"т02бд"}</definedName>
    <definedName name="gggggg" localSheetId="8" hidden="1">{#N/A,#N/A,FALSE,"т02бд"}</definedName>
    <definedName name="gggggg" hidden="1">{#N/A,#N/A,FALSE,"т02бд"}</definedName>
    <definedName name="gggggg_2" localSheetId="12" hidden="1">{#N/A,#N/A,FALSE,"т02бд"}</definedName>
    <definedName name="gggggg_2" localSheetId="8" hidden="1">{#N/A,#N/A,FALSE,"т02бд"}</definedName>
    <definedName name="gggggg_2" hidden="1">{#N/A,#N/A,FALSE,"т02бд"}</definedName>
    <definedName name="gggggg_2_1" localSheetId="12" hidden="1">{#N/A,#N/A,FALSE,"т02бд"}</definedName>
    <definedName name="gggggg_2_1" localSheetId="8" hidden="1">{#N/A,#N/A,FALSE,"т02бд"}</definedName>
    <definedName name="gggggg_2_1" hidden="1">{#N/A,#N/A,FALSE,"т02бд"}</definedName>
    <definedName name="gh" localSheetId="12" hidden="1">{"'előző év december'!$A$2:$CP$214"}</definedName>
    <definedName name="gh" hidden="1">{"'előző év december'!$A$2:$CP$214"}</definedName>
    <definedName name="ghghg" localSheetId="7" hidden="1">{#N/A,#N/A,FALSE,"т02бд"}</definedName>
    <definedName name="ghghg" localSheetId="12" hidden="1">{#N/A,#N/A,FALSE,"т02бд"}</definedName>
    <definedName name="ghghg" localSheetId="8" hidden="1">{#N/A,#N/A,FALSE,"т02бд"}</definedName>
    <definedName name="ghghg" hidden="1">{#N/A,#N/A,FALSE,"т02бд"}</definedName>
    <definedName name="ghghg_2" localSheetId="12" hidden="1">{#N/A,#N/A,FALSE,"т02бд"}</definedName>
    <definedName name="ghghg_2" localSheetId="8" hidden="1">{#N/A,#N/A,FALSE,"т02бд"}</definedName>
    <definedName name="ghghg_2" hidden="1">{#N/A,#N/A,FALSE,"т02бд"}</definedName>
    <definedName name="ghghg_2_1" localSheetId="12" hidden="1">{#N/A,#N/A,FALSE,"т02бд"}</definedName>
    <definedName name="ghghg_2_1" localSheetId="8" hidden="1">{#N/A,#N/A,FALSE,"т02бд"}</definedName>
    <definedName name="ghghg_2_1" hidden="1">{#N/A,#N/A,FALSE,"т02бд"}</definedName>
    <definedName name="ghghghg" localSheetId="7" hidden="1">{#N/A,#N/A,FALSE,"т02бд"}</definedName>
    <definedName name="ghghghg" localSheetId="12" hidden="1">{#N/A,#N/A,FALSE,"т02бд"}</definedName>
    <definedName name="ghghghg" localSheetId="8" hidden="1">{#N/A,#N/A,FALSE,"т02бд"}</definedName>
    <definedName name="ghghghg" hidden="1">{#N/A,#N/A,FALSE,"т02бд"}</definedName>
    <definedName name="ghghghg_2" localSheetId="12" hidden="1">{#N/A,#N/A,FALSE,"т02бд"}</definedName>
    <definedName name="ghghghg_2" localSheetId="8" hidden="1">{#N/A,#N/A,FALSE,"т02бд"}</definedName>
    <definedName name="ghghghg_2" hidden="1">{#N/A,#N/A,FALSE,"т02бд"}</definedName>
    <definedName name="ghghghg_2_1" localSheetId="12" hidden="1">{#N/A,#N/A,FALSE,"т02бд"}</definedName>
    <definedName name="ghghghg_2_1" localSheetId="8" hidden="1">{#N/A,#N/A,FALSE,"т02бд"}</definedName>
    <definedName name="ghghghg_2_1" hidden="1">{#N/A,#N/A,FALSE,"т02бд"}</definedName>
    <definedName name="ghj" localSheetId="12" hidden="1">{"'előző év december'!$A$2:$CP$214"}</definedName>
    <definedName name="ghj" hidden="1">{"'előző év december'!$A$2:$CP$214"}</definedName>
    <definedName name="GNC">[2]Links!$J$5</definedName>
    <definedName name="GNC_F">[2]Links!$T$5</definedName>
    <definedName name="GNCM">[2]Links!$J$15</definedName>
    <definedName name="GNCMY">[2]Links!$J$25</definedName>
    <definedName name="GNCR">[2]Links!$R$10</definedName>
    <definedName name="GNCR_F">[2]Links!$T$22</definedName>
    <definedName name="GNCRM">[2]Links!$R$5</definedName>
    <definedName name="GNCRMY">[2]Links!#REF!</definedName>
    <definedName name="GNCY">[2]Links!$J$10</definedName>
    <definedName name="God">[8]C!$E$3</definedName>
    <definedName name="GOODS_f">[2]Links!#REF!</definedName>
    <definedName name="GRANT_f">[2]Links!#REF!</definedName>
    <definedName name="Gross_reserves" localSheetId="26">#REF!</definedName>
    <definedName name="Gross_reserves" localSheetId="28">#REF!</definedName>
    <definedName name="Gross_reserves" localSheetId="12">#REF!</definedName>
    <definedName name="Gross_reserves" localSheetId="19">#REF!</definedName>
    <definedName name="Gross_reserves" localSheetId="20">#REF!</definedName>
    <definedName name="Gross_reserves" localSheetId="3">#REF!</definedName>
    <definedName name="Gross_reserves">#REF!</definedName>
    <definedName name="HERE" localSheetId="26">#REF!</definedName>
    <definedName name="HERE" localSheetId="28">#REF!</definedName>
    <definedName name="HERE" localSheetId="12">#REF!</definedName>
    <definedName name="HERE" localSheetId="19">#REF!</definedName>
    <definedName name="HERE" localSheetId="20">#REF!</definedName>
    <definedName name="HERE" localSheetId="3">#REF!</definedName>
    <definedName name="HERE">#REF!</definedName>
    <definedName name="hgf" localSheetId="12" hidden="1">{"'előző év december'!$A$2:$CP$214"}</definedName>
    <definedName name="hgf" hidden="1">{"'előző év december'!$A$2:$CP$214"}</definedName>
    <definedName name="hgj" localSheetId="7" hidden="1">{#N/A,#N/A,FALSE,"т02бд"}</definedName>
    <definedName name="hgj" localSheetId="12" hidden="1">{#N/A,#N/A,FALSE,"т02бд"}</definedName>
    <definedName name="hgj" localSheetId="8" hidden="1">{#N/A,#N/A,FALSE,"т02бд"}</definedName>
    <definedName name="hgj" hidden="1">{#N/A,#N/A,FALSE,"т02бд"}</definedName>
    <definedName name="hgj_1" localSheetId="12" hidden="1">{#N/A,#N/A,FALSE,"т02бд"}</definedName>
    <definedName name="hgj_1" localSheetId="8" hidden="1">{#N/A,#N/A,FALSE,"т02бд"}</definedName>
    <definedName name="hgj_1" hidden="1">{#N/A,#N/A,FALSE,"т02бд"}</definedName>
    <definedName name="hgj_2" localSheetId="12" hidden="1">{#N/A,#N/A,FALSE,"т02бд"}</definedName>
    <definedName name="hgj_2" localSheetId="8" hidden="1">{#N/A,#N/A,FALSE,"т02бд"}</definedName>
    <definedName name="hgj_2" hidden="1">{#N/A,#N/A,FALSE,"т02бд"}</definedName>
    <definedName name="hgjghj" localSheetId="12" hidden="1">{"'előző év december'!$A$2:$CP$214"}</definedName>
    <definedName name="hgjghj" hidden="1">{"'előző év december'!$A$2:$CP$214"}</definedName>
    <definedName name="hhhhhhhhhhhhhhhh" localSheetId="12" hidden="1">{"'előző év december'!$A$2:$CP$214"}</definedName>
    <definedName name="hhhhhhhhhhhhhhhh" hidden="1">{"'előző év december'!$A$2:$CP$214"}</definedName>
    <definedName name="hj" localSheetId="7" hidden="1">{#N/A,#N/A,FALSE,"т02бд"}</definedName>
    <definedName name="hj" localSheetId="12" hidden="1">{#N/A,#N/A,FALSE,"т02бд"}</definedName>
    <definedName name="hj" localSheetId="8" hidden="1">{#N/A,#N/A,FALSE,"т02бд"}</definedName>
    <definedName name="hj" hidden="1">{#N/A,#N/A,FALSE,"т02бд"}</definedName>
    <definedName name="hj_1" localSheetId="12" hidden="1">{#N/A,#N/A,FALSE,"т02бд"}</definedName>
    <definedName name="hj_1" localSheetId="8" hidden="1">{#N/A,#N/A,FALSE,"т02бд"}</definedName>
    <definedName name="hj_1" hidden="1">{#N/A,#N/A,FALSE,"т02бд"}</definedName>
    <definedName name="hj_2" localSheetId="12" hidden="1">{#N/A,#N/A,FALSE,"т02бд"}</definedName>
    <definedName name="hj_2" localSheetId="8" hidden="1">{#N/A,#N/A,FALSE,"т02бд"}</definedName>
    <definedName name="hj_2" hidden="1">{#N/A,#N/A,FALSE,"т02бд"}</definedName>
    <definedName name="ht" localSheetId="12" hidden="1">{"'előző év december'!$A$2:$CP$214"}</definedName>
    <definedName name="ht" hidden="1">{"'előző év december'!$A$2:$CP$214"}</definedName>
    <definedName name="HTML_CodePage" hidden="1">1250</definedName>
    <definedName name="HTML_Control" localSheetId="12" hidden="1">{"'előző év december'!$A$2:$CP$214"}</definedName>
    <definedName name="HTML_Control" hidden="1">{"'előző év december'!$A$2:$CP$214"}</definedName>
    <definedName name="HTML_Control_2" localSheetId="12" hidden="1">{"'Всего'!$A$1:$F$19"}</definedName>
    <definedName name="HTML_Control_2" hidden="1">{"'Всего'!$A$1:$F$19"}</definedName>
    <definedName name="HTML_Control_3" localSheetId="12" hidden="1">{"'Всего'!$A$1:$F$19"}</definedName>
    <definedName name="HTML_Control_3" hidden="1">{"'Всего'!$A$1:$F$19"}</definedName>
    <definedName name="HTML_Control_4" localSheetId="12" hidden="1">{"'Всего'!$A$1:$F$19"}</definedName>
    <definedName name="HTML_Control_4" hidden="1">{"'Всего'!$A$1:$F$19"}</definedName>
    <definedName name="HTML_Control1" localSheetId="12" hidden="1">{"'Всего'!$A$1:$F$19"}</definedName>
    <definedName name="HTML_Control1" hidden="1">{"'Всего'!$A$1:$F$19"}</definedName>
    <definedName name="HTML_Controll2" localSheetId="12" hidden="1">{"'előző év december'!$A$2:$CP$214"}</definedName>
    <definedName name="HTML_Controll2" hidden="1">{"'előző év december'!$A$2:$CP$214"}</definedName>
    <definedName name="HTML_Description" hidden="1">""</definedName>
    <definedName name="HTML_Email" hidden="1">""</definedName>
    <definedName name="html_f" localSheetId="12" hidden="1">{"'előző év december'!$A$2:$CP$214"}</definedName>
    <definedName name="html_f" hidden="1">{"'előző év december'!$A$2:$CP$214"}</definedName>
    <definedName name="HTML_Header" hidden="1">"előző év december"</definedName>
    <definedName name="HTML_LastUpdate" hidden="1">"9/16/99"</definedName>
    <definedName name="HTML_LineAfter" hidden="1">FALSE</definedName>
    <definedName name="HTML_LineBefore" hidden="1">FALSE</definedName>
    <definedName name="HTML_Name" hidden="1">"gasparj"</definedName>
    <definedName name="HTML_OBDlg2" hidden="1">TRUE</definedName>
    <definedName name="HTML_OBDlg4" hidden="1">TRUE</definedName>
    <definedName name="HTML_OS" hidden="1">0</definedName>
    <definedName name="HTML_PathFile" hidden="1">"I:\Fogyar\CpiCSO\MyHTML.htm"</definedName>
    <definedName name="HTML_Title" hidden="1">"CPI160total"</definedName>
    <definedName name="HTML1_1" hidden="1">"'[where 16-18 final data.xls]18 emp M'!$F$6:$H$9"</definedName>
    <definedName name="HTML1_10" hidden="1">""</definedName>
    <definedName name="HTML1_11" hidden="1">1</definedName>
    <definedName name="HTML1_12" hidden="1">"G:\workareas\whereabouts\Where99\MyHTML.htm"</definedName>
    <definedName name="HTML1_2" hidden="1">1</definedName>
    <definedName name="HTML1_3" hidden="1">"where 16-18 final data"</definedName>
    <definedName name="HTML1_4" hidden="1">"18 emp M"</definedName>
    <definedName name="HTML1_5" hidden="1">""</definedName>
    <definedName name="HTML1_6" hidden="1">-4146</definedName>
    <definedName name="HTML1_7" hidden="1">-4146</definedName>
    <definedName name="HTML1_8" hidden="1">"16/06/1999"</definedName>
    <definedName name="HTML1_9" hidden="1">"ISD New Desktop"</definedName>
    <definedName name="HTMLCount" hidden="1">1</definedName>
    <definedName name="i" localSheetId="7" hidden="1">{#N/A,#N/A,FALSE,"т02бд"}</definedName>
    <definedName name="i" localSheetId="12" hidden="1">{#N/A,#N/A,FALSE,"т02бд"}</definedName>
    <definedName name="i" localSheetId="8" hidden="1">{#N/A,#N/A,FALSE,"т02бд"}</definedName>
    <definedName name="i" hidden="1">{#N/A,#N/A,FALSE,"т02бд"}</definedName>
    <definedName name="i_1" localSheetId="12" hidden="1">{#N/A,#N/A,FALSE,"т02бд"}</definedName>
    <definedName name="i_1" localSheetId="8" hidden="1">{#N/A,#N/A,FALSE,"т02бд"}</definedName>
    <definedName name="i_1" hidden="1">{#N/A,#N/A,FALSE,"т02бд"}</definedName>
    <definedName name="i_2" localSheetId="12" hidden="1">{#N/A,#N/A,FALSE,"т02бд"}</definedName>
    <definedName name="i_2" localSheetId="8" hidden="1">{#N/A,#N/A,FALSE,"т02бд"}</definedName>
    <definedName name="i_2" hidden="1">{#N/A,#N/A,FALSE,"т02бд"}</definedName>
    <definedName name="IGS">[6]C!$L$42</definedName>
    <definedName name="IGS_P">[2]Links!$X$36</definedName>
    <definedName name="IGSG">[2]Links!$Z$38</definedName>
    <definedName name="IGSM">[2]Links!$Z$19</definedName>
    <definedName name="IGSMG">[2]Links!$Z$35</definedName>
    <definedName name="IGSY">[2]Links!$V$16</definedName>
    <definedName name="IGSYG">[2]Links!$V$19</definedName>
    <definedName name="In_millions_of_lei" localSheetId="26">#REF!</definedName>
    <definedName name="In_millions_of_lei" localSheetId="28">#REF!</definedName>
    <definedName name="In_millions_of_lei" localSheetId="7">#REF!</definedName>
    <definedName name="In_millions_of_lei" localSheetId="12">#REF!</definedName>
    <definedName name="In_millions_of_lei" localSheetId="8">#REF!</definedName>
    <definedName name="In_millions_of_lei">#REF!</definedName>
    <definedName name="In_millions_of_U.S._dollars" localSheetId="26">#REF!</definedName>
    <definedName name="In_millions_of_U.S._dollars" localSheetId="28">#REF!</definedName>
    <definedName name="In_millions_of_U.S._dollars" localSheetId="12">#REF!</definedName>
    <definedName name="In_millions_of_U.S._dollars">#REF!</definedName>
    <definedName name="INC">[2]Links!$L$2</definedName>
    <definedName name="INC_F">[2]Links!$T$14</definedName>
    <definedName name="INCBAL_f">[2]Links!#REF!</definedName>
    <definedName name="INCC">[2]Links!$L$14</definedName>
    <definedName name="INCC_f">[2]Links!#REF!</definedName>
    <definedName name="INCCP">[2]Links!$L$18</definedName>
    <definedName name="INCCURR_f">[2]Links!#REF!</definedName>
    <definedName name="INCM">[2]Links!$L$6</definedName>
    <definedName name="INCO_f">[2]Links!#REF!</definedName>
    <definedName name="INCRCY">[2]Links!$L$38</definedName>
    <definedName name="INCRM">[2]Links!$L$26</definedName>
    <definedName name="IND">[6]C!$L$12</definedName>
    <definedName name="IND_F">[2]Links!$T$3</definedName>
    <definedName name="IND_P">[2]Links!$X$8</definedName>
    <definedName name="INDM">[2]Links!$J$13</definedName>
    <definedName name="INDMY">[2]Links!$J$23</definedName>
    <definedName name="INDR">[6]C!$L$13</definedName>
    <definedName name="INDR_F">[2]Links!$T$20</definedName>
    <definedName name="INDR_P">[2]Links!$X$9</definedName>
    <definedName name="INDRM">[2]Links!$R$3</definedName>
    <definedName name="INDRMY">[2]Links!#REF!</definedName>
    <definedName name="INDY">[2]Links!$J$8</definedName>
    <definedName name="IQ_ADDIN" hidden="1">"AUTO"</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localSheetId="7" hidden="1">"09/14/2015 12:48:03"</definedName>
    <definedName name="IQ_NAMES_REVISION_DATE_" localSheetId="8" hidden="1">"09/14/2015 12:48:03"</definedName>
    <definedName name="IQ_NAMES_REVISION_DATE_" hidden="1">42178.3536111111</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item">[8]Graph!$A$2</definedName>
    <definedName name="jjjjjjjjjjjjj" localSheetId="12" hidden="1">{#N/A,#N/A,FALSE,"т04"}</definedName>
    <definedName name="jjjjjjjjjjjjj" hidden="1">{#N/A,#N/A,FALSE,"т04"}</definedName>
    <definedName name="jjk" localSheetId="12" hidden="1">{#N/A,#N/A,FALSE,"т02бд"}</definedName>
    <definedName name="jjk" hidden="1">{#N/A,#N/A,FALSE,"т02бд"}</definedName>
    <definedName name="jmki">#REF!</definedName>
    <definedName name="joe">#REF!</definedName>
    <definedName name="k" localSheetId="26" hidden="1">{"WEO",#N/A,FALSE,"T"}</definedName>
    <definedName name="k" localSheetId="16" hidden="1">{"WEO",#N/A,FALSE,"T"}</definedName>
    <definedName name="k" localSheetId="17" hidden="1">{"WEO",#N/A,FALSE,"T"}</definedName>
    <definedName name="k" localSheetId="22" hidden="1">{"WEO",#N/A,FALSE,"T"}</definedName>
    <definedName name="k" localSheetId="10" hidden="1">{"WEO",#N/A,FALSE,"T"}</definedName>
    <definedName name="k" localSheetId="28" hidden="1">{"WEO",#N/A,FALSE,"T"}</definedName>
    <definedName name="k" localSheetId="14" hidden="1">{"WEO",#N/A,FALSE,"T"}</definedName>
    <definedName name="k" localSheetId="7" hidden="1">{"WEO",#N/A,FALSE,"T"}</definedName>
    <definedName name="k" localSheetId="12" hidden="1">{"WEO",#N/A,FALSE,"T"}</definedName>
    <definedName name="k" localSheetId="19" hidden="1">{"WEO",#N/A,FALSE,"T"}</definedName>
    <definedName name="k" localSheetId="20" hidden="1">{"WEO",#N/A,FALSE,"T"}</definedName>
    <definedName name="k" localSheetId="3" hidden="1">{"WEO",#N/A,FALSE,"T"}</definedName>
    <definedName name="k" localSheetId="8" hidden="1">{"WEO",#N/A,FALSE,"T"}</definedName>
    <definedName name="k" localSheetId="2" hidden="1">{"WEO",#N/A,FALSE,"T"}</definedName>
    <definedName name="k" hidden="1">{"WEO",#N/A,FALSE,"T"}</definedName>
    <definedName name="k_1" localSheetId="12" hidden="1">{"WEO",#N/A,FALSE,"T"}</definedName>
    <definedName name="k_1" localSheetId="8" hidden="1">{"WEO",#N/A,FALSE,"T"}</definedName>
    <definedName name="k_1" hidden="1">{"WEO",#N/A,FALSE,"T"}</definedName>
    <definedName name="k_2" localSheetId="12" hidden="1">{"WEO",#N/A,FALSE,"T"}</definedName>
    <definedName name="k_2" localSheetId="8" hidden="1">{"WEO",#N/A,FALSE,"T"}</definedName>
    <definedName name="k_2" hidden="1">{"WEO",#N/A,FALSE,"T"}</definedName>
    <definedName name="KEND" localSheetId="26">#REF!</definedName>
    <definedName name="KEND" localSheetId="28">#REF!</definedName>
    <definedName name="KEND" localSheetId="12">#REF!</definedName>
    <definedName name="KEND" localSheetId="19">#REF!</definedName>
    <definedName name="KEND" localSheetId="20">#REF!</definedName>
    <definedName name="KEND" localSheetId="3">#REF!</definedName>
    <definedName name="KEND">#REF!</definedName>
    <definedName name="khjkj" localSheetId="12" hidden="1">{#N/A,#N/A,FALSE,"т02бд"}</definedName>
    <definedName name="khjkj" localSheetId="8" hidden="1">{#N/A,#N/A,FALSE,"т02бд"}</definedName>
    <definedName name="khjkj" hidden="1">{#N/A,#N/A,FALSE,"т02бд"}</definedName>
    <definedName name="kiki" localSheetId="12" hidden="1">{"'előző év december'!$A$2:$CP$214"}</definedName>
    <definedName name="kiki" hidden="1">{"'előző év december'!$A$2:$CP$214"}</definedName>
    <definedName name="kkjmk" localSheetId="12" hidden="1">{"titre",#N/A,TRUE,"Titre";"Synthèse",#N/A,TRUE,"Titre";"Synthèse Europe",#N/A,TRUE,"Titre";"Synthèse Amériques",#N/A,TRUE,"Titre";"Synthèse Asie + Total",#N/A,TRUE,"Titre";"budget Europe",#N/A,TRUE,"Titre";"budget Ameriques",#N/A,TRUE,"Titre";"budget Asie + Total",#N/A,TRUE,"Titre";"Couts Europe",#N/A,TRUE,"Titre";"Couts Ameriques",#N/A,TRUE,"Titre";"Ratio Europe",#N/A,TRUE,"Titre";"Couts Asie + Total",#N/A,TRUE,"Titre";"Ratio Ameriques",#N/A,TRUE,"Titre";"Ratio Asie + Total",#N/A,TRUE,"Titre";"CWA Europe",#N/A,TRUE,"Titre";"CWA Ameriques",#N/A,TRUE,"Titre";"CWA Asie + Total",#N/A,TRUE,"Titre";"provision",#N/A,TRUE,"Titre";"ROPE_RONE",#N/A,TRUE,"Titre";"Headcount",#N/A,TRUE,"Titre";"X-selling",#N/A,TRUE,"Titre"}</definedName>
    <definedName name="kkjmk" hidden="1">{"titre",#N/A,TRUE,"Titre";"Synthèse",#N/A,TRUE,"Titre";"Synthèse Europe",#N/A,TRUE,"Titre";"Synthèse Amériques",#N/A,TRUE,"Titre";"Synthèse Asie + Total",#N/A,TRUE,"Titre";"budget Europe",#N/A,TRUE,"Titre";"budget Ameriques",#N/A,TRUE,"Titre";"budget Asie + Total",#N/A,TRUE,"Titre";"Couts Europe",#N/A,TRUE,"Titre";"Couts Ameriques",#N/A,TRUE,"Titre";"Ratio Europe",#N/A,TRUE,"Titre";"Couts Asie + Total",#N/A,TRUE,"Titre";"Ratio Ameriques",#N/A,TRUE,"Titre";"Ratio Asie + Total",#N/A,TRUE,"Titre";"CWA Europe",#N/A,TRUE,"Titre";"CWA Ameriques",#N/A,TRUE,"Titre";"CWA Asie + Total",#N/A,TRUE,"Titre";"provision",#N/A,TRUE,"Titre";"ROPE_RONE",#N/A,TRUE,"Titre";"Headcount",#N/A,TRUE,"Titre";"X-selling",#N/A,TRUE,"Titre"}</definedName>
    <definedName name="kkk" localSheetId="7" hidden="1">{#N/A,#N/A,FALSE,"т02бд"}</definedName>
    <definedName name="kkk" localSheetId="12" hidden="1">{#N/A,#N/A,FALSE,"т02бд"}</definedName>
    <definedName name="kkk" localSheetId="8" hidden="1">{#N/A,#N/A,FALSE,"т02бд"}</definedName>
    <definedName name="kkk" hidden="1">{#N/A,#N/A,FALSE,"т02бд"}</definedName>
    <definedName name="kkk_1" localSheetId="12" hidden="1">{#N/A,#N/A,FALSE,"т02бд"}</definedName>
    <definedName name="kkk_1" localSheetId="8" hidden="1">{#N/A,#N/A,FALSE,"т02бд"}</definedName>
    <definedName name="kkk_1" hidden="1">{#N/A,#N/A,FALSE,"т02бд"}</definedName>
    <definedName name="kkk_2" localSheetId="12" hidden="1">{#N/A,#N/A,FALSE,"т02бд"}</definedName>
    <definedName name="kkk_2" localSheetId="8" hidden="1">{#N/A,#N/A,FALSE,"т02бд"}</definedName>
    <definedName name="kkk_2" hidden="1">{#N/A,#N/A,FALSE,"т02бд"}</definedName>
    <definedName name="kkkkk" localSheetId="7" hidden="1">{#N/A,#N/A,FALSE,"т02бд"}</definedName>
    <definedName name="kkkkk" localSheetId="12" hidden="1">{#N/A,#N/A,FALSE,"т02бд"}</definedName>
    <definedName name="kkkkk" localSheetId="8" hidden="1">{#N/A,#N/A,FALSE,"т02бд"}</definedName>
    <definedName name="kkkkk" hidden="1">{#N/A,#N/A,FALSE,"т02бд"}</definedName>
    <definedName name="kkkkk_1" localSheetId="12" hidden="1">{#N/A,#N/A,FALSE,"т02бд"}</definedName>
    <definedName name="kkkkk_1" localSheetId="8" hidden="1">{#N/A,#N/A,FALSE,"т02бд"}</definedName>
    <definedName name="kkkkk_1" hidden="1">{#N/A,#N/A,FALSE,"т02бд"}</definedName>
    <definedName name="kkkkk_2" localSheetId="12" hidden="1">{#N/A,#N/A,FALSE,"т02бд"}</definedName>
    <definedName name="kkkkk_2" localSheetId="8" hidden="1">{#N/A,#N/A,FALSE,"т02бд"}</definedName>
    <definedName name="kkkkk_2" hidden="1">{#N/A,#N/A,FALSE,"т02бд"}</definedName>
    <definedName name="KMENU" localSheetId="26">#REF!</definedName>
    <definedName name="KMENU" localSheetId="28">#REF!</definedName>
    <definedName name="KMENU" localSheetId="12">#REF!</definedName>
    <definedName name="KMENU" localSheetId="19">#REF!</definedName>
    <definedName name="KMENU" localSheetId="20">#REF!</definedName>
    <definedName name="KMENU" localSheetId="3">#REF!</definedName>
    <definedName name="KMENU">#REF!</definedName>
    <definedName name="kraz" localSheetId="12">#REF!</definedName>
    <definedName name="kraz">#REF!</definedName>
    <definedName name="kulker" localSheetId="12" hidden="1">{"'előző év december'!$A$2:$CP$214"}</definedName>
    <definedName name="kulker" hidden="1">{"'előző év december'!$A$2:$CP$214"}</definedName>
    <definedName name="kurs2001">'[13]2001'!$C$2:$AO$378</definedName>
    <definedName name="KV_SH_FIN" localSheetId="12" hidden="1">{"BOP_TAB",#N/A,FALSE,"N";"MIDTERM_TAB",#N/A,FALSE,"O";"FUND_CRED",#N/A,FALSE,"P";"DEBT_TAB1",#N/A,FALSE,"Q";"DEBT_TAB2",#N/A,FALSE,"Q";"FORFIN_TAB1",#N/A,FALSE,"R";"FORFIN_TAB2",#N/A,FALSE,"R";"BOP_ANALY",#N/A,FALSE,"U"}</definedName>
    <definedName name="KV_SH_FIN" localSheetId="8" hidden="1">{"BOP_TAB",#N/A,FALSE,"N";"MIDTERM_TAB",#N/A,FALSE,"O";"FUND_CRED",#N/A,FALSE,"P";"DEBT_TAB1",#N/A,FALSE,"Q";"DEBT_TAB2",#N/A,FALSE,"Q";"FORFIN_TAB1",#N/A,FALSE,"R";"FORFIN_TAB2",#N/A,FALSE,"R";"BOP_ANALY",#N/A,FALSE,"U"}</definedName>
    <definedName name="KV_SH_FIN" hidden="1">{"BOP_TAB",#N/A,FALSE,"N";"MIDTERM_TAB",#N/A,FALSE,"O";"FUND_CRED",#N/A,FALSE,"P";"DEBT_TAB1",#N/A,FALSE,"Q";"DEBT_TAB2",#N/A,FALSE,"Q";"FORFIN_TAB1",#N/A,FALSE,"R";"FORFIN_TAB2",#N/A,FALSE,"R";"BOP_ANALY",#N/A,FALSE,"U"}</definedName>
    <definedName name="KV_SH_FIN_2" localSheetId="12" hidden="1">{"BOP_TAB",#N/A,FALSE,"N";"MIDTERM_TAB",#N/A,FALSE,"O";"FUND_CRED",#N/A,FALSE,"P";"DEBT_TAB1",#N/A,FALSE,"Q";"DEBT_TAB2",#N/A,FALSE,"Q";"FORFIN_TAB1",#N/A,FALSE,"R";"FORFIN_TAB2",#N/A,FALSE,"R";"BOP_ANALY",#N/A,FALSE,"U"}</definedName>
    <definedName name="KV_SH_FIN_2" localSheetId="8" hidden="1">{"BOP_TAB",#N/A,FALSE,"N";"MIDTERM_TAB",#N/A,FALSE,"O";"FUND_CRED",#N/A,FALSE,"P";"DEBT_TAB1",#N/A,FALSE,"Q";"DEBT_TAB2",#N/A,FALSE,"Q";"FORFIN_TAB1",#N/A,FALSE,"R";"FORFIN_TAB2",#N/A,FALSE,"R";"BOP_ANALY",#N/A,FALSE,"U"}</definedName>
    <definedName name="KV_SH_FIN_2" hidden="1">{"BOP_TAB",#N/A,FALSE,"N";"MIDTERM_TAB",#N/A,FALSE,"O";"FUND_CRED",#N/A,FALSE,"P";"DEBT_TAB1",#N/A,FALSE,"Q";"DEBT_TAB2",#N/A,FALSE,"Q";"FORFIN_TAB1",#N/A,FALSE,"R";"FORFIN_TAB2",#N/A,FALSE,"R";"BOP_ANALY",#N/A,FALSE,"U"}</definedName>
    <definedName name="KV_SH_FIN_2_1" localSheetId="12" hidden="1">{"BOP_TAB",#N/A,FALSE,"N";"MIDTERM_TAB",#N/A,FALSE,"O";"FUND_CRED",#N/A,FALSE,"P";"DEBT_TAB1",#N/A,FALSE,"Q";"DEBT_TAB2",#N/A,FALSE,"Q";"FORFIN_TAB1",#N/A,FALSE,"R";"FORFIN_TAB2",#N/A,FALSE,"R";"BOP_ANALY",#N/A,FALSE,"U"}</definedName>
    <definedName name="KV_SH_FIN_2_1" localSheetId="8" hidden="1">{"BOP_TAB",#N/A,FALSE,"N";"MIDTERM_TAB",#N/A,FALSE,"O";"FUND_CRED",#N/A,FALSE,"P";"DEBT_TAB1",#N/A,FALSE,"Q";"DEBT_TAB2",#N/A,FALSE,"Q";"FORFIN_TAB1",#N/A,FALSE,"R";"FORFIN_TAB2",#N/A,FALSE,"R";"BOP_ANALY",#N/A,FALSE,"U"}</definedName>
    <definedName name="KV_SH_FIN_2_1" hidden="1">{"BOP_TAB",#N/A,FALSE,"N";"MIDTERM_TAB",#N/A,FALSE,"O";"FUND_CRED",#N/A,FALSE,"P";"DEBT_TAB1",#N/A,FALSE,"Q";"DEBT_TAB2",#N/A,FALSE,"Q";"FORFIN_TAB1",#N/A,FALSE,"R";"FORFIN_TAB2",#N/A,FALSE,"R";"BOP_ANALY",#N/A,FALSE,"U"}</definedName>
    <definedName name="lang">#REF!</definedName>
    <definedName name="LINE1_CURR">#REF!</definedName>
    <definedName name="LINE2_DAY_TOTAL">#REF!</definedName>
    <definedName name="LINE3_DAY">#REF!</definedName>
    <definedName name="LINE4_DAY_TOT">#REF!</definedName>
    <definedName name="LINE4_DAY_TOT1">#REF!</definedName>
    <definedName name="LINE4_DAY_TOT2">#REF!</definedName>
    <definedName name="LINE5_MONTH">#REF!</definedName>
    <definedName name="LINE6_MONTH_TOT">#REF!</definedName>
    <definedName name="LINE7_YEAR">#REF!</definedName>
    <definedName name="LINE8_YEAR_TOT">#REF!</definedName>
    <definedName name="LINE9_ALL_ALL">#REF!</definedName>
    <definedName name="liquidity_reserve" localSheetId="26">#REF!</definedName>
    <definedName name="liquidity_reserve" localSheetId="28">#REF!</definedName>
    <definedName name="liquidity_reserve" localSheetId="19">#REF!</definedName>
    <definedName name="liquidity_reserve" localSheetId="20">#REF!</definedName>
    <definedName name="liquidity_reserve" localSheetId="3">#REF!</definedName>
    <definedName name="liquidity_reserve">#REF!</definedName>
    <definedName name="List2">[6]Instructions!$B$71:$B$152</definedName>
    <definedName name="lk" localSheetId="7" hidden="1">{#N/A,#N/A,FALSE,"т02бд"}</definedName>
    <definedName name="lk" localSheetId="12" hidden="1">{#N/A,#N/A,FALSE,"т02бд"}</definedName>
    <definedName name="lk" localSheetId="8" hidden="1">{#N/A,#N/A,FALSE,"т02бд"}</definedName>
    <definedName name="lk" hidden="1">{#N/A,#N/A,FALSE,"т02бд"}</definedName>
    <definedName name="lk_1" localSheetId="12" hidden="1">{#N/A,#N/A,FALSE,"т02бд"}</definedName>
    <definedName name="lk_1" localSheetId="8" hidden="1">{#N/A,#N/A,FALSE,"т02бд"}</definedName>
    <definedName name="lk_1" hidden="1">{#N/A,#N/A,FALSE,"т02бд"}</definedName>
    <definedName name="lk_2" localSheetId="12" hidden="1">{#N/A,#N/A,FALSE,"т02бд"}</definedName>
    <definedName name="lk_2" localSheetId="8" hidden="1">{#N/A,#N/A,FALSE,"т02бд"}</definedName>
    <definedName name="lk_2" hidden="1">{#N/A,#N/A,FALSE,"т02бд"}</definedName>
    <definedName name="ll" localSheetId="7" hidden="1">{#N/A,#N/A,FALSE,"Лист4"}</definedName>
    <definedName name="ll" localSheetId="12" hidden="1">{#N/A,#N/A,FALSE,"Лист4"}</definedName>
    <definedName name="ll" localSheetId="8" hidden="1">{#N/A,#N/A,FALSE,"Лист4"}</definedName>
    <definedName name="ll" hidden="1">{#N/A,#N/A,FALSE,"Лист4"}</definedName>
    <definedName name="lll" localSheetId="7" hidden="1">{#N/A,#N/A,FALSE,"т02бд"}</definedName>
    <definedName name="lll" localSheetId="12" hidden="1">{#N/A,#N/A,FALSE,"т02бд"}</definedName>
    <definedName name="lll" localSheetId="8" hidden="1">{#N/A,#N/A,FALSE,"т02бд"}</definedName>
    <definedName name="lll" hidden="1">{#N/A,#N/A,FALSE,"т02бд"}</definedName>
    <definedName name="lll_2" localSheetId="12" hidden="1">{#N/A,#N/A,FALSE,"т02бд"}</definedName>
    <definedName name="lll_2" localSheetId="8" hidden="1">{#N/A,#N/A,FALSE,"т02бд"}</definedName>
    <definedName name="lll_2" hidden="1">{#N/A,#N/A,FALSE,"т02бд"}</definedName>
    <definedName name="lll_2_1" localSheetId="12" hidden="1">{#N/A,#N/A,FALSE,"т02бд"}</definedName>
    <definedName name="lll_2_1" localSheetId="8" hidden="1">{#N/A,#N/A,FALSE,"т02бд"}</definedName>
    <definedName name="lll_2_1" hidden="1">{#N/A,#N/A,FALSE,"т02бд"}</definedName>
    <definedName name="Local" localSheetId="26">#REF!</definedName>
    <definedName name="Local" localSheetId="28">#REF!</definedName>
    <definedName name="Local" localSheetId="7">#REF!</definedName>
    <definedName name="Local" localSheetId="12">#REF!</definedName>
    <definedName name="Local" localSheetId="8">#REF!</definedName>
    <definedName name="Local">#REF!</definedName>
    <definedName name="LOOKUPMTH" localSheetId="12">#REF!</definedName>
    <definedName name="LOOKUPMTH">#REF!</definedName>
    <definedName name="m" localSheetId="26" hidden="1">{#N/A,#N/A,FALSE,"I";#N/A,#N/A,FALSE,"J";#N/A,#N/A,FALSE,"K";#N/A,#N/A,FALSE,"L";#N/A,#N/A,FALSE,"M";#N/A,#N/A,FALSE,"N";#N/A,#N/A,FALSE,"O"}</definedName>
    <definedName name="m" localSheetId="16" hidden="1">{#N/A,#N/A,FALSE,"I";#N/A,#N/A,FALSE,"J";#N/A,#N/A,FALSE,"K";#N/A,#N/A,FALSE,"L";#N/A,#N/A,FALSE,"M";#N/A,#N/A,FALSE,"N";#N/A,#N/A,FALSE,"O"}</definedName>
    <definedName name="m" localSheetId="17" hidden="1">{#N/A,#N/A,FALSE,"I";#N/A,#N/A,FALSE,"J";#N/A,#N/A,FALSE,"K";#N/A,#N/A,FALSE,"L";#N/A,#N/A,FALSE,"M";#N/A,#N/A,FALSE,"N";#N/A,#N/A,FALSE,"O"}</definedName>
    <definedName name="m" localSheetId="22" hidden="1">{#N/A,#N/A,FALSE,"I";#N/A,#N/A,FALSE,"J";#N/A,#N/A,FALSE,"K";#N/A,#N/A,FALSE,"L";#N/A,#N/A,FALSE,"M";#N/A,#N/A,FALSE,"N";#N/A,#N/A,FALSE,"O"}</definedName>
    <definedName name="m" localSheetId="10" hidden="1">{#N/A,#N/A,FALSE,"I";#N/A,#N/A,FALSE,"J";#N/A,#N/A,FALSE,"K";#N/A,#N/A,FALSE,"L";#N/A,#N/A,FALSE,"M";#N/A,#N/A,FALSE,"N";#N/A,#N/A,FALSE,"O"}</definedName>
    <definedName name="m" localSheetId="28" hidden="1">{#N/A,#N/A,FALSE,"I";#N/A,#N/A,FALSE,"J";#N/A,#N/A,FALSE,"K";#N/A,#N/A,FALSE,"L";#N/A,#N/A,FALSE,"M";#N/A,#N/A,FALSE,"N";#N/A,#N/A,FALSE,"O"}</definedName>
    <definedName name="m" localSheetId="14" hidden="1">{#N/A,#N/A,FALSE,"I";#N/A,#N/A,FALSE,"J";#N/A,#N/A,FALSE,"K";#N/A,#N/A,FALSE,"L";#N/A,#N/A,FALSE,"M";#N/A,#N/A,FALSE,"N";#N/A,#N/A,FALSE,"O"}</definedName>
    <definedName name="m" localSheetId="7" hidden="1">{#N/A,#N/A,FALSE,"I";#N/A,#N/A,FALSE,"J";#N/A,#N/A,FALSE,"K";#N/A,#N/A,FALSE,"L";#N/A,#N/A,FALSE,"M";#N/A,#N/A,FALSE,"N";#N/A,#N/A,FALSE,"O"}</definedName>
    <definedName name="m" localSheetId="12" hidden="1">{#N/A,#N/A,FALSE,"I";#N/A,#N/A,FALSE,"J";#N/A,#N/A,FALSE,"K";#N/A,#N/A,FALSE,"L";#N/A,#N/A,FALSE,"M";#N/A,#N/A,FALSE,"N";#N/A,#N/A,FALSE,"O"}</definedName>
    <definedName name="m" localSheetId="19" hidden="1">{#N/A,#N/A,FALSE,"I";#N/A,#N/A,FALSE,"J";#N/A,#N/A,FALSE,"K";#N/A,#N/A,FALSE,"L";#N/A,#N/A,FALSE,"M";#N/A,#N/A,FALSE,"N";#N/A,#N/A,FALSE,"O"}</definedName>
    <definedName name="m" localSheetId="20" hidden="1">{#N/A,#N/A,FALSE,"I";#N/A,#N/A,FALSE,"J";#N/A,#N/A,FALSE,"K";#N/A,#N/A,FALSE,"L";#N/A,#N/A,FALSE,"M";#N/A,#N/A,FALSE,"N";#N/A,#N/A,FALSE,"O"}</definedName>
    <definedName name="m" localSheetId="3" hidden="1">{#N/A,#N/A,FALSE,"I";#N/A,#N/A,FALSE,"J";#N/A,#N/A,FALSE,"K";#N/A,#N/A,FALSE,"L";#N/A,#N/A,FALSE,"M";#N/A,#N/A,FALSE,"N";#N/A,#N/A,FALSE,"O"}</definedName>
    <definedName name="m" localSheetId="8" hidden="1">{#N/A,#N/A,FALSE,"I";#N/A,#N/A,FALSE,"J";#N/A,#N/A,FALSE,"K";#N/A,#N/A,FALSE,"L";#N/A,#N/A,FALSE,"M";#N/A,#N/A,FALSE,"N";#N/A,#N/A,FALSE,"O"}</definedName>
    <definedName name="m" localSheetId="2" hidden="1">{#N/A,#N/A,FALSE,"I";#N/A,#N/A,FALSE,"J";#N/A,#N/A,FALSE,"K";#N/A,#N/A,FALSE,"L";#N/A,#N/A,FALSE,"M";#N/A,#N/A,FALSE,"N";#N/A,#N/A,FALSE,"O"}</definedName>
    <definedName name="m" hidden="1">{#N/A,#N/A,FALSE,"I";#N/A,#N/A,FALSE,"J";#N/A,#N/A,FALSE,"K";#N/A,#N/A,FALSE,"L";#N/A,#N/A,FALSE,"M";#N/A,#N/A,FALSE,"N";#N/A,#N/A,FALSE,"O"}</definedName>
    <definedName name="m_1" localSheetId="12" hidden="1">{#N/A,#N/A,FALSE,"I";#N/A,#N/A,FALSE,"J";#N/A,#N/A,FALSE,"K";#N/A,#N/A,FALSE,"L";#N/A,#N/A,FALSE,"M";#N/A,#N/A,FALSE,"N";#N/A,#N/A,FALSE,"O"}</definedName>
    <definedName name="m_1" localSheetId="8" hidden="1">{#N/A,#N/A,FALSE,"I";#N/A,#N/A,FALSE,"J";#N/A,#N/A,FALSE,"K";#N/A,#N/A,FALSE,"L";#N/A,#N/A,FALSE,"M";#N/A,#N/A,FALSE,"N";#N/A,#N/A,FALSE,"O"}</definedName>
    <definedName name="m_1" hidden="1">{#N/A,#N/A,FALSE,"I";#N/A,#N/A,FALSE,"J";#N/A,#N/A,FALSE,"K";#N/A,#N/A,FALSE,"L";#N/A,#N/A,FALSE,"M";#N/A,#N/A,FALSE,"N";#N/A,#N/A,FALSE,"O"}</definedName>
    <definedName name="m_2" localSheetId="12" hidden="1">{#N/A,#N/A,FALSE,"I";#N/A,#N/A,FALSE,"J";#N/A,#N/A,FALSE,"K";#N/A,#N/A,FALSE,"L";#N/A,#N/A,FALSE,"M";#N/A,#N/A,FALSE,"N";#N/A,#N/A,FALSE,"O"}</definedName>
    <definedName name="m_2" localSheetId="8" hidden="1">{#N/A,#N/A,FALSE,"I";#N/A,#N/A,FALSE,"J";#N/A,#N/A,FALSE,"K";#N/A,#N/A,FALSE,"L";#N/A,#N/A,FALSE,"M";#N/A,#N/A,FALSE,"N";#N/A,#N/A,FALSE,"O"}</definedName>
    <definedName name="m_2" hidden="1">{#N/A,#N/A,FALSE,"I";#N/A,#N/A,FALSE,"J";#N/A,#N/A,FALSE,"K";#N/A,#N/A,FALSE,"L";#N/A,#N/A,FALSE,"M";#N/A,#N/A,FALSE,"N";#N/A,#N/A,FALSE,"O"}</definedName>
    <definedName name="M0">[6]Links!$V$2</definedName>
    <definedName name="M0_F">[2]Links!$T$34</definedName>
    <definedName name="M0M">[2]Links!$F$9</definedName>
    <definedName name="M0R_f">[2]Links!#REF!</definedName>
    <definedName name="M0RM">[2]Links!$H$9</definedName>
    <definedName name="M0RY">[2]Links!$H$16</definedName>
    <definedName name="M0Y">[2]Links!$F$16</definedName>
    <definedName name="M0YN">[2]Links!$F$30</definedName>
    <definedName name="M0YND">[2]Links!$F$37</definedName>
    <definedName name="M1_F">[2]Links!$T$35</definedName>
    <definedName name="M1m_f">[2]Links!#REF!</definedName>
    <definedName name="M1R_f">[2]Links!#REF!</definedName>
    <definedName name="M2_F">[2]Links!$T$36</definedName>
    <definedName name="M2m_f">[2]Links!#REF!</definedName>
    <definedName name="M2R_f">[2]Links!#REF!</definedName>
    <definedName name="M3_F">[6]Links!$AD$37</definedName>
    <definedName name="M3_P">[2]Links!$X$23</definedName>
    <definedName name="M3_R">[6]C!$L$28</definedName>
    <definedName name="M3_R1">[6]C!$L$29</definedName>
    <definedName name="M3M">[2]Links!$F$10</definedName>
    <definedName name="M3m_f">[2]Links!#REF!</definedName>
    <definedName name="M3R_f">[2]Links!#REF!</definedName>
    <definedName name="M3RM">[2]Links!$H$10</definedName>
    <definedName name="M3RY">[2]Links!$H$17</definedName>
    <definedName name="M3Y">[2]Links!$F$17</definedName>
    <definedName name="M3YN">[2]Links!$F$31</definedName>
    <definedName name="M3YND">[2]Links!$F$38</definedName>
    <definedName name="macro">[2]C!#REF!</definedName>
    <definedName name="MACROS" localSheetId="26">#REF!</definedName>
    <definedName name="MACROS" localSheetId="28">#REF!</definedName>
    <definedName name="MACROS" localSheetId="12">#REF!</definedName>
    <definedName name="MACROS" localSheetId="19">#REF!</definedName>
    <definedName name="MACROS" localSheetId="20">#REF!</definedName>
    <definedName name="MACROS" localSheetId="3">#REF!</definedName>
    <definedName name="MACROS">#REF!</definedName>
    <definedName name="main_m" localSheetId="12">[2]C!#REF!</definedName>
    <definedName name="main_m">[2]C!#REF!</definedName>
    <definedName name="MB">[2]Links!$F$8</definedName>
    <definedName name="MB_F">[6]Links!$AD$42</definedName>
    <definedName name="MB_P">[2]Links!$X$21</definedName>
    <definedName name="MB_R">[6]C!$L$26</definedName>
    <definedName name="MB_R1">[6]C!$L$27</definedName>
    <definedName name="MBM">[2]Links!$F$15</definedName>
    <definedName name="MBR_f">[2]Links!#REF!</definedName>
    <definedName name="MBRM">[2]Links!$H$15</definedName>
    <definedName name="MBRY">[2]Links!$H$22</definedName>
    <definedName name="MBY">[2]Links!$F$22</definedName>
    <definedName name="MBYN">[2]Links!$F$36</definedName>
    <definedName name="MBYND">[2]Links!$F$43</definedName>
    <definedName name="ME">[2]Links!$F$4</definedName>
    <definedName name="ME_F">[2]Links!$T$38</definedName>
    <definedName name="Medium_term_BOP_scenario" localSheetId="26">#REF!</definedName>
    <definedName name="Medium_term_BOP_scenario" localSheetId="28">#REF!</definedName>
    <definedName name="Medium_term_BOP_scenario" localSheetId="12">#REF!</definedName>
    <definedName name="Medium_term_BOP_scenario" localSheetId="19">#REF!</definedName>
    <definedName name="Medium_term_BOP_scenario" localSheetId="20">#REF!</definedName>
    <definedName name="Medium_term_BOP_scenario" localSheetId="3">#REF!</definedName>
    <definedName name="Medium_term_BOP_scenario">#REF!</definedName>
    <definedName name="MEM">[2]Links!$F$11</definedName>
    <definedName name="MERM">[2]Links!$H$11</definedName>
    <definedName name="MERY">[2]Links!$H$18</definedName>
    <definedName name="MEY">[2]Links!$F$18</definedName>
    <definedName name="MEYN">[2]Links!$F$32</definedName>
    <definedName name="MEYND">[2]Links!$F$39</definedName>
    <definedName name="MH" localSheetId="7">[2]Links!$F$5</definedName>
    <definedName name="mh" localSheetId="12" hidden="1">{"'előző év december'!$A$2:$CP$214"}</definedName>
    <definedName name="MH" localSheetId="8">[2]Links!$F$5</definedName>
    <definedName name="mh" hidden="1">{"'előző év december'!$A$2:$CP$214"}</definedName>
    <definedName name="MH_F">[2]Links!$T$39</definedName>
    <definedName name="MHM">[2]Links!$F$12</definedName>
    <definedName name="MHRM">[2]Links!$H$12</definedName>
    <definedName name="MHRY">[2]Links!$H$19</definedName>
    <definedName name="MHY">[2]Links!$F$19</definedName>
    <definedName name="MHYN">[2]Links!$F$33</definedName>
    <definedName name="MHYND">[2]Links!$F$40</definedName>
    <definedName name="mhz" localSheetId="12" hidden="1">{"'előző év december'!$A$2:$CP$214"}</definedName>
    <definedName name="mhz" hidden="1">{"'előző év december'!$A$2:$CP$214"}</definedName>
    <definedName name="mmmmmmm" localSheetId="12" hidden="1">{#N/A,#N/A,FALSE,"т02бд"}</definedName>
    <definedName name="mmmmmmm" hidden="1">{#N/A,#N/A,FALSE,"т02бд"}</definedName>
    <definedName name="mn" localSheetId="26" hidden="1">{"MONA",#N/A,FALSE,"S"}</definedName>
    <definedName name="mn" localSheetId="16" hidden="1">{"MONA",#N/A,FALSE,"S"}</definedName>
    <definedName name="mn" localSheetId="17" hidden="1">{"MONA",#N/A,FALSE,"S"}</definedName>
    <definedName name="mn" localSheetId="22" hidden="1">{"MONA",#N/A,FALSE,"S"}</definedName>
    <definedName name="mn" localSheetId="10" hidden="1">{"MONA",#N/A,FALSE,"S"}</definedName>
    <definedName name="mn" localSheetId="28" hidden="1">{"MONA",#N/A,FALSE,"S"}</definedName>
    <definedName name="mn" localSheetId="14" hidden="1">{"MONA",#N/A,FALSE,"S"}</definedName>
    <definedName name="mn" localSheetId="7" hidden="1">{"MONA",#N/A,FALSE,"S"}</definedName>
    <definedName name="mn" localSheetId="12" hidden="1">{"MONA",#N/A,FALSE,"S"}</definedName>
    <definedName name="mn" localSheetId="19" hidden="1">{"MONA",#N/A,FALSE,"S"}</definedName>
    <definedName name="mn" localSheetId="20" hidden="1">{"MONA",#N/A,FALSE,"S"}</definedName>
    <definedName name="mn" localSheetId="3" hidden="1">{"MONA",#N/A,FALSE,"S"}</definedName>
    <definedName name="mn" localSheetId="8" hidden="1">{"MONA",#N/A,FALSE,"S"}</definedName>
    <definedName name="mn" localSheetId="2" hidden="1">{"MONA",#N/A,FALSE,"S"}</definedName>
    <definedName name="mn" hidden="1">{"MONA",#N/A,FALSE,"S"}</definedName>
    <definedName name="mn_1" localSheetId="12" hidden="1">{"MONA",#N/A,FALSE,"S"}</definedName>
    <definedName name="mn_1" localSheetId="8" hidden="1">{"MONA",#N/A,FALSE,"S"}</definedName>
    <definedName name="mn_1" hidden="1">{"MONA",#N/A,FALSE,"S"}</definedName>
    <definedName name="mn_2" localSheetId="12" hidden="1">{"MONA",#N/A,FALSE,"S"}</definedName>
    <definedName name="mn_2" localSheetId="8" hidden="1">{"MONA",#N/A,FALSE,"S"}</definedName>
    <definedName name="mn_2" hidden="1">{"MONA",#N/A,FALSE,"S"}</definedName>
    <definedName name="MNTZ_f">[2]Links!#REF!</definedName>
    <definedName name="Moldova__Balance_of_Payments__1994_98" localSheetId="26">#REF!</definedName>
    <definedName name="Moldova__Balance_of_Payments__1994_98" localSheetId="28">#REF!</definedName>
    <definedName name="Moldova__Balance_of_Payments__1994_98" localSheetId="12">#REF!</definedName>
    <definedName name="Moldova__Balance_of_Payments__1994_98" localSheetId="19">#REF!</definedName>
    <definedName name="Moldova__Balance_of_Payments__1994_98" localSheetId="20">#REF!</definedName>
    <definedName name="Moldova__Balance_of_Payments__1994_98" localSheetId="3">#REF!</definedName>
    <definedName name="Moldova__Balance_of_Payments__1994_98">#REF!</definedName>
    <definedName name="MONET">[2]Links!$V$2</definedName>
    <definedName name="Monetary_Program_Parameters" localSheetId="26">#REF!</definedName>
    <definedName name="Monetary_Program_Parameters" localSheetId="28">#REF!</definedName>
    <definedName name="Monetary_Program_Parameters" localSheetId="12">#REF!</definedName>
    <definedName name="Monetary_Program_Parameters" localSheetId="19">#REF!</definedName>
    <definedName name="Monetary_Program_Parameters" localSheetId="20">#REF!</definedName>
    <definedName name="Monetary_Program_Parameters" localSheetId="3">#REF!</definedName>
    <definedName name="Monetary_Program_Parameters">#REF!</definedName>
    <definedName name="MONETM">[2]Links!$J$29</definedName>
    <definedName name="MONETMC">[2]Links!$J$32</definedName>
    <definedName name="MONETP">[2]Links!$V$21</definedName>
    <definedName name="moneyprogram" localSheetId="26">#REF!</definedName>
    <definedName name="moneyprogram" localSheetId="28">#REF!</definedName>
    <definedName name="moneyprogram" localSheetId="12">#REF!</definedName>
    <definedName name="moneyprogram" localSheetId="19">#REF!</definedName>
    <definedName name="moneyprogram" localSheetId="20">#REF!</definedName>
    <definedName name="moneyprogram" localSheetId="3">#REF!</definedName>
    <definedName name="moneyprogram">#REF!</definedName>
    <definedName name="monprogparameters" localSheetId="26">#REF!</definedName>
    <definedName name="monprogparameters" localSheetId="28">#REF!</definedName>
    <definedName name="monprogparameters" localSheetId="12">#REF!</definedName>
    <definedName name="monprogparameters">#REF!</definedName>
    <definedName name="monsurvey" localSheetId="26">#REF!</definedName>
    <definedName name="monsurvey" localSheetId="28">#REF!</definedName>
    <definedName name="monsurvey" localSheetId="12">#REF!</definedName>
    <definedName name="monsurvey">#REF!</definedName>
    <definedName name="Month" localSheetId="7">[6]C!$G$14</definedName>
    <definedName name="Month" localSheetId="12">#REF!</definedName>
    <definedName name="Month" localSheetId="8">[6]C!$G$14</definedName>
    <definedName name="Month">#REF!</definedName>
    <definedName name="Month_" localSheetId="12">#REF!</definedName>
    <definedName name="Month_">#REF!</definedName>
    <definedName name="MonthL">[6]C!$G$15</definedName>
    <definedName name="mt_moneyprog" localSheetId="26">#REF!</definedName>
    <definedName name="mt_moneyprog" localSheetId="28">#REF!</definedName>
    <definedName name="mt_moneyprog" localSheetId="12">#REF!</definedName>
    <definedName name="mt_moneyprog">#REF!</definedName>
    <definedName name="n" localSheetId="7" hidden="1">{#N/A,#N/A,FALSE,"Лист4"}</definedName>
    <definedName name="n" localSheetId="12" hidden="1">{#N/A,#N/A,FALSE,"Лист4"}</definedName>
    <definedName name="n" localSheetId="8" hidden="1">{#N/A,#N/A,FALSE,"Лист4"}</definedName>
    <definedName name="n" hidden="1">{#N/A,#N/A,FALSE,"Лист4"}</definedName>
    <definedName name="na" localSheetId="12" hidden="1">{"'előző év december'!$A$2:$CP$214"}</definedName>
    <definedName name="na" hidden="1">{"'előző év december'!$A$2:$CP$214"}</definedName>
    <definedName name="NAMES" localSheetId="26">#REF!</definedName>
    <definedName name="NAMES" localSheetId="28">#REF!</definedName>
    <definedName name="NAMES">#REF!</definedName>
    <definedName name="NAMESA" localSheetId="26">#REF!</definedName>
    <definedName name="NAMESA" localSheetId="28">#REF!</definedName>
    <definedName name="NAMESA">#REF!</definedName>
    <definedName name="NAMESM" localSheetId="26">#REF!</definedName>
    <definedName name="NAMESM" localSheetId="28">#REF!</definedName>
    <definedName name="NAMESM">#REF!</definedName>
    <definedName name="NAMESQ" localSheetId="26">#REF!</definedName>
    <definedName name="NAMESQ" localSheetId="28">#REF!</definedName>
    <definedName name="NAMESQ">#REF!</definedName>
    <definedName name="newb">#REF!</definedName>
    <definedName name="NFA_assumptions" localSheetId="26">#REF!</definedName>
    <definedName name="NFA_assumptions" localSheetId="28">#REF!</definedName>
    <definedName name="NFA_assumptions">#REF!</definedName>
    <definedName name="njgf" localSheetId="7" hidden="1">{#N/A,#N/A,FALSE,"т04"}</definedName>
    <definedName name="njgf" localSheetId="12" hidden="1">{#N/A,#N/A,FALSE,"т04"}</definedName>
    <definedName name="njgf" localSheetId="8" hidden="1">{#N/A,#N/A,FALSE,"т04"}</definedName>
    <definedName name="njgf" hidden="1">{#N/A,#N/A,FALSE,"т04"}</definedName>
    <definedName name="njgf_2" localSheetId="12" hidden="1">{#N/A,#N/A,FALSE,"т04"}</definedName>
    <definedName name="njgf_2" localSheetId="8" hidden="1">{#N/A,#N/A,FALSE,"т04"}</definedName>
    <definedName name="njgf_2" hidden="1">{#N/A,#N/A,FALSE,"т04"}</definedName>
    <definedName name="njgf_2_1" localSheetId="12" hidden="1">{#N/A,#N/A,FALSE,"т04"}</definedName>
    <definedName name="njgf_2_1" localSheetId="8" hidden="1">{#N/A,#N/A,FALSE,"т04"}</definedName>
    <definedName name="njgf_2_1" hidden="1">{#N/A,#N/A,FALSE,"т04"}</definedName>
    <definedName name="nm" localSheetId="12" hidden="1">{"'előző év december'!$A$2:$CP$214"}</definedName>
    <definedName name="nm" hidden="1">{"'előző év december'!$A$2:$CP$214"}</definedName>
    <definedName name="Nomer">[2]C!$D$12</definedName>
    <definedName name="Non_BRO" localSheetId="26">#REF!</definedName>
    <definedName name="Non_BRO" localSheetId="28">#REF!</definedName>
    <definedName name="Non_BRO" localSheetId="12">#REF!</definedName>
    <definedName name="Non_BRO">#REF!</definedName>
    <definedName name="Notes" localSheetId="12">#REF!</definedName>
    <definedName name="Notes">#REF!</definedName>
    <definedName name="Number" localSheetId="12">#REF!</definedName>
    <definedName name="Number">#REF!</definedName>
    <definedName name="o" localSheetId="12" hidden="1">{"titre",#N/A,TRUE,"Titre";"Synthèse",#N/A,TRUE,"Titre";"Synthèse Europe",#N/A,TRUE,"Titre";"Synthèse Amériques",#N/A,TRUE,"Titre";"Synthèse Asie + Total",#N/A,TRUE,"Titre";"budget Europe",#N/A,TRUE,"Titre";"budget Ameriques",#N/A,TRUE,"Titre";"budget Asie + Total",#N/A,TRUE,"Titre";"Couts Europe",#N/A,TRUE,"Titre";"Couts Ameriques",#N/A,TRUE,"Titre";"Ratio Europe",#N/A,TRUE,"Titre";"Couts Asie + Total",#N/A,TRUE,"Titre";"Ratio Ameriques",#N/A,TRUE,"Titre";"Ratio Asie + Total",#N/A,TRUE,"Titre";"CWA Europe",#N/A,TRUE,"Titre";"CWA Ameriques",#N/A,TRUE,"Titre";"CWA Asie + Total",#N/A,TRUE,"Titre";"provision",#N/A,TRUE,"Titre";"ROPE_RONE",#N/A,TRUE,"Titre";"Headcount",#N/A,TRUE,"Titre";"X-selling",#N/A,TRUE,"Titre"}</definedName>
    <definedName name="o" hidden="1">{"titre",#N/A,TRUE,"Titre";"Synthèse",#N/A,TRUE,"Titre";"Synthèse Europe",#N/A,TRUE,"Titre";"Synthèse Amériques",#N/A,TRUE,"Titre";"Synthèse Asie + Total",#N/A,TRUE,"Titre";"budget Europe",#N/A,TRUE,"Titre";"budget Ameriques",#N/A,TRUE,"Titre";"budget Asie + Total",#N/A,TRUE,"Titre";"Couts Europe",#N/A,TRUE,"Titre";"Couts Ameriques",#N/A,TRUE,"Titre";"Ratio Europe",#N/A,TRUE,"Titre";"Couts Asie + Total",#N/A,TRUE,"Titre";"Ratio Ameriques",#N/A,TRUE,"Titre";"Ratio Asie + Total",#N/A,TRUE,"Titre";"CWA Europe",#N/A,TRUE,"Titre";"CWA Ameriques",#N/A,TRUE,"Titre";"CWA Asie + Total",#N/A,TRUE,"Titre";"provision",#N/A,TRUE,"Titre";"ROPE_RONE",#N/A,TRUE,"Titre";"Headcount",#N/A,TRUE,"Titre";"X-selling",#N/A,TRUE,"Titre"}</definedName>
    <definedName name="ooo" localSheetId="7" hidden="1">{#N/A,#N/A,FALSE,"т02бд"}</definedName>
    <definedName name="ooo" localSheetId="12" hidden="1">{#N/A,#N/A,FALSE,"т02бд"}</definedName>
    <definedName name="ooo" localSheetId="8" hidden="1">{#N/A,#N/A,FALSE,"т02бд"}</definedName>
    <definedName name="ooo" hidden="1">{#N/A,#N/A,FALSE,"т02бд"}</definedName>
    <definedName name="ooo_1" localSheetId="12" hidden="1">{#N/A,#N/A,FALSE,"т02бд"}</definedName>
    <definedName name="ooo_1" localSheetId="8" hidden="1">{#N/A,#N/A,FALSE,"т02бд"}</definedName>
    <definedName name="ooo_1" hidden="1">{#N/A,#N/A,FALSE,"т02бд"}</definedName>
    <definedName name="ooo_2" localSheetId="12" hidden="1">{#N/A,#N/A,FALSE,"т02бд"}</definedName>
    <definedName name="ooo_2" localSheetId="8" hidden="1">{#N/A,#N/A,FALSE,"т02бд"}</definedName>
    <definedName name="ooo_2" hidden="1">{#N/A,#N/A,FALSE,"т02бд"}</definedName>
    <definedName name="opopopopopopop">#REF!</definedName>
    <definedName name="OST_KV_SH" localSheetId="12" hidden="1">{#N/A,#N/A,FALSE,"SimInp1";#N/A,#N/A,FALSE,"SimInp2";#N/A,#N/A,FALSE,"SimOut1";#N/A,#N/A,FALSE,"SimOut2";#N/A,#N/A,FALSE,"SimOut3";#N/A,#N/A,FALSE,"SimOut4";#N/A,#N/A,FALSE,"SimOut5"}</definedName>
    <definedName name="OST_KV_SH" localSheetId="8" hidden="1">{#N/A,#N/A,FALSE,"SimInp1";#N/A,#N/A,FALSE,"SimInp2";#N/A,#N/A,FALSE,"SimOut1";#N/A,#N/A,FALSE,"SimOut2";#N/A,#N/A,FALSE,"SimOut3";#N/A,#N/A,FALSE,"SimOut4";#N/A,#N/A,FALSE,"SimOut5"}</definedName>
    <definedName name="OST_KV_SH" hidden="1">{#N/A,#N/A,FALSE,"SimInp1";#N/A,#N/A,FALSE,"SimInp2";#N/A,#N/A,FALSE,"SimOut1";#N/A,#N/A,FALSE,"SimOut2";#N/A,#N/A,FALSE,"SimOut3";#N/A,#N/A,FALSE,"SimOut4";#N/A,#N/A,FALSE,"SimOut5"}</definedName>
    <definedName name="OST_KV_SH_2" localSheetId="12" hidden="1">{#N/A,#N/A,FALSE,"SimInp1";#N/A,#N/A,FALSE,"SimInp2";#N/A,#N/A,FALSE,"SimOut1";#N/A,#N/A,FALSE,"SimOut2";#N/A,#N/A,FALSE,"SimOut3";#N/A,#N/A,FALSE,"SimOut4";#N/A,#N/A,FALSE,"SimOut5"}</definedName>
    <definedName name="OST_KV_SH_2" localSheetId="8" hidden="1">{#N/A,#N/A,FALSE,"SimInp1";#N/A,#N/A,FALSE,"SimInp2";#N/A,#N/A,FALSE,"SimOut1";#N/A,#N/A,FALSE,"SimOut2";#N/A,#N/A,FALSE,"SimOut3";#N/A,#N/A,FALSE,"SimOut4";#N/A,#N/A,FALSE,"SimOut5"}</definedName>
    <definedName name="OST_KV_SH_2" hidden="1">{#N/A,#N/A,FALSE,"SimInp1";#N/A,#N/A,FALSE,"SimInp2";#N/A,#N/A,FALSE,"SimOut1";#N/A,#N/A,FALSE,"SimOut2";#N/A,#N/A,FALSE,"SimOut3";#N/A,#N/A,FALSE,"SimOut4";#N/A,#N/A,FALSE,"SimOut5"}</definedName>
    <definedName name="OST_KV_SH_2_1" localSheetId="12" hidden="1">{#N/A,#N/A,FALSE,"SimInp1";#N/A,#N/A,FALSE,"SimInp2";#N/A,#N/A,FALSE,"SimOut1";#N/A,#N/A,FALSE,"SimOut2";#N/A,#N/A,FALSE,"SimOut3";#N/A,#N/A,FALSE,"SimOut4";#N/A,#N/A,FALSE,"SimOut5"}</definedName>
    <definedName name="OST_KV_SH_2_1" localSheetId="8" hidden="1">{#N/A,#N/A,FALSE,"SimInp1";#N/A,#N/A,FALSE,"SimInp2";#N/A,#N/A,FALSE,"SimOut1";#N/A,#N/A,FALSE,"SimOut2";#N/A,#N/A,FALSE,"SimOut3";#N/A,#N/A,FALSE,"SimOut4";#N/A,#N/A,FALSE,"SimOut5"}</definedName>
    <definedName name="OST_KV_SH_2_1" hidden="1">{#N/A,#N/A,FALSE,"SimInp1";#N/A,#N/A,FALSE,"SimInp2";#N/A,#N/A,FALSE,"SimOut1";#N/A,#N/A,FALSE,"SimOut2";#N/A,#N/A,FALSE,"SimOut3";#N/A,#N/A,FALSE,"SimOut4";#N/A,#N/A,FALSE,"SimOut5"}</definedName>
    <definedName name="OST_SH" localSheetId="12" hidden="1">{#N/A,#N/A,FALSE,"SimInp1";#N/A,#N/A,FALSE,"SimInp2";#N/A,#N/A,FALSE,"SimOut1";#N/A,#N/A,FALSE,"SimOut2";#N/A,#N/A,FALSE,"SimOut3";#N/A,#N/A,FALSE,"SimOut4";#N/A,#N/A,FALSE,"SimOut5"}</definedName>
    <definedName name="OST_SH" localSheetId="8" hidden="1">{#N/A,#N/A,FALSE,"SimInp1";#N/A,#N/A,FALSE,"SimInp2";#N/A,#N/A,FALSE,"SimOut1";#N/A,#N/A,FALSE,"SimOut2";#N/A,#N/A,FALSE,"SimOut3";#N/A,#N/A,FALSE,"SimOut4";#N/A,#N/A,FALSE,"SimOut5"}</definedName>
    <definedName name="OST_SH" hidden="1">{#N/A,#N/A,FALSE,"SimInp1";#N/A,#N/A,FALSE,"SimInp2";#N/A,#N/A,FALSE,"SimOut1";#N/A,#N/A,FALSE,"SimOut2";#N/A,#N/A,FALSE,"SimOut3";#N/A,#N/A,FALSE,"SimOut4";#N/A,#N/A,FALSE,"SimOut5"}</definedName>
    <definedName name="OST_SH_2" localSheetId="12" hidden="1">{#N/A,#N/A,FALSE,"SimInp1";#N/A,#N/A,FALSE,"SimInp2";#N/A,#N/A,FALSE,"SimOut1";#N/A,#N/A,FALSE,"SimOut2";#N/A,#N/A,FALSE,"SimOut3";#N/A,#N/A,FALSE,"SimOut4";#N/A,#N/A,FALSE,"SimOut5"}</definedName>
    <definedName name="OST_SH_2" localSheetId="8" hidden="1">{#N/A,#N/A,FALSE,"SimInp1";#N/A,#N/A,FALSE,"SimInp2";#N/A,#N/A,FALSE,"SimOut1";#N/A,#N/A,FALSE,"SimOut2";#N/A,#N/A,FALSE,"SimOut3";#N/A,#N/A,FALSE,"SimOut4";#N/A,#N/A,FALSE,"SimOut5"}</definedName>
    <definedName name="OST_SH_2" hidden="1">{#N/A,#N/A,FALSE,"SimInp1";#N/A,#N/A,FALSE,"SimInp2";#N/A,#N/A,FALSE,"SimOut1";#N/A,#N/A,FALSE,"SimOut2";#N/A,#N/A,FALSE,"SimOut3";#N/A,#N/A,FALSE,"SimOut4";#N/A,#N/A,FALSE,"SimOut5"}</definedName>
    <definedName name="OST_SH_2_1" localSheetId="12" hidden="1">{#N/A,#N/A,FALSE,"SimInp1";#N/A,#N/A,FALSE,"SimInp2";#N/A,#N/A,FALSE,"SimOut1";#N/A,#N/A,FALSE,"SimOut2";#N/A,#N/A,FALSE,"SimOut3";#N/A,#N/A,FALSE,"SimOut4";#N/A,#N/A,FALSE,"SimOut5"}</definedName>
    <definedName name="OST_SH_2_1" localSheetId="8" hidden="1">{#N/A,#N/A,FALSE,"SimInp1";#N/A,#N/A,FALSE,"SimInp2";#N/A,#N/A,FALSE,"SimOut1";#N/A,#N/A,FALSE,"SimOut2";#N/A,#N/A,FALSE,"SimOut3";#N/A,#N/A,FALSE,"SimOut4";#N/A,#N/A,FALSE,"SimOut5"}</definedName>
    <definedName name="OST_SH_2_1" hidden="1">{#N/A,#N/A,FALSE,"SimInp1";#N/A,#N/A,FALSE,"SimInp2";#N/A,#N/A,FALSE,"SimOut1";#N/A,#N/A,FALSE,"SimOut2";#N/A,#N/A,FALSE,"SimOut3";#N/A,#N/A,FALSE,"SimOut4";#N/A,#N/A,FALSE,"SimOut5"}</definedName>
    <definedName name="OVDP" localSheetId="26">#REF!</definedName>
    <definedName name="OVDP" localSheetId="28">#REF!</definedName>
    <definedName name="OVDP" localSheetId="12">#REF!</definedName>
    <definedName name="OVDP">#REF!</definedName>
    <definedName name="OVER" localSheetId="12">#REF!</definedName>
    <definedName name="OVER">#REF!</definedName>
    <definedName name="p" localSheetId="7">[6]labels!#REF!</definedName>
    <definedName name="p" localSheetId="12">[15]labels!#REF!</definedName>
    <definedName name="p" localSheetId="8">[6]labels!#REF!</definedName>
    <definedName name="p">[15]labels!#REF!</definedName>
    <definedName name="P_DATE" localSheetId="12">#REF!</definedName>
    <definedName name="P_DATE">#REF!</definedName>
    <definedName name="PAYMENT_f" localSheetId="12">[2]Links!#REF!</definedName>
    <definedName name="PAYMENT_f">[2]Links!#REF!</definedName>
    <definedName name="PEND" localSheetId="26">#REF!</definedName>
    <definedName name="PEND" localSheetId="28">#REF!</definedName>
    <definedName name="PEND" localSheetId="12">#REF!</definedName>
    <definedName name="PEND" localSheetId="19">#REF!</definedName>
    <definedName name="PEND" localSheetId="20">#REF!</definedName>
    <definedName name="PEND" localSheetId="3">#REF!</definedName>
    <definedName name="PEND">#REF!</definedName>
    <definedName name="PENSION_f" localSheetId="12">[2]Links!#REF!</definedName>
    <definedName name="PENSION_f">[2]Links!#REF!</definedName>
    <definedName name="PeriodList" localSheetId="7">'[12]Report Form'!$E$4:$E$74</definedName>
    <definedName name="PeriodList" localSheetId="8">'[12]Report Form'!$E$4:$E$74</definedName>
    <definedName name="PeriodList">'[12]Report Form'!$E$4:$E$74</definedName>
    <definedName name="Pilot2" localSheetId="26">#REF!</definedName>
    <definedName name="Pilot2" localSheetId="28">#REF!</definedName>
    <definedName name="Pilot2" localSheetId="12">#REF!</definedName>
    <definedName name="Pilot2" localSheetId="19">#REF!</definedName>
    <definedName name="Pilot2" localSheetId="20">#REF!</definedName>
    <definedName name="Pilot2" localSheetId="3">#REF!</definedName>
    <definedName name="Pilot2">#REF!</definedName>
    <definedName name="PMENU" localSheetId="26">#REF!</definedName>
    <definedName name="PMENU" localSheetId="28">#REF!</definedName>
    <definedName name="PMENU" localSheetId="12">#REF!</definedName>
    <definedName name="PMENU" localSheetId="19">#REF!</definedName>
    <definedName name="PMENU" localSheetId="20">#REF!</definedName>
    <definedName name="PMENU" localSheetId="3">#REF!</definedName>
    <definedName name="PMENU">#REF!</definedName>
    <definedName name="PRINT_AREA_MI" localSheetId="26">#REF!</definedName>
    <definedName name="PRINT_AREA_MI" localSheetId="28">#REF!</definedName>
    <definedName name="PRINT_AREA_MI" localSheetId="7">#N/A</definedName>
    <definedName name="PRINT_AREA_MI" localSheetId="12">#REF!</definedName>
    <definedName name="PRINT_AREA_MI" localSheetId="19">#REF!</definedName>
    <definedName name="PRINT_AREA_MI" localSheetId="20">#REF!</definedName>
    <definedName name="PRINT_AREA_MI" localSheetId="3">#REF!</definedName>
    <definedName name="PRINT_AREA_MI" localSheetId="8">#N/A</definedName>
    <definedName name="PRINT_AREA_MI">#REF!</definedName>
    <definedName name="PRIV">[6]C!$L$33</definedName>
    <definedName name="PRIV_F">[2]Links!$T$18</definedName>
    <definedName name="PRIV_P">[2]Links!$X$28</definedName>
    <definedName name="PRIVG">[2]Links!$Z$33</definedName>
    <definedName name="PRIVM">[2]Links!$Z$17</definedName>
    <definedName name="PRIVMG">[2]Links!$Z$29</definedName>
    <definedName name="PROSTROCHENA">#REF!</definedName>
    <definedName name="pti" localSheetId="12" hidden="1">{"'előző év december'!$A$2:$CP$214"}</definedName>
    <definedName name="pti" hidden="1">{"'előző év december'!$A$2:$CP$214"}</definedName>
    <definedName name="PwC" localSheetId="12" hidden="1">{#N/A,#N/A,FALSE,"NBU rates 1999"}</definedName>
    <definedName name="PwC" hidden="1">{#N/A,#N/A,FALSE,"NBU rates 1999"}</definedName>
    <definedName name="PwC_2" localSheetId="12" hidden="1">{#N/A,#N/A,FALSE,"NBU rates 1999"}</definedName>
    <definedName name="PwC_2" hidden="1">{#N/A,#N/A,FALSE,"NBU rates 1999"}</definedName>
    <definedName name="PwC_3" localSheetId="12" hidden="1">{#N/A,#N/A,FALSE,"NBU rates 1999"}</definedName>
    <definedName name="PwC_3" hidden="1">{#N/A,#N/A,FALSE,"NBU rates 1999"}</definedName>
    <definedName name="PwC_4" localSheetId="12" hidden="1">{#N/A,#N/A,FALSE,"NBU rates 1999"}</definedName>
    <definedName name="PwC_4" hidden="1">{#N/A,#N/A,FALSE,"NBU rates 1999"}</definedName>
    <definedName name="q" localSheetId="10" hidden="1">{#N/A,#N/A,FALSE,"т02бд"}</definedName>
    <definedName name="q" localSheetId="7" hidden="1">{#N/A,#N/A,FALSE,"т02бд"}</definedName>
    <definedName name="q" localSheetId="12" hidden="1">{#N/A,#N/A,FALSE,"т02бд"}</definedName>
    <definedName name="q" localSheetId="20" hidden="1">{#N/A,#N/A,FALSE,"т02бд"}</definedName>
    <definedName name="q" localSheetId="3" hidden="1">{#N/A,#N/A,FALSE,"т02бд"}</definedName>
    <definedName name="q" localSheetId="8" hidden="1">{#N/A,#N/A,FALSE,"т02бд"}</definedName>
    <definedName name="q" localSheetId="2" hidden="1">{#N/A,#N/A,FALSE,"т02бд"}</definedName>
    <definedName name="q" hidden="1">{#N/A,#N/A,FALSE,"т02бд"}</definedName>
    <definedName name="q_2" localSheetId="12" hidden="1">{#N/A,#N/A,FALSE,"т02бд"}</definedName>
    <definedName name="q_2" localSheetId="8" hidden="1">{#N/A,#N/A,FALSE,"т02бд"}</definedName>
    <definedName name="q_2" hidden="1">{#N/A,#N/A,FALSE,"т02бд"}</definedName>
    <definedName name="q_2_1" localSheetId="12" hidden="1">{#N/A,#N/A,FALSE,"т02бд"}</definedName>
    <definedName name="q_2_1" localSheetId="8" hidden="1">{#N/A,#N/A,FALSE,"т02бд"}</definedName>
    <definedName name="q_2_1" hidden="1">{#N/A,#N/A,FALSE,"т02бд"}</definedName>
    <definedName name="qart" localSheetId="7" hidden="1">{#N/A,#N/A,FALSE,"т04"}</definedName>
    <definedName name="qart" localSheetId="12" hidden="1">{#N/A,#N/A,FALSE,"т04"}</definedName>
    <definedName name="qart" localSheetId="8" hidden="1">{#N/A,#N/A,FALSE,"т04"}</definedName>
    <definedName name="qart" hidden="1">{#N/A,#N/A,FALSE,"т04"}</definedName>
    <definedName name="qart_2" localSheetId="12" hidden="1">{#N/A,#N/A,FALSE,"т04"}</definedName>
    <definedName name="qart_2" localSheetId="8" hidden="1">{#N/A,#N/A,FALSE,"т04"}</definedName>
    <definedName name="qart_2" hidden="1">{#N/A,#N/A,FALSE,"т04"}</definedName>
    <definedName name="qart_2_1" localSheetId="12" hidden="1">{#N/A,#N/A,FALSE,"т04"}</definedName>
    <definedName name="qart_2_1" localSheetId="8" hidden="1">{#N/A,#N/A,FALSE,"т04"}</definedName>
    <definedName name="qart_2_1" hidden="1">{#N/A,#N/A,FALSE,"т04"}</definedName>
    <definedName name="qq" localSheetId="7" hidden="1">{#N/A,#N/A,FALSE,"т02бд"}</definedName>
    <definedName name="qq" localSheetId="12" hidden="1">{#N/A,#N/A,FALSE,"т02бд"}</definedName>
    <definedName name="qq" localSheetId="8" hidden="1">{#N/A,#N/A,FALSE,"т02бд"}</definedName>
    <definedName name="qq" hidden="1">{#N/A,#N/A,FALSE,"т02бд"}</definedName>
    <definedName name="qq_2" localSheetId="12" hidden="1">{#N/A,#N/A,FALSE,"т02бд"}</definedName>
    <definedName name="qq_2" localSheetId="8" hidden="1">{#N/A,#N/A,FALSE,"т02бд"}</definedName>
    <definedName name="qq_2" hidden="1">{#N/A,#N/A,FALSE,"т02бд"}</definedName>
    <definedName name="qq_2_1" localSheetId="12" hidden="1">{#N/A,#N/A,FALSE,"т02бд"}</definedName>
    <definedName name="qq_2_1" localSheetId="8" hidden="1">{#N/A,#N/A,FALSE,"т02бд"}</definedName>
    <definedName name="qq_2_1" hidden="1">{#N/A,#N/A,FALSE,"т02бд"}</definedName>
    <definedName name="qqq" localSheetId="7" hidden="1">{#N/A,#N/A,FALSE,"т02бд"}</definedName>
    <definedName name="qqq" localSheetId="12" hidden="1">{#N/A,#N/A,FALSE,"т02бд"}</definedName>
    <definedName name="qqq" localSheetId="8" hidden="1">{#N/A,#N/A,FALSE,"т02бд"}</definedName>
    <definedName name="qqq" hidden="1">{#N/A,#N/A,FALSE,"т02бд"}</definedName>
    <definedName name="qqq_2" localSheetId="12" hidden="1">{#N/A,#N/A,FALSE,"т02бд"}</definedName>
    <definedName name="qqq_2" localSheetId="8" hidden="1">{#N/A,#N/A,FALSE,"т02бд"}</definedName>
    <definedName name="qqq_2" hidden="1">{#N/A,#N/A,FALSE,"т02бд"}</definedName>
    <definedName name="qqq_2_1" localSheetId="12" hidden="1">{#N/A,#N/A,FALSE,"т02бд"}</definedName>
    <definedName name="qqq_2_1" localSheetId="8" hidden="1">{#N/A,#N/A,FALSE,"т02бд"}</definedName>
    <definedName name="qqq_2_1" hidden="1">{#N/A,#N/A,FALSE,"т02бд"}</definedName>
    <definedName name="qwe">#REF!</definedName>
    <definedName name="qwerw" localSheetId="12" hidden="1">{"'előző év december'!$A$2:$CP$214"}</definedName>
    <definedName name="qwerw" hidden="1">{"'előző év december'!$A$2:$CP$214"}</definedName>
    <definedName name="Range_Country">#REF!</definedName>
    <definedName name="Range_DownloadAnnual">[10]Control!$C$4</definedName>
    <definedName name="Range_DownloadDateTime" localSheetId="12">#REF!</definedName>
    <definedName name="Range_DownloadDateTime">#REF!</definedName>
    <definedName name="Range_DownloadMonth">[10]Control!$C$2</definedName>
    <definedName name="Range_DownloadQuarter">[10]Control!$C$3</definedName>
    <definedName name="Range_DSTNotes" localSheetId="26">#REF!</definedName>
    <definedName name="Range_DSTNotes" localSheetId="28">#REF!</definedName>
    <definedName name="Range_DSTNotes" localSheetId="12">#REF!</definedName>
    <definedName name="Range_DSTNotes" localSheetId="19">#REF!</definedName>
    <definedName name="Range_DSTNotes" localSheetId="20">#REF!</definedName>
    <definedName name="Range_DSTNotes" localSheetId="3">#REF!</definedName>
    <definedName name="Range_DSTNotes">#REF!</definedName>
    <definedName name="Range_InValidResultsStart" localSheetId="26">#REF!</definedName>
    <definedName name="Range_InValidResultsStart" localSheetId="28">#REF!</definedName>
    <definedName name="Range_InValidResultsStart" localSheetId="12">#REF!</definedName>
    <definedName name="Range_InValidResultsStart" localSheetId="19">#REF!</definedName>
    <definedName name="Range_InValidResultsStart" localSheetId="20">#REF!</definedName>
    <definedName name="Range_InValidResultsStart" localSheetId="3">#REF!</definedName>
    <definedName name="Range_InValidResultsStart">#REF!</definedName>
    <definedName name="Range_NumberofFailuresStart" localSheetId="26">#REF!</definedName>
    <definedName name="Range_NumberofFailuresStart" localSheetId="28">#REF!</definedName>
    <definedName name="Range_NumberofFailuresStart" localSheetId="12">#REF!</definedName>
    <definedName name="Range_NumberofFailuresStart" localSheetId="19">#REF!</definedName>
    <definedName name="Range_NumberofFailuresStart" localSheetId="20">#REF!</definedName>
    <definedName name="Range_NumberofFailuresStart" localSheetId="3">#REF!</definedName>
    <definedName name="Range_NumberofFailuresStart">#REF!</definedName>
    <definedName name="Range_ReportFormName">#REF!</definedName>
    <definedName name="Range_ValidationResultsStart" localSheetId="26">#REF!</definedName>
    <definedName name="Range_ValidationResultsStart" localSheetId="28">#REF!</definedName>
    <definedName name="Range_ValidationResultsStart">#REF!</definedName>
    <definedName name="Range_ValidationRulesStart" localSheetId="26">#REF!</definedName>
    <definedName name="Range_ValidationRulesStart" localSheetId="28">#REF!</definedName>
    <definedName name="Range_ValidationRulesStart">#REF!</definedName>
    <definedName name="RCUKRU">[16]Довідники!$A$27:$C$1731</definedName>
    <definedName name="RCUKRU_FULL">[16]Довідники!$A$1736:$O$3417</definedName>
    <definedName name="re" hidden="1">#N/A</definedName>
    <definedName name="REAL" localSheetId="26">#REF!</definedName>
    <definedName name="REAL" localSheetId="28">#REF!</definedName>
    <definedName name="REAL" localSheetId="7">#REF!</definedName>
    <definedName name="REAL" localSheetId="12">#REF!</definedName>
    <definedName name="REAL" localSheetId="8">#REF!</definedName>
    <definedName name="REAL">#REF!</definedName>
    <definedName name="REF_f" localSheetId="12">[2]Links!#REF!</definedName>
    <definedName name="REF_f">[2]Links!#REF!</definedName>
    <definedName name="Reporting_Country">[5]Control!$C$1</definedName>
    <definedName name="Reporting_CountryCode">[10]Control!$B$28</definedName>
    <definedName name="Reporting_Currency">[5]Control!$C$5</definedName>
    <definedName name="Reporting_Frequency">[5]Control!$C$8</definedName>
    <definedName name="RevA" localSheetId="26">#REF!</definedName>
    <definedName name="RevA" localSheetId="28">#REF!</definedName>
    <definedName name="RevA" localSheetId="12">#REF!</definedName>
    <definedName name="RevA" localSheetId="19">#REF!</definedName>
    <definedName name="RevA" localSheetId="20">#REF!</definedName>
    <definedName name="RevA" localSheetId="3">#REF!</definedName>
    <definedName name="RevA">#REF!</definedName>
    <definedName name="RevB" localSheetId="26">#REF!</definedName>
    <definedName name="RevB" localSheetId="28">#REF!</definedName>
    <definedName name="RevB" localSheetId="12">#REF!</definedName>
    <definedName name="RevB" localSheetId="19">#REF!</definedName>
    <definedName name="RevB" localSheetId="20">#REF!</definedName>
    <definedName name="RevB" localSheetId="3">#REF!</definedName>
    <definedName name="RevB">#REF!</definedName>
    <definedName name="REZREQ_f" localSheetId="12">[2]Links!#REF!</definedName>
    <definedName name="REZREQ_f">[2]Links!#REF!</definedName>
    <definedName name="rrr" localSheetId="7" hidden="1">{#N/A,#N/A,FALSE,"т02бд"}</definedName>
    <definedName name="rrr" localSheetId="12" hidden="1">{#N/A,#N/A,FALSE,"т02бд"}</definedName>
    <definedName name="rrr" localSheetId="8" hidden="1">{#N/A,#N/A,FALSE,"т02бд"}</definedName>
    <definedName name="rrr" hidden="1">{#N/A,#N/A,FALSE,"т02бд"}</definedName>
    <definedName name="rrr_2" localSheetId="12" hidden="1">{#N/A,#N/A,FALSE,"т02бд"}</definedName>
    <definedName name="rrr_2" localSheetId="8" hidden="1">{#N/A,#N/A,FALSE,"т02бд"}</definedName>
    <definedName name="rrr_2" hidden="1">{#N/A,#N/A,FALSE,"т02бд"}</definedName>
    <definedName name="rrr_2_1" localSheetId="12" hidden="1">{#N/A,#N/A,FALSE,"т02бд"}</definedName>
    <definedName name="rrr_2_1" localSheetId="8" hidden="1">{#N/A,#N/A,FALSE,"т02бд"}</definedName>
    <definedName name="rrr_2_1" hidden="1">{#N/A,#N/A,FALSE,"т02бд"}</definedName>
    <definedName name="rrrrr">[17]Control!$A$19:$A$20</definedName>
    <definedName name="rrrrrrrrrr">[17]Control!$C$4</definedName>
    <definedName name="rs" localSheetId="26" hidden="1">{"BOP_TAB",#N/A,FALSE,"N";"MIDTERM_TAB",#N/A,FALSE,"O";"FUND_CRED",#N/A,FALSE,"P";"DEBT_TAB1",#N/A,FALSE,"Q";"DEBT_TAB2",#N/A,FALSE,"Q";"FORFIN_TAB1",#N/A,FALSE,"R";"FORFIN_TAB2",#N/A,FALSE,"R";"BOP_ANALY",#N/A,FALSE,"U"}</definedName>
    <definedName name="rs" localSheetId="16" hidden="1">{"BOP_TAB",#N/A,FALSE,"N";"MIDTERM_TAB",#N/A,FALSE,"O";"FUND_CRED",#N/A,FALSE,"P";"DEBT_TAB1",#N/A,FALSE,"Q";"DEBT_TAB2",#N/A,FALSE,"Q";"FORFIN_TAB1",#N/A,FALSE,"R";"FORFIN_TAB2",#N/A,FALSE,"R";"BOP_ANALY",#N/A,FALSE,"U"}</definedName>
    <definedName name="rs" localSheetId="17" hidden="1">{"BOP_TAB",#N/A,FALSE,"N";"MIDTERM_TAB",#N/A,FALSE,"O";"FUND_CRED",#N/A,FALSE,"P";"DEBT_TAB1",#N/A,FALSE,"Q";"DEBT_TAB2",#N/A,FALSE,"Q";"FORFIN_TAB1",#N/A,FALSE,"R";"FORFIN_TAB2",#N/A,FALSE,"R";"BOP_ANALY",#N/A,FALSE,"U"}</definedName>
    <definedName name="rs" localSheetId="22" hidden="1">{"BOP_TAB",#N/A,FALSE,"N";"MIDTERM_TAB",#N/A,FALSE,"O";"FUND_CRED",#N/A,FALSE,"P";"DEBT_TAB1",#N/A,FALSE,"Q";"DEBT_TAB2",#N/A,FALSE,"Q";"FORFIN_TAB1",#N/A,FALSE,"R";"FORFIN_TAB2",#N/A,FALSE,"R";"BOP_ANALY",#N/A,FALSE,"U"}</definedName>
    <definedName name="rs" localSheetId="10" hidden="1">{"BOP_TAB",#N/A,FALSE,"N";"MIDTERM_TAB",#N/A,FALSE,"O";"FUND_CRED",#N/A,FALSE,"P";"DEBT_TAB1",#N/A,FALSE,"Q";"DEBT_TAB2",#N/A,FALSE,"Q";"FORFIN_TAB1",#N/A,FALSE,"R";"FORFIN_TAB2",#N/A,FALSE,"R";"BOP_ANALY",#N/A,FALSE,"U"}</definedName>
    <definedName name="rs" localSheetId="28" hidden="1">{"BOP_TAB",#N/A,FALSE,"N";"MIDTERM_TAB",#N/A,FALSE,"O";"FUND_CRED",#N/A,FALSE,"P";"DEBT_TAB1",#N/A,FALSE,"Q";"DEBT_TAB2",#N/A,FALSE,"Q";"FORFIN_TAB1",#N/A,FALSE,"R";"FORFIN_TAB2",#N/A,FALSE,"R";"BOP_ANALY",#N/A,FALSE,"U"}</definedName>
    <definedName name="rs" localSheetId="14" hidden="1">{"BOP_TAB",#N/A,FALSE,"N";"MIDTERM_TAB",#N/A,FALSE,"O";"FUND_CRED",#N/A,FALSE,"P";"DEBT_TAB1",#N/A,FALSE,"Q";"DEBT_TAB2",#N/A,FALSE,"Q";"FORFIN_TAB1",#N/A,FALSE,"R";"FORFIN_TAB2",#N/A,FALSE,"R";"BOP_ANALY",#N/A,FALSE,"U"}</definedName>
    <definedName name="rs" localSheetId="7" hidden="1">{"BOP_TAB",#N/A,FALSE,"N";"MIDTERM_TAB",#N/A,FALSE,"O";"FUND_CRED",#N/A,FALSE,"P";"DEBT_TAB1",#N/A,FALSE,"Q";"DEBT_TAB2",#N/A,FALSE,"Q";"FORFIN_TAB1",#N/A,FALSE,"R";"FORFIN_TAB2",#N/A,FALSE,"R";"BOP_ANALY",#N/A,FALSE,"U"}</definedName>
    <definedName name="rs" localSheetId="12" hidden="1">{"BOP_TAB",#N/A,FALSE,"N";"MIDTERM_TAB",#N/A,FALSE,"O";"FUND_CRED",#N/A,FALSE,"P";"DEBT_TAB1",#N/A,FALSE,"Q";"DEBT_TAB2",#N/A,FALSE,"Q";"FORFIN_TAB1",#N/A,FALSE,"R";"FORFIN_TAB2",#N/A,FALSE,"R";"BOP_ANALY",#N/A,FALSE,"U"}</definedName>
    <definedName name="rs" localSheetId="19" hidden="1">{"BOP_TAB",#N/A,FALSE,"N";"MIDTERM_TAB",#N/A,FALSE,"O";"FUND_CRED",#N/A,FALSE,"P";"DEBT_TAB1",#N/A,FALSE,"Q";"DEBT_TAB2",#N/A,FALSE,"Q";"FORFIN_TAB1",#N/A,FALSE,"R";"FORFIN_TAB2",#N/A,FALSE,"R";"BOP_ANALY",#N/A,FALSE,"U"}</definedName>
    <definedName name="rs" localSheetId="20" hidden="1">{"BOP_TAB",#N/A,FALSE,"N";"MIDTERM_TAB",#N/A,FALSE,"O";"FUND_CRED",#N/A,FALSE,"P";"DEBT_TAB1",#N/A,FALSE,"Q";"DEBT_TAB2",#N/A,FALSE,"Q";"FORFIN_TAB1",#N/A,FALSE,"R";"FORFIN_TAB2",#N/A,FALSE,"R";"BOP_ANALY",#N/A,FALSE,"U"}</definedName>
    <definedName name="rs" localSheetId="3" hidden="1">{"BOP_TAB",#N/A,FALSE,"N";"MIDTERM_TAB",#N/A,FALSE,"O";"FUND_CRED",#N/A,FALSE,"P";"DEBT_TAB1",#N/A,FALSE,"Q";"DEBT_TAB2",#N/A,FALSE,"Q";"FORFIN_TAB1",#N/A,FALSE,"R";"FORFIN_TAB2",#N/A,FALSE,"R";"BOP_ANALY",#N/A,FALSE,"U"}</definedName>
    <definedName name="rs" localSheetId="8" hidden="1">{"BOP_TAB",#N/A,FALSE,"N";"MIDTERM_TAB",#N/A,FALSE,"O";"FUND_CRED",#N/A,FALSE,"P";"DEBT_TAB1",#N/A,FALSE,"Q";"DEBT_TAB2",#N/A,FALSE,"Q";"FORFIN_TAB1",#N/A,FALSE,"R";"FORFIN_TAB2",#N/A,FALSE,"R";"BOP_ANALY",#N/A,FALSE,"U"}</definedName>
    <definedName name="rs" localSheetId="2" hidden="1">{"BOP_TAB",#N/A,FALSE,"N";"MIDTERM_TAB",#N/A,FALSE,"O";"FUND_CRED",#N/A,FALSE,"P";"DEBT_TAB1",#N/A,FALSE,"Q";"DEBT_TAB2",#N/A,FALSE,"Q";"FORFIN_TAB1",#N/A,FALSE,"R";"FORFIN_TAB2",#N/A,FALSE,"R";"BOP_ANALY",#N/A,FALSE,"U"}</definedName>
    <definedName name="rs" hidden="1">{"BOP_TAB",#N/A,FALSE,"N";"MIDTERM_TAB",#N/A,FALSE,"O";"FUND_CRED",#N/A,FALSE,"P";"DEBT_TAB1",#N/A,FALSE,"Q";"DEBT_TAB2",#N/A,FALSE,"Q";"FORFIN_TAB1",#N/A,FALSE,"R";"FORFIN_TAB2",#N/A,FALSE,"R";"BOP_ANALY",#N/A,FALSE,"U"}</definedName>
    <definedName name="rs_2" localSheetId="12" hidden="1">{"BOP_TAB",#N/A,FALSE,"N";"MIDTERM_TAB",#N/A,FALSE,"O";"FUND_CRED",#N/A,FALSE,"P";"DEBT_TAB1",#N/A,FALSE,"Q";"DEBT_TAB2",#N/A,FALSE,"Q";"FORFIN_TAB1",#N/A,FALSE,"R";"FORFIN_TAB2",#N/A,FALSE,"R";"BOP_ANALY",#N/A,FALSE,"U"}</definedName>
    <definedName name="rs_2" localSheetId="8" hidden="1">{"BOP_TAB",#N/A,FALSE,"N";"MIDTERM_TAB",#N/A,FALSE,"O";"FUND_CRED",#N/A,FALSE,"P";"DEBT_TAB1",#N/A,FALSE,"Q";"DEBT_TAB2",#N/A,FALSE,"Q";"FORFIN_TAB1",#N/A,FALSE,"R";"FORFIN_TAB2",#N/A,FALSE,"R";"BOP_ANALY",#N/A,FALSE,"U"}</definedName>
    <definedName name="rs_2" hidden="1">{"BOP_TAB",#N/A,FALSE,"N";"MIDTERM_TAB",#N/A,FALSE,"O";"FUND_CRED",#N/A,FALSE,"P";"DEBT_TAB1",#N/A,FALSE,"Q";"DEBT_TAB2",#N/A,FALSE,"Q";"FORFIN_TAB1",#N/A,FALSE,"R";"FORFIN_TAB2",#N/A,FALSE,"R";"BOP_ANALY",#N/A,FALSE,"U"}</definedName>
    <definedName name="rs_2_1" localSheetId="12" hidden="1">{"BOP_TAB",#N/A,FALSE,"N";"MIDTERM_TAB",#N/A,FALSE,"O";"FUND_CRED",#N/A,FALSE,"P";"DEBT_TAB1",#N/A,FALSE,"Q";"DEBT_TAB2",#N/A,FALSE,"Q";"FORFIN_TAB1",#N/A,FALSE,"R";"FORFIN_TAB2",#N/A,FALSE,"R";"BOP_ANALY",#N/A,FALSE,"U"}</definedName>
    <definedName name="rs_2_1" localSheetId="8" hidden="1">{"BOP_TAB",#N/A,FALSE,"N";"MIDTERM_TAB",#N/A,FALSE,"O";"FUND_CRED",#N/A,FALSE,"P";"DEBT_TAB1",#N/A,FALSE,"Q";"DEBT_TAB2",#N/A,FALSE,"Q";"FORFIN_TAB1",#N/A,FALSE,"R";"FORFIN_TAB2",#N/A,FALSE,"R";"BOP_ANALY",#N/A,FALSE,"U"}</definedName>
    <definedName name="rs_2_1" hidden="1">{"BOP_TAB",#N/A,FALSE,"N";"MIDTERM_TAB",#N/A,FALSE,"O";"FUND_CRED",#N/A,FALSE,"P";"DEBT_TAB1",#N/A,FALSE,"Q";"DEBT_TAB2",#N/A,FALSE,"Q";"FORFIN_TAB1",#N/A,FALSE,"R";"FORFIN_TAB2",#N/A,FALSE,"R";"BOP_ANALY",#N/A,FALSE,"U"}</definedName>
    <definedName name="rt" localSheetId="12" hidden="1">{"'előző év december'!$A$2:$CP$214"}</definedName>
    <definedName name="rt" hidden="1">{"'előző év december'!$A$2:$CP$214"}</definedName>
    <definedName name="RTab1.1">#REF!</definedName>
    <definedName name="RTab1.1a">#REF!</definedName>
    <definedName name="RTab1.2">#REF!</definedName>
    <definedName name="RTab1.2a">#REF!</definedName>
    <definedName name="RTab1.4">#REF!</definedName>
    <definedName name="RTab2.1">#REF!</definedName>
    <definedName name="RTab2.1a">#REF!</definedName>
    <definedName name="RTab2.2">#REF!</definedName>
    <definedName name="RTab2.3">#REF!</definedName>
    <definedName name="RTab3.3">#REF!</definedName>
    <definedName name="RTab4.1">#REF!</definedName>
    <definedName name="RTab4.1a">#REF!</definedName>
    <definedName name="RTab4.2">#REF!</definedName>
    <definedName name="RTab4.2a">#REF!</definedName>
    <definedName name="RTab4.3">#REF!</definedName>
    <definedName name="RTab4.3a">#REF!</definedName>
    <definedName name="RTab4.4">#REF!</definedName>
    <definedName name="RTab4.4a">#REF!</definedName>
    <definedName name="RTab5.1">#REF!</definedName>
    <definedName name="RTab5.1a">#REF!</definedName>
    <definedName name="RTab5.2">#REF!</definedName>
    <definedName name="RTab6.1">#REF!</definedName>
    <definedName name="RTab6.10B">#REF!</definedName>
    <definedName name="RTab6.10P">#REF!</definedName>
    <definedName name="RTab6.2">#REF!</definedName>
    <definedName name="RTab6.3">#REF!</definedName>
    <definedName name="RTab6.4">#REF!</definedName>
    <definedName name="RTab6.5">#REF!</definedName>
    <definedName name="RTab6.6">#REF!</definedName>
    <definedName name="RTab6.7">#REF!</definedName>
    <definedName name="RTab6.8">#REF!</definedName>
    <definedName name="RTab6.9">#REF!</definedName>
    <definedName name="rte" localSheetId="12" hidden="1">{"'előző év december'!$A$2:$CP$214"}</definedName>
    <definedName name="rte" hidden="1">{"'előző év december'!$A$2:$CP$214"}</definedName>
    <definedName name="rtew" localSheetId="12" hidden="1">{"'előző év december'!$A$2:$CP$214"}</definedName>
    <definedName name="rtew" hidden="1">{"'előző év december'!$A$2:$CP$214"}</definedName>
    <definedName name="rtn" localSheetId="12" hidden="1">{"'előző év december'!$A$2:$CP$214"}</definedName>
    <definedName name="rtn" hidden="1">{"'előző év december'!$A$2:$CP$214"}</definedName>
    <definedName name="rtte" localSheetId="12" hidden="1">{"Str.1",#N/A,FALSE,"Aktiva";"Str.2",#N/A,FALSE,"Aktiva";"Str.3",#N/A,FALSE,"Aktiva";"Str.4",#N/A,FALSE,"Aktiva";"Str.5",#N/A,FALSE,"Aktiva";"str1",#N/A,FALSE,"Pasíva";"str2",#N/A,FALSE,"Pasíva";"str3",#N/A,FALSE,"Pasíva";"str4",#N/A,FALSE,"Pasíva";#N/A,#N/A,FALSE,"Dopl. k pasívům";"str1",#N/A,FALSE,"Podrozvaha-aktiva";"str2",#N/A,FALSE,"Podrozvaha-aktiva";"str1",#N/A,FALSE,"Podrozvaha-pasíva";"str2",#N/A,FALSE,"Podrozvaha-pasíva";"str3",#N/A,FALSE,"Podrozvaha-pasíva"}</definedName>
    <definedName name="rtte" hidden="1">{"Str.1",#N/A,FALSE,"Aktiva";"Str.2",#N/A,FALSE,"Aktiva";"Str.3",#N/A,FALSE,"Aktiva";"Str.4",#N/A,FALSE,"Aktiva";"Str.5",#N/A,FALSE,"Aktiva";"str1",#N/A,FALSE,"Pasíva";"str2",#N/A,FALSE,"Pasíva";"str3",#N/A,FALSE,"Pasíva";"str4",#N/A,FALSE,"Pasíva";#N/A,#N/A,FALSE,"Dopl. k pasívům";"str1",#N/A,FALSE,"Podrozvaha-aktiva";"str2",#N/A,FALSE,"Podrozvaha-aktiva";"str1",#N/A,FALSE,"Podrozvaha-pasíva";"str2",#N/A,FALSE,"Podrozvaha-pasíva";"str3",#N/A,FALSE,"Podrozvaha-pasíva"}</definedName>
    <definedName name="rtz" localSheetId="12" hidden="1">{"'előző év december'!$A$2:$CP$214"}</definedName>
    <definedName name="rtz" hidden="1">{"'előző év december'!$A$2:$CP$214"}</definedName>
    <definedName name="Rwvu.Print." hidden="1">#N/A</definedName>
    <definedName name="rx" hidden="1">#REF!</definedName>
    <definedName name="ry" hidden="1">#REF!</definedName>
    <definedName name="S_CONS_f">[2]Links!#REF!</definedName>
    <definedName name="S_CURR_f">[2]Links!#REF!</definedName>
    <definedName name="S_MONEY_f">[2]Links!#REF!</definedName>
    <definedName name="S_SAVE_f">[2]Links!#REF!</definedName>
    <definedName name="Scale_Def">[5]Control!$V$42:$V$45</definedName>
    <definedName name="ScalesList" localSheetId="7">'[12]Report Form'!$A$5:$A$8</definedName>
    <definedName name="ScalesList" localSheetId="8">'[12]Report Form'!$A$5:$A$8</definedName>
    <definedName name="ScalesList">'[12]Report Form'!$A$5:$A$8</definedName>
    <definedName name="sdagag" localSheetId="12" hidden="1">{"'előző év december'!$A$2:$CP$214"}</definedName>
    <definedName name="sdagag" hidden="1">{"'előző év december'!$A$2:$CP$214"}</definedName>
    <definedName name="sdf" localSheetId="12" hidden="1">{"'előző év december'!$A$2:$CP$214"}</definedName>
    <definedName name="sdf" hidden="1">{"'előző év december'!$A$2:$CP$214"}</definedName>
    <definedName name="sdfsfd" localSheetId="12" hidden="1">{"'előző év december'!$A$2:$CP$214"}</definedName>
    <definedName name="sdfsfd" hidden="1">{"'előző év december'!$A$2:$CP$214"}</definedName>
    <definedName name="sencount" hidden="1">2</definedName>
    <definedName name="SERVICES_f">[2]Links!#REF!</definedName>
    <definedName name="sf" localSheetId="7" hidden="1">{#N/A,#N/A,FALSE,"т02бд"}</definedName>
    <definedName name="sf" localSheetId="12" hidden="1">{#N/A,#N/A,FALSE,"т02бд"}</definedName>
    <definedName name="sf" localSheetId="8" hidden="1">{#N/A,#N/A,FALSE,"т02бд"}</definedName>
    <definedName name="sf" hidden="1">{#N/A,#N/A,FALSE,"т02бд"}</definedName>
    <definedName name="sf_2" localSheetId="12" hidden="1">{#N/A,#N/A,FALSE,"т02бд"}</definedName>
    <definedName name="sf_2" localSheetId="8" hidden="1">{#N/A,#N/A,FALSE,"т02бд"}</definedName>
    <definedName name="sf_2" hidden="1">{#N/A,#N/A,FALSE,"т02бд"}</definedName>
    <definedName name="sf_2_1" localSheetId="12" hidden="1">{#N/A,#N/A,FALSE,"т02бд"}</definedName>
    <definedName name="sf_2_1" localSheetId="8" hidden="1">{#N/A,#N/A,FALSE,"т02бд"}</definedName>
    <definedName name="sf_2_1" hidden="1">{#N/A,#N/A,FALSE,"т02бд"}</definedName>
    <definedName name="Sheets">"'=REPLACE(GET.WORKBOOK(1);1;FIND(""]"";GET.WORKBOOK(1));"""")&amp;T(NOW())"</definedName>
    <definedName name="SOC">[2]Links!$L$4</definedName>
    <definedName name="SOCC">[2]Links!$L$16</definedName>
    <definedName name="SOCCP">[2]Links!$L$20</definedName>
    <definedName name="SOCIAL_f">[2]Links!#REF!</definedName>
    <definedName name="SOCM">[2]Links!$L$8</definedName>
    <definedName name="SOCRCY">[2]Links!$L$40</definedName>
    <definedName name="SOCRM">[2]Links!$L$28</definedName>
    <definedName name="solver_num" hidden="1">0</definedName>
    <definedName name="solver_typ" hidden="1">1</definedName>
    <definedName name="solver_val" hidden="1">0</definedName>
    <definedName name="SPD_f">[2]Links!#REF!</definedName>
    <definedName name="ss" localSheetId="12" hidden="1">{"'előző év december'!$A$2:$CP$214"}</definedName>
    <definedName name="ss" hidden="1">{"'előző év december'!$A$2:$CP$214"}</definedName>
    <definedName name="SUMMARY1" localSheetId="26">#REF!</definedName>
    <definedName name="SUMMARY1" localSheetId="28">#REF!</definedName>
    <definedName name="SUMMARY1" localSheetId="19">#REF!</definedName>
    <definedName name="SUMMARY1" localSheetId="20">#REF!</definedName>
    <definedName name="SUMMARY1" localSheetId="3">#REF!</definedName>
    <definedName name="SUMMARY1">#REF!</definedName>
    <definedName name="SUMMARY2" localSheetId="26">#REF!</definedName>
    <definedName name="SUMMARY2" localSheetId="28">#REF!</definedName>
    <definedName name="SUMMARY2" localSheetId="19">#REF!</definedName>
    <definedName name="SUMMARY2" localSheetId="20">#REF!</definedName>
    <definedName name="SUMMARY2" localSheetId="3">#REF!</definedName>
    <definedName name="SUMMARY2">#REF!</definedName>
    <definedName name="SUMNI">#REF!</definedName>
    <definedName name="t01англ" localSheetId="10" hidden="1">{#N/A,#N/A,FALSE,"т02бд"}</definedName>
    <definedName name="t01англ" localSheetId="7" hidden="1">{#N/A,#N/A,FALSE,"т02бд"}</definedName>
    <definedName name="t01англ" localSheetId="12" hidden="1">{#N/A,#N/A,FALSE,"т02бд"}</definedName>
    <definedName name="t01англ" localSheetId="20" hidden="1">{#N/A,#N/A,FALSE,"т02бд"}</definedName>
    <definedName name="t01англ" localSheetId="3" hidden="1">{#N/A,#N/A,FALSE,"т02бд"}</definedName>
    <definedName name="t01англ" localSheetId="8" hidden="1">{#N/A,#N/A,FALSE,"т02бд"}</definedName>
    <definedName name="t01англ" localSheetId="2" hidden="1">{#N/A,#N/A,FALSE,"т02бд"}</definedName>
    <definedName name="t01англ" hidden="1">{#N/A,#N/A,FALSE,"т02бд"}</definedName>
    <definedName name="t05n" localSheetId="10" hidden="1">{#N/A,#N/A,FALSE,"т04"}</definedName>
    <definedName name="t05n" localSheetId="7" hidden="1">{#N/A,#N/A,FALSE,"т04"}</definedName>
    <definedName name="t05n" localSheetId="12" hidden="1">{#N/A,#N/A,FALSE,"т04"}</definedName>
    <definedName name="t05n" localSheetId="20" hidden="1">{#N/A,#N/A,FALSE,"т04"}</definedName>
    <definedName name="t05n" localSheetId="3" hidden="1">{#N/A,#N/A,FALSE,"т04"}</definedName>
    <definedName name="t05n" localSheetId="8" hidden="1">{#N/A,#N/A,FALSE,"т04"}</definedName>
    <definedName name="t05n" localSheetId="2" hidden="1">{#N/A,#N/A,FALSE,"т04"}</definedName>
    <definedName name="t05n" hidden="1">{#N/A,#N/A,FALSE,"т04"}</definedName>
    <definedName name="t05n_2" localSheetId="12" hidden="1">{#N/A,#N/A,FALSE,"т04"}</definedName>
    <definedName name="t05n_2" localSheetId="8" hidden="1">{#N/A,#N/A,FALSE,"т04"}</definedName>
    <definedName name="t05n_2" hidden="1">{#N/A,#N/A,FALSE,"т04"}</definedName>
    <definedName name="t05n_2_1" localSheetId="12" hidden="1">{#N/A,#N/A,FALSE,"т04"}</definedName>
    <definedName name="t05n_2_1" localSheetId="8" hidden="1">{#N/A,#N/A,FALSE,"т04"}</definedName>
    <definedName name="t05n_2_1" hidden="1">{#N/A,#N/A,FALSE,"т04"}</definedName>
    <definedName name="t05nn" localSheetId="10" hidden="1">{#N/A,#N/A,FALSE,"т04"}</definedName>
    <definedName name="t05nn" localSheetId="7" hidden="1">{#N/A,#N/A,FALSE,"т04"}</definedName>
    <definedName name="t05nn" localSheetId="12" hidden="1">{#N/A,#N/A,FALSE,"т04"}</definedName>
    <definedName name="t05nn" localSheetId="20" hidden="1">{#N/A,#N/A,FALSE,"т04"}</definedName>
    <definedName name="t05nn" localSheetId="3" hidden="1">{#N/A,#N/A,FALSE,"т04"}</definedName>
    <definedName name="t05nn" localSheetId="8" hidden="1">{#N/A,#N/A,FALSE,"т04"}</definedName>
    <definedName name="t05nn" localSheetId="2" hidden="1">{#N/A,#N/A,FALSE,"т04"}</definedName>
    <definedName name="t05nn" hidden="1">{#N/A,#N/A,FALSE,"т04"}</definedName>
    <definedName name="t05nn_2" localSheetId="12" hidden="1">{#N/A,#N/A,FALSE,"т04"}</definedName>
    <definedName name="t05nn_2" localSheetId="8" hidden="1">{#N/A,#N/A,FALSE,"т04"}</definedName>
    <definedName name="t05nn_2" hidden="1">{#N/A,#N/A,FALSE,"т04"}</definedName>
    <definedName name="t05nn_2_1" localSheetId="12" hidden="1">{#N/A,#N/A,FALSE,"т04"}</definedName>
    <definedName name="t05nn_2_1" localSheetId="8" hidden="1">{#N/A,#N/A,FALSE,"т04"}</definedName>
    <definedName name="t05nn_2_1" hidden="1">{#N/A,#N/A,FALSE,"т04"}</definedName>
    <definedName name="T10V">'[18]2014'!#REF!</definedName>
    <definedName name="T5.17">'[19]т07(98)'!$A$1</definedName>
    <definedName name="Tab1.1" localSheetId="12">#REF!</definedName>
    <definedName name="Tab1.1">#REF!</definedName>
    <definedName name="Tab1.1a" localSheetId="12">#REF!</definedName>
    <definedName name="Tab1.1a">#REF!</definedName>
    <definedName name="TAB2B" localSheetId="12">'[18]2015'!#REF!</definedName>
    <definedName name="TAB2B">'[18]2015'!#REF!</definedName>
    <definedName name="Tab6.5" localSheetId="12">#REF!</definedName>
    <definedName name="Tab6.5">#REF!</definedName>
    <definedName name="Taballgastables" localSheetId="26">#REF!</definedName>
    <definedName name="Taballgastables" localSheetId="28">#REF!</definedName>
    <definedName name="Taballgastables" localSheetId="12">#REF!</definedName>
    <definedName name="Taballgastables" localSheetId="19">#REF!</definedName>
    <definedName name="Taballgastables" localSheetId="20">#REF!</definedName>
    <definedName name="Taballgastables" localSheetId="3">#REF!</definedName>
    <definedName name="Taballgastables">#REF!</definedName>
    <definedName name="TabAmort2004" localSheetId="26">#REF!</definedName>
    <definedName name="TabAmort2004" localSheetId="28">#REF!</definedName>
    <definedName name="TabAmort2004" localSheetId="12">#REF!</definedName>
    <definedName name="TabAmort2004" localSheetId="19">#REF!</definedName>
    <definedName name="TabAmort2004" localSheetId="20">#REF!</definedName>
    <definedName name="TabAmort2004" localSheetId="3">#REF!</definedName>
    <definedName name="TabAmort2004">#REF!</definedName>
    <definedName name="TabAssumptionsImports" localSheetId="26">#REF!</definedName>
    <definedName name="TabAssumptionsImports" localSheetId="28">#REF!</definedName>
    <definedName name="TabAssumptionsImports" localSheetId="19">#REF!</definedName>
    <definedName name="TabAssumptionsImports" localSheetId="20">#REF!</definedName>
    <definedName name="TabAssumptionsImports" localSheetId="3">#REF!</definedName>
    <definedName name="TabAssumptionsImports">#REF!</definedName>
    <definedName name="TabCapAccount" localSheetId="26">#REF!</definedName>
    <definedName name="TabCapAccount" localSheetId="28">#REF!</definedName>
    <definedName name="TabCapAccount">#REF!</definedName>
    <definedName name="Tabdebt_historic" localSheetId="26">#REF!</definedName>
    <definedName name="Tabdebt_historic" localSheetId="28">#REF!</definedName>
    <definedName name="Tabdebt_historic">#REF!</definedName>
    <definedName name="Tabdebtflow" localSheetId="26">#REF!</definedName>
    <definedName name="Tabdebtflow" localSheetId="28">#REF!</definedName>
    <definedName name="Tabdebtflow">#REF!</definedName>
    <definedName name="TabExports" localSheetId="26">#REF!</definedName>
    <definedName name="TabExports" localSheetId="28">#REF!</definedName>
    <definedName name="TabExports">#REF!</definedName>
    <definedName name="TabFcredit2007" localSheetId="26">#REF!</definedName>
    <definedName name="TabFcredit2007" localSheetId="28">#REF!</definedName>
    <definedName name="TabFcredit2007">#REF!</definedName>
    <definedName name="TabFcredit2010" localSheetId="26">#REF!</definedName>
    <definedName name="TabFcredit2010" localSheetId="28">#REF!</definedName>
    <definedName name="TabFcredit2010">#REF!</definedName>
    <definedName name="TabGas_arrears_to_Russia" localSheetId="26">#REF!</definedName>
    <definedName name="TabGas_arrears_to_Russia" localSheetId="28">#REF!</definedName>
    <definedName name="TabGas_arrears_to_Russia">#REF!</definedName>
    <definedName name="TabImportdetail" localSheetId="26">#REF!</definedName>
    <definedName name="TabImportdetail" localSheetId="28">#REF!</definedName>
    <definedName name="TabImportdetail">#REF!</definedName>
    <definedName name="TabImports" localSheetId="26">#REF!</definedName>
    <definedName name="TabImports" localSheetId="28">#REF!</definedName>
    <definedName name="TabImports">#REF!</definedName>
    <definedName name="TABL31">'[18]2013'!#REF!</definedName>
    <definedName name="Table" localSheetId="26">#REF!</definedName>
    <definedName name="Table" localSheetId="28">#REF!</definedName>
    <definedName name="Table" localSheetId="12">#REF!</definedName>
    <definedName name="Table" localSheetId="19">#REF!</definedName>
    <definedName name="Table" localSheetId="20">#REF!</definedName>
    <definedName name="Table" localSheetId="3">#REF!</definedName>
    <definedName name="Table">#REF!</definedName>
    <definedName name="Table_2____Moldova___General_Government_Budget_1995_98__Mdl_millions__1" localSheetId="26">#REF!</definedName>
    <definedName name="Table_2____Moldova___General_Government_Budget_1995_98__Mdl_millions__1" localSheetId="28">#REF!</definedName>
    <definedName name="Table_2____Moldova___General_Government_Budget_1995_98__Mdl_millions__1" localSheetId="12">#REF!</definedName>
    <definedName name="Table_2____Moldova___General_Government_Budget_1995_98__Mdl_millions__1" localSheetId="20">#REF!</definedName>
    <definedName name="Table_2____Moldova___General_Government_Budget_1995_98__Mdl_millions__1" localSheetId="3">#REF!</definedName>
    <definedName name="Table_2____Moldova___General_Government_Budget_1995_98__Mdl_millions__1">#REF!</definedName>
    <definedName name="Table_3._Moldova__Balance_of_Payments__1994_98" localSheetId="26">#REF!</definedName>
    <definedName name="Table_3._Moldova__Balance_of_Payments__1994_98" localSheetId="28">#REF!</definedName>
    <definedName name="Table_3._Moldova__Balance_of_Payments__1994_98" localSheetId="12">#REF!</definedName>
    <definedName name="Table_3._Moldova__Balance_of_Payments__1994_98">#REF!</definedName>
    <definedName name="Table_4.__Moldova____Monetary_Survey_and_Projections__1994_98_1" localSheetId="26">#REF!</definedName>
    <definedName name="Table_4.__Moldova____Monetary_Survey_and_Projections__1994_98_1" localSheetId="28">#REF!</definedName>
    <definedName name="Table_4.__Moldova____Monetary_Survey_and_Projections__1994_98_1">#REF!</definedName>
    <definedName name="Table_6.__Moldova__Balance_of_Payments__1994_98" localSheetId="26">#REF!</definedName>
    <definedName name="Table_6.__Moldova__Balance_of_Payments__1994_98" localSheetId="28">#REF!</definedName>
    <definedName name="Table_6.__Moldova__Balance_of_Payments__1994_98">#REF!</definedName>
    <definedName name="Table_debt">[20]Table!$A$3:$AB$73</definedName>
    <definedName name="Table129" localSheetId="26">#REF!</definedName>
    <definedName name="Table129" localSheetId="28">#REF!</definedName>
    <definedName name="Table129" localSheetId="12">#REF!</definedName>
    <definedName name="Table129">#REF!</definedName>
    <definedName name="table130" localSheetId="26">#REF!</definedName>
    <definedName name="table130" localSheetId="28">#REF!</definedName>
    <definedName name="table130" localSheetId="12">#REF!</definedName>
    <definedName name="table130">#REF!</definedName>
    <definedName name="Table135" localSheetId="26">#REF!,[21]Contents!$A$87:$H$247</definedName>
    <definedName name="Table135" localSheetId="28">#REF!,[21]Contents!$A$87:$H$247</definedName>
    <definedName name="Table135" localSheetId="12">#REF!,[21]Contents!$A$87:$H$247</definedName>
    <definedName name="Table135" localSheetId="19">#REF!,[21]Contents!$A$87:$H$247</definedName>
    <definedName name="Table135" localSheetId="20">#REF!,[21]Contents!$A$87:$H$247</definedName>
    <definedName name="Table135" localSheetId="3">#REF!,[21]Contents!$A$87:$H$247</definedName>
    <definedName name="Table135">#REF!,[21]Contents!$A$87:$H$247</definedName>
    <definedName name="Table16_2000" localSheetId="26">#REF!</definedName>
    <definedName name="Table16_2000" localSheetId="28">#REF!</definedName>
    <definedName name="Table16_2000" localSheetId="12">#REF!</definedName>
    <definedName name="Table16_2000" localSheetId="19">#REF!</definedName>
    <definedName name="Table16_2000" localSheetId="20">#REF!</definedName>
    <definedName name="Table16_2000" localSheetId="3">#REF!</definedName>
    <definedName name="Table16_2000">#REF!</definedName>
    <definedName name="Table17" localSheetId="26">#REF!</definedName>
    <definedName name="Table17" localSheetId="28">#REF!</definedName>
    <definedName name="Table17" localSheetId="12">#REF!</definedName>
    <definedName name="Table17" localSheetId="19">#REF!</definedName>
    <definedName name="Table17" localSheetId="20">#REF!</definedName>
    <definedName name="Table17" localSheetId="3">#REF!</definedName>
    <definedName name="Table17">#REF!</definedName>
    <definedName name="Table19" localSheetId="26">#REF!</definedName>
    <definedName name="Table19" localSheetId="28">#REF!</definedName>
    <definedName name="Table19" localSheetId="12">#REF!</definedName>
    <definedName name="Table19" localSheetId="19">#REF!</definedName>
    <definedName name="Table19" localSheetId="20">#REF!</definedName>
    <definedName name="Table19" localSheetId="3">#REF!</definedName>
    <definedName name="Table19">#REF!</definedName>
    <definedName name="Table20" localSheetId="26">#REF!</definedName>
    <definedName name="Table20" localSheetId="28">#REF!</definedName>
    <definedName name="Table20">#REF!</definedName>
    <definedName name="Table21" localSheetId="26">#REF!,[22]Contents!$A$87:$H$247</definedName>
    <definedName name="Table21" localSheetId="28">#REF!,[22]Contents!$A$87:$H$247</definedName>
    <definedName name="Table21" localSheetId="12">#REF!,[22]Contents!$A$87:$H$247</definedName>
    <definedName name="Table21" localSheetId="19">#REF!,[22]Contents!$A$87:$H$247</definedName>
    <definedName name="Table21" localSheetId="20">#REF!,[22]Contents!$A$87:$H$247</definedName>
    <definedName name="Table21" localSheetId="3">#REF!,[22]Contents!$A$87:$H$247</definedName>
    <definedName name="Table21">#REF!,[22]Contents!$A$87:$H$247</definedName>
    <definedName name="Table22" localSheetId="26">#REF!</definedName>
    <definedName name="Table22" localSheetId="28">#REF!</definedName>
    <definedName name="Table22" localSheetId="12">#REF!</definedName>
    <definedName name="Table22" localSheetId="19">#REF!</definedName>
    <definedName name="Table22" localSheetId="20">#REF!</definedName>
    <definedName name="Table22" localSheetId="3">#REF!</definedName>
    <definedName name="Table22">#REF!</definedName>
    <definedName name="Table23" localSheetId="26">#REF!</definedName>
    <definedName name="Table23" localSheetId="28">#REF!</definedName>
    <definedName name="Table23" localSheetId="12">#REF!</definedName>
    <definedName name="Table23" localSheetId="19">#REF!</definedName>
    <definedName name="Table23" localSheetId="20">#REF!</definedName>
    <definedName name="Table23" localSheetId="3">#REF!</definedName>
    <definedName name="Table23">#REF!</definedName>
    <definedName name="Table24" localSheetId="26">#REF!</definedName>
    <definedName name="Table24" localSheetId="28">#REF!</definedName>
    <definedName name="Table24" localSheetId="12">#REF!</definedName>
    <definedName name="Table24" localSheetId="19">#REF!</definedName>
    <definedName name="Table24" localSheetId="20">#REF!</definedName>
    <definedName name="Table24" localSheetId="3">#REF!</definedName>
    <definedName name="Table24">#REF!</definedName>
    <definedName name="Table25" localSheetId="26">#REF!</definedName>
    <definedName name="Table25" localSheetId="28">#REF!</definedName>
    <definedName name="Table25">#REF!</definedName>
    <definedName name="Table26" localSheetId="26">#REF!</definedName>
    <definedName name="Table26" localSheetId="28">#REF!</definedName>
    <definedName name="Table26">#REF!</definedName>
    <definedName name="Table27" localSheetId="26">#REF!</definedName>
    <definedName name="Table27" localSheetId="28">#REF!</definedName>
    <definedName name="Table27">#REF!</definedName>
    <definedName name="Table28" localSheetId="26">#REF!</definedName>
    <definedName name="Table28" localSheetId="28">#REF!</definedName>
    <definedName name="Table28">#REF!</definedName>
    <definedName name="Table29" localSheetId="26">#REF!</definedName>
    <definedName name="Table29" localSheetId="28">#REF!</definedName>
    <definedName name="Table29">#REF!</definedName>
    <definedName name="Table30" localSheetId="26">#REF!</definedName>
    <definedName name="Table30" localSheetId="28">#REF!</definedName>
    <definedName name="Table30">#REF!</definedName>
    <definedName name="Table31" localSheetId="26">#REF!</definedName>
    <definedName name="Table31" localSheetId="28">#REF!</definedName>
    <definedName name="Table31">#REF!</definedName>
    <definedName name="Table32" localSheetId="26">#REF!</definedName>
    <definedName name="Table32" localSheetId="28">#REF!</definedName>
    <definedName name="Table32">#REF!</definedName>
    <definedName name="Table33" localSheetId="26">#REF!</definedName>
    <definedName name="Table33" localSheetId="28">#REF!</definedName>
    <definedName name="Table33">#REF!</definedName>
    <definedName name="Table330" localSheetId="26">#REF!</definedName>
    <definedName name="Table330" localSheetId="28">#REF!</definedName>
    <definedName name="Table330">#REF!</definedName>
    <definedName name="Table336" localSheetId="26">#REF!</definedName>
    <definedName name="Table336" localSheetId="28">#REF!</definedName>
    <definedName name="Table336">#REF!</definedName>
    <definedName name="Table34" localSheetId="26">#REF!</definedName>
    <definedName name="Table34" localSheetId="28">#REF!</definedName>
    <definedName name="Table34">#REF!</definedName>
    <definedName name="Table35" localSheetId="26">#REF!</definedName>
    <definedName name="Table35" localSheetId="28">#REF!</definedName>
    <definedName name="Table35">#REF!</definedName>
    <definedName name="Table36" localSheetId="26">#REF!</definedName>
    <definedName name="Table36" localSheetId="28">#REF!</definedName>
    <definedName name="Table36">#REF!</definedName>
    <definedName name="Table37" localSheetId="26">#REF!</definedName>
    <definedName name="Table37" localSheetId="28">#REF!</definedName>
    <definedName name="Table37">#REF!</definedName>
    <definedName name="Table38" localSheetId="26">#REF!</definedName>
    <definedName name="Table38" localSheetId="28">#REF!</definedName>
    <definedName name="Table38">#REF!</definedName>
    <definedName name="Table39" localSheetId="26">#REF!</definedName>
    <definedName name="Table39" localSheetId="28">#REF!</definedName>
    <definedName name="Table39">#REF!</definedName>
    <definedName name="Table40" localSheetId="26">#REF!</definedName>
    <definedName name="Table40" localSheetId="28">#REF!</definedName>
    <definedName name="Table40">#REF!</definedName>
    <definedName name="Table41" localSheetId="26">#REF!</definedName>
    <definedName name="Table41" localSheetId="28">#REF!</definedName>
    <definedName name="Table41">#REF!</definedName>
    <definedName name="Table42" localSheetId="26">#REF!</definedName>
    <definedName name="Table42" localSheetId="28">#REF!</definedName>
    <definedName name="Table42">#REF!</definedName>
    <definedName name="Table43" localSheetId="26">#REF!</definedName>
    <definedName name="Table43" localSheetId="28">#REF!</definedName>
    <definedName name="Table43">#REF!</definedName>
    <definedName name="Table44" localSheetId="26">#REF!</definedName>
    <definedName name="Table44" localSheetId="28">#REF!</definedName>
    <definedName name="Table44">#REF!</definedName>
    <definedName name="TabMTBOP2006" localSheetId="26">#REF!</definedName>
    <definedName name="TabMTBOP2006" localSheetId="28">#REF!</definedName>
    <definedName name="TabMTBOP2006">#REF!</definedName>
    <definedName name="TabMTbop2010" localSheetId="26">#REF!</definedName>
    <definedName name="TabMTbop2010" localSheetId="28">#REF!</definedName>
    <definedName name="TabMTbop2010">#REF!</definedName>
    <definedName name="TabMTdebt" localSheetId="26">#REF!</definedName>
    <definedName name="TabMTdebt" localSheetId="28">#REF!</definedName>
    <definedName name="TabMTdebt">#REF!</definedName>
    <definedName name="TabNonfactorServices_and_Income" localSheetId="26">#REF!</definedName>
    <definedName name="TabNonfactorServices_and_Income" localSheetId="28">#REF!</definedName>
    <definedName name="TabNonfactorServices_and_Income">#REF!</definedName>
    <definedName name="TabOutMon" localSheetId="26">#REF!</definedName>
    <definedName name="TabOutMon" localSheetId="28">#REF!</definedName>
    <definedName name="TabOutMon">#REF!</definedName>
    <definedName name="TabsimplifiedBOP" localSheetId="26">#REF!</definedName>
    <definedName name="TabsimplifiedBOP" localSheetId="28">#REF!</definedName>
    <definedName name="TabsimplifiedBOP">#REF!</definedName>
    <definedName name="TAX_f">[2]Links!#REF!</definedName>
    <definedName name="TaxArrears" localSheetId="26">#REF!</definedName>
    <definedName name="TaxArrears" localSheetId="28">#REF!</definedName>
    <definedName name="TaxArrears" localSheetId="12">#REF!</definedName>
    <definedName name="TaxArrears">#REF!</definedName>
    <definedName name="TB" localSheetId="12">[2]Links!#REF!</definedName>
    <definedName name="TB">[2]Links!#REF!</definedName>
    <definedName name="TB_f" localSheetId="12">[2]Links!#REF!</definedName>
    <definedName name="TB_f">[2]Links!#REF!</definedName>
    <definedName name="Tbl_GFN">[20]Table_GEF!$B$2:$T$53</definedName>
    <definedName name="TD_f">[2]Links!#REF!</definedName>
    <definedName name="TDNF">[2]Links!$F$7</definedName>
    <definedName name="TDNFM">[2]Links!$F$14</definedName>
    <definedName name="TDNFRM">[2]Links!$H$14</definedName>
    <definedName name="TDNFRY">[2]Links!$H$21</definedName>
    <definedName name="TDNFY">[2]Links!$F$21</definedName>
    <definedName name="TDNFYN">[2]Links!$F$35</definedName>
    <definedName name="TDNFYND">[2]Links!$F$42</definedName>
    <definedName name="teset" localSheetId="26" hidden="1">{#N/A,#N/A,FALSE,"SimInp1";#N/A,#N/A,FALSE,"SimInp2";#N/A,#N/A,FALSE,"SimOut1";#N/A,#N/A,FALSE,"SimOut2";#N/A,#N/A,FALSE,"SimOut3";#N/A,#N/A,FALSE,"SimOut4";#N/A,#N/A,FALSE,"SimOut5"}</definedName>
    <definedName name="teset" localSheetId="16" hidden="1">{#N/A,#N/A,FALSE,"SimInp1";#N/A,#N/A,FALSE,"SimInp2";#N/A,#N/A,FALSE,"SimOut1";#N/A,#N/A,FALSE,"SimOut2";#N/A,#N/A,FALSE,"SimOut3";#N/A,#N/A,FALSE,"SimOut4";#N/A,#N/A,FALSE,"SimOut5"}</definedName>
    <definedName name="teset" localSheetId="17" hidden="1">{#N/A,#N/A,FALSE,"SimInp1";#N/A,#N/A,FALSE,"SimInp2";#N/A,#N/A,FALSE,"SimOut1";#N/A,#N/A,FALSE,"SimOut2";#N/A,#N/A,FALSE,"SimOut3";#N/A,#N/A,FALSE,"SimOut4";#N/A,#N/A,FALSE,"SimOut5"}</definedName>
    <definedName name="teset" localSheetId="22" hidden="1">{#N/A,#N/A,FALSE,"SimInp1";#N/A,#N/A,FALSE,"SimInp2";#N/A,#N/A,FALSE,"SimOut1";#N/A,#N/A,FALSE,"SimOut2";#N/A,#N/A,FALSE,"SimOut3";#N/A,#N/A,FALSE,"SimOut4";#N/A,#N/A,FALSE,"SimOut5"}</definedName>
    <definedName name="teset" localSheetId="10" hidden="1">{#N/A,#N/A,FALSE,"SimInp1";#N/A,#N/A,FALSE,"SimInp2";#N/A,#N/A,FALSE,"SimOut1";#N/A,#N/A,FALSE,"SimOut2";#N/A,#N/A,FALSE,"SimOut3";#N/A,#N/A,FALSE,"SimOut4";#N/A,#N/A,FALSE,"SimOut5"}</definedName>
    <definedName name="teset" localSheetId="28" hidden="1">{#N/A,#N/A,FALSE,"SimInp1";#N/A,#N/A,FALSE,"SimInp2";#N/A,#N/A,FALSE,"SimOut1";#N/A,#N/A,FALSE,"SimOut2";#N/A,#N/A,FALSE,"SimOut3";#N/A,#N/A,FALSE,"SimOut4";#N/A,#N/A,FALSE,"SimOut5"}</definedName>
    <definedName name="teset" localSheetId="14" hidden="1">{#N/A,#N/A,FALSE,"SimInp1";#N/A,#N/A,FALSE,"SimInp2";#N/A,#N/A,FALSE,"SimOut1";#N/A,#N/A,FALSE,"SimOut2";#N/A,#N/A,FALSE,"SimOut3";#N/A,#N/A,FALSE,"SimOut4";#N/A,#N/A,FALSE,"SimOut5"}</definedName>
    <definedName name="teset" localSheetId="7" hidden="1">{#N/A,#N/A,FALSE,"SimInp1";#N/A,#N/A,FALSE,"SimInp2";#N/A,#N/A,FALSE,"SimOut1";#N/A,#N/A,FALSE,"SimOut2";#N/A,#N/A,FALSE,"SimOut3";#N/A,#N/A,FALSE,"SimOut4";#N/A,#N/A,FALSE,"SimOut5"}</definedName>
    <definedName name="teset" localSheetId="12" hidden="1">{#N/A,#N/A,FALSE,"SimInp1";#N/A,#N/A,FALSE,"SimInp2";#N/A,#N/A,FALSE,"SimOut1";#N/A,#N/A,FALSE,"SimOut2";#N/A,#N/A,FALSE,"SimOut3";#N/A,#N/A,FALSE,"SimOut4";#N/A,#N/A,FALSE,"SimOut5"}</definedName>
    <definedName name="teset" localSheetId="19" hidden="1">{#N/A,#N/A,FALSE,"SimInp1";#N/A,#N/A,FALSE,"SimInp2";#N/A,#N/A,FALSE,"SimOut1";#N/A,#N/A,FALSE,"SimOut2";#N/A,#N/A,FALSE,"SimOut3";#N/A,#N/A,FALSE,"SimOut4";#N/A,#N/A,FALSE,"SimOut5"}</definedName>
    <definedName name="teset" localSheetId="20" hidden="1">{#N/A,#N/A,FALSE,"SimInp1";#N/A,#N/A,FALSE,"SimInp2";#N/A,#N/A,FALSE,"SimOut1";#N/A,#N/A,FALSE,"SimOut2";#N/A,#N/A,FALSE,"SimOut3";#N/A,#N/A,FALSE,"SimOut4";#N/A,#N/A,FALSE,"SimOut5"}</definedName>
    <definedName name="teset" localSheetId="3" hidden="1">{#N/A,#N/A,FALSE,"SimInp1";#N/A,#N/A,FALSE,"SimInp2";#N/A,#N/A,FALSE,"SimOut1";#N/A,#N/A,FALSE,"SimOut2";#N/A,#N/A,FALSE,"SimOut3";#N/A,#N/A,FALSE,"SimOut4";#N/A,#N/A,FALSE,"SimOut5"}</definedName>
    <definedName name="teset" localSheetId="8" hidden="1">{#N/A,#N/A,FALSE,"SimInp1";#N/A,#N/A,FALSE,"SimInp2";#N/A,#N/A,FALSE,"SimOut1";#N/A,#N/A,FALSE,"SimOut2";#N/A,#N/A,FALSE,"SimOut3";#N/A,#N/A,FALSE,"SimOut4";#N/A,#N/A,FALSE,"SimOut5"}</definedName>
    <definedName name="teset" localSheetId="2" hidden="1">{#N/A,#N/A,FALSE,"SimInp1";#N/A,#N/A,FALSE,"SimInp2";#N/A,#N/A,FALSE,"SimOut1";#N/A,#N/A,FALSE,"SimOut2";#N/A,#N/A,FALSE,"SimOut3";#N/A,#N/A,FALSE,"SimOut4";#N/A,#N/A,FALSE,"SimOut5"}</definedName>
    <definedName name="teset" hidden="1">{#N/A,#N/A,FALSE,"SimInp1";#N/A,#N/A,FALSE,"SimInp2";#N/A,#N/A,FALSE,"SimOut1";#N/A,#N/A,FALSE,"SimOut2";#N/A,#N/A,FALSE,"SimOut3";#N/A,#N/A,FALSE,"SimOut4";#N/A,#N/A,FALSE,"SimOut5"}</definedName>
    <definedName name="teset_2" localSheetId="12" hidden="1">{#N/A,#N/A,FALSE,"SimInp1";#N/A,#N/A,FALSE,"SimInp2";#N/A,#N/A,FALSE,"SimOut1";#N/A,#N/A,FALSE,"SimOut2";#N/A,#N/A,FALSE,"SimOut3";#N/A,#N/A,FALSE,"SimOut4";#N/A,#N/A,FALSE,"SimOut5"}</definedName>
    <definedName name="teset_2" localSheetId="8" hidden="1">{#N/A,#N/A,FALSE,"SimInp1";#N/A,#N/A,FALSE,"SimInp2";#N/A,#N/A,FALSE,"SimOut1";#N/A,#N/A,FALSE,"SimOut2";#N/A,#N/A,FALSE,"SimOut3";#N/A,#N/A,FALSE,"SimOut4";#N/A,#N/A,FALSE,"SimOut5"}</definedName>
    <definedName name="teset_2" hidden="1">{#N/A,#N/A,FALSE,"SimInp1";#N/A,#N/A,FALSE,"SimInp2";#N/A,#N/A,FALSE,"SimOut1";#N/A,#N/A,FALSE,"SimOut2";#N/A,#N/A,FALSE,"SimOut3";#N/A,#N/A,FALSE,"SimOut4";#N/A,#N/A,FALSE,"SimOut5"}</definedName>
    <definedName name="teset_2_1" localSheetId="12" hidden="1">{#N/A,#N/A,FALSE,"SimInp1";#N/A,#N/A,FALSE,"SimInp2";#N/A,#N/A,FALSE,"SimOut1";#N/A,#N/A,FALSE,"SimOut2";#N/A,#N/A,FALSE,"SimOut3";#N/A,#N/A,FALSE,"SimOut4";#N/A,#N/A,FALSE,"SimOut5"}</definedName>
    <definedName name="teset_2_1" localSheetId="8" hidden="1">{#N/A,#N/A,FALSE,"SimInp1";#N/A,#N/A,FALSE,"SimInp2";#N/A,#N/A,FALSE,"SimOut1";#N/A,#N/A,FALSE,"SimOut2";#N/A,#N/A,FALSE,"SimOut3";#N/A,#N/A,FALSE,"SimOut4";#N/A,#N/A,FALSE,"SimOut5"}</definedName>
    <definedName name="teset_2_1" hidden="1">{#N/A,#N/A,FALSE,"SimInp1";#N/A,#N/A,FALSE,"SimInp2";#N/A,#N/A,FALSE,"SimOut1";#N/A,#N/A,FALSE,"SimOut2";#N/A,#N/A,FALSE,"SimOut3";#N/A,#N/A,FALSE,"SimOut4";#N/A,#N/A,FALSE,"SimOut5"}</definedName>
    <definedName name="Test" localSheetId="26">#REF!</definedName>
    <definedName name="Test" localSheetId="28">#REF!</definedName>
    <definedName name="Test" localSheetId="12">#REF!</definedName>
    <definedName name="Test" localSheetId="19">#REF!</definedName>
    <definedName name="Test" localSheetId="20">#REF!</definedName>
    <definedName name="Test" localSheetId="3">#REF!</definedName>
    <definedName name="Test">#REF!</definedName>
    <definedName name="Test1" localSheetId="26">#REF!</definedName>
    <definedName name="Test1" localSheetId="28">#REF!</definedName>
    <definedName name="Test1" localSheetId="12">#REF!</definedName>
    <definedName name="Test1" localSheetId="19">#REF!</definedName>
    <definedName name="Test1" localSheetId="20">#REF!</definedName>
    <definedName name="Test1" localSheetId="3">#REF!</definedName>
    <definedName name="Test1">#REF!</definedName>
    <definedName name="tgz" localSheetId="12" hidden="1">{"'előző év december'!$A$2:$CP$214"}</definedName>
    <definedName name="tgz" hidden="1">{"'előző év december'!$A$2:$CP$214"}</definedName>
    <definedName name="tmp" localSheetId="12" hidden="1">{#N/A,#N/A,FALSE,"NBU rates 1999"}</definedName>
    <definedName name="tmp" hidden="1">{#N/A,#N/A,FALSE,"NBU rates 1999"}</definedName>
    <definedName name="tmp_2" localSheetId="12" hidden="1">{#N/A,#N/A,FALSE,"NBU rates 1999"}</definedName>
    <definedName name="tmp_2" hidden="1">{#N/A,#N/A,FALSE,"NBU rates 1999"}</definedName>
    <definedName name="tmp_3" localSheetId="12" hidden="1">{#N/A,#N/A,FALSE,"NBU rates 1999"}</definedName>
    <definedName name="tmp_3" hidden="1">{#N/A,#N/A,FALSE,"NBU rates 1999"}</definedName>
    <definedName name="tmp_4" localSheetId="12" hidden="1">{#N/A,#N/A,FALSE,"NBU rates 1999"}</definedName>
    <definedName name="tmp_4" hidden="1">{#N/A,#N/A,FALSE,"NBU rates 1999"}</definedName>
    <definedName name="Trade_balance" localSheetId="26">#REF!</definedName>
    <definedName name="Trade_balance" localSheetId="28">#REF!</definedName>
    <definedName name="Trade_balance" localSheetId="12">#REF!</definedName>
    <definedName name="Trade_balance" localSheetId="19">#REF!</definedName>
    <definedName name="Trade_balance" localSheetId="20">#REF!</definedName>
    <definedName name="Trade_balance" localSheetId="3">#REF!</definedName>
    <definedName name="Trade_balance">#REF!</definedName>
    <definedName name="trade_figure" localSheetId="26">#REF!</definedName>
    <definedName name="trade_figure" localSheetId="28">#REF!</definedName>
    <definedName name="trade_figure" localSheetId="12">#REF!</definedName>
    <definedName name="trade_figure">#REF!</definedName>
    <definedName name="tre" localSheetId="7">[6]Links!$J$12</definedName>
    <definedName name="tre" localSheetId="12" hidden="1">{"'előző év december'!$A$2:$CP$214"}</definedName>
    <definedName name="tre" localSheetId="8">[6]Links!$J$12</definedName>
    <definedName name="tre" hidden="1">{"'előző év december'!$A$2:$CP$214"}</definedName>
    <definedName name="trois" localSheetId="12" hidden="1">{"résultats",#N/A,FALSE,"résultats SFS";"indicateurs",#N/A,FALSE,"résultats SFS";"commentaires",#N/A,FALSE,"commentaires SFS";"graphiques",#N/A,FALSE,"graphiques SFS"}</definedName>
    <definedName name="trois" hidden="1">{"résultats",#N/A,FALSE,"résultats SFS";"indicateurs",#N/A,FALSE,"résultats SFS";"commentaires",#N/A,FALSE,"commentaires SFS";"graphiques",#N/A,FALSE,"graphiques SFS"}</definedName>
    <definedName name="tt" localSheetId="12" hidden="1">{#N/A,#N/A,FALSE,"т02бд"}</definedName>
    <definedName name="tt" localSheetId="8" hidden="1">{#N/A,#N/A,FALSE,"т02бд"}</definedName>
    <definedName name="tt" hidden="1">{#N/A,#N/A,FALSE,"т02бд"}</definedName>
    <definedName name="TURN">[2]Links!$J$6</definedName>
    <definedName name="TURN_F">[2]Links!$T$6</definedName>
    <definedName name="TURNM">[2]Links!$J$16</definedName>
    <definedName name="TURNMY">[2]Links!$J$26</definedName>
    <definedName name="TURNR">[2]Links!$R$11</definedName>
    <definedName name="TURNR_F">[2]Links!$T$23</definedName>
    <definedName name="TURNRM">[2]Links!$R$6</definedName>
    <definedName name="TURNY">[2]Links!$J$11</definedName>
    <definedName name="uè" localSheetId="12" hidden="1">{"résultats",#N/A,FALSE,"résultats SFS";"indicateurs",#N/A,FALSE,"résultats SFS";"commentaires",#N/A,FALSE,"commentaires SFS";"graphiques",#N/A,FALSE,"graphiques SFS"}</definedName>
    <definedName name="uè" hidden="1">{"résultats",#N/A,FALSE,"résultats SFS";"indicateurs",#N/A,FALSE,"résultats SFS";"commentaires",#N/A,FALSE,"commentaires SFS";"graphiques",#N/A,FALSE,"graphiques SFS"}</definedName>
    <definedName name="UNEMP">[6]C!$L$23</definedName>
    <definedName name="UNEMP_F">[2]Links!$T$15</definedName>
    <definedName name="UNEMP_P">[2]Links!$X$18</definedName>
    <definedName name="Uploaded_Currency">[11]Control!$F$17</definedName>
    <definedName name="Uploaded_Scale">[11]Control!$F$18</definedName>
    <definedName name="USAA">[2]Links!$P$2</definedName>
    <definedName name="USAAM">[2]Links!$P$8</definedName>
    <definedName name="USAAY">[2]Links!$P$14</definedName>
    <definedName name="USAE">[2]Links!$P$3</definedName>
    <definedName name="USAEM">[2]Links!$P$9</definedName>
    <definedName name="USAEY">[2]Links!$P$15</definedName>
    <definedName name="USAYA">[2]Links!$V$9</definedName>
    <definedName name="V">'[23]146024'!$A$1:$K$1</definedName>
    <definedName name="Vaga" localSheetId="7" hidden="1">{#N/A,#N/A,FALSE,"т02бд"}</definedName>
    <definedName name="Vaga" localSheetId="12" hidden="1">{#N/A,#N/A,FALSE,"т02бд"}</definedName>
    <definedName name="Vaga" localSheetId="8" hidden="1">{#N/A,#N/A,FALSE,"т02бд"}</definedName>
    <definedName name="Vaga" hidden="1">{#N/A,#N/A,FALSE,"т02бд"}</definedName>
    <definedName name="Vaga_1" localSheetId="12" hidden="1">{#N/A,#N/A,FALSE,"т02бд"}</definedName>
    <definedName name="Vaga_1" localSheetId="8" hidden="1">{#N/A,#N/A,FALSE,"т02бд"}</definedName>
    <definedName name="Vaga_1" hidden="1">{#N/A,#N/A,FALSE,"т02бд"}</definedName>
    <definedName name="Vaga_2" localSheetId="12" hidden="1">{#N/A,#N/A,FALSE,"т02бд"}</definedName>
    <definedName name="Vaga_2" localSheetId="8" hidden="1">{#N/A,#N/A,FALSE,"т02бд"}</definedName>
    <definedName name="Vaga_2" hidden="1">{#N/A,#N/A,FALSE,"т02бд"}</definedName>
    <definedName name="VAGA_NAT" localSheetId="7" hidden="1">{#N/A,#N/A,FALSE,"т02бд"}</definedName>
    <definedName name="VAGA_NAT" localSheetId="12" hidden="1">{#N/A,#N/A,FALSE,"т02бд"}</definedName>
    <definedName name="VAGA_NAT" localSheetId="8" hidden="1">{#N/A,#N/A,FALSE,"т02бд"}</definedName>
    <definedName name="VAGA_NAT" hidden="1">{#N/A,#N/A,FALSE,"т02бд"}</definedName>
    <definedName name="VAGA_NAT_1" localSheetId="12" hidden="1">{#N/A,#N/A,FALSE,"т02бд"}</definedName>
    <definedName name="VAGA_NAT_1" localSheetId="8" hidden="1">{#N/A,#N/A,FALSE,"т02бд"}</definedName>
    <definedName name="VAGA_NAT_1" hidden="1">{#N/A,#N/A,FALSE,"т02бд"}</definedName>
    <definedName name="VAGA_NAT_2" localSheetId="12" hidden="1">{#N/A,#N/A,FALSE,"т02бд"}</definedName>
    <definedName name="VAGA_NAT_2" localSheetId="8" hidden="1">{#N/A,#N/A,FALSE,"т02бд"}</definedName>
    <definedName name="VAGA_NAT_2" hidden="1">{#N/A,#N/A,FALSE,"т02бд"}</definedName>
    <definedName name="valuta">'[13]2002'!$C$1:$AO$1</definedName>
    <definedName name="vb" localSheetId="12" hidden="1">{"'előző év december'!$A$2:$CP$214"}</definedName>
    <definedName name="vb" hidden="1">{"'előző év december'!$A$2:$CP$214"}</definedName>
    <definedName name="vc" localSheetId="12" hidden="1">{"'előző év december'!$A$2:$CP$214"}</definedName>
    <definedName name="vc" hidden="1">{"'előző év december'!$A$2:$CP$214"}</definedName>
    <definedName name="VM0">[2]Links!$V$3</definedName>
    <definedName name="VM0M">[2]Links!$J$27</definedName>
    <definedName name="VM0MC">[2]Links!$J$30</definedName>
    <definedName name="VM3M">[2]Links!$J$28</definedName>
    <definedName name="VM3MC">[2]Links!$J$31</definedName>
    <definedName name="VM3P">[2]Links!$V$22</definedName>
    <definedName name="vvvv" localSheetId="7" hidden="1">{#N/A,#N/A,FALSE,"т02бд"}</definedName>
    <definedName name="vvvv" localSheetId="12" hidden="1">{#N/A,#N/A,FALSE,"т02бд"}</definedName>
    <definedName name="vvvv" localSheetId="8" hidden="1">{#N/A,#N/A,FALSE,"т02бд"}</definedName>
    <definedName name="vvvv" hidden="1">{#N/A,#N/A,FALSE,"т02бд"}</definedName>
    <definedName name="vvvv_1" localSheetId="12" hidden="1">{#N/A,#N/A,FALSE,"т02бд"}</definedName>
    <definedName name="vvvv_1" localSheetId="8" hidden="1">{#N/A,#N/A,FALSE,"т02бд"}</definedName>
    <definedName name="vvvv_1" hidden="1">{#N/A,#N/A,FALSE,"т02бд"}</definedName>
    <definedName name="vvvv_2" localSheetId="12" hidden="1">{#N/A,#N/A,FALSE,"т02бд"}</definedName>
    <definedName name="vvvv_2" localSheetId="8" hidden="1">{#N/A,#N/A,FALSE,"т02бд"}</definedName>
    <definedName name="vvvv_2" hidden="1">{#N/A,#N/A,FALSE,"т02бд"}</definedName>
    <definedName name="W" localSheetId="7">[6]C!$L$19</definedName>
    <definedName name="w" localSheetId="12" hidden="1">{"'előző év december'!$A$2:$CP$214"}</definedName>
    <definedName name="W" localSheetId="8">[6]C!$L$19</definedName>
    <definedName name="w" hidden="1">{"'előző év december'!$A$2:$CP$214"}</definedName>
    <definedName name="W_F">[2]Links!$T$11</definedName>
    <definedName name="W_P">[2]Links!$X$14</definedName>
    <definedName name="WAG">[2]Links!$L$3</definedName>
    <definedName name="WAGC">[2]Links!$L$15</definedName>
    <definedName name="WAGCP">[2]Links!$L$19</definedName>
    <definedName name="Wage">[6]C!$L$30</definedName>
    <definedName name="WAGE_f">[2]Links!#REF!</definedName>
    <definedName name="WAGE_P">[2]Links!$X$25</definedName>
    <definedName name="WAGEM">[2]Links!$L$43</definedName>
    <definedName name="WAGER">[6]C!$L$31</definedName>
    <definedName name="WAGER_f">[2]Links!#REF!</definedName>
    <definedName name="WAGERM">[2]Links!$L$46</definedName>
    <definedName name="WAGERY">[2]Links!$L$47</definedName>
    <definedName name="WAGES">[6]C!$L$21</definedName>
    <definedName name="WAGES_F">[2]Links!$T$12</definedName>
    <definedName name="WAGES_P">[2]Links!$X$16</definedName>
    <definedName name="WAGESK_f">[2]Links!#REF!</definedName>
    <definedName name="WAGESP_f">[2]Links!#REF!</definedName>
    <definedName name="WAGESR_f">[2]Links!#REF!</definedName>
    <definedName name="WAGESW_f">[2]Links!#REF!</definedName>
    <definedName name="WAGEYA">[2]Links!$V$7</definedName>
    <definedName name="WAGM">[2]Links!$L$7</definedName>
    <definedName name="WAGRCY">[2]Links!$L$39</definedName>
    <definedName name="WAGRM">[2]Links!$L$27</definedName>
    <definedName name="we" localSheetId="7" hidden="1">{#N/A,#N/A,FALSE,"т02бд"}</definedName>
    <definedName name="we" localSheetId="12" hidden="1">{"'előző év december'!$A$2:$CP$214"}</definedName>
    <definedName name="we" localSheetId="8" hidden="1">{#N/A,#N/A,FALSE,"т02бд"}</definedName>
    <definedName name="we" hidden="1">{"'előző év december'!$A$2:$CP$214"}</definedName>
    <definedName name="wee" localSheetId="12" hidden="1">{"'előző év december'!$A$2:$CP$214"}</definedName>
    <definedName name="wee" hidden="1">{"'előző év december'!$A$2:$CP$214"}</definedName>
    <definedName name="werwe" localSheetId="12" hidden="1">{"'előző év december'!$A$2:$CP$214"}</definedName>
    <definedName name="werwe" hidden="1">{"'előző év december'!$A$2:$CP$214"}</definedName>
    <definedName name="werwer" localSheetId="12" hidden="1">{"'előző év december'!$A$2:$CP$214"}</definedName>
    <definedName name="werwer" hidden="1">{"'előző év december'!$A$2:$CP$214"}</definedName>
    <definedName name="WorkArea">#REF!</definedName>
    <definedName name="WPI">#REF!</definedName>
    <definedName name="WPI_F">[2]Links!$T$32</definedName>
    <definedName name="WPI_P">[2]Links!$X$5</definedName>
    <definedName name="WPIA_f">[2]Links!#REF!</definedName>
    <definedName name="WPIAVG">[6]C!$L$11</definedName>
    <definedName name="WPIAVG_F">[2]Links!$T$33</definedName>
    <definedName name="WPIAVG_P">[2]Links!$X$7</definedName>
    <definedName name="WPIC">[8]Links!$B$24</definedName>
    <definedName name="WPICA">[2]Links!$B$31</definedName>
    <definedName name="WPID">[2]Links!$D$9</definedName>
    <definedName name="WPIDC">[8]Links!$B$27</definedName>
    <definedName name="WPIDCA">[2]Links!$D$41</definedName>
    <definedName name="WPIDMY">[2]Links!$D$33</definedName>
    <definedName name="WPIDMYA">[2]Links!$D$49</definedName>
    <definedName name="WPIDPA">[8]Links!$B$72</definedName>
    <definedName name="WPIDQ">[8]Links!$B$36</definedName>
    <definedName name="WPIDQA">[8]Links!$B$45</definedName>
    <definedName name="WPIDY">[2]Links!$D$17</definedName>
    <definedName name="WPIDYA">[8]Links!$B$63</definedName>
    <definedName name="WPIE">[2]Links!$D$7</definedName>
    <definedName name="WPIEC">[8]Links!$B$25</definedName>
    <definedName name="WPIECA">[2]Links!$D$39</definedName>
    <definedName name="WPIEMY">[2]Links!$D$31</definedName>
    <definedName name="WPIEMYA">[2]Links!$D$47</definedName>
    <definedName name="WPIEPA">[8]Links!$B$70</definedName>
    <definedName name="WPIEQ">[8]Links!$B$34</definedName>
    <definedName name="WPIEQA">[8]Links!$B$43</definedName>
    <definedName name="WPIEY">[2]Links!$D$15</definedName>
    <definedName name="WPIEYA">[8]Links!$B$61</definedName>
    <definedName name="WPIM">[2]Links!$D$8</definedName>
    <definedName name="WPIMC">[8]Links!$B$26</definedName>
    <definedName name="WPIMCA">[2]Links!$D$40</definedName>
    <definedName name="WPIMMY">[2]Links!$D$32</definedName>
    <definedName name="WPIMMYA">[2]Links!$D$48</definedName>
    <definedName name="WPImov_f">[2]Links!#REF!</definedName>
    <definedName name="WPIMPA">[8]Links!$B$71</definedName>
    <definedName name="WPIMQ">[8]Links!$B$35</definedName>
    <definedName name="WPIMQA">[8]Links!$B$44</definedName>
    <definedName name="WPIMY">[2]Links!$B$21</definedName>
    <definedName name="WPIMY1">[2]Links!$D$16</definedName>
    <definedName name="WPIMYA">[2]Links!$B$26</definedName>
    <definedName name="WPIPA">[8]Links!$B$69</definedName>
    <definedName name="WPIQ">[8]Links!$B$33</definedName>
    <definedName name="WPIQA">[8]Links!$B$42</definedName>
    <definedName name="WPIY">[2]Links!$B$11</definedName>
    <definedName name="WPIYA">[8]Links!$B$60</definedName>
    <definedName name="WR">[6]C!$L$20</definedName>
    <definedName name="WR.édition" localSheetId="12" hidden="1">{"résultats",#N/A,FALSE,"résultats SFS";"indicateurs",#N/A,FALSE,"résultats SFS";"commentaires",#N/A,FALSE,"commentaires SFS";"graphiques",#N/A,FALSE,"graphiques SFS"}</definedName>
    <definedName name="WR.édition" hidden="1">{"résultats",#N/A,FALSE,"résultats SFS";"indicateurs",#N/A,FALSE,"résultats SFS";"commentaires",#N/A,FALSE,"commentaires SFS";"graphiques",#N/A,FALSE,"graphiques SFS"}</definedName>
    <definedName name="WR_P">[2]Links!$X$15</definedName>
    <definedName name="wrn.04." localSheetId="10" hidden="1">{#N/A,#N/A,FALSE,"т02бд"}</definedName>
    <definedName name="wrn.04." localSheetId="7" hidden="1">{#N/A,#N/A,FALSE,"т04"}</definedName>
    <definedName name="wrn.04." localSheetId="12" hidden="1">{#N/A,#N/A,FALSE,"т02бд"}</definedName>
    <definedName name="wrn.04." localSheetId="20" hidden="1">{#N/A,#N/A,FALSE,"т02бд"}</definedName>
    <definedName name="wrn.04." localSheetId="3" hidden="1">{#N/A,#N/A,FALSE,"т02бд"}</definedName>
    <definedName name="wrn.04." localSheetId="8" hidden="1">{#N/A,#N/A,FALSE,"т04"}</definedName>
    <definedName name="wrn.04." localSheetId="2" hidden="1">{#N/A,#N/A,FALSE,"т02бд"}</definedName>
    <definedName name="wrn.04." hidden="1">{#N/A,#N/A,FALSE,"т02бд"}</definedName>
    <definedName name="wrn.04._2" localSheetId="12" hidden="1">{#N/A,#N/A,FALSE,"т04"}</definedName>
    <definedName name="wrn.04._2" localSheetId="8" hidden="1">{#N/A,#N/A,FALSE,"т04"}</definedName>
    <definedName name="wrn.04._2" hidden="1">{#N/A,#N/A,FALSE,"т04"}</definedName>
    <definedName name="wrn.04._2_1" localSheetId="12" hidden="1">{#N/A,#N/A,FALSE,"т04"}</definedName>
    <definedName name="wrn.04._2_1" localSheetId="8" hidden="1">{#N/A,#N/A,FALSE,"т04"}</definedName>
    <definedName name="wrn.04._2_1" hidden="1">{#N/A,#N/A,FALSE,"т04"}</definedName>
    <definedName name="wrn.05" localSheetId="10" hidden="1">{#N/A,#N/A,FALSE,"т02бд"}</definedName>
    <definedName name="wrn.05" localSheetId="7" hidden="1">{#N/A,#N/A,FALSE,"т02бд"}</definedName>
    <definedName name="wrn.05" localSheetId="12" hidden="1">{#N/A,#N/A,FALSE,"т02бд"}</definedName>
    <definedName name="wrn.05" localSheetId="20" hidden="1">{#N/A,#N/A,FALSE,"т02бд"}</definedName>
    <definedName name="wrn.05" localSheetId="3" hidden="1">{#N/A,#N/A,FALSE,"т02бд"}</definedName>
    <definedName name="wrn.05" localSheetId="8" hidden="1">{#N/A,#N/A,FALSE,"т02бд"}</definedName>
    <definedName name="wrn.05" localSheetId="2" hidden="1">{#N/A,#N/A,FALSE,"т02бд"}</definedName>
    <definedName name="wrn.05" hidden="1">{#N/A,#N/A,FALSE,"т02бд"}</definedName>
    <definedName name="wrn.Book" localSheetId="12" hidden="1">{"titre",#N/A,TRUE,"Titre";"Synthèse",#N/A,TRUE,"Titre";"Synthèse Europe",#N/A,TRUE,"Titre";"Synthèse Amériques",#N/A,TRUE,"Titre";"Synthèse Asie + Total",#N/A,TRUE,"Titre";"budget Europe",#N/A,TRUE,"Titre";"budget Ameriques",#N/A,TRUE,"Titre";"budget Asie + Total",#N/A,TRUE,"Titre";"Couts Europe",#N/A,TRUE,"Titre";"Couts Ameriques",#N/A,TRUE,"Titre";"Ratio Europe",#N/A,TRUE,"Titre";"Couts Asie + Total",#N/A,TRUE,"Titre";"Ratio Ameriques",#N/A,TRUE,"Titre";"Ratio Asie + Total",#N/A,TRUE,"Titre";"CWA Europe",#N/A,TRUE,"Titre";"CWA Ameriques",#N/A,TRUE,"Titre";"CWA Asie + Total",#N/A,TRUE,"Titre";"provision",#N/A,TRUE,"Titre";"ROPE_RONE",#N/A,TRUE,"Titre";"Headcount",#N/A,TRUE,"Titre";"X-selling",#N/A,TRUE,"Titre"}</definedName>
    <definedName name="wrn.Book" hidden="1">{"titre",#N/A,TRUE,"Titre";"Synthèse",#N/A,TRUE,"Titre";"Synthèse Europe",#N/A,TRUE,"Titre";"Synthèse Amériques",#N/A,TRUE,"Titre";"Synthèse Asie + Total",#N/A,TRUE,"Titre";"budget Europe",#N/A,TRUE,"Titre";"budget Ameriques",#N/A,TRUE,"Titre";"budget Asie + Total",#N/A,TRUE,"Titre";"Couts Europe",#N/A,TRUE,"Titre";"Couts Ameriques",#N/A,TRUE,"Titre";"Ratio Europe",#N/A,TRUE,"Titre";"Couts Asie + Total",#N/A,TRUE,"Titre";"Ratio Ameriques",#N/A,TRUE,"Titre";"Ratio Asie + Total",#N/A,TRUE,"Titre";"CWA Europe",#N/A,TRUE,"Titre";"CWA Ameriques",#N/A,TRUE,"Titre";"CWA Asie + Total",#N/A,TRUE,"Titre";"provision",#N/A,TRUE,"Titre";"ROPE_RONE",#N/A,TRUE,"Titre";"Headcount",#N/A,TRUE,"Titre";"X-selling",#N/A,TRUE,"Titre"}</definedName>
    <definedName name="wrn.Book._.Forecast." localSheetId="12" hidden="1">{"titre",#N/A,TRUE,"Titre";"Synthèse",#N/A,TRUE,"Titre";"Synthèse Europe",#N/A,TRUE,"Titre";"Synthèse Amériques",#N/A,TRUE,"Titre";"Synthèse Asie + Total",#N/A,TRUE,"Titre";"budget Europe",#N/A,TRUE,"Titre";"budget Ameriques",#N/A,TRUE,"Titre";"budget Asie + Total",#N/A,TRUE,"Titre";"Couts Europe",#N/A,TRUE,"Titre";"Couts Ameriques",#N/A,TRUE,"Titre";"Ratio Europe",#N/A,TRUE,"Titre";"Couts Asie + Total",#N/A,TRUE,"Titre";"Ratio Ameriques",#N/A,TRUE,"Titre";"Ratio Asie + Total",#N/A,TRUE,"Titre";"CWA Europe",#N/A,TRUE,"Titre";"CWA Ameriques",#N/A,TRUE,"Titre";"CWA Asie + Total",#N/A,TRUE,"Titre";"provision",#N/A,TRUE,"Titre";"ROPE_RONE",#N/A,TRUE,"Titre";"Headcount",#N/A,TRUE,"Titre";"X-selling",#N/A,TRUE,"Titre"}</definedName>
    <definedName name="wrn.Book._.Forecast." hidden="1">{"titre",#N/A,TRUE,"Titre";"Synthèse",#N/A,TRUE,"Titre";"Synthèse Europe",#N/A,TRUE,"Titre";"Synthèse Amériques",#N/A,TRUE,"Titre";"Synthèse Asie + Total",#N/A,TRUE,"Titre";"budget Europe",#N/A,TRUE,"Titre";"budget Ameriques",#N/A,TRUE,"Titre";"budget Asie + Total",#N/A,TRUE,"Titre";"Couts Europe",#N/A,TRUE,"Titre";"Couts Ameriques",#N/A,TRUE,"Titre";"Ratio Europe",#N/A,TRUE,"Titre";"Couts Asie + Total",#N/A,TRUE,"Titre";"Ratio Ameriques",#N/A,TRUE,"Titre";"Ratio Asie + Total",#N/A,TRUE,"Titre";"CWA Europe",#N/A,TRUE,"Titre";"CWA Ameriques",#N/A,TRUE,"Titre";"CWA Asie + Total",#N/A,TRUE,"Titre";"provision",#N/A,TRUE,"Titre";"ROPE_RONE",#N/A,TRUE,"Titre";"Headcount",#N/A,TRUE,"Titre";"X-selling",#N/A,TRUE,"Titre"}</definedName>
    <definedName name="wrn.BOP_MIDTERM." localSheetId="26" hidden="1">{"BOP_TAB",#N/A,FALSE,"N";"MIDTERM_TAB",#N/A,FALSE,"O"}</definedName>
    <definedName name="wrn.BOP_MIDTERM." localSheetId="16" hidden="1">{"BOP_TAB",#N/A,FALSE,"N";"MIDTERM_TAB",#N/A,FALSE,"O"}</definedName>
    <definedName name="wrn.BOP_MIDTERM." localSheetId="17" hidden="1">{"BOP_TAB",#N/A,FALSE,"N";"MIDTERM_TAB",#N/A,FALSE,"O"}</definedName>
    <definedName name="wrn.BOP_MIDTERM." localSheetId="22" hidden="1">{"BOP_TAB",#N/A,FALSE,"N";"MIDTERM_TAB",#N/A,FALSE,"O"}</definedName>
    <definedName name="wrn.BOP_MIDTERM." localSheetId="10" hidden="1">{"BOP_TAB",#N/A,FALSE,"N";"MIDTERM_TAB",#N/A,FALSE,"O"}</definedName>
    <definedName name="wrn.BOP_MIDTERM." localSheetId="28" hidden="1">{"BOP_TAB",#N/A,FALSE,"N";"MIDTERM_TAB",#N/A,FALSE,"O"}</definedName>
    <definedName name="wrn.BOP_MIDTERM." localSheetId="14" hidden="1">{"BOP_TAB",#N/A,FALSE,"N";"MIDTERM_TAB",#N/A,FALSE,"O"}</definedName>
    <definedName name="wrn.BOP_MIDTERM." localSheetId="7" hidden="1">{"BOP_TAB",#N/A,FALSE,"N";"MIDTERM_TAB",#N/A,FALSE,"O"}</definedName>
    <definedName name="wrn.BOP_MIDTERM." localSheetId="12" hidden="1">{"BOP_TAB",#N/A,FALSE,"N";"MIDTERM_TAB",#N/A,FALSE,"O"}</definedName>
    <definedName name="wrn.BOP_MIDTERM." localSheetId="19" hidden="1">{"BOP_TAB",#N/A,FALSE,"N";"MIDTERM_TAB",#N/A,FALSE,"O"}</definedName>
    <definedName name="wrn.BOP_MIDTERM." localSheetId="20" hidden="1">{"BOP_TAB",#N/A,FALSE,"N";"MIDTERM_TAB",#N/A,FALSE,"O"}</definedName>
    <definedName name="wrn.BOP_MIDTERM." localSheetId="3" hidden="1">{"BOP_TAB",#N/A,FALSE,"N";"MIDTERM_TAB",#N/A,FALSE,"O"}</definedName>
    <definedName name="wrn.BOP_MIDTERM." localSheetId="8" hidden="1">{"BOP_TAB",#N/A,FALSE,"N";"MIDTERM_TAB",#N/A,FALSE,"O"}</definedName>
    <definedName name="wrn.BOP_MIDTERM." localSheetId="2" hidden="1">{"BOP_TAB",#N/A,FALSE,"N";"MIDTERM_TAB",#N/A,FALSE,"O"}</definedName>
    <definedName name="wrn.BOP_MIDTERM." hidden="1">{"BOP_TAB",#N/A,FALSE,"N";"MIDTERM_TAB",#N/A,FALSE,"O"}</definedName>
    <definedName name="wrn.BOP_MIDTERM._2" localSheetId="12" hidden="1">{"BOP_TAB",#N/A,FALSE,"N";"MIDTERM_TAB",#N/A,FALSE,"O"}</definedName>
    <definedName name="wrn.BOP_MIDTERM._2" localSheetId="8" hidden="1">{"BOP_TAB",#N/A,FALSE,"N";"MIDTERM_TAB",#N/A,FALSE,"O"}</definedName>
    <definedName name="wrn.BOP_MIDTERM._2" hidden="1">{"BOP_TAB",#N/A,FALSE,"N";"MIDTERM_TAB",#N/A,FALSE,"O"}</definedName>
    <definedName name="wrn.BOP_MIDTERM._2_1" localSheetId="12" hidden="1">{"BOP_TAB",#N/A,FALSE,"N";"MIDTERM_TAB",#N/A,FALSE,"O"}</definedName>
    <definedName name="wrn.BOP_MIDTERM._2_1" localSheetId="8" hidden="1">{"BOP_TAB",#N/A,FALSE,"N";"MIDTERM_TAB",#N/A,FALSE,"O"}</definedName>
    <definedName name="wrn.BOP_MIDTERM._2_1" hidden="1">{"BOP_TAB",#N/A,FALSE,"N";"MIDTERM_TAB",#N/A,FALSE,"O"}</definedName>
    <definedName name="wrn.cadran." localSheetId="12" hidden="1">{"cadran",#N/A,FALSE,"résultats BFI"}</definedName>
    <definedName name="wrn.cadran." hidden="1">{"cadran",#N/A,FALSE,"résultats BFI"}</definedName>
    <definedName name="wrn.combfi." localSheetId="12" hidden="1">{#N/A,#N/A,FALSE,"commentaires BFI"}</definedName>
    <definedName name="wrn.combfi." hidden="1">{#N/A,#N/A,FALSE,"commentaires BFI"}</definedName>
    <definedName name="wrn.édition." localSheetId="12" hidden="1">{"résultats",#N/A,FALSE,"résultats SFS";"indicateurs",#N/A,FALSE,"résultats SFS";"commentaires",#N/A,FALSE,"commentaires SFS";"graphiques",#N/A,FALSE,"graphiques SFS"}</definedName>
    <definedName name="wrn.édition." hidden="1">{"résultats",#N/A,FALSE,"résultats SFS";"indicateurs",#N/A,FALSE,"résultats SFS";"commentaires",#N/A,FALSE,"commentaires SFS";"graphiques",#N/A,FALSE,"graphiques SFS"}</definedName>
    <definedName name="wrn.ex." localSheetId="12" hidden="1">{#N/A,#N/A,FALSE,"NBU rates 1999"}</definedName>
    <definedName name="wrn.ex." hidden="1">{#N/A,#N/A,FALSE,"NBU rates 1999"}</definedName>
    <definedName name="wrn.ex._2" localSheetId="12" hidden="1">{#N/A,#N/A,FALSE,"NBU rates 1999"}</definedName>
    <definedName name="wrn.ex._2" hidden="1">{#N/A,#N/A,FALSE,"NBU rates 1999"}</definedName>
    <definedName name="wrn.ex._3" localSheetId="12" hidden="1">{#N/A,#N/A,FALSE,"NBU rates 1999"}</definedName>
    <definedName name="wrn.ex._3" hidden="1">{#N/A,#N/A,FALSE,"NBU rates 1999"}</definedName>
    <definedName name="wrn.ex._4" localSheetId="12" hidden="1">{#N/A,#N/A,FALSE,"NBU rates 1999"}</definedName>
    <definedName name="wrn.ex._4" hidden="1">{#N/A,#N/A,FALSE,"NBU rates 1999"}</definedName>
    <definedName name="wrn.Input._.and._.output._.tables." localSheetId="26" hidden="1">{#N/A,#N/A,FALSE,"SimInp1";#N/A,#N/A,FALSE,"SimInp2";#N/A,#N/A,FALSE,"SimOut1";#N/A,#N/A,FALSE,"SimOut2";#N/A,#N/A,FALSE,"SimOut3";#N/A,#N/A,FALSE,"SimOut4";#N/A,#N/A,FALSE,"SimOut5"}</definedName>
    <definedName name="wrn.Input._.and._.output._.tables." localSheetId="16" hidden="1">{#N/A,#N/A,FALSE,"SimInp1";#N/A,#N/A,FALSE,"SimInp2";#N/A,#N/A,FALSE,"SimOut1";#N/A,#N/A,FALSE,"SimOut2";#N/A,#N/A,FALSE,"SimOut3";#N/A,#N/A,FALSE,"SimOut4";#N/A,#N/A,FALSE,"SimOut5"}</definedName>
    <definedName name="wrn.Input._.and._.output._.tables." localSheetId="17" hidden="1">{#N/A,#N/A,FALSE,"SimInp1";#N/A,#N/A,FALSE,"SimInp2";#N/A,#N/A,FALSE,"SimOut1";#N/A,#N/A,FALSE,"SimOut2";#N/A,#N/A,FALSE,"SimOut3";#N/A,#N/A,FALSE,"SimOut4";#N/A,#N/A,FALSE,"SimOut5"}</definedName>
    <definedName name="wrn.Input._.and._.output._.tables." localSheetId="22" hidden="1">{#N/A,#N/A,FALSE,"SimInp1";#N/A,#N/A,FALSE,"SimInp2";#N/A,#N/A,FALSE,"SimOut1";#N/A,#N/A,FALSE,"SimOut2";#N/A,#N/A,FALSE,"SimOut3";#N/A,#N/A,FALSE,"SimOut4";#N/A,#N/A,FALSE,"SimOut5"}</definedName>
    <definedName name="wrn.Input._.and._.output._.tables." localSheetId="10" hidden="1">{#N/A,#N/A,FALSE,"SimInp1";#N/A,#N/A,FALSE,"SimInp2";#N/A,#N/A,FALSE,"SimOut1";#N/A,#N/A,FALSE,"SimOut2";#N/A,#N/A,FALSE,"SimOut3";#N/A,#N/A,FALSE,"SimOut4";#N/A,#N/A,FALSE,"SimOut5"}</definedName>
    <definedName name="wrn.Input._.and._.output._.tables." localSheetId="28" hidden="1">{#N/A,#N/A,FALSE,"SimInp1";#N/A,#N/A,FALSE,"SimInp2";#N/A,#N/A,FALSE,"SimOut1";#N/A,#N/A,FALSE,"SimOut2";#N/A,#N/A,FALSE,"SimOut3";#N/A,#N/A,FALSE,"SimOut4";#N/A,#N/A,FALSE,"SimOut5"}</definedName>
    <definedName name="wrn.Input._.and._.output._.tables." localSheetId="14" hidden="1">{#N/A,#N/A,FALSE,"SimInp1";#N/A,#N/A,FALSE,"SimInp2";#N/A,#N/A,FALSE,"SimOut1";#N/A,#N/A,FALSE,"SimOut2";#N/A,#N/A,FALSE,"SimOut3";#N/A,#N/A,FALSE,"SimOut4";#N/A,#N/A,FALSE,"SimOut5"}</definedName>
    <definedName name="wrn.Input._.and._.output._.tables." localSheetId="7" hidden="1">{#N/A,#N/A,FALSE,"SimInp1";#N/A,#N/A,FALSE,"SimInp2";#N/A,#N/A,FALSE,"SimOut1";#N/A,#N/A,FALSE,"SimOut2";#N/A,#N/A,FALSE,"SimOut3";#N/A,#N/A,FALSE,"SimOut4";#N/A,#N/A,FALSE,"SimOut5"}</definedName>
    <definedName name="wrn.Input._.and._.output._.tables." localSheetId="12" hidden="1">{#N/A,#N/A,FALSE,"SimInp1";#N/A,#N/A,FALSE,"SimInp2";#N/A,#N/A,FALSE,"SimOut1";#N/A,#N/A,FALSE,"SimOut2";#N/A,#N/A,FALSE,"SimOut3";#N/A,#N/A,FALSE,"SimOut4";#N/A,#N/A,FALSE,"SimOut5"}</definedName>
    <definedName name="wrn.Input._.and._.output._.tables." localSheetId="19" hidden="1">{#N/A,#N/A,FALSE,"SimInp1";#N/A,#N/A,FALSE,"SimInp2";#N/A,#N/A,FALSE,"SimOut1";#N/A,#N/A,FALSE,"SimOut2";#N/A,#N/A,FALSE,"SimOut3";#N/A,#N/A,FALSE,"SimOut4";#N/A,#N/A,FALSE,"SimOut5"}</definedName>
    <definedName name="wrn.Input._.and._.output._.tables." localSheetId="20" hidden="1">{#N/A,#N/A,FALSE,"SimInp1";#N/A,#N/A,FALSE,"SimInp2";#N/A,#N/A,FALSE,"SimOut1";#N/A,#N/A,FALSE,"SimOut2";#N/A,#N/A,FALSE,"SimOut3";#N/A,#N/A,FALSE,"SimOut4";#N/A,#N/A,FALSE,"SimOut5"}</definedName>
    <definedName name="wrn.Input._.and._.output._.tables." localSheetId="3" hidden="1">{#N/A,#N/A,FALSE,"SimInp1";#N/A,#N/A,FALSE,"SimInp2";#N/A,#N/A,FALSE,"SimOut1";#N/A,#N/A,FALSE,"SimOut2";#N/A,#N/A,FALSE,"SimOut3";#N/A,#N/A,FALSE,"SimOut4";#N/A,#N/A,FALSE,"SimOut5"}</definedName>
    <definedName name="wrn.Input._.and._.output._.tables." localSheetId="8" hidden="1">{#N/A,#N/A,FALSE,"SimInp1";#N/A,#N/A,FALSE,"SimInp2";#N/A,#N/A,FALSE,"SimOut1";#N/A,#N/A,FALSE,"SimOut2";#N/A,#N/A,FALSE,"SimOut3";#N/A,#N/A,FALSE,"SimOut4";#N/A,#N/A,FALSE,"SimOut5"}</definedName>
    <definedName name="wrn.Input._.and._.output._.tables." localSheetId="2" hidden="1">{#N/A,#N/A,FALSE,"SimInp1";#N/A,#N/A,FALSE,"SimInp2";#N/A,#N/A,FALSE,"SimOut1";#N/A,#N/A,FALSE,"SimOut2";#N/A,#N/A,FALSE,"SimOut3";#N/A,#N/A,FALSE,"SimOut4";#N/A,#N/A,FALSE,"SimOut5"}</definedName>
    <definedName name="wrn.Input._.and._.output._.tables." hidden="1">{#N/A,#N/A,FALSE,"SimInp1";#N/A,#N/A,FALSE,"SimInp2";#N/A,#N/A,FALSE,"SimOut1";#N/A,#N/A,FALSE,"SimOut2";#N/A,#N/A,FALSE,"SimOut3";#N/A,#N/A,FALSE,"SimOut4";#N/A,#N/A,FALSE,"SimOut5"}</definedName>
    <definedName name="wrn.Input._.and._.output._.tables._2" localSheetId="12" hidden="1">{#N/A,#N/A,FALSE,"SimInp1";#N/A,#N/A,FALSE,"SimInp2";#N/A,#N/A,FALSE,"SimOut1";#N/A,#N/A,FALSE,"SimOut2";#N/A,#N/A,FALSE,"SimOut3";#N/A,#N/A,FALSE,"SimOut4";#N/A,#N/A,FALSE,"SimOut5"}</definedName>
    <definedName name="wrn.Input._.and._.output._.tables._2" localSheetId="8" hidden="1">{#N/A,#N/A,FALSE,"SimInp1";#N/A,#N/A,FALSE,"SimInp2";#N/A,#N/A,FALSE,"SimOut1";#N/A,#N/A,FALSE,"SimOut2";#N/A,#N/A,FALSE,"SimOut3";#N/A,#N/A,FALSE,"SimOut4";#N/A,#N/A,FALSE,"SimOut5"}</definedName>
    <definedName name="wrn.Input._.and._.output._.tables._2" hidden="1">{#N/A,#N/A,FALSE,"SimInp1";#N/A,#N/A,FALSE,"SimInp2";#N/A,#N/A,FALSE,"SimOut1";#N/A,#N/A,FALSE,"SimOut2";#N/A,#N/A,FALSE,"SimOut3";#N/A,#N/A,FALSE,"SimOut4";#N/A,#N/A,FALSE,"SimOut5"}</definedName>
    <definedName name="wrn.Input._.and._.output._.tables._2_1" localSheetId="12" hidden="1">{#N/A,#N/A,FALSE,"SimInp1";#N/A,#N/A,FALSE,"SimInp2";#N/A,#N/A,FALSE,"SimOut1";#N/A,#N/A,FALSE,"SimOut2";#N/A,#N/A,FALSE,"SimOut3";#N/A,#N/A,FALSE,"SimOut4";#N/A,#N/A,FALSE,"SimOut5"}</definedName>
    <definedName name="wrn.Input._.and._.output._.tables._2_1" localSheetId="8" hidden="1">{#N/A,#N/A,FALSE,"SimInp1";#N/A,#N/A,FALSE,"SimInp2";#N/A,#N/A,FALSE,"SimOut1";#N/A,#N/A,FALSE,"SimOut2";#N/A,#N/A,FALSE,"SimOut3";#N/A,#N/A,FALSE,"SimOut4";#N/A,#N/A,FALSE,"SimOut5"}</definedName>
    <definedName name="wrn.Input._.and._.output._.tables._2_1" hidden="1">{#N/A,#N/A,FALSE,"SimInp1";#N/A,#N/A,FALSE,"SimInp2";#N/A,#N/A,FALSE,"SimOut1";#N/A,#N/A,FALSE,"SimOut2";#N/A,#N/A,FALSE,"SimOut3";#N/A,#N/A,FALSE,"SimOut4";#N/A,#N/A,FALSE,"SimOut5"}</definedName>
    <definedName name="wrn.MDABOP." localSheetId="26" hidden="1">{"BOP_TAB",#N/A,FALSE,"N";"MIDTERM_TAB",#N/A,FALSE,"O";"FUND_CRED",#N/A,FALSE,"P";"DEBT_TAB1",#N/A,FALSE,"Q";"DEBT_TAB2",#N/A,FALSE,"Q";"FORFIN_TAB1",#N/A,FALSE,"R";"FORFIN_TAB2",#N/A,FALSE,"R";"BOP_ANALY",#N/A,FALSE,"U"}</definedName>
    <definedName name="wrn.MDABOP." localSheetId="16" hidden="1">{"BOP_TAB",#N/A,FALSE,"N";"MIDTERM_TAB",#N/A,FALSE,"O";"FUND_CRED",#N/A,FALSE,"P";"DEBT_TAB1",#N/A,FALSE,"Q";"DEBT_TAB2",#N/A,FALSE,"Q";"FORFIN_TAB1",#N/A,FALSE,"R";"FORFIN_TAB2",#N/A,FALSE,"R";"BOP_ANALY",#N/A,FALSE,"U"}</definedName>
    <definedName name="wrn.MDABOP." localSheetId="17" hidden="1">{"BOP_TAB",#N/A,FALSE,"N";"MIDTERM_TAB",#N/A,FALSE,"O";"FUND_CRED",#N/A,FALSE,"P";"DEBT_TAB1",#N/A,FALSE,"Q";"DEBT_TAB2",#N/A,FALSE,"Q";"FORFIN_TAB1",#N/A,FALSE,"R";"FORFIN_TAB2",#N/A,FALSE,"R";"BOP_ANALY",#N/A,FALSE,"U"}</definedName>
    <definedName name="wrn.MDABOP." localSheetId="22" hidden="1">{"BOP_TAB",#N/A,FALSE,"N";"MIDTERM_TAB",#N/A,FALSE,"O";"FUND_CRED",#N/A,FALSE,"P";"DEBT_TAB1",#N/A,FALSE,"Q";"DEBT_TAB2",#N/A,FALSE,"Q";"FORFIN_TAB1",#N/A,FALSE,"R";"FORFIN_TAB2",#N/A,FALSE,"R";"BOP_ANALY",#N/A,FALSE,"U"}</definedName>
    <definedName name="wrn.MDABOP." localSheetId="10" hidden="1">{"BOP_TAB",#N/A,FALSE,"N";"MIDTERM_TAB",#N/A,FALSE,"O";"FUND_CRED",#N/A,FALSE,"P";"DEBT_TAB1",#N/A,FALSE,"Q";"DEBT_TAB2",#N/A,FALSE,"Q";"FORFIN_TAB1",#N/A,FALSE,"R";"FORFIN_TAB2",#N/A,FALSE,"R";"BOP_ANALY",#N/A,FALSE,"U"}</definedName>
    <definedName name="wrn.MDABOP." localSheetId="28" hidden="1">{"BOP_TAB",#N/A,FALSE,"N";"MIDTERM_TAB",#N/A,FALSE,"O";"FUND_CRED",#N/A,FALSE,"P";"DEBT_TAB1",#N/A,FALSE,"Q";"DEBT_TAB2",#N/A,FALSE,"Q";"FORFIN_TAB1",#N/A,FALSE,"R";"FORFIN_TAB2",#N/A,FALSE,"R";"BOP_ANALY",#N/A,FALSE,"U"}</definedName>
    <definedName name="wrn.MDABOP." localSheetId="14" hidden="1">{"BOP_TAB",#N/A,FALSE,"N";"MIDTERM_TAB",#N/A,FALSE,"O";"FUND_CRED",#N/A,FALSE,"P";"DEBT_TAB1",#N/A,FALSE,"Q";"DEBT_TAB2",#N/A,FALSE,"Q";"FORFIN_TAB1",#N/A,FALSE,"R";"FORFIN_TAB2",#N/A,FALSE,"R";"BOP_ANALY",#N/A,FALSE,"U"}</definedName>
    <definedName name="wrn.MDABOP." localSheetId="7" hidden="1">{"BOP_TAB",#N/A,FALSE,"N";"MIDTERM_TAB",#N/A,FALSE,"O";"FUND_CRED",#N/A,FALSE,"P";"DEBT_TAB1",#N/A,FALSE,"Q";"DEBT_TAB2",#N/A,FALSE,"Q";"FORFIN_TAB1",#N/A,FALSE,"R";"FORFIN_TAB2",#N/A,FALSE,"R";"BOP_ANALY",#N/A,FALSE,"U"}</definedName>
    <definedName name="wrn.MDABOP." localSheetId="12" hidden="1">{"BOP_TAB",#N/A,FALSE,"N";"MIDTERM_TAB",#N/A,FALSE,"O";"FUND_CRED",#N/A,FALSE,"P";"DEBT_TAB1",#N/A,FALSE,"Q";"DEBT_TAB2",#N/A,FALSE,"Q";"FORFIN_TAB1",#N/A,FALSE,"R";"FORFIN_TAB2",#N/A,FALSE,"R";"BOP_ANALY",#N/A,FALSE,"U"}</definedName>
    <definedName name="wrn.MDABOP." localSheetId="19" hidden="1">{"BOP_TAB",#N/A,FALSE,"N";"MIDTERM_TAB",#N/A,FALSE,"O";"FUND_CRED",#N/A,FALSE,"P";"DEBT_TAB1",#N/A,FALSE,"Q";"DEBT_TAB2",#N/A,FALSE,"Q";"FORFIN_TAB1",#N/A,FALSE,"R";"FORFIN_TAB2",#N/A,FALSE,"R";"BOP_ANALY",#N/A,FALSE,"U"}</definedName>
    <definedName name="wrn.MDABOP." localSheetId="20" hidden="1">{"BOP_TAB",#N/A,FALSE,"N";"MIDTERM_TAB",#N/A,FALSE,"O";"FUND_CRED",#N/A,FALSE,"P";"DEBT_TAB1",#N/A,FALSE,"Q";"DEBT_TAB2",#N/A,FALSE,"Q";"FORFIN_TAB1",#N/A,FALSE,"R";"FORFIN_TAB2",#N/A,FALSE,"R";"BOP_ANALY",#N/A,FALSE,"U"}</definedName>
    <definedName name="wrn.MDABOP." localSheetId="3" hidden="1">{"BOP_TAB",#N/A,FALSE,"N";"MIDTERM_TAB",#N/A,FALSE,"O";"FUND_CRED",#N/A,FALSE,"P";"DEBT_TAB1",#N/A,FALSE,"Q";"DEBT_TAB2",#N/A,FALSE,"Q";"FORFIN_TAB1",#N/A,FALSE,"R";"FORFIN_TAB2",#N/A,FALSE,"R";"BOP_ANALY",#N/A,FALSE,"U"}</definedName>
    <definedName name="wrn.MDABOP." localSheetId="8" hidden="1">{"BOP_TAB",#N/A,FALSE,"N";"MIDTERM_TAB",#N/A,FALSE,"O";"FUND_CRED",#N/A,FALSE,"P";"DEBT_TAB1",#N/A,FALSE,"Q";"DEBT_TAB2",#N/A,FALSE,"Q";"FORFIN_TAB1",#N/A,FALSE,"R";"FORFIN_TAB2",#N/A,FALSE,"R";"BOP_ANALY",#N/A,FALSE,"U"}</definedName>
    <definedName name="wrn.MDABOP." localSheetId="2" hidden="1">{"BOP_TAB",#N/A,FALSE,"N";"MIDTERM_TAB",#N/A,FALSE,"O";"FUND_CRED",#N/A,FALSE,"P";"DEBT_TAB1",#N/A,FALSE,"Q";"DEBT_TAB2",#N/A,FALSE,"Q";"FORFIN_TAB1",#N/A,FALSE,"R";"FORFIN_TAB2",#N/A,FALSE,"R";"BOP_ANALY",#N/A,FALSE,"U"}</definedName>
    <definedName name="wrn.MDABOP." hidden="1">{"BOP_TAB",#N/A,FALSE,"N";"MIDTERM_TAB",#N/A,FALSE,"O";"FUND_CRED",#N/A,FALSE,"P";"DEBT_TAB1",#N/A,FALSE,"Q";"DEBT_TAB2",#N/A,FALSE,"Q";"FORFIN_TAB1",#N/A,FALSE,"R";"FORFIN_TAB2",#N/A,FALSE,"R";"BOP_ANALY",#N/A,FALSE,"U"}</definedName>
    <definedName name="wrn.MDABOP._2" localSheetId="12" hidden="1">{"BOP_TAB",#N/A,FALSE,"N";"MIDTERM_TAB",#N/A,FALSE,"O";"FUND_CRED",#N/A,FALSE,"P";"DEBT_TAB1",#N/A,FALSE,"Q";"DEBT_TAB2",#N/A,FALSE,"Q";"FORFIN_TAB1",#N/A,FALSE,"R";"FORFIN_TAB2",#N/A,FALSE,"R";"BOP_ANALY",#N/A,FALSE,"U"}</definedName>
    <definedName name="wrn.MDABOP._2" localSheetId="8" hidden="1">{"BOP_TAB",#N/A,FALSE,"N";"MIDTERM_TAB",#N/A,FALSE,"O";"FUND_CRED",#N/A,FALSE,"P";"DEBT_TAB1",#N/A,FALSE,"Q";"DEBT_TAB2",#N/A,FALSE,"Q";"FORFIN_TAB1",#N/A,FALSE,"R";"FORFIN_TAB2",#N/A,FALSE,"R";"BOP_ANALY",#N/A,FALSE,"U"}</definedName>
    <definedName name="wrn.MDABOP._2" hidden="1">{"BOP_TAB",#N/A,FALSE,"N";"MIDTERM_TAB",#N/A,FALSE,"O";"FUND_CRED",#N/A,FALSE,"P";"DEBT_TAB1",#N/A,FALSE,"Q";"DEBT_TAB2",#N/A,FALSE,"Q";"FORFIN_TAB1",#N/A,FALSE,"R";"FORFIN_TAB2",#N/A,FALSE,"R";"BOP_ANALY",#N/A,FALSE,"U"}</definedName>
    <definedName name="wrn.MDABOP._2_1" localSheetId="12" hidden="1">{"BOP_TAB",#N/A,FALSE,"N";"MIDTERM_TAB",#N/A,FALSE,"O";"FUND_CRED",#N/A,FALSE,"P";"DEBT_TAB1",#N/A,FALSE,"Q";"DEBT_TAB2",#N/A,FALSE,"Q";"FORFIN_TAB1",#N/A,FALSE,"R";"FORFIN_TAB2",#N/A,FALSE,"R";"BOP_ANALY",#N/A,FALSE,"U"}</definedName>
    <definedName name="wrn.MDABOP._2_1" localSheetId="8" hidden="1">{"BOP_TAB",#N/A,FALSE,"N";"MIDTERM_TAB",#N/A,FALSE,"O";"FUND_CRED",#N/A,FALSE,"P";"DEBT_TAB1",#N/A,FALSE,"Q";"DEBT_TAB2",#N/A,FALSE,"Q";"FORFIN_TAB1",#N/A,FALSE,"R";"FORFIN_TAB2",#N/A,FALSE,"R";"BOP_ANALY",#N/A,FALSE,"U"}</definedName>
    <definedName name="wrn.MDABOP._2_1" hidden="1">{"BOP_TAB",#N/A,FALSE,"N";"MIDTERM_TAB",#N/A,FALSE,"O";"FUND_CRED",#N/A,FALSE,"P";"DEBT_TAB1",#N/A,FALSE,"Q";"DEBT_TAB2",#N/A,FALSE,"Q";"FORFIN_TAB1",#N/A,FALSE,"R";"FORFIN_TAB2",#N/A,FALSE,"R";"BOP_ANALY",#N/A,FALSE,"U"}</definedName>
    <definedName name="wrn.MONA." localSheetId="26" hidden="1">{"MONA",#N/A,FALSE,"S"}</definedName>
    <definedName name="wrn.MONA." localSheetId="16" hidden="1">{"MONA",#N/A,FALSE,"S"}</definedName>
    <definedName name="wrn.MONA." localSheetId="17" hidden="1">{"MONA",#N/A,FALSE,"S"}</definedName>
    <definedName name="wrn.MONA." localSheetId="22" hidden="1">{"MONA",#N/A,FALSE,"S"}</definedName>
    <definedName name="wrn.MONA." localSheetId="10" hidden="1">{"MONA",#N/A,FALSE,"S"}</definedName>
    <definedName name="wrn.MONA." localSheetId="28" hidden="1">{"MONA",#N/A,FALSE,"S"}</definedName>
    <definedName name="wrn.MONA." localSheetId="14" hidden="1">{"MONA",#N/A,FALSE,"S"}</definedName>
    <definedName name="wrn.MONA." localSheetId="7" hidden="1">{"MONA",#N/A,FALSE,"S"}</definedName>
    <definedName name="wrn.MONA." localSheetId="12" hidden="1">{"MONA",#N/A,FALSE,"S"}</definedName>
    <definedName name="wrn.MONA." localSheetId="19" hidden="1">{"MONA",#N/A,FALSE,"S"}</definedName>
    <definedName name="wrn.MONA." localSheetId="20" hidden="1">{"MONA",#N/A,FALSE,"S"}</definedName>
    <definedName name="wrn.MONA." localSheetId="3" hidden="1">{"MONA",#N/A,FALSE,"S"}</definedName>
    <definedName name="wrn.MONA." localSheetId="8" hidden="1">{"MONA",#N/A,FALSE,"S"}</definedName>
    <definedName name="wrn.MONA." localSheetId="2" hidden="1">{"MONA",#N/A,FALSE,"S"}</definedName>
    <definedName name="wrn.MONA." hidden="1">{"MONA",#N/A,FALSE,"S"}</definedName>
    <definedName name="wrn.MONA._2" localSheetId="12" hidden="1">{"MONA",#N/A,FALSE,"S"}</definedName>
    <definedName name="wrn.MONA._2" localSheetId="8" hidden="1">{"MONA",#N/A,FALSE,"S"}</definedName>
    <definedName name="wrn.MONA._2" hidden="1">{"MONA",#N/A,FALSE,"S"}</definedName>
    <definedName name="wrn.MONA._2_1" localSheetId="12" hidden="1">{"MONA",#N/A,FALSE,"S"}</definedName>
    <definedName name="wrn.MONA._2_1" localSheetId="8" hidden="1">{"MONA",#N/A,FALSE,"S"}</definedName>
    <definedName name="wrn.MONA._2_1" hidden="1">{"MONA",#N/A,FALSE,"S"}</definedName>
    <definedName name="wrn.Output._.tables." localSheetId="26" hidden="1">{#N/A,#N/A,FALSE,"I";#N/A,#N/A,FALSE,"J";#N/A,#N/A,FALSE,"K";#N/A,#N/A,FALSE,"L";#N/A,#N/A,FALSE,"M";#N/A,#N/A,FALSE,"N";#N/A,#N/A,FALSE,"O"}</definedName>
    <definedName name="wrn.Output._.tables." localSheetId="16" hidden="1">{#N/A,#N/A,FALSE,"I";#N/A,#N/A,FALSE,"J";#N/A,#N/A,FALSE,"K";#N/A,#N/A,FALSE,"L";#N/A,#N/A,FALSE,"M";#N/A,#N/A,FALSE,"N";#N/A,#N/A,FALSE,"O"}</definedName>
    <definedName name="wrn.Output._.tables." localSheetId="17" hidden="1">{#N/A,#N/A,FALSE,"I";#N/A,#N/A,FALSE,"J";#N/A,#N/A,FALSE,"K";#N/A,#N/A,FALSE,"L";#N/A,#N/A,FALSE,"M";#N/A,#N/A,FALSE,"N";#N/A,#N/A,FALSE,"O"}</definedName>
    <definedName name="wrn.Output._.tables." localSheetId="22" hidden="1">{#N/A,#N/A,FALSE,"I";#N/A,#N/A,FALSE,"J";#N/A,#N/A,FALSE,"K";#N/A,#N/A,FALSE,"L";#N/A,#N/A,FALSE,"M";#N/A,#N/A,FALSE,"N";#N/A,#N/A,FALSE,"O"}</definedName>
    <definedName name="wrn.Output._.tables." localSheetId="10" hidden="1">{#N/A,#N/A,FALSE,"I";#N/A,#N/A,FALSE,"J";#N/A,#N/A,FALSE,"K";#N/A,#N/A,FALSE,"L";#N/A,#N/A,FALSE,"M";#N/A,#N/A,FALSE,"N";#N/A,#N/A,FALSE,"O"}</definedName>
    <definedName name="wrn.Output._.tables." localSheetId="28" hidden="1">{#N/A,#N/A,FALSE,"I";#N/A,#N/A,FALSE,"J";#N/A,#N/A,FALSE,"K";#N/A,#N/A,FALSE,"L";#N/A,#N/A,FALSE,"M";#N/A,#N/A,FALSE,"N";#N/A,#N/A,FALSE,"O"}</definedName>
    <definedName name="wrn.Output._.tables." localSheetId="14" hidden="1">{#N/A,#N/A,FALSE,"I";#N/A,#N/A,FALSE,"J";#N/A,#N/A,FALSE,"K";#N/A,#N/A,FALSE,"L";#N/A,#N/A,FALSE,"M";#N/A,#N/A,FALSE,"N";#N/A,#N/A,FALSE,"O"}</definedName>
    <definedName name="wrn.Output._.tables." localSheetId="7" hidden="1">{#N/A,#N/A,FALSE,"I";#N/A,#N/A,FALSE,"J";#N/A,#N/A,FALSE,"K";#N/A,#N/A,FALSE,"L";#N/A,#N/A,FALSE,"M";#N/A,#N/A,FALSE,"N";#N/A,#N/A,FALSE,"O"}</definedName>
    <definedName name="wrn.Output._.tables." localSheetId="12" hidden="1">{#N/A,#N/A,FALSE,"I";#N/A,#N/A,FALSE,"J";#N/A,#N/A,FALSE,"K";#N/A,#N/A,FALSE,"L";#N/A,#N/A,FALSE,"M";#N/A,#N/A,FALSE,"N";#N/A,#N/A,FALSE,"O"}</definedName>
    <definedName name="wrn.Output._.tables." localSheetId="19" hidden="1">{#N/A,#N/A,FALSE,"I";#N/A,#N/A,FALSE,"J";#N/A,#N/A,FALSE,"K";#N/A,#N/A,FALSE,"L";#N/A,#N/A,FALSE,"M";#N/A,#N/A,FALSE,"N";#N/A,#N/A,FALSE,"O"}</definedName>
    <definedName name="wrn.Output._.tables." localSheetId="20" hidden="1">{#N/A,#N/A,FALSE,"I";#N/A,#N/A,FALSE,"J";#N/A,#N/A,FALSE,"K";#N/A,#N/A,FALSE,"L";#N/A,#N/A,FALSE,"M";#N/A,#N/A,FALSE,"N";#N/A,#N/A,FALSE,"O"}</definedName>
    <definedName name="wrn.Output._.tables." localSheetId="3" hidden="1">{#N/A,#N/A,FALSE,"I";#N/A,#N/A,FALSE,"J";#N/A,#N/A,FALSE,"K";#N/A,#N/A,FALSE,"L";#N/A,#N/A,FALSE,"M";#N/A,#N/A,FALSE,"N";#N/A,#N/A,FALSE,"O"}</definedName>
    <definedName name="wrn.Output._.tables." localSheetId="8" hidden="1">{#N/A,#N/A,FALSE,"I";#N/A,#N/A,FALSE,"J";#N/A,#N/A,FALSE,"K";#N/A,#N/A,FALSE,"L";#N/A,#N/A,FALSE,"M";#N/A,#N/A,FALSE,"N";#N/A,#N/A,FALSE,"O"}</definedName>
    <definedName name="wrn.Output._.tables." localSheetId="2" hidden="1">{#N/A,#N/A,FALSE,"I";#N/A,#N/A,FALSE,"J";#N/A,#N/A,FALSE,"K";#N/A,#N/A,FALSE,"L";#N/A,#N/A,FALSE,"M";#N/A,#N/A,FALSE,"N";#N/A,#N/A,FALSE,"O"}</definedName>
    <definedName name="wrn.Output._.tables." hidden="1">{#N/A,#N/A,FALSE,"I";#N/A,#N/A,FALSE,"J";#N/A,#N/A,FALSE,"K";#N/A,#N/A,FALSE,"L";#N/A,#N/A,FALSE,"M";#N/A,#N/A,FALSE,"N";#N/A,#N/A,FALSE,"O"}</definedName>
    <definedName name="wrn.Output._.tables._2" localSheetId="12" hidden="1">{#N/A,#N/A,FALSE,"I";#N/A,#N/A,FALSE,"J";#N/A,#N/A,FALSE,"K";#N/A,#N/A,FALSE,"L";#N/A,#N/A,FALSE,"M";#N/A,#N/A,FALSE,"N";#N/A,#N/A,FALSE,"O"}</definedName>
    <definedName name="wrn.Output._.tables._2" localSheetId="8" hidden="1">{#N/A,#N/A,FALSE,"I";#N/A,#N/A,FALSE,"J";#N/A,#N/A,FALSE,"K";#N/A,#N/A,FALSE,"L";#N/A,#N/A,FALSE,"M";#N/A,#N/A,FALSE,"N";#N/A,#N/A,FALSE,"O"}</definedName>
    <definedName name="wrn.Output._.tables._2" hidden="1">{#N/A,#N/A,FALSE,"I";#N/A,#N/A,FALSE,"J";#N/A,#N/A,FALSE,"K";#N/A,#N/A,FALSE,"L";#N/A,#N/A,FALSE,"M";#N/A,#N/A,FALSE,"N";#N/A,#N/A,FALSE,"O"}</definedName>
    <definedName name="wrn.Output._.tables._2_1" localSheetId="12" hidden="1">{#N/A,#N/A,FALSE,"I";#N/A,#N/A,FALSE,"J";#N/A,#N/A,FALSE,"K";#N/A,#N/A,FALSE,"L";#N/A,#N/A,FALSE,"M";#N/A,#N/A,FALSE,"N";#N/A,#N/A,FALSE,"O"}</definedName>
    <definedName name="wrn.Output._.tables._2_1" localSheetId="8" hidden="1">{#N/A,#N/A,FALSE,"I";#N/A,#N/A,FALSE,"J";#N/A,#N/A,FALSE,"K";#N/A,#N/A,FALSE,"L";#N/A,#N/A,FALSE,"M";#N/A,#N/A,FALSE,"N";#N/A,#N/A,FALSE,"O"}</definedName>
    <definedName name="wrn.Output._.tables._2_1" hidden="1">{#N/A,#N/A,FALSE,"I";#N/A,#N/A,FALSE,"J";#N/A,#N/A,FALSE,"K";#N/A,#N/A,FALSE,"L";#N/A,#N/A,FALSE,"M";#N/A,#N/A,FALSE,"N";#N/A,#N/A,FALSE,"O"}</definedName>
    <definedName name="wrn.Presentační._.sestava." localSheetId="12" hidden="1">{"Str.1",#N/A,FALSE,"Aktiva";"Str.2",#N/A,FALSE,"Aktiva";"Str.3",#N/A,FALSE,"Aktiva";"Str.4",#N/A,FALSE,"Aktiva";"Str.5",#N/A,FALSE,"Aktiva";"str1",#N/A,FALSE,"Pasíva";"str2",#N/A,FALSE,"Pasíva";"str3",#N/A,FALSE,"Pasíva";"str4",#N/A,FALSE,"Pasíva";#N/A,#N/A,FALSE,"Dopl. k pasívům";"str1",#N/A,FALSE,"Podrozvaha-aktiva";"str2",#N/A,FALSE,"Podrozvaha-aktiva";"str1",#N/A,FALSE,"Podrozvaha-pasíva";"str2",#N/A,FALSE,"Podrozvaha-pasíva";"str3",#N/A,FALSE,"Podrozvaha-pasíva"}</definedName>
    <definedName name="wrn.Presentační._.sestava." hidden="1">{"Str.1",#N/A,FALSE,"Aktiva";"Str.2",#N/A,FALSE,"Aktiva";"Str.3",#N/A,FALSE,"Aktiva";"Str.4",#N/A,FALSE,"Aktiva";"Str.5",#N/A,FALSE,"Aktiva";"str1",#N/A,FALSE,"Pasíva";"str2",#N/A,FALSE,"Pasíva";"str3",#N/A,FALSE,"Pasíva";"str4",#N/A,FALSE,"Pasíva";#N/A,#N/A,FALSE,"Dopl. k pasívům";"str1",#N/A,FALSE,"Podrozvaha-aktiva";"str2",#N/A,FALSE,"Podrozvaha-aktiva";"str1",#N/A,FALSE,"Podrozvaha-pasíva";"str2",#N/A,FALSE,"Podrozvaha-pasíva";"str3",#N/A,FALSE,"Podrozvaha-pasíva"}</definedName>
    <definedName name="wrn.RISIFE40." localSheetId="12" hidden="1">{"ris40_10_01",#N/A,TRUE,"RIS40_10";"ris40_10_02",#N/A,TRUE,"RIS40_10";"ris40_20_01",#N/A,TRUE,"RIS40_20";"ris40_20_02",#N/A,TRUE,"RIS40_20";"ris40_20_03",#N/A,TRUE,"RIS40_20";"ris40_30_01",#N/A,TRUE,"RIS40_30";"ris40_30_02",#N/A,TRUE,"RIS40_30"}</definedName>
    <definedName name="wrn.RISIFE40." hidden="1">{"ris40_10_01",#N/A,TRUE,"RIS40_10";"ris40_10_02",#N/A,TRUE,"RIS40_10";"ris40_20_01",#N/A,TRUE,"RIS40_20";"ris40_20_02",#N/A,TRUE,"RIS40_20";"ris40_20_03",#N/A,TRUE,"RIS40_20";"ris40_30_01",#N/A,TRUE,"RIS40_30";"ris40_30_02",#N/A,TRUE,"RIS40_30"}</definedName>
    <definedName name="wrn.Tab02." localSheetId="12" hidden="1">{#N/A,#N/A,TRUE,"Tab0201";#N/A,#N/A,TRUE,"Tab0202";#N/A,#N/A,TRUE,"Tab0203"}</definedName>
    <definedName name="wrn.Tab02." hidden="1">{#N/A,#N/A,TRUE,"Tab0201";#N/A,#N/A,TRUE,"Tab0202";#N/A,#N/A,TRUE,"Tab0203"}</definedName>
    <definedName name="wrn.tab05." localSheetId="12" hidden="1">{#N/A,#N/A,FALSE,"Tab0501";#N/A,#N/A,FALSE,"Tab0502";#N/A,#N/A,FALSE,"Tab0503";#N/A,#N/A,FALSE,"Tab0504";#N/A,#N/A,FALSE,"Tab0505"}</definedName>
    <definedName name="wrn.tab05." hidden="1">{#N/A,#N/A,FALSE,"Tab0501";#N/A,#N/A,FALSE,"Tab0502";#N/A,#N/A,FALSE,"Tab0503";#N/A,#N/A,FALSE,"Tab0504";#N/A,#N/A,FALSE,"Tab0505"}</definedName>
    <definedName name="wrn.WEO." localSheetId="26" hidden="1">{"WEO",#N/A,FALSE,"T"}</definedName>
    <definedName name="wrn.WEO." localSheetId="16" hidden="1">{"WEO",#N/A,FALSE,"T"}</definedName>
    <definedName name="wrn.WEO." localSheetId="17" hidden="1">{"WEO",#N/A,FALSE,"T"}</definedName>
    <definedName name="wrn.WEO." localSheetId="22" hidden="1">{"WEO",#N/A,FALSE,"T"}</definedName>
    <definedName name="wrn.WEO." localSheetId="10" hidden="1">{"WEO",#N/A,FALSE,"T"}</definedName>
    <definedName name="wrn.WEO." localSheetId="28" hidden="1">{"WEO",#N/A,FALSE,"T"}</definedName>
    <definedName name="wrn.WEO." localSheetId="14" hidden="1">{"WEO",#N/A,FALSE,"T"}</definedName>
    <definedName name="wrn.WEO." localSheetId="7" hidden="1">{"WEO",#N/A,FALSE,"T"}</definedName>
    <definedName name="wrn.WEO." localSheetId="12" hidden="1">{"WEO",#N/A,FALSE,"T"}</definedName>
    <definedName name="wrn.WEO." localSheetId="19" hidden="1">{"WEO",#N/A,FALSE,"T"}</definedName>
    <definedName name="wrn.WEO." localSheetId="20" hidden="1">{"WEO",#N/A,FALSE,"T"}</definedName>
    <definedName name="wrn.WEO." localSheetId="3" hidden="1">{"WEO",#N/A,FALSE,"T"}</definedName>
    <definedName name="wrn.WEO." localSheetId="8" hidden="1">{"WEO",#N/A,FALSE,"T"}</definedName>
    <definedName name="wrn.WEO." localSheetId="2" hidden="1">{"WEO",#N/A,FALSE,"T"}</definedName>
    <definedName name="wrn.WEO." hidden="1">{"WEO",#N/A,FALSE,"T"}</definedName>
    <definedName name="wrn.WEO._2" localSheetId="12" hidden="1">{"WEO",#N/A,FALSE,"T"}</definedName>
    <definedName name="wrn.WEO._2" localSheetId="8" hidden="1">{"WEO",#N/A,FALSE,"T"}</definedName>
    <definedName name="wrn.WEO._2" hidden="1">{"WEO",#N/A,FALSE,"T"}</definedName>
    <definedName name="wrn.WEO._2_1" localSheetId="12" hidden="1">{"WEO",#N/A,FALSE,"T"}</definedName>
    <definedName name="wrn.WEO._2_1" localSheetId="8" hidden="1">{"WEO",#N/A,FALSE,"T"}</definedName>
    <definedName name="wrn.WEO._2_1" hidden="1">{"WEO",#N/A,FALSE,"T"}</definedName>
    <definedName name="wrn.д02." localSheetId="10" hidden="1">{#N/A,#N/A,FALSE,"т02бд"}</definedName>
    <definedName name="wrn.д02." localSheetId="7" hidden="1">{#N/A,#N/A,FALSE,"т02бд"}</definedName>
    <definedName name="wrn.д02." localSheetId="12" hidden="1">{#N/A,#N/A,FALSE,"т02бд"}</definedName>
    <definedName name="wrn.д02." localSheetId="20" hidden="1">{#N/A,#N/A,FALSE,"т02бд"}</definedName>
    <definedName name="wrn.д02." localSheetId="3" hidden="1">{#N/A,#N/A,FALSE,"т02бд"}</definedName>
    <definedName name="wrn.д02." localSheetId="8" hidden="1">{#N/A,#N/A,FALSE,"т02бд"}</definedName>
    <definedName name="wrn.д02." localSheetId="2" hidden="1">{#N/A,#N/A,FALSE,"т02бд"}</definedName>
    <definedName name="wrn.д02." hidden="1">{#N/A,#N/A,FALSE,"т02бд"}</definedName>
    <definedName name="wrn.д02._2" localSheetId="12" hidden="1">{#N/A,#N/A,FALSE,"т02бд"}</definedName>
    <definedName name="wrn.д02._2" localSheetId="8" hidden="1">{#N/A,#N/A,FALSE,"т02бд"}</definedName>
    <definedName name="wrn.д02._2" hidden="1">{#N/A,#N/A,FALSE,"т02бд"}</definedName>
    <definedName name="wrn.д02._2_1" localSheetId="12" hidden="1">{#N/A,#N/A,FALSE,"т02бд"}</definedName>
    <definedName name="wrn.д02._2_1" localSheetId="8" hidden="1">{#N/A,#N/A,FALSE,"т02бд"}</definedName>
    <definedName name="wrn.д02._2_1" hidden="1">{#N/A,#N/A,FALSE,"т02бд"}</definedName>
    <definedName name="wrn.Інструкція." localSheetId="7" hidden="1">{#N/A,#N/A,FALSE,"Лист4"}</definedName>
    <definedName name="wrn.Інструкція." localSheetId="12" hidden="1">{#N/A,#N/A,FALSE,"Лист4"}</definedName>
    <definedName name="wrn.Інструкція." localSheetId="8" hidden="1">{#N/A,#N/A,FALSE,"Лист4"}</definedName>
    <definedName name="wrn.Інструкція." hidden="1">{#N/A,#N/A,FALSE,"Лист4"}</definedName>
    <definedName name="wrn.т171банки." localSheetId="10" hidden="1">{#N/A,#N/A,FALSE,"т17-1банки (2)"}</definedName>
    <definedName name="wrn.т171банки." localSheetId="7" hidden="1">{#N/A,#N/A,FALSE,"т17-1банки (2)"}</definedName>
    <definedName name="wrn.т171банки." localSheetId="12" hidden="1">{#N/A,#N/A,FALSE,"т17-1банки (2)"}</definedName>
    <definedName name="wrn.т171банки." localSheetId="20" hidden="1">{#N/A,#N/A,FALSE,"т17-1банки (2)"}</definedName>
    <definedName name="wrn.т171банки." localSheetId="3" hidden="1">{#N/A,#N/A,FALSE,"т17-1банки (2)"}</definedName>
    <definedName name="wrn.т171банки." localSheetId="8" hidden="1">{#N/A,#N/A,FALSE,"т17-1банки (2)"}</definedName>
    <definedName name="wrn.т171банки." localSheetId="2" hidden="1">{#N/A,#N/A,FALSE,"т17-1банки (2)"}</definedName>
    <definedName name="wrn.т171банки." hidden="1">{#N/A,#N/A,FALSE,"т17-1банки (2)"}</definedName>
    <definedName name="wrn.т171банки._2" localSheetId="12" hidden="1">{#N/A,#N/A,FALSE,"т17-1банки (2)"}</definedName>
    <definedName name="wrn.т171банки._2" localSheetId="8" hidden="1">{#N/A,#N/A,FALSE,"т17-1банки (2)"}</definedName>
    <definedName name="wrn.т171банки._2" hidden="1">{#N/A,#N/A,FALSE,"т17-1банки (2)"}</definedName>
    <definedName name="wrn.т171банки._2_1" localSheetId="12" hidden="1">{#N/A,#N/A,FALSE,"т17-1банки (2)"}</definedName>
    <definedName name="wrn.т171банки._2_1" localSheetId="8" hidden="1">{#N/A,#N/A,FALSE,"т17-1банки (2)"}</definedName>
    <definedName name="wrn.т171банки._2_1" hidden="1">{#N/A,#N/A,FALSE,"т17-1банки (2)"}</definedName>
    <definedName name="ww" localSheetId="12" hidden="1">{"'előző év december'!$A$2:$CP$214"}</definedName>
    <definedName name="ww" hidden="1">{"'előző év december'!$A$2:$CP$214"}</definedName>
    <definedName name="www">[24]Control!$B$13</definedName>
    <definedName name="wwwwwwwwwwwwwwwwwwwww" localSheetId="12" hidden="1">{"'előző év december'!$A$2:$CP$214"}</definedName>
    <definedName name="wwwwwwwwwwwwwwwwwwwww" hidden="1">{"'előző év december'!$A$2:$CP$214"}</definedName>
    <definedName name="wxw" localSheetId="12" hidden="1">{"résultats",#N/A,FALSE,"résultats SFS";"indicateurs",#N/A,FALSE,"résultats SFS";"commentaires",#N/A,FALSE,"commentaires SFS";"graphiques",#N/A,FALSE,"graphiques SFS"}</definedName>
    <definedName name="wxw" hidden="1">{"résultats",#N/A,FALSE,"résultats SFS";"indicateurs",#N/A,FALSE,"résultats SFS";"commentaires",#N/A,FALSE,"commentaires SFS";"graphiques",#N/A,FALSE,"graphiques SFS"}</definedName>
    <definedName name="xxx" localSheetId="7" hidden="1">{#N/A,#N/A,FALSE,"т02бд"}</definedName>
    <definedName name="xxx" localSheetId="12" hidden="1">{"'előző év december'!$A$2:$CP$214"}</definedName>
    <definedName name="xxx" localSheetId="8" hidden="1">{#N/A,#N/A,FALSE,"т02бд"}</definedName>
    <definedName name="xxx" hidden="1">{"'előző év december'!$A$2:$CP$214"}</definedName>
    <definedName name="xxx_2" localSheetId="12" hidden="1">{#N/A,#N/A,FALSE,"т02бд"}</definedName>
    <definedName name="xxx_2" localSheetId="8" hidden="1">{#N/A,#N/A,FALSE,"т02бд"}</definedName>
    <definedName name="xxx_2" hidden="1">{#N/A,#N/A,FALSE,"т02бд"}</definedName>
    <definedName name="xxx_2_1" localSheetId="12" hidden="1">{#N/A,#N/A,FALSE,"т02бд"}</definedName>
    <definedName name="xxx_2_1" localSheetId="8" hidden="1">{#N/A,#N/A,FALSE,"т02бд"}</definedName>
    <definedName name="xxx_2_1" hidden="1">{#N/A,#N/A,FALSE,"т02бд"}</definedName>
    <definedName name="xxxxxxx" localSheetId="12" hidden="1">{"'előző év december'!$A$2:$CP$214"}</definedName>
    <definedName name="xxxxxxx" hidden="1">{"'előző év december'!$A$2:$CP$214"}</definedName>
    <definedName name="xzcb" localSheetId="7" hidden="1">{#N/A,#N/A,FALSE,"т04"}</definedName>
    <definedName name="xzcb" localSheetId="12" hidden="1">{#N/A,#N/A,FALSE,"т04"}</definedName>
    <definedName name="xzcb" localSheetId="8" hidden="1">{#N/A,#N/A,FALSE,"т04"}</definedName>
    <definedName name="xzcb" hidden="1">{#N/A,#N/A,FALSE,"т04"}</definedName>
    <definedName name="xzcb_2" localSheetId="12" hidden="1">{#N/A,#N/A,FALSE,"т04"}</definedName>
    <definedName name="xzcb_2" localSheetId="8" hidden="1">{#N/A,#N/A,FALSE,"т04"}</definedName>
    <definedName name="xzcb_2" hidden="1">{#N/A,#N/A,FALSE,"т04"}</definedName>
    <definedName name="xzcb_2_1" localSheetId="12" hidden="1">{#N/A,#N/A,FALSE,"т04"}</definedName>
    <definedName name="xzcb_2_1" localSheetId="8" hidden="1">{#N/A,#N/A,FALSE,"т04"}</definedName>
    <definedName name="xzcb_2_1" hidden="1">{#N/A,#N/A,FALSE,"т04"}</definedName>
    <definedName name="y">#REF!</definedName>
    <definedName name="Year" localSheetId="7">[6]C!$E$3</definedName>
    <definedName name="Year" localSheetId="8">[6]C!$E$3</definedName>
    <definedName name="Year">[11]Control!$C$3</definedName>
    <definedName name="Year2">[8]C!#REF!</definedName>
    <definedName name="yuj" localSheetId="12" hidden="1">{#N/A,#N/A,FALSE,"т04"}</definedName>
    <definedName name="yuj" hidden="1">{#N/A,#N/A,FALSE,"т04"}</definedName>
    <definedName name="yygf" localSheetId="12" hidden="1">{"'előző év december'!$A$2:$CP$214"}</definedName>
    <definedName name="yygf" hidden="1">{"'előző év december'!$A$2:$CP$214"}</definedName>
    <definedName name="yyy" localSheetId="7" hidden="1">{#N/A,#N/A,FALSE,"т02бд"}</definedName>
    <definedName name="yyy" localSheetId="12" hidden="1">{"'előző év december'!$A$2:$CP$214"}</definedName>
    <definedName name="yyy" localSheetId="8" hidden="1">{#N/A,#N/A,FALSE,"т02бд"}</definedName>
    <definedName name="yyy" hidden="1">{"'előző év december'!$A$2:$CP$214"}</definedName>
    <definedName name="Z_95224721_0485_11D4_BFD1_00508B5F4DA4_.wvu.Cols" hidden="1">#REF!</definedName>
    <definedName name="Z_D3A71505_464F_11D3_8BF2_00A0C9C769DF_.wvu.Cols" localSheetId="12" hidden="1">#REF!,#REF!,#REF!,#REF!</definedName>
    <definedName name="Z_D3A71505_464F_11D3_8BF2_00A0C9C769DF_.wvu.Cols" hidden="1">#REF!,#REF!,#REF!,#REF!</definedName>
    <definedName name="Z_D3A71505_464F_11D3_8BF2_00A0C9C769DF_.wvu.FilterData" hidden="1">#REF!</definedName>
    <definedName name="Z_D3A71505_464F_11D3_8BF2_00A0C9C769DF_.wvu.Rows" hidden="1">#REF!</definedName>
    <definedName name="zDollarGDP">[25]ass!$A$7:$IV$7</definedName>
    <definedName name="zGDPgrowth" localSheetId="26">#REF!</definedName>
    <definedName name="zGDPgrowth" localSheetId="28">#REF!</definedName>
    <definedName name="zGDPgrowth" localSheetId="12">#REF!</definedName>
    <definedName name="zGDPgrowth" localSheetId="19">#REF!</definedName>
    <definedName name="zGDPgrowth" localSheetId="20">#REF!</definedName>
    <definedName name="zGDPgrowth" localSheetId="3">#REF!</definedName>
    <definedName name="zGDPgrowth">#REF!</definedName>
    <definedName name="zgxsd" localSheetId="7" hidden="1">{#N/A,#N/A,FALSE,"т02бд"}</definedName>
    <definedName name="zgxsd" localSheetId="12" hidden="1">{#N/A,#N/A,FALSE,"т02бд"}</definedName>
    <definedName name="zgxsd" localSheetId="8" hidden="1">{#N/A,#N/A,FALSE,"т02бд"}</definedName>
    <definedName name="zgxsd" hidden="1">{#N/A,#N/A,FALSE,"т02бд"}</definedName>
    <definedName name="zgxsd_1" localSheetId="12" hidden="1">{#N/A,#N/A,FALSE,"т02бд"}</definedName>
    <definedName name="zgxsd_1" localSheetId="8" hidden="1">{#N/A,#N/A,FALSE,"т02бд"}</definedName>
    <definedName name="zgxsd_1" hidden="1">{#N/A,#N/A,FALSE,"т02бд"}</definedName>
    <definedName name="zgxsd_2" localSheetId="12" hidden="1">{#N/A,#N/A,FALSE,"т02бд"}</definedName>
    <definedName name="zgxsd_2" localSheetId="8" hidden="1">{#N/A,#N/A,FALSE,"т02бд"}</definedName>
    <definedName name="zgxsd_2" hidden="1">{#N/A,#N/A,FALSE,"т02бд"}</definedName>
    <definedName name="zIGNFS" localSheetId="26">#REF!</definedName>
    <definedName name="zIGNFS" localSheetId="28">#REF!</definedName>
    <definedName name="zIGNFS" localSheetId="12">#REF!</definedName>
    <definedName name="zIGNFS" localSheetId="19">#REF!</definedName>
    <definedName name="zIGNFS" localSheetId="20">#REF!</definedName>
    <definedName name="zIGNFS" localSheetId="3">#REF!</definedName>
    <definedName name="zIGNFS">#REF!</definedName>
    <definedName name="zImports" localSheetId="26">#REF!</definedName>
    <definedName name="zImports" localSheetId="28">#REF!</definedName>
    <definedName name="zImports" localSheetId="12">#REF!</definedName>
    <definedName name="zImports" localSheetId="19">#REF!</definedName>
    <definedName name="zImports" localSheetId="20">#REF!</definedName>
    <definedName name="zImports" localSheetId="3">#REF!</definedName>
    <definedName name="zImports">#REF!</definedName>
    <definedName name="zLiborUS" localSheetId="26">#REF!</definedName>
    <definedName name="zLiborUS" localSheetId="28">#REF!</definedName>
    <definedName name="zLiborUS" localSheetId="12">#REF!</definedName>
    <definedName name="zLiborUS">#REF!</definedName>
    <definedName name="zReserves">[25]oth!$A$17:$IV$17</definedName>
    <definedName name="zRoWCPIchange" localSheetId="26">#REF!</definedName>
    <definedName name="zRoWCPIchange" localSheetId="28">#REF!</definedName>
    <definedName name="zRoWCPIchange" localSheetId="12">#REF!</definedName>
    <definedName name="zRoWCPIchange" localSheetId="19">#REF!</definedName>
    <definedName name="zRoWCPIchange" localSheetId="20">#REF!</definedName>
    <definedName name="zRoWCPIchange" localSheetId="3">#REF!</definedName>
    <definedName name="zRoWCPIchange">#REF!</definedName>
    <definedName name="zSDReRate">[25]ass!$A$24:$IV$24</definedName>
    <definedName name="ztr" localSheetId="12" hidden="1">{"'előző év december'!$A$2:$CP$214"}</definedName>
    <definedName name="ztr" hidden="1">{"'előző év december'!$A$2:$CP$214"}</definedName>
    <definedName name="zXGNFS" localSheetId="26">#REF!</definedName>
    <definedName name="zXGNFS" localSheetId="28">#REF!</definedName>
    <definedName name="zXGNFS" localSheetId="19">#REF!</definedName>
    <definedName name="zXGNFS" localSheetId="20">#REF!</definedName>
    <definedName name="zXGNFS" localSheetId="3">#REF!</definedName>
    <definedName name="zXGNFS">#REF!</definedName>
    <definedName name="zxz" localSheetId="7" hidden="1">{#N/A,#N/A,FALSE,"т02бд"}</definedName>
    <definedName name="zxz" localSheetId="12" hidden="1">{#N/A,#N/A,FALSE,"т02бд"}</definedName>
    <definedName name="zxz" localSheetId="8" hidden="1">{#N/A,#N/A,FALSE,"т02бд"}</definedName>
    <definedName name="zxz" hidden="1">{#N/A,#N/A,FALSE,"т02бд"}</definedName>
    <definedName name="zxz_2" localSheetId="12" hidden="1">{#N/A,#N/A,FALSE,"т02бд"}</definedName>
    <definedName name="zxz_2" localSheetId="8" hidden="1">{#N/A,#N/A,FALSE,"т02бд"}</definedName>
    <definedName name="zxz_2" hidden="1">{#N/A,#N/A,FALSE,"т02бд"}</definedName>
    <definedName name="zxz_2_1" localSheetId="12" hidden="1">{#N/A,#N/A,FALSE,"т02бд"}</definedName>
    <definedName name="zxz_2_1" localSheetId="8" hidden="1">{#N/A,#N/A,FALSE,"т02бд"}</definedName>
    <definedName name="zxz_2_1" hidden="1">{#N/A,#N/A,FALSE,"т02бд"}</definedName>
    <definedName name="zzz" localSheetId="12" hidden="1">{"'előző év december'!$A$2:$CP$214"}</definedName>
    <definedName name="zzz" hidden="1">{"'előző év december'!$A$2:$CP$214"}</definedName>
    <definedName name="а" localSheetId="7" hidden="1">{#N/A,#N/A,FALSE,"т02бд"}</definedName>
    <definedName name="а" localSheetId="12" hidden="1">{#N/A,#N/A,FALSE,"т02бд"}</definedName>
    <definedName name="а" localSheetId="8" hidden="1">{#N/A,#N/A,FALSE,"т02бд"}</definedName>
    <definedName name="а" hidden="1">{#N/A,#N/A,FALSE,"т02бд"}</definedName>
    <definedName name="а_2" localSheetId="12" hidden="1">{#N/A,#N/A,FALSE,"т02бд"}</definedName>
    <definedName name="а_2" localSheetId="8" hidden="1">{#N/A,#N/A,FALSE,"т02бд"}</definedName>
    <definedName name="а_2" hidden="1">{#N/A,#N/A,FALSE,"т02бд"}</definedName>
    <definedName name="а_2_1" localSheetId="12" hidden="1">{#N/A,#N/A,FALSE,"т02бд"}</definedName>
    <definedName name="а_2_1" localSheetId="8" hidden="1">{#N/A,#N/A,FALSE,"т02бд"}</definedName>
    <definedName name="а_2_1" hidden="1">{#N/A,#N/A,FALSE,"т02бд"}</definedName>
    <definedName name="аа" localSheetId="7" hidden="1">{#N/A,#N/A,FALSE,"Лист4"}</definedName>
    <definedName name="аа" localSheetId="12" hidden="1">{#N/A,#N/A,FALSE,"Лист4"}</definedName>
    <definedName name="аа" localSheetId="8" hidden="1">{#N/A,#N/A,FALSE,"Лист4"}</definedName>
    <definedName name="аа" hidden="1">{#N/A,#N/A,FALSE,"Лист4"}</definedName>
    <definedName name="ааа" localSheetId="7" hidden="1">{#N/A,#N/A,FALSE,"т04"}</definedName>
    <definedName name="ааа" localSheetId="12" hidden="1">{#N/A,#N/A,FALSE,"т04"}</definedName>
    <definedName name="ааа" localSheetId="8" hidden="1">{#N/A,#N/A,FALSE,"т04"}</definedName>
    <definedName name="ааа" hidden="1">{#N/A,#N/A,FALSE,"т04"}</definedName>
    <definedName name="ааа_1" localSheetId="12" hidden="1">{#N/A,#N/A,FALSE,"т04"}</definedName>
    <definedName name="ааа_1" localSheetId="8" hidden="1">{#N/A,#N/A,FALSE,"т04"}</definedName>
    <definedName name="ааа_1" hidden="1">{#N/A,#N/A,FALSE,"т04"}</definedName>
    <definedName name="ааа_2" localSheetId="12" hidden="1">{#N/A,#N/A,FALSE,"т04"}</definedName>
    <definedName name="ааа_2" localSheetId="8" hidden="1">{#N/A,#N/A,FALSE,"т04"}</definedName>
    <definedName name="ааа_2" hidden="1">{#N/A,#N/A,FALSE,"т04"}</definedName>
    <definedName name="аааа" localSheetId="7" hidden="1">{#N/A,#N/A,FALSE,"Лист4"}</definedName>
    <definedName name="аааа" localSheetId="12" hidden="1">{#N/A,#N/A,FALSE,"Лист4"}</definedName>
    <definedName name="аааа" localSheetId="8" hidden="1">{#N/A,#N/A,FALSE,"Лист4"}</definedName>
    <definedName name="аааа" hidden="1">{#N/A,#N/A,FALSE,"Лист4"}</definedName>
    <definedName name="ааааа" localSheetId="7" hidden="1">{#N/A,#N/A,FALSE,"Лист4"}</definedName>
    <definedName name="ааааа" localSheetId="12" hidden="1">{#N/A,#N/A,FALSE,"Лист4"}</definedName>
    <definedName name="ааааа" localSheetId="8" hidden="1">{#N/A,#N/A,FALSE,"Лист4"}</definedName>
    <definedName name="ааааа" hidden="1">{#N/A,#N/A,FALSE,"Лист4"}</definedName>
    <definedName name="ААААААААААААААААА" localSheetId="7" hidden="1">{"BOP_TAB",#N/A,FALSE,"N";"MIDTERM_TAB",#N/A,FALSE,"O";"FUND_CRED",#N/A,FALSE,"P";"DEBT_TAB1",#N/A,FALSE,"Q";"DEBT_TAB2",#N/A,FALSE,"Q";"FORFIN_TAB1",#N/A,FALSE,"R";"FORFIN_TAB2",#N/A,FALSE,"R";"BOP_ANALY",#N/A,FALSE,"U"}</definedName>
    <definedName name="ААААААААААААААААА" localSheetId="12" hidden="1">{"BOP_TAB",#N/A,FALSE,"N";"MIDTERM_TAB",#N/A,FALSE,"O";"FUND_CRED",#N/A,FALSE,"P";"DEBT_TAB1",#N/A,FALSE,"Q";"DEBT_TAB2",#N/A,FALSE,"Q";"FORFIN_TAB1",#N/A,FALSE,"R";"FORFIN_TAB2",#N/A,FALSE,"R";"BOP_ANALY",#N/A,FALSE,"U"}</definedName>
    <definedName name="ААААААААААААААААА" localSheetId="8" hidden="1">{"BOP_TAB",#N/A,FALSE,"N";"MIDTERM_TAB",#N/A,FALSE,"O";"FUND_CRED",#N/A,FALSE,"P";"DEBT_TAB1",#N/A,FALSE,"Q";"DEBT_TAB2",#N/A,FALSE,"Q";"FORFIN_TAB1",#N/A,FALSE,"R";"FORFIN_TAB2",#N/A,FALSE,"R";"BOP_ANALY",#N/A,FALSE,"U"}</definedName>
    <definedName name="ААААААААААААААААА" hidden="1">{"BOP_TAB",#N/A,FALSE,"N";"MIDTERM_TAB",#N/A,FALSE,"O";"FUND_CRED",#N/A,FALSE,"P";"DEBT_TAB1",#N/A,FALSE,"Q";"DEBT_TAB2",#N/A,FALSE,"Q";"FORFIN_TAB1",#N/A,FALSE,"R";"FORFIN_TAB2",#N/A,FALSE,"R";"BOP_ANALY",#N/A,FALSE,"U"}</definedName>
    <definedName name="ААААААААААААААААА_1" localSheetId="12" hidden="1">{"BOP_TAB",#N/A,FALSE,"N";"MIDTERM_TAB",#N/A,FALSE,"O";"FUND_CRED",#N/A,FALSE,"P";"DEBT_TAB1",#N/A,FALSE,"Q";"DEBT_TAB2",#N/A,FALSE,"Q";"FORFIN_TAB1",#N/A,FALSE,"R";"FORFIN_TAB2",#N/A,FALSE,"R";"BOP_ANALY",#N/A,FALSE,"U"}</definedName>
    <definedName name="ААААААААААААААААА_1" localSheetId="8" hidden="1">{"BOP_TAB",#N/A,FALSE,"N";"MIDTERM_TAB",#N/A,FALSE,"O";"FUND_CRED",#N/A,FALSE,"P";"DEBT_TAB1",#N/A,FALSE,"Q";"DEBT_TAB2",#N/A,FALSE,"Q";"FORFIN_TAB1",#N/A,FALSE,"R";"FORFIN_TAB2",#N/A,FALSE,"R";"BOP_ANALY",#N/A,FALSE,"U"}</definedName>
    <definedName name="ААААААААААААААААА_1" hidden="1">{"BOP_TAB",#N/A,FALSE,"N";"MIDTERM_TAB",#N/A,FALSE,"O";"FUND_CRED",#N/A,FALSE,"P";"DEBT_TAB1",#N/A,FALSE,"Q";"DEBT_TAB2",#N/A,FALSE,"Q";"FORFIN_TAB1",#N/A,FALSE,"R";"FORFIN_TAB2",#N/A,FALSE,"R";"BOP_ANALY",#N/A,FALSE,"U"}</definedName>
    <definedName name="ААААААААААААААААА_2" localSheetId="12" hidden="1">{"BOP_TAB",#N/A,FALSE,"N";"MIDTERM_TAB",#N/A,FALSE,"O";"FUND_CRED",#N/A,FALSE,"P";"DEBT_TAB1",#N/A,FALSE,"Q";"DEBT_TAB2",#N/A,FALSE,"Q";"FORFIN_TAB1",#N/A,FALSE,"R";"FORFIN_TAB2",#N/A,FALSE,"R";"BOP_ANALY",#N/A,FALSE,"U"}</definedName>
    <definedName name="ААААААААААААААААА_2" localSheetId="8" hidden="1">{"BOP_TAB",#N/A,FALSE,"N";"MIDTERM_TAB",#N/A,FALSE,"O";"FUND_CRED",#N/A,FALSE,"P";"DEBT_TAB1",#N/A,FALSE,"Q";"DEBT_TAB2",#N/A,FALSE,"Q";"FORFIN_TAB1",#N/A,FALSE,"R";"FORFIN_TAB2",#N/A,FALSE,"R";"BOP_ANALY",#N/A,FALSE,"U"}</definedName>
    <definedName name="ААААААААААААААААА_2" hidden="1">{"BOP_TAB",#N/A,FALSE,"N";"MIDTERM_TAB",#N/A,FALSE,"O";"FUND_CRED",#N/A,FALSE,"P";"DEBT_TAB1",#N/A,FALSE,"Q";"DEBT_TAB2",#N/A,FALSE,"Q";"FORFIN_TAB1",#N/A,FALSE,"R";"FORFIN_TAB2",#N/A,FALSE,"R";"BOP_ANALY",#N/A,FALSE,"U"}</definedName>
    <definedName name="ААААААААААААААААААААААААААААААААА" localSheetId="7" hidden="1">{"WEO",#N/A,FALSE,"T"}</definedName>
    <definedName name="ААААААААААААААААААААААААААААААААА" localSheetId="12" hidden="1">{"WEO",#N/A,FALSE,"T"}</definedName>
    <definedName name="ААААААААААААААААААААААААААААААААА" localSheetId="8" hidden="1">{"WEO",#N/A,FALSE,"T"}</definedName>
    <definedName name="ААААААААААААААААААААААААААААААААА" hidden="1">{"WEO",#N/A,FALSE,"T"}</definedName>
    <definedName name="ААААААААААААААААААААААААААААААААА_1" localSheetId="12" hidden="1">{"WEO",#N/A,FALSE,"T"}</definedName>
    <definedName name="ААААААААААААААААААААААААААААААААА_1" localSheetId="8" hidden="1">{"WEO",#N/A,FALSE,"T"}</definedName>
    <definedName name="ААААААААААААААААААААААААААААААААА_1" hidden="1">{"WEO",#N/A,FALSE,"T"}</definedName>
    <definedName name="ААААААААААААААААААААААААААААААААА_2" localSheetId="12" hidden="1">{"WEO",#N/A,FALSE,"T"}</definedName>
    <definedName name="ААААААААААААААААААААААААААААААААА_2" localSheetId="8" hidden="1">{"WEO",#N/A,FALSE,"T"}</definedName>
    <definedName name="ААААААААААААААААААААААААААААААААА_2" hidden="1">{"WEO",#N/A,FALSE,"T"}</definedName>
    <definedName name="аааг" localSheetId="7" hidden="1">{#N/A,#N/A,FALSE,"Лист4"}</definedName>
    <definedName name="аааг" localSheetId="12" hidden="1">{#N/A,#N/A,FALSE,"Лист4"}</definedName>
    <definedName name="аааг" localSheetId="8" hidden="1">{#N/A,#N/A,FALSE,"Лист4"}</definedName>
    <definedName name="аааг" hidden="1">{#N/A,#N/A,FALSE,"Лист4"}</definedName>
    <definedName name="ааао" localSheetId="7" hidden="1">{#N/A,#N/A,FALSE,"Лист4"}</definedName>
    <definedName name="ааао" localSheetId="12" hidden="1">{#N/A,#N/A,FALSE,"Лист4"}</definedName>
    <definedName name="ааао" localSheetId="8" hidden="1">{#N/A,#N/A,FALSE,"Лист4"}</definedName>
    <definedName name="ааао" hidden="1">{#N/A,#N/A,FALSE,"Лист4"}</definedName>
    <definedName name="аааоркк" localSheetId="7" hidden="1">{#N/A,#N/A,FALSE,"Лист4"}</definedName>
    <definedName name="аааоркк" localSheetId="12" hidden="1">{#N/A,#N/A,FALSE,"Лист4"}</definedName>
    <definedName name="аааоркк" localSheetId="8" hidden="1">{#N/A,#N/A,FALSE,"Лист4"}</definedName>
    <definedName name="аааоркк" hidden="1">{#N/A,#N/A,FALSE,"Лист4"}</definedName>
    <definedName name="аарр" localSheetId="7" hidden="1">{#N/A,#N/A,FALSE,"Лист4"}</definedName>
    <definedName name="аарр" localSheetId="12" hidden="1">{#N/A,#N/A,FALSE,"Лист4"}</definedName>
    <definedName name="аарр" localSheetId="8" hidden="1">{#N/A,#N/A,FALSE,"Лист4"}</definedName>
    <definedName name="аарр" hidden="1">{#N/A,#N/A,FALSE,"Лист4"}</definedName>
    <definedName name="амп" localSheetId="7" hidden="1">{#N/A,#N/A,FALSE,"Лист4"}</definedName>
    <definedName name="амп" localSheetId="12" hidden="1">{#N/A,#N/A,FALSE,"Лист4"}</definedName>
    <definedName name="амп" localSheetId="8" hidden="1">{#N/A,#N/A,FALSE,"Лист4"}</definedName>
    <definedName name="амп" hidden="1">{#N/A,#N/A,FALSE,"Лист4"}</definedName>
    <definedName name="ап" localSheetId="7" hidden="1">{#N/A,#N/A,FALSE,"Лист4"}</definedName>
    <definedName name="ап" localSheetId="12" hidden="1">{#N/A,#N/A,FALSE,"Лист4"}</definedName>
    <definedName name="ап" localSheetId="8" hidden="1">{#N/A,#N/A,FALSE,"Лист4"}</definedName>
    <definedName name="ап" hidden="1">{#N/A,#N/A,FALSE,"Лист4"}</definedName>
    <definedName name="апро" localSheetId="7" hidden="1">{#N/A,#N/A,FALSE,"Лист4"}</definedName>
    <definedName name="апро" localSheetId="12" hidden="1">{#N/A,#N/A,FALSE,"Лист4"}</definedName>
    <definedName name="апро" localSheetId="8" hidden="1">{#N/A,#N/A,FALSE,"Лист4"}</definedName>
    <definedName name="апро" hidden="1">{#N/A,#N/A,FALSE,"Лист4"}</definedName>
    <definedName name="аунуну" localSheetId="7" hidden="1">{#N/A,#N/A,FALSE,"Лист4"}</definedName>
    <definedName name="аунуну" localSheetId="12" hidden="1">{#N/A,#N/A,FALSE,"Лист4"}</definedName>
    <definedName name="аунуну" localSheetId="8" hidden="1">{#N/A,#N/A,FALSE,"Лист4"}</definedName>
    <definedName name="аунуну" hidden="1">{#N/A,#N/A,FALSE,"Лист4"}</definedName>
    <definedName name="_xlnm.Database" localSheetId="26">#REF!</definedName>
    <definedName name="_xlnm.Database" localSheetId="28">#REF!</definedName>
    <definedName name="_xlnm.Database" localSheetId="12">#REF!</definedName>
    <definedName name="_xlnm.Database" localSheetId="19">#REF!</definedName>
    <definedName name="_xlnm.Database" localSheetId="20">#REF!</definedName>
    <definedName name="_xlnm.Database" localSheetId="3">#REF!</definedName>
    <definedName name="_xlnm.Database">#REF!</definedName>
    <definedName name="бб" localSheetId="7" hidden="1">{#N/A,#N/A,FALSE,"Лист4"}</definedName>
    <definedName name="бб" localSheetId="12" hidden="1">{#N/A,#N/A,FALSE,"Лист4"}</definedName>
    <definedName name="бб" localSheetId="8" hidden="1">{#N/A,#N/A,FALSE,"Лист4"}</definedName>
    <definedName name="бб" hidden="1">{#N/A,#N/A,FALSE,"Лист4"}</definedName>
    <definedName name="бюдж2" localSheetId="12" hidden="1">{#N/A,#N/A,FALSE,"т02бд"}</definedName>
    <definedName name="бюдж2" localSheetId="8" hidden="1">{#N/A,#N/A,FALSE,"т02бд"}</definedName>
    <definedName name="бюдж2" hidden="1">{#N/A,#N/A,FALSE,"т02бд"}</definedName>
    <definedName name="бюдж2_1" localSheetId="12" hidden="1">{#N/A,#N/A,FALSE,"т02бд"}</definedName>
    <definedName name="бюдж2_1" localSheetId="8" hidden="1">{#N/A,#N/A,FALSE,"т02бд"}</definedName>
    <definedName name="бюдж2_1" hidden="1">{#N/A,#N/A,FALSE,"т02бд"}</definedName>
    <definedName name="бюдж2_2" localSheetId="12" hidden="1">{#N/A,#N/A,FALSE,"т02бд"}</definedName>
    <definedName name="бюдж2_2" localSheetId="8" hidden="1">{#N/A,#N/A,FALSE,"т02бд"}</definedName>
    <definedName name="бюдж2_2" hidden="1">{#N/A,#N/A,FALSE,"т02бд"}</definedName>
    <definedName name="в" localSheetId="7" hidden="1">{#N/A,#N/A,FALSE,"т02бд"}</definedName>
    <definedName name="в" localSheetId="12" hidden="1">{#N/A,#N/A,FALSE,"т02бд"}</definedName>
    <definedName name="в" localSheetId="8" hidden="1">{#N/A,#N/A,FALSE,"т02бд"}</definedName>
    <definedName name="в" hidden="1">{#N/A,#N/A,FALSE,"т02бд"}</definedName>
    <definedName name="в_1" localSheetId="12" hidden="1">{#N/A,#N/A,FALSE,"т02бд"}</definedName>
    <definedName name="в_1" localSheetId="8" hidden="1">{#N/A,#N/A,FALSE,"т02бд"}</definedName>
    <definedName name="в_1" hidden="1">{#N/A,#N/A,FALSE,"т02бд"}</definedName>
    <definedName name="в_2" localSheetId="12" hidden="1">{#N/A,#N/A,FALSE,"т02бд"}</definedName>
    <definedName name="в_2" localSheetId="8" hidden="1">{#N/A,#N/A,FALSE,"т02бд"}</definedName>
    <definedName name="в_2" hidden="1">{#N/A,#N/A,FALSE,"т02бд"}</definedName>
    <definedName name="вававав" localSheetId="7" hidden="1">{#N/A,#N/A,FALSE,"т02бд"}</definedName>
    <definedName name="вававав" localSheetId="12" hidden="1">{#N/A,#N/A,FALSE,"т02бд"}</definedName>
    <definedName name="вававав" localSheetId="8" hidden="1">{#N/A,#N/A,FALSE,"т02бд"}</definedName>
    <definedName name="вававав" hidden="1">{#N/A,#N/A,FALSE,"т02бд"}</definedName>
    <definedName name="вававав_2" localSheetId="12" hidden="1">{#N/A,#N/A,FALSE,"т02бд"}</definedName>
    <definedName name="вававав_2" localSheetId="8" hidden="1">{#N/A,#N/A,FALSE,"т02бд"}</definedName>
    <definedName name="вававав_2" hidden="1">{#N/A,#N/A,FALSE,"т02бд"}</definedName>
    <definedName name="вававав_2_1" localSheetId="12" hidden="1">{#N/A,#N/A,FALSE,"т02бд"}</definedName>
    <definedName name="вававав_2_1" localSheetId="8" hidden="1">{#N/A,#N/A,FALSE,"т02бд"}</definedName>
    <definedName name="вававав_2_1" hidden="1">{#N/A,#N/A,FALSE,"т02бд"}</definedName>
    <definedName name="вап" localSheetId="7" hidden="1">{#N/A,#N/A,FALSE,"Лист4"}</definedName>
    <definedName name="вап" localSheetId="12" hidden="1">{#N/A,#N/A,FALSE,"Лист4"}</definedName>
    <definedName name="вап" localSheetId="8" hidden="1">{#N/A,#N/A,FALSE,"Лист4"}</definedName>
    <definedName name="вап" hidden="1">{#N/A,#N/A,FALSE,"Лист4"}</definedName>
    <definedName name="вапа" localSheetId="7" hidden="1">{#N/A,#N/A,FALSE,"Лист4"}</definedName>
    <definedName name="вапа" localSheetId="12" hidden="1">{#N/A,#N/A,FALSE,"Лист4"}</definedName>
    <definedName name="вапа" localSheetId="8" hidden="1">{#N/A,#N/A,FALSE,"Лист4"}</definedName>
    <definedName name="вапа" hidden="1">{#N/A,#N/A,FALSE,"Лист4"}</definedName>
    <definedName name="вапро" localSheetId="7" hidden="1">{#N/A,#N/A,FALSE,"Лист4"}</definedName>
    <definedName name="вапро" localSheetId="12" hidden="1">{#N/A,#N/A,FALSE,"Лист4"}</definedName>
    <definedName name="вапро" localSheetId="8" hidden="1">{#N/A,#N/A,FALSE,"Лист4"}</definedName>
    <definedName name="вапро" hidden="1">{#N/A,#N/A,FALSE,"Лист4"}</definedName>
    <definedName name="вау" localSheetId="7" hidden="1">{#N/A,#N/A,FALSE,"Лист4"}</definedName>
    <definedName name="вау" localSheetId="12" hidden="1">{#N/A,#N/A,FALSE,"Лист4"}</definedName>
    <definedName name="вау" localSheetId="8" hidden="1">{#N/A,#N/A,FALSE,"Лист4"}</definedName>
    <definedName name="вау" hidden="1">{#N/A,#N/A,FALSE,"Лист4"}</definedName>
    <definedName name="вв" localSheetId="7" hidden="1">{#N/A,#N/A,FALSE,"Лист4"}</definedName>
    <definedName name="вв" localSheetId="12" hidden="1">{#N/A,#N/A,FALSE,"Лист4"}</definedName>
    <definedName name="вв" localSheetId="8" hidden="1">{#N/A,#N/A,FALSE,"Лист4"}</definedName>
    <definedName name="вв" hidden="1">{#N/A,#N/A,FALSE,"Лист4"}</definedName>
    <definedName name="вмр" localSheetId="7" hidden="1">{#N/A,#N/A,FALSE,"Лист4"}</definedName>
    <definedName name="вмр" localSheetId="12" hidden="1">{#N/A,#N/A,FALSE,"Лист4"}</definedName>
    <definedName name="вмр" localSheetId="8" hidden="1">{#N/A,#N/A,FALSE,"Лист4"}</definedName>
    <definedName name="вмр" hidden="1">{#N/A,#N/A,FALSE,"Лист4"}</definedName>
    <definedName name="вруу" localSheetId="7" hidden="1">{#N/A,#N/A,FALSE,"Лист4"}</definedName>
    <definedName name="вруу" localSheetId="12" hidden="1">{#N/A,#N/A,FALSE,"Лист4"}</definedName>
    <definedName name="вруу" localSheetId="8" hidden="1">{#N/A,#N/A,FALSE,"Лист4"}</definedName>
    <definedName name="вруу" hidden="1">{#N/A,#N/A,FALSE,"Лист4"}</definedName>
    <definedName name="врууунуууу" localSheetId="7" hidden="1">{#N/A,#N/A,FALSE,"Лист4"}</definedName>
    <definedName name="врууунуууу" localSheetId="12" hidden="1">{#N/A,#N/A,FALSE,"Лист4"}</definedName>
    <definedName name="врууунуууу" localSheetId="8" hidden="1">{#N/A,#N/A,FALSE,"Лист4"}</definedName>
    <definedName name="врууунуууу" hidden="1">{#N/A,#N/A,FALSE,"Лист4"}</definedName>
    <definedName name="вфіп" localSheetId="10" hidden="1">{"BOP_TAB",#N/A,FALSE,"N";"MIDTERM_TAB",#N/A,FALSE,"O"}</definedName>
    <definedName name="вфіп" localSheetId="7" hidden="1">{"BOP_TAB",#N/A,FALSE,"N";"MIDTERM_TAB",#N/A,FALSE,"O"}</definedName>
    <definedName name="вфіп" localSheetId="12" hidden="1">{"BOP_TAB",#N/A,FALSE,"N";"MIDTERM_TAB",#N/A,FALSE,"O"}</definedName>
    <definedName name="вфіп" localSheetId="20" hidden="1">{"BOP_TAB",#N/A,FALSE,"N";"MIDTERM_TAB",#N/A,FALSE,"O"}</definedName>
    <definedName name="вфіп" localSheetId="3" hidden="1">{"BOP_TAB",#N/A,FALSE,"N";"MIDTERM_TAB",#N/A,FALSE,"O"}</definedName>
    <definedName name="вфіп" localSheetId="8" hidden="1">{"BOP_TAB",#N/A,FALSE,"N";"MIDTERM_TAB",#N/A,FALSE,"O"}</definedName>
    <definedName name="вфіп" localSheetId="2" hidden="1">{"BOP_TAB",#N/A,FALSE,"N";"MIDTERM_TAB",#N/A,FALSE,"O"}</definedName>
    <definedName name="вфіп" hidden="1">{"BOP_TAB",#N/A,FALSE,"N";"MIDTERM_TAB",#N/A,FALSE,"O"}</definedName>
    <definedName name="г">#REF!</definedName>
    <definedName name="гг" localSheetId="7" hidden="1">{#N/A,#N/A,FALSE,"Лист4"}</definedName>
    <definedName name="гг" localSheetId="12" hidden="1">{#N/A,#N/A,FALSE,"Лист4"}</definedName>
    <definedName name="гг" localSheetId="8" hidden="1">{#N/A,#N/A,FALSE,"Лист4"}</definedName>
    <definedName name="гг" hidden="1">{#N/A,#N/A,FALSE,"Лист4"}</definedName>
    <definedName name="ггг" localSheetId="7" hidden="1">{#N/A,#N/A,FALSE,"Лист4"}</definedName>
    <definedName name="ггг" localSheetId="12" hidden="1">{#N/A,#N/A,FALSE,"Лист4"}</definedName>
    <definedName name="ггг" localSheetId="8" hidden="1">{#N/A,#N/A,FALSE,"Лист4"}</definedName>
    <definedName name="ггг" hidden="1">{#N/A,#N/A,FALSE,"Лист4"}</definedName>
    <definedName name="ггггг" localSheetId="7" hidden="1">{#N/A,#N/A,FALSE,"Лист4"}</definedName>
    <definedName name="ггггг" localSheetId="12" hidden="1">{#N/A,#N/A,FALSE,"Лист4"}</definedName>
    <definedName name="ггггг" localSheetId="8" hidden="1">{#N/A,#N/A,FALSE,"Лист4"}</definedName>
    <definedName name="ггггг" hidden="1">{#N/A,#N/A,FALSE,"Лист4"}</definedName>
    <definedName name="гго" localSheetId="7" hidden="1">{#N/A,#N/A,FALSE,"Лист4"}</definedName>
    <definedName name="гго" localSheetId="12" hidden="1">{#N/A,#N/A,FALSE,"Лист4"}</definedName>
    <definedName name="гго" localSheetId="8" hidden="1">{#N/A,#N/A,FALSE,"Лист4"}</definedName>
    <definedName name="гго" hidden="1">{#N/A,#N/A,FALSE,"Лист4"}</definedName>
    <definedName name="ггшшз" localSheetId="7" hidden="1">{#N/A,#N/A,FALSE,"Лист4"}</definedName>
    <definedName name="ггшшз" localSheetId="12" hidden="1">{#N/A,#N/A,FALSE,"Лист4"}</definedName>
    <definedName name="ггшшз" localSheetId="8" hidden="1">{#N/A,#N/A,FALSE,"Лист4"}</definedName>
    <definedName name="ггшшз" hidden="1">{#N/A,#N/A,FALSE,"Лист4"}</definedName>
    <definedName name="гр" localSheetId="7" hidden="1">{#N/A,#N/A,FALSE,"Лист4"}</definedName>
    <definedName name="гр" localSheetId="12" hidden="1">{#N/A,#N/A,FALSE,"Лист4"}</definedName>
    <definedName name="гр" localSheetId="8" hidden="1">{#N/A,#N/A,FALSE,"Лист4"}</definedName>
    <definedName name="гр" hidden="1">{#N/A,#N/A,FALSE,"Лист4"}</definedName>
    <definedName name="ГЦ" localSheetId="12" hidden="1">{#N/A,#N/A,FALSE,"т02бд"}</definedName>
    <definedName name="ГЦ" localSheetId="8" hidden="1">{#N/A,#N/A,FALSE,"т02бд"}</definedName>
    <definedName name="ГЦ" hidden="1">{#N/A,#N/A,FALSE,"т02бд"}</definedName>
    <definedName name="д17.1">'[26]д17-1'!$A$1:$H$1</definedName>
    <definedName name="ддд" localSheetId="7" hidden="1">{#N/A,#N/A,FALSE,"Лист4"}</definedName>
    <definedName name="ддд" localSheetId="12" hidden="1">{#N/A,#N/A,FALSE,"Лист4"}</definedName>
    <definedName name="ддд" localSheetId="8" hidden="1">{#N/A,#N/A,FALSE,"Лист4"}</definedName>
    <definedName name="ддд" hidden="1">{#N/A,#N/A,FALSE,"Лист4"}</definedName>
    <definedName name="ддддддддддддд">#REF!</definedName>
    <definedName name="е" localSheetId="7" hidden="1">{#N/A,#N/A,FALSE,"Лист4"}</definedName>
    <definedName name="е" localSheetId="12" hidden="1">{#N/A,#N/A,FALSE,"Лист4"}</definedName>
    <definedName name="е" localSheetId="8" hidden="1">{#N/A,#N/A,FALSE,"Лист4"}</definedName>
    <definedName name="е" hidden="1">{#N/A,#N/A,FALSE,"Лист4"}</definedName>
    <definedName name="ее" localSheetId="7" hidden="1">{#N/A,#N/A,FALSE,"т02бд"}</definedName>
    <definedName name="ее" localSheetId="12" hidden="1">{#N/A,#N/A,FALSE,"Лист4"}</definedName>
    <definedName name="ее" localSheetId="8" hidden="1">{#N/A,#N/A,FALSE,"т02бд"}</definedName>
    <definedName name="ее" hidden="1">{#N/A,#N/A,FALSE,"Лист4"}</definedName>
    <definedName name="ееге" localSheetId="7" hidden="1">{#N/A,#N/A,FALSE,"Лист4"}</definedName>
    <definedName name="ееге" localSheetId="12" hidden="1">{#N/A,#N/A,FALSE,"Лист4"}</definedName>
    <definedName name="ееге" localSheetId="8" hidden="1">{#N/A,#N/A,FALSE,"Лист4"}</definedName>
    <definedName name="ееге" hidden="1">{#N/A,#N/A,FALSE,"Лист4"}</definedName>
    <definedName name="еегше" localSheetId="7" hidden="1">{#N/A,#N/A,FALSE,"Лист4"}</definedName>
    <definedName name="еегше" localSheetId="12" hidden="1">{#N/A,#N/A,FALSE,"Лист4"}</definedName>
    <definedName name="еегше" localSheetId="8" hidden="1">{#N/A,#N/A,FALSE,"Лист4"}</definedName>
    <definedName name="еегше" hidden="1">{#N/A,#N/A,FALSE,"Лист4"}</definedName>
    <definedName name="еее" localSheetId="10" hidden="1">{#N/A,#N/A,FALSE,"т02бд"}</definedName>
    <definedName name="еее" localSheetId="7" hidden="1">{#N/A,#N/A,FALSE,"Лист4"}</definedName>
    <definedName name="еее" localSheetId="12" hidden="1">{#N/A,#N/A,FALSE,"т02бд"}</definedName>
    <definedName name="еее" localSheetId="20" hidden="1">{#N/A,#N/A,FALSE,"т02бд"}</definedName>
    <definedName name="еее" localSheetId="3" hidden="1">{#N/A,#N/A,FALSE,"т02бд"}</definedName>
    <definedName name="еее" localSheetId="8" hidden="1">{#N/A,#N/A,FALSE,"Лист4"}</definedName>
    <definedName name="еее" localSheetId="2" hidden="1">{#N/A,#N/A,FALSE,"т02бд"}</definedName>
    <definedName name="еее" hidden="1">{#N/A,#N/A,FALSE,"т02бд"}</definedName>
    <definedName name="ееее" localSheetId="7" hidden="1">{#N/A,#N/A,FALSE,"Лист4"}</definedName>
    <definedName name="ееее" localSheetId="12" hidden="1">{#N/A,#N/A,FALSE,"Лист4"}</definedName>
    <definedName name="ееее" localSheetId="8" hidden="1">{#N/A,#N/A,FALSE,"Лист4"}</definedName>
    <definedName name="ееее" hidden="1">{#N/A,#N/A,FALSE,"Лист4"}</definedName>
    <definedName name="ееекк" localSheetId="7" hidden="1">{#N/A,#N/A,FALSE,"Лист4"}</definedName>
    <definedName name="ееекк" localSheetId="12" hidden="1">{#N/A,#N/A,FALSE,"Лист4"}</definedName>
    <definedName name="ееекк" localSheetId="8" hidden="1">{#N/A,#N/A,FALSE,"Лист4"}</definedName>
    <definedName name="ееекк" hidden="1">{#N/A,#N/A,FALSE,"Лист4"}</definedName>
    <definedName name="еепке" localSheetId="7" hidden="1">{#N/A,#N/A,FALSE,"Лист4"}</definedName>
    <definedName name="еепке" localSheetId="12" hidden="1">{#N/A,#N/A,FALSE,"Лист4"}</definedName>
    <definedName name="еепке" localSheetId="8" hidden="1">{#N/A,#N/A,FALSE,"Лист4"}</definedName>
    <definedName name="еепке" hidden="1">{#N/A,#N/A,FALSE,"Лист4"}</definedName>
    <definedName name="еешгег" localSheetId="7" hidden="1">{#N/A,#N/A,FALSE,"Лист4"}</definedName>
    <definedName name="еешгег" localSheetId="12" hidden="1">{#N/A,#N/A,FALSE,"Лист4"}</definedName>
    <definedName name="еешгег" localSheetId="8" hidden="1">{#N/A,#N/A,FALSE,"Лист4"}</definedName>
    <definedName name="еешгег" hidden="1">{#N/A,#N/A,FALSE,"Лист4"}</definedName>
    <definedName name="екуц" localSheetId="7" hidden="1">{#N/A,#N/A,FALSE,"Лист4"}</definedName>
    <definedName name="екуц" localSheetId="12" hidden="1">{#N/A,#N/A,FALSE,"Лист4"}</definedName>
    <definedName name="екуц" localSheetId="8" hidden="1">{#N/A,#N/A,FALSE,"Лист4"}</definedName>
    <definedName name="екуц" hidden="1">{#N/A,#N/A,FALSE,"Лист4"}</definedName>
    <definedName name="енг" localSheetId="7" hidden="1">{#N/A,#N/A,FALSE,"Лист4"}</definedName>
    <definedName name="енг" localSheetId="12" hidden="1">{#N/A,#N/A,FALSE,"Лист4"}</definedName>
    <definedName name="енг" localSheetId="8" hidden="1">{#N/A,#N/A,FALSE,"Лист4"}</definedName>
    <definedName name="енг" hidden="1">{#N/A,#N/A,FALSE,"Лист4"}</definedName>
    <definedName name="епи" localSheetId="7" hidden="1">{#N/A,#N/A,FALSE,"Лист4"}</definedName>
    <definedName name="епи" localSheetId="12" hidden="1">{#N/A,#N/A,FALSE,"Лист4"}</definedName>
    <definedName name="епи" localSheetId="8" hidden="1">{#N/A,#N/A,FALSE,"Лист4"}</definedName>
    <definedName name="епи" hidden="1">{#N/A,#N/A,FALSE,"Лист4"}</definedName>
    <definedName name="еппп" localSheetId="7" hidden="1">{#N/A,#N/A,FALSE,"т02бд"}</definedName>
    <definedName name="еппп" localSheetId="12" hidden="1">{#N/A,#N/A,FALSE,"т02бд"}</definedName>
    <definedName name="еппп" localSheetId="8" hidden="1">{#N/A,#N/A,FALSE,"т02бд"}</definedName>
    <definedName name="еппп" hidden="1">{#N/A,#N/A,FALSE,"т02бд"}</definedName>
    <definedName name="еппп_2" localSheetId="12" hidden="1">{#N/A,#N/A,FALSE,"т02бд"}</definedName>
    <definedName name="еппп_2" localSheetId="8" hidden="1">{#N/A,#N/A,FALSE,"т02бд"}</definedName>
    <definedName name="еппп_2" hidden="1">{#N/A,#N/A,FALSE,"т02бд"}</definedName>
    <definedName name="еппп_2_1" localSheetId="12" hidden="1">{#N/A,#N/A,FALSE,"т02бд"}</definedName>
    <definedName name="еппп_2_1" localSheetId="8" hidden="1">{#N/A,#N/A,FALSE,"т02бд"}</definedName>
    <definedName name="еппп_2_1" hidden="1">{#N/A,#N/A,FALSE,"т02бд"}</definedName>
    <definedName name="ешгееуу" localSheetId="7" hidden="1">{#N/A,#N/A,FALSE,"Лист4"}</definedName>
    <definedName name="ешгееуу" localSheetId="12" hidden="1">{#N/A,#N/A,FALSE,"Лист4"}</definedName>
    <definedName name="ешгееуу" localSheetId="8" hidden="1">{#N/A,#N/A,FALSE,"Лист4"}</definedName>
    <definedName name="ешгееуу" hidden="1">{#N/A,#N/A,FALSE,"Лист4"}</definedName>
    <definedName name="є" localSheetId="7" hidden="1">{#N/A,#N/A,FALSE,"Лист4"}</definedName>
    <definedName name="є" localSheetId="12" hidden="1">{#N/A,#N/A,FALSE,"Лист4"}</definedName>
    <definedName name="є" localSheetId="8" hidden="1">{#N/A,#N/A,FALSE,"Лист4"}</definedName>
    <definedName name="є" hidden="1">{#N/A,#N/A,FALSE,"Лист4"}</definedName>
    <definedName name="єєє" localSheetId="7" hidden="1">{#N/A,#N/A,FALSE,"Лист4"}</definedName>
    <definedName name="єєє" localSheetId="12" hidden="1">{#N/A,#N/A,FALSE,"Лист4"}</definedName>
    <definedName name="єєє" localSheetId="8" hidden="1">{#N/A,#N/A,FALSE,"Лист4"}</definedName>
    <definedName name="єєє" hidden="1">{#N/A,#N/A,FALSE,"Лист4"}</definedName>
    <definedName name="єєєєєє" localSheetId="7" hidden="1">{#N/A,#N/A,FALSE,"Лист4"}</definedName>
    <definedName name="єєєєєє" localSheetId="12" hidden="1">{#N/A,#N/A,FALSE,"Лист4"}</definedName>
    <definedName name="єєєєєє" localSheetId="8" hidden="1">{#N/A,#N/A,FALSE,"Лист4"}</definedName>
    <definedName name="єєєєєє" hidden="1">{#N/A,#N/A,FALSE,"Лист4"}</definedName>
    <definedName name="єєєєєєє" localSheetId="7" hidden="1">{#N/A,#N/A,FALSE,"Лист4"}</definedName>
    <definedName name="єєєєєєє" localSheetId="12" hidden="1">{#N/A,#N/A,FALSE,"Лист4"}</definedName>
    <definedName name="єєєєєєє" localSheetId="8" hidden="1">{#N/A,#N/A,FALSE,"Лист4"}</definedName>
    <definedName name="єєєєєєє" hidden="1">{#N/A,#N/A,FALSE,"Лист4"}</definedName>
    <definedName name="єєєєєєє." localSheetId="7" hidden="1">{#N/A,#N/A,FALSE,"Лист4"}</definedName>
    <definedName name="єєєєєєє." localSheetId="12" hidden="1">{#N/A,#N/A,FALSE,"Лист4"}</definedName>
    <definedName name="єєєєєєє." localSheetId="8" hidden="1">{#N/A,#N/A,FALSE,"Лист4"}</definedName>
    <definedName name="єєєєєєє." hidden="1">{#N/A,#N/A,FALSE,"Лист4"}</definedName>
    <definedName name="єєєєєєєєєєєє" localSheetId="7" hidden="1">{#N/A,#N/A,FALSE,"Лист4"}</definedName>
    <definedName name="єєєєєєєєєєєє" localSheetId="12" hidden="1">{#N/A,#N/A,FALSE,"Лист4"}</definedName>
    <definedName name="єєєєєєєєєєєє" localSheetId="8" hidden="1">{#N/A,#N/A,FALSE,"Лист4"}</definedName>
    <definedName name="єєєєєєєєєєєє" hidden="1">{#N/A,#N/A,FALSE,"Лист4"}</definedName>
    <definedName name="єж" localSheetId="7" hidden="1">{#N/A,#N/A,FALSE,"Лист4"}</definedName>
    <definedName name="єж" localSheetId="12" hidden="1">{#N/A,#N/A,FALSE,"Лист4"}</definedName>
    <definedName name="єж" localSheetId="8" hidden="1">{#N/A,#N/A,FALSE,"Лист4"}</definedName>
    <definedName name="єж" hidden="1">{#N/A,#N/A,FALSE,"Лист4"}</definedName>
    <definedName name="ж" localSheetId="10" hidden="1">{#N/A,#N/A,FALSE,"т04"}</definedName>
    <definedName name="ж" localSheetId="7" hidden="1">{#N/A,#N/A,FALSE,"т04"}</definedName>
    <definedName name="ж" localSheetId="12" hidden="1">{#N/A,#N/A,FALSE,"т04"}</definedName>
    <definedName name="ж" localSheetId="20" hidden="1">{#N/A,#N/A,FALSE,"т04"}</definedName>
    <definedName name="ж" localSheetId="3" hidden="1">{#N/A,#N/A,FALSE,"т04"}</definedName>
    <definedName name="ж" localSheetId="8" hidden="1">{#N/A,#N/A,FALSE,"т04"}</definedName>
    <definedName name="ж" localSheetId="2" hidden="1">{#N/A,#N/A,FALSE,"т04"}</definedName>
    <definedName name="ж" hidden="1">{#N/A,#N/A,FALSE,"т04"}</definedName>
    <definedName name="жж" localSheetId="7" hidden="1">{#N/A,#N/A,FALSE,"Лист4"}</definedName>
    <definedName name="жж" localSheetId="12" hidden="1">{#N/A,#N/A,FALSE,"Лист4"}</definedName>
    <definedName name="жж" localSheetId="8" hidden="1">{#N/A,#N/A,FALSE,"Лист4"}</definedName>
    <definedName name="жж" hidden="1">{#N/A,#N/A,FALSE,"Лист4"}</definedName>
    <definedName name="житлове" localSheetId="7" hidden="1">{#N/A,#N/A,FALSE,"Лист4"}</definedName>
    <definedName name="житлове" localSheetId="12" hidden="1">{#N/A,#N/A,FALSE,"Лист4"}</definedName>
    <definedName name="житлове" localSheetId="8" hidden="1">{#N/A,#N/A,FALSE,"Лист4"}</definedName>
    <definedName name="житлове" hidden="1">{#N/A,#N/A,FALSE,"Лист4"}</definedName>
    <definedName name="_xlnm.Print_Titles" localSheetId="12">[27]доходи!#REF!</definedName>
    <definedName name="_xlnm.Print_Titles" localSheetId="21">структура!$2:$5</definedName>
    <definedName name="_xlnm.Print_Titles">[27]доходи!#REF!</definedName>
    <definedName name="збз1998" localSheetId="12">#REF!</definedName>
    <definedName name="збз1998">#REF!</definedName>
    <definedName name="здоровя" localSheetId="7" hidden="1">{#N/A,#N/A,FALSE,"Лист4"}</definedName>
    <definedName name="здоровя" localSheetId="12" hidden="1">{#N/A,#N/A,FALSE,"Лист4"}</definedName>
    <definedName name="здоровя" localSheetId="8" hidden="1">{#N/A,#N/A,FALSE,"Лист4"}</definedName>
    <definedName name="здоровя" hidden="1">{#N/A,#N/A,FALSE,"Лист4"}</definedName>
    <definedName name="зз" localSheetId="7" hidden="1">{#N/A,#N/A,FALSE,"Лист4"}</definedName>
    <definedName name="зз" localSheetId="12" hidden="1">{#N/A,#N/A,FALSE,"Лист4"}</definedName>
    <definedName name="зз" localSheetId="8" hidden="1">{#N/A,#N/A,FALSE,"Лист4"}</definedName>
    <definedName name="зз" hidden="1">{#N/A,#N/A,FALSE,"Лист4"}</definedName>
    <definedName name="ззз" localSheetId="7" hidden="1">{#N/A,#N/A,FALSE,"Лист4"}</definedName>
    <definedName name="ззз" localSheetId="12" hidden="1">{#N/A,#N/A,FALSE,"Лист4"}</definedName>
    <definedName name="ззз" localSheetId="8" hidden="1">{#N/A,#N/A,FALSE,"Лист4"}</definedName>
    <definedName name="ззз" hidden="1">{#N/A,#N/A,FALSE,"Лист4"}</definedName>
    <definedName name="зззз" localSheetId="7" hidden="1">{#N/A,#N/A,FALSE,"Лист4"}</definedName>
    <definedName name="зззз" localSheetId="12" hidden="1">{#N/A,#N/A,FALSE,"Лист4"}</definedName>
    <definedName name="зззз" localSheetId="8" hidden="1">{#N/A,#N/A,FALSE,"Лист4"}</definedName>
    <definedName name="зззз" hidden="1">{#N/A,#N/A,FALSE,"Лист4"}</definedName>
    <definedName name="ии" localSheetId="12" hidden="1">{#N/A,#N/A,FALSE,"т02бд"}</definedName>
    <definedName name="ии" localSheetId="8" hidden="1">{#N/A,#N/A,FALSE,"т02бд"}</definedName>
    <definedName name="ии" hidden="1">{#N/A,#N/A,FALSE,"т02бд"}</definedName>
    <definedName name="ип" localSheetId="7" hidden="1">{#N/A,#N/A,FALSE,"Лист4"}</definedName>
    <definedName name="ип" localSheetId="12" hidden="1">{#N/A,#N/A,FALSE,"Лист4"}</definedName>
    <definedName name="ип" localSheetId="8" hidden="1">{#N/A,#N/A,FALSE,"Лист4"}</definedName>
    <definedName name="ип" hidden="1">{#N/A,#N/A,FALSE,"Лист4"}</definedName>
    <definedName name="ить" localSheetId="7" hidden="1">{#N/A,#N/A,FALSE,"Лист4"}</definedName>
    <definedName name="ить" localSheetId="12" hidden="1">{#N/A,#N/A,FALSE,"Лист4"}</definedName>
    <definedName name="ить" localSheetId="8" hidden="1">{#N/A,#N/A,FALSE,"Лист4"}</definedName>
    <definedName name="ить" hidden="1">{#N/A,#N/A,FALSE,"Лист4"}</definedName>
    <definedName name="і" localSheetId="7" hidden="1">{#N/A,#N/A,FALSE,"т02бд"}</definedName>
    <definedName name="і" localSheetId="12" hidden="1">{#N/A,#N/A,FALSE,"т02бд"}</definedName>
    <definedName name="і" localSheetId="8" hidden="1">{#N/A,#N/A,FALSE,"т02бд"}</definedName>
    <definedName name="і" hidden="1">{#N/A,#N/A,FALSE,"т02бд"}</definedName>
    <definedName name="і_1" localSheetId="12" hidden="1">{#N/A,#N/A,FALSE,"т02бд"}</definedName>
    <definedName name="і_1" localSheetId="8" hidden="1">{#N/A,#N/A,FALSE,"т02бд"}</definedName>
    <definedName name="і_1" hidden="1">{#N/A,#N/A,FALSE,"т02бд"}</definedName>
    <definedName name="і_2" localSheetId="12" hidden="1">{#N/A,#N/A,FALSE,"т02бд"}</definedName>
    <definedName name="і_2" localSheetId="8" hidden="1">{#N/A,#N/A,FALSE,"т02бд"}</definedName>
    <definedName name="і_2" hidden="1">{#N/A,#N/A,FALSE,"т02бд"}</definedName>
    <definedName name="іва" localSheetId="12" hidden="1">{#N/A,#N/A,FALSE,"т02бд"}</definedName>
    <definedName name="іва" localSheetId="8" hidden="1">{#N/A,#N/A,FALSE,"т02бд"}</definedName>
    <definedName name="іва" hidden="1">{#N/A,#N/A,FALSE,"т02бд"}</definedName>
    <definedName name="іва_1" localSheetId="12" hidden="1">{#N/A,#N/A,FALSE,"т02бд"}</definedName>
    <definedName name="іва_1" localSheetId="8" hidden="1">{#N/A,#N/A,FALSE,"т02бд"}</definedName>
    <definedName name="іва_1" hidden="1">{#N/A,#N/A,FALSE,"т02бд"}</definedName>
    <definedName name="іва_2" localSheetId="12" hidden="1">{#N/A,#N/A,FALSE,"т02бд"}</definedName>
    <definedName name="іва_2" localSheetId="8" hidden="1">{#N/A,#N/A,FALSE,"т02бд"}</definedName>
    <definedName name="іва_2" hidden="1">{#N/A,#N/A,FALSE,"т02бд"}</definedName>
    <definedName name="іваа" localSheetId="7" hidden="1">{#N/A,#N/A,FALSE,"Лист4"}</definedName>
    <definedName name="іваа" localSheetId="12" hidden="1">{#N/A,#N/A,FALSE,"Лист4"}</definedName>
    <definedName name="іваа" localSheetId="8" hidden="1">{#N/A,#N/A,FALSE,"Лист4"}</definedName>
    <definedName name="іваа" hidden="1">{#N/A,#N/A,FALSE,"Лист4"}</definedName>
    <definedName name="івап" localSheetId="7" hidden="1">{#N/A,#N/A,FALSE,"Лист4"}</definedName>
    <definedName name="івап" localSheetId="12" hidden="1">{#N/A,#N/A,FALSE,"Лист4"}</definedName>
    <definedName name="івап" localSheetId="8" hidden="1">{#N/A,#N/A,FALSE,"Лист4"}</definedName>
    <definedName name="івап" hidden="1">{#N/A,#N/A,FALSE,"Лист4"}</definedName>
    <definedName name="івпа" localSheetId="7" hidden="1">{#N/A,#N/A,FALSE,"Лист4"}</definedName>
    <definedName name="івпа" localSheetId="12" hidden="1">{#N/A,#N/A,FALSE,"Лист4"}</definedName>
    <definedName name="івпа" localSheetId="8" hidden="1">{#N/A,#N/A,FALSE,"Лист4"}</definedName>
    <definedName name="івпа" hidden="1">{#N/A,#N/A,FALSE,"Лист4"}</definedName>
    <definedName name="іі" localSheetId="7" hidden="1">{#N/A,#N/A,FALSE,"т02бд"}</definedName>
    <definedName name="іі" localSheetId="12" hidden="1">{#N/A,#N/A,FALSE,"Лист4"}</definedName>
    <definedName name="іі" localSheetId="8" hidden="1">{#N/A,#N/A,FALSE,"т02бд"}</definedName>
    <definedName name="іі" hidden="1">{#N/A,#N/A,FALSE,"Лист4"}</definedName>
    <definedName name="ііі" localSheetId="7" hidden="1">{"MONA",#N/A,FALSE,"S"}</definedName>
    <definedName name="ііі" localSheetId="12" hidden="1">{#N/A,#N/A,FALSE,"Лист4"}</definedName>
    <definedName name="ііі" localSheetId="8" hidden="1">{"MONA",#N/A,FALSE,"S"}</definedName>
    <definedName name="ііі" hidden="1">{#N/A,#N/A,FALSE,"Лист4"}</definedName>
    <definedName name="іііі" localSheetId="7" hidden="1">{#N/A,#N/A,FALSE,"Лист4"}</definedName>
    <definedName name="іііі" localSheetId="12" hidden="1">{#N/A,#N/A,FALSE,"Лист4"}</definedName>
    <definedName name="іііі" localSheetId="8" hidden="1">{#N/A,#N/A,FALSE,"Лист4"}</definedName>
    <definedName name="іііі" hidden="1">{#N/A,#N/A,FALSE,"Лист4"}</definedName>
    <definedName name="ін" localSheetId="7" hidden="1">{#N/A,#N/A,FALSE,"Лист4"}</definedName>
    <definedName name="ін" localSheetId="12" hidden="1">{#N/A,#N/A,FALSE,"Лист4"}</definedName>
    <definedName name="ін" localSheetId="8" hidden="1">{#N/A,#N/A,FALSE,"Лист4"}</definedName>
    <definedName name="ін" hidden="1">{#N/A,#N/A,FALSE,"Лист4"}</definedName>
    <definedName name="інші" localSheetId="7" hidden="1">{#N/A,#N/A,FALSE,"Лист4"}</definedName>
    <definedName name="інші" localSheetId="12" hidden="1">{#N/A,#N/A,FALSE,"Лист4"}</definedName>
    <definedName name="інші" localSheetId="8" hidden="1">{#N/A,#N/A,FALSE,"Лист4"}</definedName>
    <definedName name="інші" hidden="1">{#N/A,#N/A,FALSE,"Лист4"}</definedName>
    <definedName name="іук" localSheetId="7" hidden="1">{#N/A,#N/A,FALSE,"Лист4"}</definedName>
    <definedName name="іук" localSheetId="12" hidden="1">{#N/A,#N/A,FALSE,"Лист4"}</definedName>
    <definedName name="іук" localSheetId="8" hidden="1">{#N/A,#N/A,FALSE,"Лист4"}</definedName>
    <definedName name="іук" hidden="1">{#N/A,#N/A,FALSE,"Лист4"}</definedName>
    <definedName name="їжд" localSheetId="7" hidden="1">{#N/A,#N/A,FALSE,"Лист4"}</definedName>
    <definedName name="їжд" localSheetId="12" hidden="1">{#N/A,#N/A,FALSE,"Лист4"}</definedName>
    <definedName name="їжд" localSheetId="8" hidden="1">{#N/A,#N/A,FALSE,"Лист4"}</definedName>
    <definedName name="їжд" hidden="1">{#N/A,#N/A,FALSE,"Лист4"}</definedName>
    <definedName name="й" localSheetId="7" hidden="1">{#N/A,#N/A,FALSE,"т02бд"}</definedName>
    <definedName name="й" localSheetId="12" hidden="1">{#N/A,#N/A,FALSE,"т02бд"}</definedName>
    <definedName name="й" localSheetId="8" hidden="1">{#N/A,#N/A,FALSE,"т02бд"}</definedName>
    <definedName name="й" hidden="1">{#N/A,#N/A,FALSE,"т02бд"}</definedName>
    <definedName name="й_1" localSheetId="12" hidden="1">{#N/A,#N/A,FALSE,"т02бд"}</definedName>
    <definedName name="й_1" localSheetId="8" hidden="1">{#N/A,#N/A,FALSE,"т02бд"}</definedName>
    <definedName name="й_1" hidden="1">{#N/A,#N/A,FALSE,"т02бд"}</definedName>
    <definedName name="й_2" localSheetId="12" hidden="1">{#N/A,#N/A,FALSE,"т02бд"}</definedName>
    <definedName name="й_2" localSheetId="8" hidden="1">{#N/A,#N/A,FALSE,"т02бд"}</definedName>
    <definedName name="й_2" hidden="1">{#N/A,#N/A,FALSE,"т02бд"}</definedName>
    <definedName name="йив" localSheetId="10" hidden="1">{#N/A,#N/A,FALSE,"т02бд"}</definedName>
    <definedName name="йив" localSheetId="7" hidden="1">{#N/A,#N/A,FALSE,"т02бд"}</definedName>
    <definedName name="йив" localSheetId="12" hidden="1">{#N/A,#N/A,FALSE,"т02бд"}</definedName>
    <definedName name="йив" localSheetId="20" hidden="1">{#N/A,#N/A,FALSE,"т02бд"}</definedName>
    <definedName name="йив" localSheetId="3" hidden="1">{#N/A,#N/A,FALSE,"т02бд"}</definedName>
    <definedName name="йив" localSheetId="8" hidden="1">{#N/A,#N/A,FALSE,"т02бд"}</definedName>
    <definedName name="йив" localSheetId="2" hidden="1">{#N/A,#N/A,FALSE,"т02бд"}</definedName>
    <definedName name="йив" hidden="1">{#N/A,#N/A,FALSE,"т02бд"}</definedName>
    <definedName name="ййй" localSheetId="7" hidden="1">{#N/A,#N/A,FALSE,"т02бд"}</definedName>
    <definedName name="ййй" localSheetId="12" hidden="1">{#N/A,#N/A,FALSE,"Лист4"}</definedName>
    <definedName name="ййй" localSheetId="8" hidden="1">{#N/A,#N/A,FALSE,"т02бд"}</definedName>
    <definedName name="ййй" hidden="1">{#N/A,#N/A,FALSE,"Лист4"}</definedName>
    <definedName name="йййй" localSheetId="7" hidden="1">{#N/A,#N/A,FALSE,"Лист4"}</definedName>
    <definedName name="йййй" localSheetId="12" hidden="1">{#N/A,#N/A,FALSE,"Лист4"}</definedName>
    <definedName name="йййй" localSheetId="8" hidden="1">{#N/A,#N/A,FALSE,"Лист4"}</definedName>
    <definedName name="йййй" hidden="1">{#N/A,#N/A,FALSE,"Лист4"}</definedName>
    <definedName name="квефі" localSheetId="7" hidden="1">{#N/A,#N/A,FALSE,"I";#N/A,#N/A,FALSE,"J";#N/A,#N/A,FALSE,"K";#N/A,#N/A,FALSE,"L";#N/A,#N/A,FALSE,"M";#N/A,#N/A,FALSE,"N";#N/A,#N/A,FALSE,"O"}</definedName>
    <definedName name="квефі" localSheetId="12" hidden="1">{#N/A,#N/A,FALSE,"I";#N/A,#N/A,FALSE,"J";#N/A,#N/A,FALSE,"K";#N/A,#N/A,FALSE,"L";#N/A,#N/A,FALSE,"M";#N/A,#N/A,FALSE,"N";#N/A,#N/A,FALSE,"O"}</definedName>
    <definedName name="квефі" localSheetId="8" hidden="1">{#N/A,#N/A,FALSE,"I";#N/A,#N/A,FALSE,"J";#N/A,#N/A,FALSE,"K";#N/A,#N/A,FALSE,"L";#N/A,#N/A,FALSE,"M";#N/A,#N/A,FALSE,"N";#N/A,#N/A,FALSE,"O"}</definedName>
    <definedName name="квефі" hidden="1">{#N/A,#N/A,FALSE,"I";#N/A,#N/A,FALSE,"J";#N/A,#N/A,FALSE,"K";#N/A,#N/A,FALSE,"L";#N/A,#N/A,FALSE,"M";#N/A,#N/A,FALSE,"N";#N/A,#N/A,FALSE,"O"}</definedName>
    <definedName name="квефі_1" localSheetId="12" hidden="1">{#N/A,#N/A,FALSE,"I";#N/A,#N/A,FALSE,"J";#N/A,#N/A,FALSE,"K";#N/A,#N/A,FALSE,"L";#N/A,#N/A,FALSE,"M";#N/A,#N/A,FALSE,"N";#N/A,#N/A,FALSE,"O"}</definedName>
    <definedName name="квефі_1" localSheetId="8" hidden="1">{#N/A,#N/A,FALSE,"I";#N/A,#N/A,FALSE,"J";#N/A,#N/A,FALSE,"K";#N/A,#N/A,FALSE,"L";#N/A,#N/A,FALSE,"M";#N/A,#N/A,FALSE,"N";#N/A,#N/A,FALSE,"O"}</definedName>
    <definedName name="квефі_1" hidden="1">{#N/A,#N/A,FALSE,"I";#N/A,#N/A,FALSE,"J";#N/A,#N/A,FALSE,"K";#N/A,#N/A,FALSE,"L";#N/A,#N/A,FALSE,"M";#N/A,#N/A,FALSE,"N";#N/A,#N/A,FALSE,"O"}</definedName>
    <definedName name="квефі_2" localSheetId="12" hidden="1">{#N/A,#N/A,FALSE,"I";#N/A,#N/A,FALSE,"J";#N/A,#N/A,FALSE,"K";#N/A,#N/A,FALSE,"L";#N/A,#N/A,FALSE,"M";#N/A,#N/A,FALSE,"N";#N/A,#N/A,FALSE,"O"}</definedName>
    <definedName name="квефі_2" localSheetId="8" hidden="1">{#N/A,#N/A,FALSE,"I";#N/A,#N/A,FALSE,"J";#N/A,#N/A,FALSE,"K";#N/A,#N/A,FALSE,"L";#N/A,#N/A,FALSE,"M";#N/A,#N/A,FALSE,"N";#N/A,#N/A,FALSE,"O"}</definedName>
    <definedName name="квефі_2" hidden="1">{#N/A,#N/A,FALSE,"I";#N/A,#N/A,FALSE,"J";#N/A,#N/A,FALSE,"K";#N/A,#N/A,FALSE,"L";#N/A,#N/A,FALSE,"M";#N/A,#N/A,FALSE,"N";#N/A,#N/A,FALSE,"O"}</definedName>
    <definedName name="квітень" localSheetId="12" hidden="1">{#N/A,#N/A,FALSE,"т17-1банки (2)"}</definedName>
    <definedName name="квітень" localSheetId="8" hidden="1">{#N/A,#N/A,FALSE,"т17-1банки (2)"}</definedName>
    <definedName name="квітень" hidden="1">{#N/A,#N/A,FALSE,"т17-1банки (2)"}</definedName>
    <definedName name="кгккг" localSheetId="7" hidden="1">{#N/A,#N/A,FALSE,"Лист4"}</definedName>
    <definedName name="кгккг" localSheetId="12" hidden="1">{#N/A,#N/A,FALSE,"Лист4"}</definedName>
    <definedName name="кгккг" localSheetId="8" hidden="1">{#N/A,#N/A,FALSE,"Лист4"}</definedName>
    <definedName name="кгккг" hidden="1">{#N/A,#N/A,FALSE,"Лист4"}</definedName>
    <definedName name="кгкккк" localSheetId="7" hidden="1">{#N/A,#N/A,FALSE,"Лист4"}</definedName>
    <definedName name="кгкккк" localSheetId="12" hidden="1">{#N/A,#N/A,FALSE,"Лист4"}</definedName>
    <definedName name="кгкккк" localSheetId="8" hidden="1">{#N/A,#N/A,FALSE,"Лист4"}</definedName>
    <definedName name="кгкккк" hidden="1">{#N/A,#N/A,FALSE,"Лист4"}</definedName>
    <definedName name="ке" localSheetId="12" hidden="1">{#N/A,#N/A,FALSE,"т17-1банки (2)"}</definedName>
    <definedName name="ке" localSheetId="8" hidden="1">{#N/A,#N/A,FALSE,"т17-1банки (2)"}</definedName>
    <definedName name="ке" hidden="1">{#N/A,#N/A,FALSE,"т17-1банки (2)"}</definedName>
    <definedName name="кеуц" localSheetId="7" hidden="1">{#N/A,#N/A,FALSE,"Лист4"}</definedName>
    <definedName name="кеуц" localSheetId="12" hidden="1">{#N/A,#N/A,FALSE,"Лист4"}</definedName>
    <definedName name="кеуц" localSheetId="8" hidden="1">{#N/A,#N/A,FALSE,"Лист4"}</definedName>
    <definedName name="кеуц" hidden="1">{#N/A,#N/A,FALSE,"Лист4"}</definedName>
    <definedName name="кк" localSheetId="7" hidden="1">{#N/A,#N/A,FALSE,"Лист4"}</definedName>
    <definedName name="кк" localSheetId="12" hidden="1">{#N/A,#N/A,FALSE,"Лист4"}</definedName>
    <definedName name="кк" localSheetId="8" hidden="1">{#N/A,#N/A,FALSE,"Лист4"}</definedName>
    <definedName name="кк" hidden="1">{#N/A,#N/A,FALSE,"Лист4"}</definedName>
    <definedName name="ккгкг" localSheetId="7" hidden="1">{#N/A,#N/A,FALSE,"Лист4"}</definedName>
    <definedName name="ккгкг" localSheetId="12" hidden="1">{#N/A,#N/A,FALSE,"Лист4"}</definedName>
    <definedName name="ккгкг" localSheetId="8" hidden="1">{#N/A,#N/A,FALSE,"Лист4"}</definedName>
    <definedName name="ккгкг" hidden="1">{#N/A,#N/A,FALSE,"Лист4"}</definedName>
    <definedName name="ккк" localSheetId="26">#REF!</definedName>
    <definedName name="ккк" localSheetId="10">#REF!</definedName>
    <definedName name="ккк" localSheetId="28">#REF!</definedName>
    <definedName name="ккк" localSheetId="7" hidden="1">{#N/A,#N/A,FALSE,"Лист4"}</definedName>
    <definedName name="ккк" localSheetId="19" hidden="1">{#N/A,#N/A,FALSE,"т02бд"}</definedName>
    <definedName name="ккк" localSheetId="20" hidden="1">{#N/A,#N/A,FALSE,"т02бд"}</definedName>
    <definedName name="ккк" localSheetId="3" hidden="1">{#N/A,#N/A,FALSE,"т02бд"}</definedName>
    <definedName name="ккк" localSheetId="8" hidden="1">{#N/A,#N/A,FALSE,"Лист4"}</definedName>
    <definedName name="ккк">#REF!</definedName>
    <definedName name="кккну" localSheetId="7" hidden="1">{#N/A,#N/A,FALSE,"Лист4"}</definedName>
    <definedName name="кккну" localSheetId="12" hidden="1">{#N/A,#N/A,FALSE,"Лист4"}</definedName>
    <definedName name="кккну" localSheetId="8" hidden="1">{#N/A,#N/A,FALSE,"Лист4"}</definedName>
    <definedName name="кккну" hidden="1">{#N/A,#N/A,FALSE,"Лист4"}</definedName>
    <definedName name="кккокк" localSheetId="7" hidden="1">{#N/A,#N/A,FALSE,"Лист4"}</definedName>
    <definedName name="кккокк" localSheetId="12" hidden="1">{#N/A,#N/A,FALSE,"Лист4"}</definedName>
    <definedName name="кккокк" localSheetId="8" hidden="1">{#N/A,#N/A,FALSE,"Лист4"}</definedName>
    <definedName name="кккокк" hidden="1">{#N/A,#N/A,FALSE,"Лист4"}</definedName>
    <definedName name="комунальне" localSheetId="7" hidden="1">{#N/A,#N/A,FALSE,"Лист4"}</definedName>
    <definedName name="комунальне" localSheetId="12" hidden="1">{#N/A,#N/A,FALSE,"Лист4"}</definedName>
    <definedName name="комунальне" localSheetId="8" hidden="1">{#N/A,#N/A,FALSE,"Лист4"}</definedName>
    <definedName name="комунальне" hidden="1">{#N/A,#N/A,FALSE,"Лист4"}</definedName>
    <definedName name="кот" localSheetId="7" hidden="1">{#N/A,#N/A,FALSE,"Лист4"}</definedName>
    <definedName name="кот" localSheetId="12" hidden="1">{#N/A,#N/A,FALSE,"Лист4"}</definedName>
    <definedName name="кот" localSheetId="8" hidden="1">{#N/A,#N/A,FALSE,"Лист4"}</definedName>
    <definedName name="кот" hidden="1">{#N/A,#N/A,FALSE,"Лист4"}</definedName>
    <definedName name="кр" localSheetId="7" hidden="1">{#N/A,#N/A,FALSE,"Лист4"}</definedName>
    <definedName name="кр" localSheetId="12" hidden="1">{#N/A,#N/A,FALSE,"Лист4"}</definedName>
    <definedName name="кр" localSheetId="8" hidden="1">{#N/A,#N/A,FALSE,"Лист4"}</definedName>
    <definedName name="кр" hidden="1">{#N/A,#N/A,FALSE,"Лист4"}</definedName>
    <definedName name="культура" localSheetId="7" hidden="1">{#N/A,#N/A,FALSE,"Лист4"}</definedName>
    <definedName name="культура" localSheetId="12" hidden="1">{#N/A,#N/A,FALSE,"Лист4"}</definedName>
    <definedName name="культура" localSheetId="8" hidden="1">{#N/A,#N/A,FALSE,"Лист4"}</definedName>
    <definedName name="культура" hidden="1">{#N/A,#N/A,FALSE,"Лист4"}</definedName>
    <definedName name="л" localSheetId="7" hidden="1">{#N/A,#N/A,FALSE,"Лист4"}</definedName>
    <definedName name="л" localSheetId="12" hidden="1">{#N/A,#N/A,FALSE,"Лист4"}</definedName>
    <definedName name="л" localSheetId="8" hidden="1">{#N/A,#N/A,FALSE,"Лист4"}</definedName>
    <definedName name="л" hidden="1">{#N/A,#N/A,FALSE,"Лист4"}</definedName>
    <definedName name="лд" localSheetId="7" hidden="1">{#N/A,#N/A,FALSE,"Лист4"}</definedName>
    <definedName name="лд" localSheetId="12" hidden="1">{#N/A,#N/A,FALSE,"Лист4"}</definedName>
    <definedName name="лд" localSheetId="8" hidden="1">{#N/A,#N/A,FALSE,"Лист4"}</definedName>
    <definedName name="лд" hidden="1">{#N/A,#N/A,FALSE,"Лист4"}</definedName>
    <definedName name="лл" localSheetId="7" hidden="1">{#N/A,#N/A,FALSE,"Лист4"}</definedName>
    <definedName name="лл" localSheetId="12" hidden="1">{#N/A,#N/A,FALSE,"Лист4"}</definedName>
    <definedName name="лл" localSheetId="8" hidden="1">{#N/A,#N/A,FALSE,"Лист4"}</definedName>
    <definedName name="лл" hidden="1">{#N/A,#N/A,FALSE,"Лист4"}</definedName>
    <definedName name="ллл" localSheetId="7" hidden="1">{#N/A,#N/A,FALSE,"Лист4"}</definedName>
    <definedName name="ллл" localSheetId="12" hidden="1">{#N/A,#N/A,FALSE,"Лист4"}</definedName>
    <definedName name="ллл" localSheetId="8" hidden="1">{#N/A,#N/A,FALSE,"Лист4"}</definedName>
    <definedName name="ллл" hidden="1">{#N/A,#N/A,FALSE,"Лист4"}</definedName>
    <definedName name="лнпллпл" localSheetId="7" hidden="1">{#N/A,#N/A,FALSE,"Лист4"}</definedName>
    <definedName name="лнпллпл" localSheetId="12" hidden="1">{#N/A,#N/A,FALSE,"Лист4"}</definedName>
    <definedName name="лнпллпл" localSheetId="8" hidden="1">{#N/A,#N/A,FALSE,"Лист4"}</definedName>
    <definedName name="лнпллпл" hidden="1">{#N/A,#N/A,FALSE,"Лист4"}</definedName>
    <definedName name="лор" localSheetId="10" hidden="1">{#N/A,#N/A,FALSE,"т02бд"}</definedName>
    <definedName name="лор" localSheetId="7" hidden="1">{#N/A,#N/A,FALSE,"т02бд"}</definedName>
    <definedName name="лор" localSheetId="12" hidden="1">{#N/A,#N/A,FALSE,"т02бд"}</definedName>
    <definedName name="лор" localSheetId="20" hidden="1">{#N/A,#N/A,FALSE,"т02бд"}</definedName>
    <definedName name="лор" localSheetId="3" hidden="1">{#N/A,#N/A,FALSE,"т02бд"}</definedName>
    <definedName name="лор" localSheetId="8" hidden="1">{#N/A,#N/A,FALSE,"т02бд"}</definedName>
    <definedName name="лор" localSheetId="2" hidden="1">{#N/A,#N/A,FALSE,"т02бд"}</definedName>
    <definedName name="лор" hidden="1">{#N/A,#N/A,FALSE,"т02бд"}</definedName>
    <definedName name="М2">'[9]Мульт-ор М2, швидкість'!$C$1:$C$65536</definedName>
    <definedName name="мак" localSheetId="7" hidden="1">{#N/A,#N/A,FALSE,"Лист4"}</definedName>
    <definedName name="мак" localSheetId="12" hidden="1">{#N/A,#N/A,FALSE,"Лист4"}</definedName>
    <definedName name="мак" localSheetId="8" hidden="1">{#N/A,#N/A,FALSE,"Лист4"}</definedName>
    <definedName name="мак" hidden="1">{#N/A,#N/A,FALSE,"Лист4"}</definedName>
    <definedName name="мм" localSheetId="7" hidden="1">{#N/A,#N/A,FALSE,"Лист4"}</definedName>
    <definedName name="мм" localSheetId="12" hidden="1">{#N/A,#N/A,FALSE,"Лист4"}</definedName>
    <definedName name="мм" localSheetId="8" hidden="1">{#N/A,#N/A,FALSE,"Лист4"}</definedName>
    <definedName name="мм" hidden="1">{#N/A,#N/A,FALSE,"Лист4"}</definedName>
    <definedName name="ммм" localSheetId="12" hidden="1">{"'Всего'!$A$1:$F$19"}</definedName>
    <definedName name="ммм" hidden="1">{"'Всего'!$A$1:$F$19"}</definedName>
    <definedName name="ммм_2" localSheetId="12" hidden="1">{"'Всего'!$A$1:$F$19"}</definedName>
    <definedName name="ммм_2" hidden="1">{"'Всего'!$A$1:$F$19"}</definedName>
    <definedName name="ммм_3" localSheetId="12" hidden="1">{"'Всего'!$A$1:$F$19"}</definedName>
    <definedName name="ммм_3" hidden="1">{"'Всего'!$A$1:$F$19"}</definedName>
    <definedName name="ммм_4" localSheetId="12" hidden="1">{"'Всего'!$A$1:$F$19"}</definedName>
    <definedName name="ммм_4" hidden="1">{"'Всего'!$A$1:$F$19"}</definedName>
    <definedName name="мпе" localSheetId="7" hidden="1">{#N/A,#N/A,FALSE,"Лист4"}</definedName>
    <definedName name="мпе" localSheetId="12" hidden="1">{#N/A,#N/A,FALSE,"Лист4"}</definedName>
    <definedName name="мпе" localSheetId="8" hidden="1">{#N/A,#N/A,FALSE,"Лист4"}</definedName>
    <definedName name="мпе" hidden="1">{#N/A,#N/A,FALSE,"Лист4"}</definedName>
    <definedName name="МР" localSheetId="10" hidden="1">{#N/A,#N/A,FALSE,"т02бд"}</definedName>
    <definedName name="МР" localSheetId="7" hidden="1">{#N/A,#N/A,FALSE,"т02бд"}</definedName>
    <definedName name="МР" localSheetId="12" hidden="1">{#N/A,#N/A,FALSE,"т02бд"}</definedName>
    <definedName name="МР" localSheetId="20" hidden="1">{#N/A,#N/A,FALSE,"т02бд"}</definedName>
    <definedName name="МР" localSheetId="3" hidden="1">{#N/A,#N/A,FALSE,"т02бд"}</definedName>
    <definedName name="МР" localSheetId="8" hidden="1">{#N/A,#N/A,FALSE,"т02бд"}</definedName>
    <definedName name="МР" localSheetId="2" hidden="1">{#N/A,#N/A,FALSE,"т02бд"}</definedName>
    <definedName name="МР" hidden="1">{#N/A,#N/A,FALSE,"т02бд"}</definedName>
    <definedName name="нy69">#REF!</definedName>
    <definedName name="нгнгш" localSheetId="7" hidden="1">{#N/A,#N/A,FALSE,"Лист4"}</definedName>
    <definedName name="нгнгш" localSheetId="12" hidden="1">{#N/A,#N/A,FALSE,"Лист4"}</definedName>
    <definedName name="нгнгш" localSheetId="8" hidden="1">{#N/A,#N/A,FALSE,"Лист4"}</definedName>
    <definedName name="нгнгш" hidden="1">{#N/A,#N/A,FALSE,"Лист4"}</definedName>
    <definedName name="нн" localSheetId="12" hidden="1">{#N/A,#N/A,FALSE,"т02бд"}</definedName>
    <definedName name="нн" localSheetId="8" hidden="1">{#N/A,#N/A,FALSE,"т02бд"}</definedName>
    <definedName name="нн" hidden="1">{#N/A,#N/A,FALSE,"т02бд"}</definedName>
    <definedName name="ннггг" localSheetId="7" hidden="1">{#N/A,#N/A,FALSE,"Лист4"}</definedName>
    <definedName name="ннггг" localSheetId="12" hidden="1">{#N/A,#N/A,FALSE,"Лист4"}</definedName>
    <definedName name="ннггг" localSheetId="8" hidden="1">{#N/A,#N/A,FALSE,"Лист4"}</definedName>
    <definedName name="ннггг" hidden="1">{#N/A,#N/A,FALSE,"Лист4"}</definedName>
    <definedName name="ннн" localSheetId="7" hidden="1">{#N/A,#N/A,FALSE,"Лист4"}</definedName>
    <definedName name="ннн" localSheetId="12" hidden="1">{#N/A,#N/A,FALSE,"Лист4"}</definedName>
    <definedName name="ннн" localSheetId="8" hidden="1">{#N/A,#N/A,FALSE,"Лист4"}</definedName>
    <definedName name="ннн" hidden="1">{#N/A,#N/A,FALSE,"Лист4"}</definedName>
    <definedName name="ннннг" localSheetId="7" hidden="1">{#N/A,#N/A,FALSE,"Лист4"}</definedName>
    <definedName name="ннннг" localSheetId="12" hidden="1">{#N/A,#N/A,FALSE,"Лист4"}</definedName>
    <definedName name="ннннг" localSheetId="8" hidden="1">{#N/A,#N/A,FALSE,"Лист4"}</definedName>
    <definedName name="ннннг" hidden="1">{#N/A,#N/A,FALSE,"Лист4"}</definedName>
    <definedName name="ннннннн" localSheetId="26" hidden="1">{"BOP_TAB",#N/A,FALSE,"N";"MIDTERM_TAB",#N/A,FALSE,"O";"FUND_CRED",#N/A,FALSE,"P";"DEBT_TAB1",#N/A,FALSE,"Q";"DEBT_TAB2",#N/A,FALSE,"Q";"FORFIN_TAB1",#N/A,FALSE,"R";"FORFIN_TAB2",#N/A,FALSE,"R";"BOP_ANALY",#N/A,FALSE,"U"}</definedName>
    <definedName name="ннннннн" localSheetId="16" hidden="1">{"BOP_TAB",#N/A,FALSE,"N";"MIDTERM_TAB",#N/A,FALSE,"O";"FUND_CRED",#N/A,FALSE,"P";"DEBT_TAB1",#N/A,FALSE,"Q";"DEBT_TAB2",#N/A,FALSE,"Q";"FORFIN_TAB1",#N/A,FALSE,"R";"FORFIN_TAB2",#N/A,FALSE,"R";"BOP_ANALY",#N/A,FALSE,"U"}</definedName>
    <definedName name="ннннннн" localSheetId="17" hidden="1">{"BOP_TAB",#N/A,FALSE,"N";"MIDTERM_TAB",#N/A,FALSE,"O";"FUND_CRED",#N/A,FALSE,"P";"DEBT_TAB1",#N/A,FALSE,"Q";"DEBT_TAB2",#N/A,FALSE,"Q";"FORFIN_TAB1",#N/A,FALSE,"R";"FORFIN_TAB2",#N/A,FALSE,"R";"BOP_ANALY",#N/A,FALSE,"U"}</definedName>
    <definedName name="ннннннн" localSheetId="22" hidden="1">{"BOP_TAB",#N/A,FALSE,"N";"MIDTERM_TAB",#N/A,FALSE,"O";"FUND_CRED",#N/A,FALSE,"P";"DEBT_TAB1",#N/A,FALSE,"Q";"DEBT_TAB2",#N/A,FALSE,"Q";"FORFIN_TAB1",#N/A,FALSE,"R";"FORFIN_TAB2",#N/A,FALSE,"R";"BOP_ANALY",#N/A,FALSE,"U"}</definedName>
    <definedName name="ннннннн" localSheetId="10" hidden="1">{"BOP_TAB",#N/A,FALSE,"N";"MIDTERM_TAB",#N/A,FALSE,"O";"FUND_CRED",#N/A,FALSE,"P";"DEBT_TAB1",#N/A,FALSE,"Q";"DEBT_TAB2",#N/A,FALSE,"Q";"FORFIN_TAB1",#N/A,FALSE,"R";"FORFIN_TAB2",#N/A,FALSE,"R";"BOP_ANALY",#N/A,FALSE,"U"}</definedName>
    <definedName name="ннннннн" localSheetId="28" hidden="1">{"BOP_TAB",#N/A,FALSE,"N";"MIDTERM_TAB",#N/A,FALSE,"O";"FUND_CRED",#N/A,FALSE,"P";"DEBT_TAB1",#N/A,FALSE,"Q";"DEBT_TAB2",#N/A,FALSE,"Q";"FORFIN_TAB1",#N/A,FALSE,"R";"FORFIN_TAB2",#N/A,FALSE,"R";"BOP_ANALY",#N/A,FALSE,"U"}</definedName>
    <definedName name="ннннннн" localSheetId="14" hidden="1">{"BOP_TAB",#N/A,FALSE,"N";"MIDTERM_TAB",#N/A,FALSE,"O";"FUND_CRED",#N/A,FALSE,"P";"DEBT_TAB1",#N/A,FALSE,"Q";"DEBT_TAB2",#N/A,FALSE,"Q";"FORFIN_TAB1",#N/A,FALSE,"R";"FORFIN_TAB2",#N/A,FALSE,"R";"BOP_ANALY",#N/A,FALSE,"U"}</definedName>
    <definedName name="ннннннн" localSheetId="7" hidden="1">{"BOP_TAB",#N/A,FALSE,"N";"MIDTERM_TAB",#N/A,FALSE,"O";"FUND_CRED",#N/A,FALSE,"P";"DEBT_TAB1",#N/A,FALSE,"Q";"DEBT_TAB2",#N/A,FALSE,"Q";"FORFIN_TAB1",#N/A,FALSE,"R";"FORFIN_TAB2",#N/A,FALSE,"R";"BOP_ANALY",#N/A,FALSE,"U"}</definedName>
    <definedName name="ннннннн" localSheetId="12" hidden="1">{"BOP_TAB",#N/A,FALSE,"N";"MIDTERM_TAB",#N/A,FALSE,"O";"FUND_CRED",#N/A,FALSE,"P";"DEBT_TAB1",#N/A,FALSE,"Q";"DEBT_TAB2",#N/A,FALSE,"Q";"FORFIN_TAB1",#N/A,FALSE,"R";"FORFIN_TAB2",#N/A,FALSE,"R";"BOP_ANALY",#N/A,FALSE,"U"}</definedName>
    <definedName name="ннннннн" localSheetId="19" hidden="1">{"BOP_TAB",#N/A,FALSE,"N";"MIDTERM_TAB",#N/A,FALSE,"O";"FUND_CRED",#N/A,FALSE,"P";"DEBT_TAB1",#N/A,FALSE,"Q";"DEBT_TAB2",#N/A,FALSE,"Q";"FORFIN_TAB1",#N/A,FALSE,"R";"FORFIN_TAB2",#N/A,FALSE,"R";"BOP_ANALY",#N/A,FALSE,"U"}</definedName>
    <definedName name="ннннннн" localSheetId="20" hidden="1">{"BOP_TAB",#N/A,FALSE,"N";"MIDTERM_TAB",#N/A,FALSE,"O";"FUND_CRED",#N/A,FALSE,"P";"DEBT_TAB1",#N/A,FALSE,"Q";"DEBT_TAB2",#N/A,FALSE,"Q";"FORFIN_TAB1",#N/A,FALSE,"R";"FORFIN_TAB2",#N/A,FALSE,"R";"BOP_ANALY",#N/A,FALSE,"U"}</definedName>
    <definedName name="ннннннн" localSheetId="3" hidden="1">{"BOP_TAB",#N/A,FALSE,"N";"MIDTERM_TAB",#N/A,FALSE,"O";"FUND_CRED",#N/A,FALSE,"P";"DEBT_TAB1",#N/A,FALSE,"Q";"DEBT_TAB2",#N/A,FALSE,"Q";"FORFIN_TAB1",#N/A,FALSE,"R";"FORFIN_TAB2",#N/A,FALSE,"R";"BOP_ANALY",#N/A,FALSE,"U"}</definedName>
    <definedName name="ннннннн" localSheetId="8" hidden="1">{"BOP_TAB",#N/A,FALSE,"N";"MIDTERM_TAB",#N/A,FALSE,"O";"FUND_CRED",#N/A,FALSE,"P";"DEBT_TAB1",#N/A,FALSE,"Q";"DEBT_TAB2",#N/A,FALSE,"Q";"FORFIN_TAB1",#N/A,FALSE,"R";"FORFIN_TAB2",#N/A,FALSE,"R";"BOP_ANALY",#N/A,FALSE,"U"}</definedName>
    <definedName name="ннннннн" localSheetId="2" hidden="1">{"BOP_TAB",#N/A,FALSE,"N";"MIDTERM_TAB",#N/A,FALSE,"O";"FUND_CRED",#N/A,FALSE,"P";"DEBT_TAB1",#N/A,FALSE,"Q";"DEBT_TAB2",#N/A,FALSE,"Q";"FORFIN_TAB1",#N/A,FALSE,"R";"FORFIN_TAB2",#N/A,FALSE,"R";"BOP_ANALY",#N/A,FALSE,"U"}</definedName>
    <definedName name="ннннннн" hidden="1">{"BOP_TAB",#N/A,FALSE,"N";"MIDTERM_TAB",#N/A,FALSE,"O";"FUND_CRED",#N/A,FALSE,"P";"DEBT_TAB1",#N/A,FALSE,"Q";"DEBT_TAB2",#N/A,FALSE,"Q";"FORFIN_TAB1",#N/A,FALSE,"R";"FORFIN_TAB2",#N/A,FALSE,"R";"BOP_ANALY",#N/A,FALSE,"U"}</definedName>
    <definedName name="ннннннн_1" localSheetId="12" hidden="1">{"BOP_TAB",#N/A,FALSE,"N";"MIDTERM_TAB",#N/A,FALSE,"O";"FUND_CRED",#N/A,FALSE,"P";"DEBT_TAB1",#N/A,FALSE,"Q";"DEBT_TAB2",#N/A,FALSE,"Q";"FORFIN_TAB1",#N/A,FALSE,"R";"FORFIN_TAB2",#N/A,FALSE,"R";"BOP_ANALY",#N/A,FALSE,"U"}</definedName>
    <definedName name="ннннннн_1" localSheetId="8" hidden="1">{"BOP_TAB",#N/A,FALSE,"N";"MIDTERM_TAB",#N/A,FALSE,"O";"FUND_CRED",#N/A,FALSE,"P";"DEBT_TAB1",#N/A,FALSE,"Q";"DEBT_TAB2",#N/A,FALSE,"Q";"FORFIN_TAB1",#N/A,FALSE,"R";"FORFIN_TAB2",#N/A,FALSE,"R";"BOP_ANALY",#N/A,FALSE,"U"}</definedName>
    <definedName name="ннннннн_1" hidden="1">{"BOP_TAB",#N/A,FALSE,"N";"MIDTERM_TAB",#N/A,FALSE,"O";"FUND_CRED",#N/A,FALSE,"P";"DEBT_TAB1",#N/A,FALSE,"Q";"DEBT_TAB2",#N/A,FALSE,"Q";"FORFIN_TAB1",#N/A,FALSE,"R";"FORFIN_TAB2",#N/A,FALSE,"R";"BOP_ANALY",#N/A,FALSE,"U"}</definedName>
    <definedName name="ннннннн_2" localSheetId="12" hidden="1">{"BOP_TAB",#N/A,FALSE,"N";"MIDTERM_TAB",#N/A,FALSE,"O";"FUND_CRED",#N/A,FALSE,"P";"DEBT_TAB1",#N/A,FALSE,"Q";"DEBT_TAB2",#N/A,FALSE,"Q";"FORFIN_TAB1",#N/A,FALSE,"R";"FORFIN_TAB2",#N/A,FALSE,"R";"BOP_ANALY",#N/A,FALSE,"U"}</definedName>
    <definedName name="ннннннн_2" localSheetId="8" hidden="1">{"BOP_TAB",#N/A,FALSE,"N";"MIDTERM_TAB",#N/A,FALSE,"O";"FUND_CRED",#N/A,FALSE,"P";"DEBT_TAB1",#N/A,FALSE,"Q";"DEBT_TAB2",#N/A,FALSE,"Q";"FORFIN_TAB1",#N/A,FALSE,"R";"FORFIN_TAB2",#N/A,FALSE,"R";"BOP_ANALY",#N/A,FALSE,"U"}</definedName>
    <definedName name="ннннннн_2" hidden="1">{"BOP_TAB",#N/A,FALSE,"N";"MIDTERM_TAB",#N/A,FALSE,"O";"FUND_CRED",#N/A,FALSE,"P";"DEBT_TAB1",#N/A,FALSE,"Q";"DEBT_TAB2",#N/A,FALSE,"Q";"FORFIN_TAB1",#N/A,FALSE,"R";"FORFIN_TAB2",#N/A,FALSE,"R";"BOP_ANALY",#N/A,FALSE,"U"}</definedName>
    <definedName name="нннннннн" localSheetId="7" hidden="1">{#N/A,#N/A,FALSE,"Лист4"}</definedName>
    <definedName name="нннннннн" localSheetId="12" hidden="1">{#N/A,#N/A,FALSE,"Лист4"}</definedName>
    <definedName name="нннннннн" localSheetId="8" hidden="1">{#N/A,#N/A,FALSE,"Лист4"}</definedName>
    <definedName name="нннннннн" hidden="1">{#N/A,#N/A,FALSE,"Лист4"}</definedName>
    <definedName name="ннншенгке" localSheetId="7" hidden="1">{#N/A,#N/A,FALSE,"Лист4"}</definedName>
    <definedName name="ннншенгке" localSheetId="12" hidden="1">{#N/A,#N/A,FALSE,"Лист4"}</definedName>
    <definedName name="ннншенгке" localSheetId="8" hidden="1">{#N/A,#N/A,FALSE,"Лист4"}</definedName>
    <definedName name="ннншенгке" hidden="1">{#N/A,#N/A,FALSE,"Лист4"}</definedName>
    <definedName name="нншекк" localSheetId="7" hidden="1">{#N/A,#N/A,FALSE,"Лист4"}</definedName>
    <definedName name="нншекк" localSheetId="12" hidden="1">{#N/A,#N/A,FALSE,"Лист4"}</definedName>
    <definedName name="нншекк" localSheetId="8" hidden="1">{#N/A,#N/A,FALSE,"Лист4"}</definedName>
    <definedName name="нншекк" hidden="1">{#N/A,#N/A,FALSE,"Лист4"}</definedName>
    <definedName name="нука69">#REF!</definedName>
    <definedName name="_xlnm.Print_Area" localSheetId="26">#REF!</definedName>
    <definedName name="_xlnm.Print_Area" localSheetId="10">#REF!</definedName>
    <definedName name="_xlnm.Print_Area" localSheetId="28">#REF!</definedName>
    <definedName name="_xlnm.Print_Area" localSheetId="7">#N/A</definedName>
    <definedName name="_xlnm.Print_Area" localSheetId="12">#REF!</definedName>
    <definedName name="_xlnm.Print_Area" localSheetId="19">'Прогноз Зарплати 2021'!$A$2:$T$5</definedName>
    <definedName name="_xlnm.Print_Area" localSheetId="20">'Прогноз Зарплати 2022'!$A$2:$T$5</definedName>
    <definedName name="_xlnm.Print_Area" localSheetId="3">'Прогноз Зарплати 2023'!$A$2:$T$5</definedName>
    <definedName name="_xlnm.Print_Area" localSheetId="8">#N/A</definedName>
    <definedName name="_xlnm.Print_Area" localSheetId="2">#REF!</definedName>
    <definedName name="_xlnm.Print_Area">#REF!</definedName>
    <definedName name="Область_печати_ИМ" localSheetId="26">#REF!</definedName>
    <definedName name="Область_печати_ИМ" localSheetId="28">#REF!</definedName>
    <definedName name="Область_печати_ИМ" localSheetId="12">#REF!</definedName>
    <definedName name="Область_печати_ИМ" localSheetId="19">#REF!</definedName>
    <definedName name="Область_печати_ИМ" localSheetId="20">#REF!</definedName>
    <definedName name="Область_печати_ИМ" localSheetId="3">#REF!</definedName>
    <definedName name="Область_печати_ИМ">#REF!</definedName>
    <definedName name="оггне" localSheetId="7" hidden="1">{#N/A,#N/A,FALSE,"Лист4"}</definedName>
    <definedName name="оггне" localSheetId="12" hidden="1">{#N/A,#N/A,FALSE,"Лист4"}</definedName>
    <definedName name="оггне" localSheetId="8" hidden="1">{#N/A,#N/A,FALSE,"Лист4"}</definedName>
    <definedName name="оггне" hidden="1">{#N/A,#N/A,FALSE,"Лист4"}</definedName>
    <definedName name="оллд" localSheetId="7" hidden="1">{#N/A,#N/A,FALSE,"Лист4"}</definedName>
    <definedName name="оллд" localSheetId="12" hidden="1">{#N/A,#N/A,FALSE,"Лист4"}</definedName>
    <definedName name="оллд" localSheetId="8" hidden="1">{#N/A,#N/A,FALSE,"Лист4"}</definedName>
    <definedName name="оллд" hidden="1">{#N/A,#N/A,FALSE,"Лист4"}</definedName>
    <definedName name="олол" localSheetId="7" hidden="1">{#N/A,#N/A,FALSE,"Лист4"}</definedName>
    <definedName name="олол" localSheetId="12" hidden="1">{#N/A,#N/A,FALSE,"Лист4"}</definedName>
    <definedName name="олол" localSheetId="8" hidden="1">{#N/A,#N/A,FALSE,"Лист4"}</definedName>
    <definedName name="олол" hidden="1">{#N/A,#N/A,FALSE,"Лист4"}</definedName>
    <definedName name="оо" localSheetId="7" hidden="1">{#N/A,#N/A,FALSE,"Лист4"}</definedName>
    <definedName name="оо" localSheetId="12" hidden="1">{#N/A,#N/A,FALSE,"Лист4"}</definedName>
    <definedName name="оо" localSheetId="8" hidden="1">{#N/A,#N/A,FALSE,"Лист4"}</definedName>
    <definedName name="оо" hidden="1">{#N/A,#N/A,FALSE,"Лист4"}</definedName>
    <definedName name="ооо" localSheetId="7" hidden="1">{#N/A,#N/A,FALSE,"Лист4"}</definedName>
    <definedName name="ооо" localSheetId="12" hidden="1">{#N/A,#N/A,FALSE,"Лист4"}</definedName>
    <definedName name="ооо" localSheetId="8" hidden="1">{#N/A,#N/A,FALSE,"Лист4"}</definedName>
    <definedName name="ооо" hidden="1">{#N/A,#N/A,FALSE,"Лист4"}</definedName>
    <definedName name="оооо" localSheetId="7" hidden="1">{#N/A,#N/A,FALSE,"Лист4"}</definedName>
    <definedName name="оооо" localSheetId="12" hidden="1">{#N/A,#N/A,FALSE,"Лист4"}</definedName>
    <definedName name="оооо" localSheetId="8" hidden="1">{#N/A,#N/A,FALSE,"Лист4"}</definedName>
    <definedName name="оооо" hidden="1">{#N/A,#N/A,FALSE,"Лист4"}</definedName>
    <definedName name="ооооо">#REF!</definedName>
    <definedName name="орнг" localSheetId="7" hidden="1">{#N/A,#N/A,FALSE,"Лист4"}</definedName>
    <definedName name="орнг" localSheetId="12" hidden="1">{#N/A,#N/A,FALSE,"Лист4"}</definedName>
    <definedName name="орнг" localSheetId="8" hidden="1">{#N/A,#N/A,FALSE,"Лист4"}</definedName>
    <definedName name="орнг" hidden="1">{#N/A,#N/A,FALSE,"Лист4"}</definedName>
    <definedName name="освіта" localSheetId="7" hidden="1">{#N/A,#N/A,FALSE,"Лист4"}</definedName>
    <definedName name="освіта" localSheetId="12" hidden="1">{#N/A,#N/A,FALSE,"Лист4"}</definedName>
    <definedName name="освіта" localSheetId="8" hidden="1">{#N/A,#N/A,FALSE,"Лист4"}</definedName>
    <definedName name="освіта" hidden="1">{#N/A,#N/A,FALSE,"Лист4"}</definedName>
    <definedName name="ох" localSheetId="7" hidden="1">{#N/A,#N/A,FALSE,"Лист4"}</definedName>
    <definedName name="ох" localSheetId="12" hidden="1">{#N/A,#N/A,FALSE,"Лист4"}</definedName>
    <definedName name="ох" localSheetId="8" hidden="1">{#N/A,#N/A,FALSE,"Лист4"}</definedName>
    <definedName name="ох" hidden="1">{#N/A,#N/A,FALSE,"Лист4"}</definedName>
    <definedName name="охорона" localSheetId="7" hidden="1">{#N/A,#N/A,FALSE,"Лист4"}</definedName>
    <definedName name="охорона" localSheetId="12" hidden="1">{#N/A,#N/A,FALSE,"Лист4"}</definedName>
    <definedName name="охорона" localSheetId="8" hidden="1">{#N/A,#N/A,FALSE,"Лист4"}</definedName>
    <definedName name="охорона" hidden="1">{#N/A,#N/A,FALSE,"Лист4"}</definedName>
    <definedName name="п" localSheetId="7" hidden="1">{"MONA",#N/A,FALSE,"S"}</definedName>
    <definedName name="п" localSheetId="12" hidden="1">{"MONA",#N/A,FALSE,"S"}</definedName>
    <definedName name="п" localSheetId="8" hidden="1">{"MONA",#N/A,FALSE,"S"}</definedName>
    <definedName name="п" hidden="1">{"MONA",#N/A,FALSE,"S"}</definedName>
    <definedName name="п_1" localSheetId="12" hidden="1">{"MONA",#N/A,FALSE,"S"}</definedName>
    <definedName name="п_1" localSheetId="8" hidden="1">{"MONA",#N/A,FALSE,"S"}</definedName>
    <definedName name="п_1" hidden="1">{"MONA",#N/A,FALSE,"S"}</definedName>
    <definedName name="п_2" localSheetId="12" hidden="1">{"MONA",#N/A,FALSE,"S"}</definedName>
    <definedName name="п_2" localSheetId="8" hidden="1">{"MONA",#N/A,FALSE,"S"}</definedName>
    <definedName name="п_2" hidden="1">{"MONA",#N/A,FALSE,"S"}</definedName>
    <definedName name="певп" localSheetId="12" hidden="1">{#N/A,#N/A,FALSE,"т02бд"}</definedName>
    <definedName name="певп" localSheetId="8" hidden="1">{#N/A,#N/A,FALSE,"т02бд"}</definedName>
    <definedName name="певп" hidden="1">{#N/A,#N/A,FALSE,"т02бд"}</definedName>
    <definedName name="певп_1" localSheetId="12" hidden="1">{#N/A,#N/A,FALSE,"т02бд"}</definedName>
    <definedName name="певп_1" localSheetId="8" hidden="1">{#N/A,#N/A,FALSE,"т02бд"}</definedName>
    <definedName name="певп_1" hidden="1">{#N/A,#N/A,FALSE,"т02бд"}</definedName>
    <definedName name="певп_2" localSheetId="12" hidden="1">{#N/A,#N/A,FALSE,"т02бд"}</definedName>
    <definedName name="певп_2" localSheetId="8" hidden="1">{#N/A,#N/A,FALSE,"т02бд"}</definedName>
    <definedName name="певп_2" hidden="1">{#N/A,#N/A,FALSE,"т02бд"}</definedName>
    <definedName name="плеккккг" localSheetId="7" hidden="1">{#N/A,#N/A,FALSE,"Лист4"}</definedName>
    <definedName name="плеккккг" localSheetId="12" hidden="1">{#N/A,#N/A,FALSE,"Лист4"}</definedName>
    <definedName name="плеккккг" localSheetId="8" hidden="1">{#N/A,#N/A,FALSE,"Лист4"}</definedName>
    <definedName name="плеккккг" hidden="1">{#N/A,#N/A,FALSE,"Лист4"}</definedName>
    <definedName name="пллеелш" localSheetId="7" hidden="1">{#N/A,#N/A,FALSE,"Лист4"}</definedName>
    <definedName name="пллеелш" localSheetId="12" hidden="1">{#N/A,#N/A,FALSE,"Лист4"}</definedName>
    <definedName name="пллеелш" localSheetId="8" hidden="1">{#N/A,#N/A,FALSE,"Лист4"}</definedName>
    <definedName name="пллеелш" hidden="1">{#N/A,#N/A,FALSE,"Лист4"}</definedName>
    <definedName name="полпопр">#REF!</definedName>
    <definedName name="попле" localSheetId="7" hidden="1">{#N/A,#N/A,FALSE,"Лист4"}</definedName>
    <definedName name="попле" localSheetId="12" hidden="1">{#N/A,#N/A,FALSE,"Лист4"}</definedName>
    <definedName name="попле" localSheetId="8" hidden="1">{#N/A,#N/A,FALSE,"Лист4"}</definedName>
    <definedName name="попле" hidden="1">{#N/A,#N/A,FALSE,"Лист4"}</definedName>
    <definedName name="пот" localSheetId="7" hidden="1">{#N/A,#N/A,FALSE,"Лист4"}</definedName>
    <definedName name="пот" localSheetId="12" hidden="1">{#N/A,#N/A,FALSE,"Лист4"}</definedName>
    <definedName name="пот" localSheetId="8" hidden="1">{#N/A,#N/A,FALSE,"Лист4"}</definedName>
    <definedName name="пот" hidden="1">{#N/A,#N/A,FALSE,"Лист4"}</definedName>
    <definedName name="пп" localSheetId="7" hidden="1">{#N/A,#N/A,FALSE,"т04"}</definedName>
    <definedName name="пп" localSheetId="12" hidden="1">{#N/A,#N/A,FALSE,"Лист4"}</definedName>
    <definedName name="пп" localSheetId="8" hidden="1">{#N/A,#N/A,FALSE,"т04"}</definedName>
    <definedName name="пп" hidden="1">{#N/A,#N/A,FALSE,"Лист4"}</definedName>
    <definedName name="пп_2" localSheetId="12" hidden="1">{#N/A,#N/A,FALSE,"т04"}</definedName>
    <definedName name="пп_2" localSheetId="8" hidden="1">{#N/A,#N/A,FALSE,"т04"}</definedName>
    <definedName name="пп_2" hidden="1">{#N/A,#N/A,FALSE,"т04"}</definedName>
    <definedName name="пп_2_1" localSheetId="12" hidden="1">{#N/A,#N/A,FALSE,"т04"}</definedName>
    <definedName name="пп_2_1" localSheetId="8" hidden="1">{#N/A,#N/A,FALSE,"т04"}</definedName>
    <definedName name="пп_2_1" hidden="1">{#N/A,#N/A,FALSE,"т04"}</definedName>
    <definedName name="пппп" localSheetId="12" hidden="1">{#N/A,#N/A,FALSE,"т02бд"}</definedName>
    <definedName name="пппп" localSheetId="8" hidden="1">{#N/A,#N/A,FALSE,"т02бд"}</definedName>
    <definedName name="пппп" hidden="1">{#N/A,#N/A,FALSE,"т02бд"}</definedName>
    <definedName name="пппп_1" localSheetId="12" hidden="1">{#N/A,#N/A,FALSE,"т02бд"}</definedName>
    <definedName name="пппп_1" localSheetId="8" hidden="1">{#N/A,#N/A,FALSE,"т02бд"}</definedName>
    <definedName name="пппп_1" hidden="1">{#N/A,#N/A,FALSE,"т02бд"}</definedName>
    <definedName name="пппп_2" localSheetId="12" hidden="1">{#N/A,#N/A,FALSE,"т02бд"}</definedName>
    <definedName name="пппп_2" localSheetId="8" hidden="1">{#N/A,#N/A,FALSE,"т02бд"}</definedName>
    <definedName name="пппп_2" hidden="1">{#N/A,#N/A,FALSE,"т02бд"}</definedName>
    <definedName name="ппппппппппп" localSheetId="7" hidden="1">{#N/A,#N/A,FALSE,"SimInp1";#N/A,#N/A,FALSE,"SimInp2";#N/A,#N/A,FALSE,"SimOut1";#N/A,#N/A,FALSE,"SimOut2";#N/A,#N/A,FALSE,"SimOut3";#N/A,#N/A,FALSE,"SimOut4";#N/A,#N/A,FALSE,"SimOut5"}</definedName>
    <definedName name="ппппппппппп" localSheetId="12" hidden="1">{#N/A,#N/A,FALSE,"SimInp1";#N/A,#N/A,FALSE,"SimInp2";#N/A,#N/A,FALSE,"SimOut1";#N/A,#N/A,FALSE,"SimOut2";#N/A,#N/A,FALSE,"SimOut3";#N/A,#N/A,FALSE,"SimOut4";#N/A,#N/A,FALSE,"SimOut5"}</definedName>
    <definedName name="ппппппппппп" localSheetId="8" hidden="1">{#N/A,#N/A,FALSE,"SimInp1";#N/A,#N/A,FALSE,"SimInp2";#N/A,#N/A,FALSE,"SimOut1";#N/A,#N/A,FALSE,"SimOut2";#N/A,#N/A,FALSE,"SimOut3";#N/A,#N/A,FALSE,"SimOut4";#N/A,#N/A,FALSE,"SimOut5"}</definedName>
    <definedName name="ппппппппппп" hidden="1">{#N/A,#N/A,FALSE,"SimInp1";#N/A,#N/A,FALSE,"SimInp2";#N/A,#N/A,FALSE,"SimOut1";#N/A,#N/A,FALSE,"SimOut2";#N/A,#N/A,FALSE,"SimOut3";#N/A,#N/A,FALSE,"SimOut4";#N/A,#N/A,FALSE,"SimOut5"}</definedName>
    <definedName name="ппппппппппп_1" localSheetId="12" hidden="1">{#N/A,#N/A,FALSE,"SimInp1";#N/A,#N/A,FALSE,"SimInp2";#N/A,#N/A,FALSE,"SimOut1";#N/A,#N/A,FALSE,"SimOut2";#N/A,#N/A,FALSE,"SimOut3";#N/A,#N/A,FALSE,"SimOut4";#N/A,#N/A,FALSE,"SimOut5"}</definedName>
    <definedName name="ппппппппппп_1" localSheetId="8" hidden="1">{#N/A,#N/A,FALSE,"SimInp1";#N/A,#N/A,FALSE,"SimInp2";#N/A,#N/A,FALSE,"SimOut1";#N/A,#N/A,FALSE,"SimOut2";#N/A,#N/A,FALSE,"SimOut3";#N/A,#N/A,FALSE,"SimOut4";#N/A,#N/A,FALSE,"SimOut5"}</definedName>
    <definedName name="ппппппппппп_1" hidden="1">{#N/A,#N/A,FALSE,"SimInp1";#N/A,#N/A,FALSE,"SimInp2";#N/A,#N/A,FALSE,"SimOut1";#N/A,#N/A,FALSE,"SimOut2";#N/A,#N/A,FALSE,"SimOut3";#N/A,#N/A,FALSE,"SimOut4";#N/A,#N/A,FALSE,"SimOut5"}</definedName>
    <definedName name="ппппппппппп_2" localSheetId="12" hidden="1">{#N/A,#N/A,FALSE,"SimInp1";#N/A,#N/A,FALSE,"SimInp2";#N/A,#N/A,FALSE,"SimOut1";#N/A,#N/A,FALSE,"SimOut2";#N/A,#N/A,FALSE,"SimOut3";#N/A,#N/A,FALSE,"SimOut4";#N/A,#N/A,FALSE,"SimOut5"}</definedName>
    <definedName name="ппппппппппп_2" localSheetId="8" hidden="1">{#N/A,#N/A,FALSE,"SimInp1";#N/A,#N/A,FALSE,"SimInp2";#N/A,#N/A,FALSE,"SimOut1";#N/A,#N/A,FALSE,"SimOut2";#N/A,#N/A,FALSE,"SimOut3";#N/A,#N/A,FALSE,"SimOut4";#N/A,#N/A,FALSE,"SimOut5"}</definedName>
    <definedName name="ппппппппппп_2" hidden="1">{#N/A,#N/A,FALSE,"SimInp1";#N/A,#N/A,FALSE,"SimInp2";#N/A,#N/A,FALSE,"SimOut1";#N/A,#N/A,FALSE,"SimOut2";#N/A,#N/A,FALSE,"SimOut3";#N/A,#N/A,FALSE,"SimOut4";#N/A,#N/A,FALSE,"SimOut5"}</definedName>
    <definedName name="ппше" localSheetId="7" hidden="1">{#N/A,#N/A,FALSE,"Лист4"}</definedName>
    <definedName name="ппше" localSheetId="12" hidden="1">{#N/A,#N/A,FALSE,"Лист4"}</definedName>
    <definedName name="ппше" localSheetId="8" hidden="1">{#N/A,#N/A,FALSE,"Лист4"}</definedName>
    <definedName name="ппше" hidden="1">{#N/A,#N/A,FALSE,"Лист4"}</definedName>
    <definedName name="про" localSheetId="7" hidden="1">{#N/A,#N/A,FALSE,"Лист4"}</definedName>
    <definedName name="про" localSheetId="12" hidden="1">{#N/A,#N/A,FALSE,"Лист4"}</definedName>
    <definedName name="про" localSheetId="8" hidden="1">{#N/A,#N/A,FALSE,"Лист4"}</definedName>
    <definedName name="про" hidden="1">{#N/A,#N/A,FALSE,"Лист4"}</definedName>
    <definedName name="прогшлл" localSheetId="7" hidden="1">{#N/A,#N/A,FALSE,"т02бд"}</definedName>
    <definedName name="прогшлл" localSheetId="12" hidden="1">{#N/A,#N/A,FALSE,"т02бд"}</definedName>
    <definedName name="прогшлл" localSheetId="8" hidden="1">{#N/A,#N/A,FALSE,"т02бд"}</definedName>
    <definedName name="прогшлл" hidden="1">{#N/A,#N/A,FALSE,"т02бд"}</definedName>
    <definedName name="прогшлл_1" localSheetId="12" hidden="1">{#N/A,#N/A,FALSE,"т02бд"}</definedName>
    <definedName name="прогшлл_1" localSheetId="8" hidden="1">{#N/A,#N/A,FALSE,"т02бд"}</definedName>
    <definedName name="прогшлл_1" hidden="1">{#N/A,#N/A,FALSE,"т02бд"}</definedName>
    <definedName name="прогшлл_2" localSheetId="12" hidden="1">{#N/A,#N/A,FALSE,"т02бд"}</definedName>
    <definedName name="прогшлл_2" localSheetId="8" hidden="1">{#N/A,#N/A,FALSE,"т02бд"}</definedName>
    <definedName name="прогшлл_2" hidden="1">{#N/A,#N/A,FALSE,"т02бд"}</definedName>
    <definedName name="прое" localSheetId="7" hidden="1">{#N/A,#N/A,FALSE,"Лист4"}</definedName>
    <definedName name="прое" localSheetId="12" hidden="1">{#N/A,#N/A,FALSE,"Лист4"}</definedName>
    <definedName name="прое" localSheetId="8" hidden="1">{#N/A,#N/A,FALSE,"Лист4"}</definedName>
    <definedName name="прое" hidden="1">{#N/A,#N/A,FALSE,"Лист4"}</definedName>
    <definedName name="прои" localSheetId="7" hidden="1">{#N/A,#N/A,FALSE,"Лист4"}</definedName>
    <definedName name="прои" localSheetId="12" hidden="1">{#N/A,#N/A,FALSE,"Лист4"}</definedName>
    <definedName name="прои" localSheetId="8" hidden="1">{#N/A,#N/A,FALSE,"Лист4"}</definedName>
    <definedName name="прои" hidden="1">{#N/A,#N/A,FALSE,"Лист4"}</definedName>
    <definedName name="р">#REF!</definedName>
    <definedName name="рг" localSheetId="7" hidden="1">{"BOP_TAB",#N/A,FALSE,"N";"MIDTERM_TAB",#N/A,FALSE,"O";"FUND_CRED",#N/A,FALSE,"P";"DEBT_TAB1",#N/A,FALSE,"Q";"DEBT_TAB2",#N/A,FALSE,"Q";"FORFIN_TAB1",#N/A,FALSE,"R";"FORFIN_TAB2",#N/A,FALSE,"R";"BOP_ANALY",#N/A,FALSE,"U"}</definedName>
    <definedName name="рг" localSheetId="12" hidden="1">{"BOP_TAB",#N/A,FALSE,"N";"MIDTERM_TAB",#N/A,FALSE,"O";"FUND_CRED",#N/A,FALSE,"P";"DEBT_TAB1",#N/A,FALSE,"Q";"DEBT_TAB2",#N/A,FALSE,"Q";"FORFIN_TAB1",#N/A,FALSE,"R";"FORFIN_TAB2",#N/A,FALSE,"R";"BOP_ANALY",#N/A,FALSE,"U"}</definedName>
    <definedName name="рг" localSheetId="8" hidden="1">{"BOP_TAB",#N/A,FALSE,"N";"MIDTERM_TAB",#N/A,FALSE,"O";"FUND_CRED",#N/A,FALSE,"P";"DEBT_TAB1",#N/A,FALSE,"Q";"DEBT_TAB2",#N/A,FALSE,"Q";"FORFIN_TAB1",#N/A,FALSE,"R";"FORFIN_TAB2",#N/A,FALSE,"R";"BOP_ANALY",#N/A,FALSE,"U"}</definedName>
    <definedName name="рг" hidden="1">{"BOP_TAB",#N/A,FALSE,"N";"MIDTERM_TAB",#N/A,FALSE,"O";"FUND_CRED",#N/A,FALSE,"P";"DEBT_TAB1",#N/A,FALSE,"Q";"DEBT_TAB2",#N/A,FALSE,"Q";"FORFIN_TAB1",#N/A,FALSE,"R";"FORFIN_TAB2",#N/A,FALSE,"R";"BOP_ANALY",#N/A,FALSE,"U"}</definedName>
    <definedName name="рг_1" localSheetId="12" hidden="1">{"BOP_TAB",#N/A,FALSE,"N";"MIDTERM_TAB",#N/A,FALSE,"O";"FUND_CRED",#N/A,FALSE,"P";"DEBT_TAB1",#N/A,FALSE,"Q";"DEBT_TAB2",#N/A,FALSE,"Q";"FORFIN_TAB1",#N/A,FALSE,"R";"FORFIN_TAB2",#N/A,FALSE,"R";"BOP_ANALY",#N/A,FALSE,"U"}</definedName>
    <definedName name="рг_1" localSheetId="8" hidden="1">{"BOP_TAB",#N/A,FALSE,"N";"MIDTERM_TAB",#N/A,FALSE,"O";"FUND_CRED",#N/A,FALSE,"P";"DEBT_TAB1",#N/A,FALSE,"Q";"DEBT_TAB2",#N/A,FALSE,"Q";"FORFIN_TAB1",#N/A,FALSE,"R";"FORFIN_TAB2",#N/A,FALSE,"R";"BOP_ANALY",#N/A,FALSE,"U"}</definedName>
    <definedName name="рг_1" hidden="1">{"BOP_TAB",#N/A,FALSE,"N";"MIDTERM_TAB",#N/A,FALSE,"O";"FUND_CRED",#N/A,FALSE,"P";"DEBT_TAB1",#N/A,FALSE,"Q";"DEBT_TAB2",#N/A,FALSE,"Q";"FORFIN_TAB1",#N/A,FALSE,"R";"FORFIN_TAB2",#N/A,FALSE,"R";"BOP_ANALY",#N/A,FALSE,"U"}</definedName>
    <definedName name="рг_2" localSheetId="12" hidden="1">{"BOP_TAB",#N/A,FALSE,"N";"MIDTERM_TAB",#N/A,FALSE,"O";"FUND_CRED",#N/A,FALSE,"P";"DEBT_TAB1",#N/A,FALSE,"Q";"DEBT_TAB2",#N/A,FALSE,"Q";"FORFIN_TAB1",#N/A,FALSE,"R";"FORFIN_TAB2",#N/A,FALSE,"R";"BOP_ANALY",#N/A,FALSE,"U"}</definedName>
    <definedName name="рг_2" localSheetId="8" hidden="1">{"BOP_TAB",#N/A,FALSE,"N";"MIDTERM_TAB",#N/A,FALSE,"O";"FUND_CRED",#N/A,FALSE,"P";"DEBT_TAB1",#N/A,FALSE,"Q";"DEBT_TAB2",#N/A,FALSE,"Q";"FORFIN_TAB1",#N/A,FALSE,"R";"FORFIN_TAB2",#N/A,FALSE,"R";"BOP_ANALY",#N/A,FALSE,"U"}</definedName>
    <definedName name="рг_2" hidden="1">{"BOP_TAB",#N/A,FALSE,"N";"MIDTERM_TAB",#N/A,FALSE,"O";"FUND_CRED",#N/A,FALSE,"P";"DEBT_TAB1",#N/A,FALSE,"Q";"DEBT_TAB2",#N/A,FALSE,"Q";"FORFIN_TAB1",#N/A,FALSE,"R";"FORFIN_TAB2",#N/A,FALSE,"R";"BOP_ANALY",#N/A,FALSE,"U"}</definedName>
    <definedName name="_xlnm.Recorder">#REF!</definedName>
    <definedName name="рор" localSheetId="7" hidden="1">{#N/A,#N/A,FALSE,"Лист4"}</definedName>
    <definedName name="рор" localSheetId="12" hidden="1">{#N/A,#N/A,FALSE,"Лист4"}</definedName>
    <definedName name="рор" localSheetId="8" hidden="1">{#N/A,#N/A,FALSE,"Лист4"}</definedName>
    <definedName name="рор" hidden="1">{#N/A,#N/A,FALSE,"Лист4"}</definedName>
    <definedName name="роро" localSheetId="7" hidden="1">{#N/A,#N/A,FALSE,"Лист4"}</definedName>
    <definedName name="роро" localSheetId="12" hidden="1">{#N/A,#N/A,FALSE,"Лист4"}</definedName>
    <definedName name="роро" localSheetId="8" hidden="1">{#N/A,#N/A,FALSE,"Лист4"}</definedName>
    <definedName name="роро" hidden="1">{#N/A,#N/A,FALSE,"Лист4"}</definedName>
    <definedName name="росія" localSheetId="7" hidden="1">{#N/A,#N/A,FALSE,"I";#N/A,#N/A,FALSE,"J";#N/A,#N/A,FALSE,"K";#N/A,#N/A,FALSE,"L";#N/A,#N/A,FALSE,"M";#N/A,#N/A,FALSE,"N";#N/A,#N/A,FALSE,"O"}</definedName>
    <definedName name="росія" localSheetId="12" hidden="1">{#N/A,#N/A,FALSE,"I";#N/A,#N/A,FALSE,"J";#N/A,#N/A,FALSE,"K";#N/A,#N/A,FALSE,"L";#N/A,#N/A,FALSE,"M";#N/A,#N/A,FALSE,"N";#N/A,#N/A,FALSE,"O"}</definedName>
    <definedName name="росія" localSheetId="8" hidden="1">{#N/A,#N/A,FALSE,"I";#N/A,#N/A,FALSE,"J";#N/A,#N/A,FALSE,"K";#N/A,#N/A,FALSE,"L";#N/A,#N/A,FALSE,"M";#N/A,#N/A,FALSE,"N";#N/A,#N/A,FALSE,"O"}</definedName>
    <definedName name="росія" hidden="1">{#N/A,#N/A,FALSE,"I";#N/A,#N/A,FALSE,"J";#N/A,#N/A,FALSE,"K";#N/A,#N/A,FALSE,"L";#N/A,#N/A,FALSE,"M";#N/A,#N/A,FALSE,"N";#N/A,#N/A,FALSE,"O"}</definedName>
    <definedName name="росія_1" localSheetId="12" hidden="1">{#N/A,#N/A,FALSE,"I";#N/A,#N/A,FALSE,"J";#N/A,#N/A,FALSE,"K";#N/A,#N/A,FALSE,"L";#N/A,#N/A,FALSE,"M";#N/A,#N/A,FALSE,"N";#N/A,#N/A,FALSE,"O"}</definedName>
    <definedName name="росія_1" localSheetId="8" hidden="1">{#N/A,#N/A,FALSE,"I";#N/A,#N/A,FALSE,"J";#N/A,#N/A,FALSE,"K";#N/A,#N/A,FALSE,"L";#N/A,#N/A,FALSE,"M";#N/A,#N/A,FALSE,"N";#N/A,#N/A,FALSE,"O"}</definedName>
    <definedName name="росія_1" hidden="1">{#N/A,#N/A,FALSE,"I";#N/A,#N/A,FALSE,"J";#N/A,#N/A,FALSE,"K";#N/A,#N/A,FALSE,"L";#N/A,#N/A,FALSE,"M";#N/A,#N/A,FALSE,"N";#N/A,#N/A,FALSE,"O"}</definedName>
    <definedName name="росія_2" localSheetId="12" hidden="1">{#N/A,#N/A,FALSE,"I";#N/A,#N/A,FALSE,"J";#N/A,#N/A,FALSE,"K";#N/A,#N/A,FALSE,"L";#N/A,#N/A,FALSE,"M";#N/A,#N/A,FALSE,"N";#N/A,#N/A,FALSE,"O"}</definedName>
    <definedName name="росія_2" localSheetId="8" hidden="1">{#N/A,#N/A,FALSE,"I";#N/A,#N/A,FALSE,"J";#N/A,#N/A,FALSE,"K";#N/A,#N/A,FALSE,"L";#N/A,#N/A,FALSE,"M";#N/A,#N/A,FALSE,"N";#N/A,#N/A,FALSE,"O"}</definedName>
    <definedName name="росія_2" hidden="1">{#N/A,#N/A,FALSE,"I";#N/A,#N/A,FALSE,"J";#N/A,#N/A,FALSE,"K";#N/A,#N/A,FALSE,"L";#N/A,#N/A,FALSE,"M";#N/A,#N/A,FALSE,"N";#N/A,#N/A,FALSE,"O"}</definedName>
    <definedName name="ррпеак" localSheetId="26" hidden="1">{"MONA",#N/A,FALSE,"S"}</definedName>
    <definedName name="ррпеак" localSheetId="16" hidden="1">{"MONA",#N/A,FALSE,"S"}</definedName>
    <definedName name="ррпеак" localSheetId="17" hidden="1">{"MONA",#N/A,FALSE,"S"}</definedName>
    <definedName name="ррпеак" localSheetId="22" hidden="1">{"MONA",#N/A,FALSE,"S"}</definedName>
    <definedName name="ррпеак" localSheetId="10" hidden="1">{"MONA",#N/A,FALSE,"S"}</definedName>
    <definedName name="ррпеак" localSheetId="28" hidden="1">{"MONA",#N/A,FALSE,"S"}</definedName>
    <definedName name="ррпеак" localSheetId="14" hidden="1">{"MONA",#N/A,FALSE,"S"}</definedName>
    <definedName name="ррпеак" localSheetId="7" hidden="1">{"MONA",#N/A,FALSE,"S"}</definedName>
    <definedName name="ррпеак" localSheetId="12" hidden="1">{"MONA",#N/A,FALSE,"S"}</definedName>
    <definedName name="ррпеак" localSheetId="19" hidden="1">{"MONA",#N/A,FALSE,"S"}</definedName>
    <definedName name="ррпеак" localSheetId="20" hidden="1">{"MONA",#N/A,FALSE,"S"}</definedName>
    <definedName name="ррпеак" localSheetId="3" hidden="1">{"MONA",#N/A,FALSE,"S"}</definedName>
    <definedName name="ррпеак" localSheetId="8" hidden="1">{"MONA",#N/A,FALSE,"S"}</definedName>
    <definedName name="ррпеак" localSheetId="2" hidden="1">{"MONA",#N/A,FALSE,"S"}</definedName>
    <definedName name="ррпеак" hidden="1">{"MONA",#N/A,FALSE,"S"}</definedName>
    <definedName name="ррпеак_1" localSheetId="12" hidden="1">{"MONA",#N/A,FALSE,"S"}</definedName>
    <definedName name="ррпеак_1" localSheetId="8" hidden="1">{"MONA",#N/A,FALSE,"S"}</definedName>
    <definedName name="ррпеак_1" hidden="1">{"MONA",#N/A,FALSE,"S"}</definedName>
    <definedName name="ррпеак_2" localSheetId="12" hidden="1">{"MONA",#N/A,FALSE,"S"}</definedName>
    <definedName name="ррпеак_2" localSheetId="8" hidden="1">{"MONA",#N/A,FALSE,"S"}</definedName>
    <definedName name="ррпеак_2" hidden="1">{"MONA",#N/A,FALSE,"S"}</definedName>
    <definedName name="рррр" localSheetId="7" hidden="1">{#N/A,#N/A,FALSE,"Лист4"}</definedName>
    <definedName name="рррр" localSheetId="12" hidden="1">{#N/A,#N/A,FALSE,"Лист4"}</definedName>
    <definedName name="рррр" localSheetId="8" hidden="1">{#N/A,#N/A,FALSE,"Лист4"}</definedName>
    <definedName name="рррр" hidden="1">{#N/A,#N/A,FALSE,"Лист4"}</definedName>
    <definedName name="рррррр" localSheetId="26" hidden="1">{#N/A,#N/A,FALSE,"SimInp1";#N/A,#N/A,FALSE,"SimInp2";#N/A,#N/A,FALSE,"SimOut1";#N/A,#N/A,FALSE,"SimOut2";#N/A,#N/A,FALSE,"SimOut3";#N/A,#N/A,FALSE,"SimOut4";#N/A,#N/A,FALSE,"SimOut5"}</definedName>
    <definedName name="рррррр" localSheetId="16" hidden="1">{#N/A,#N/A,FALSE,"SimInp1";#N/A,#N/A,FALSE,"SimInp2";#N/A,#N/A,FALSE,"SimOut1";#N/A,#N/A,FALSE,"SimOut2";#N/A,#N/A,FALSE,"SimOut3";#N/A,#N/A,FALSE,"SimOut4";#N/A,#N/A,FALSE,"SimOut5"}</definedName>
    <definedName name="рррррр" localSheetId="17" hidden="1">{#N/A,#N/A,FALSE,"SimInp1";#N/A,#N/A,FALSE,"SimInp2";#N/A,#N/A,FALSE,"SimOut1";#N/A,#N/A,FALSE,"SimOut2";#N/A,#N/A,FALSE,"SimOut3";#N/A,#N/A,FALSE,"SimOut4";#N/A,#N/A,FALSE,"SimOut5"}</definedName>
    <definedName name="рррррр" localSheetId="22" hidden="1">{#N/A,#N/A,FALSE,"SimInp1";#N/A,#N/A,FALSE,"SimInp2";#N/A,#N/A,FALSE,"SimOut1";#N/A,#N/A,FALSE,"SimOut2";#N/A,#N/A,FALSE,"SimOut3";#N/A,#N/A,FALSE,"SimOut4";#N/A,#N/A,FALSE,"SimOut5"}</definedName>
    <definedName name="рррррр" localSheetId="10" hidden="1">{#N/A,#N/A,FALSE,"SimInp1";#N/A,#N/A,FALSE,"SimInp2";#N/A,#N/A,FALSE,"SimOut1";#N/A,#N/A,FALSE,"SimOut2";#N/A,#N/A,FALSE,"SimOut3";#N/A,#N/A,FALSE,"SimOut4";#N/A,#N/A,FALSE,"SimOut5"}</definedName>
    <definedName name="рррррр" localSheetId="28" hidden="1">{#N/A,#N/A,FALSE,"SimInp1";#N/A,#N/A,FALSE,"SimInp2";#N/A,#N/A,FALSE,"SimOut1";#N/A,#N/A,FALSE,"SimOut2";#N/A,#N/A,FALSE,"SimOut3";#N/A,#N/A,FALSE,"SimOut4";#N/A,#N/A,FALSE,"SimOut5"}</definedName>
    <definedName name="рррррр" localSheetId="14" hidden="1">{#N/A,#N/A,FALSE,"SimInp1";#N/A,#N/A,FALSE,"SimInp2";#N/A,#N/A,FALSE,"SimOut1";#N/A,#N/A,FALSE,"SimOut2";#N/A,#N/A,FALSE,"SimOut3";#N/A,#N/A,FALSE,"SimOut4";#N/A,#N/A,FALSE,"SimOut5"}</definedName>
    <definedName name="рррррр" localSheetId="7" hidden="1">{#N/A,#N/A,FALSE,"SimInp1";#N/A,#N/A,FALSE,"SimInp2";#N/A,#N/A,FALSE,"SimOut1";#N/A,#N/A,FALSE,"SimOut2";#N/A,#N/A,FALSE,"SimOut3";#N/A,#N/A,FALSE,"SimOut4";#N/A,#N/A,FALSE,"SimOut5"}</definedName>
    <definedName name="рррррр" localSheetId="12" hidden="1">{#N/A,#N/A,FALSE,"SimInp1";#N/A,#N/A,FALSE,"SimInp2";#N/A,#N/A,FALSE,"SimOut1";#N/A,#N/A,FALSE,"SimOut2";#N/A,#N/A,FALSE,"SimOut3";#N/A,#N/A,FALSE,"SimOut4";#N/A,#N/A,FALSE,"SimOut5"}</definedName>
    <definedName name="рррррр" localSheetId="19" hidden="1">{#N/A,#N/A,FALSE,"SimInp1";#N/A,#N/A,FALSE,"SimInp2";#N/A,#N/A,FALSE,"SimOut1";#N/A,#N/A,FALSE,"SimOut2";#N/A,#N/A,FALSE,"SimOut3";#N/A,#N/A,FALSE,"SimOut4";#N/A,#N/A,FALSE,"SimOut5"}</definedName>
    <definedName name="рррррр" localSheetId="20" hidden="1">{#N/A,#N/A,FALSE,"SimInp1";#N/A,#N/A,FALSE,"SimInp2";#N/A,#N/A,FALSE,"SimOut1";#N/A,#N/A,FALSE,"SimOut2";#N/A,#N/A,FALSE,"SimOut3";#N/A,#N/A,FALSE,"SimOut4";#N/A,#N/A,FALSE,"SimOut5"}</definedName>
    <definedName name="рррррр" localSheetId="3" hidden="1">{#N/A,#N/A,FALSE,"SimInp1";#N/A,#N/A,FALSE,"SimInp2";#N/A,#N/A,FALSE,"SimOut1";#N/A,#N/A,FALSE,"SimOut2";#N/A,#N/A,FALSE,"SimOut3";#N/A,#N/A,FALSE,"SimOut4";#N/A,#N/A,FALSE,"SimOut5"}</definedName>
    <definedName name="рррррр" localSheetId="8" hidden="1">{#N/A,#N/A,FALSE,"SimInp1";#N/A,#N/A,FALSE,"SimInp2";#N/A,#N/A,FALSE,"SimOut1";#N/A,#N/A,FALSE,"SimOut2";#N/A,#N/A,FALSE,"SimOut3";#N/A,#N/A,FALSE,"SimOut4";#N/A,#N/A,FALSE,"SimOut5"}</definedName>
    <definedName name="рррррр" localSheetId="2" hidden="1">{#N/A,#N/A,FALSE,"SimInp1";#N/A,#N/A,FALSE,"SimInp2";#N/A,#N/A,FALSE,"SimOut1";#N/A,#N/A,FALSE,"SimOut2";#N/A,#N/A,FALSE,"SimOut3";#N/A,#N/A,FALSE,"SimOut4";#N/A,#N/A,FALSE,"SimOut5"}</definedName>
    <definedName name="рррррр" hidden="1">{#N/A,#N/A,FALSE,"SimInp1";#N/A,#N/A,FALSE,"SimInp2";#N/A,#N/A,FALSE,"SimOut1";#N/A,#N/A,FALSE,"SimOut2";#N/A,#N/A,FALSE,"SimOut3";#N/A,#N/A,FALSE,"SimOut4";#N/A,#N/A,FALSE,"SimOut5"}</definedName>
    <definedName name="рррррр_1" localSheetId="12" hidden="1">{#N/A,#N/A,FALSE,"SimInp1";#N/A,#N/A,FALSE,"SimInp2";#N/A,#N/A,FALSE,"SimOut1";#N/A,#N/A,FALSE,"SimOut2";#N/A,#N/A,FALSE,"SimOut3";#N/A,#N/A,FALSE,"SimOut4";#N/A,#N/A,FALSE,"SimOut5"}</definedName>
    <definedName name="рррррр_1" localSheetId="8" hidden="1">{#N/A,#N/A,FALSE,"SimInp1";#N/A,#N/A,FALSE,"SimInp2";#N/A,#N/A,FALSE,"SimOut1";#N/A,#N/A,FALSE,"SimOut2";#N/A,#N/A,FALSE,"SimOut3";#N/A,#N/A,FALSE,"SimOut4";#N/A,#N/A,FALSE,"SimOut5"}</definedName>
    <definedName name="рррррр_1" hidden="1">{#N/A,#N/A,FALSE,"SimInp1";#N/A,#N/A,FALSE,"SimInp2";#N/A,#N/A,FALSE,"SimOut1";#N/A,#N/A,FALSE,"SimOut2";#N/A,#N/A,FALSE,"SimOut3";#N/A,#N/A,FALSE,"SimOut4";#N/A,#N/A,FALSE,"SimOut5"}</definedName>
    <definedName name="рррррр_2" localSheetId="12" hidden="1">{#N/A,#N/A,FALSE,"SimInp1";#N/A,#N/A,FALSE,"SimInp2";#N/A,#N/A,FALSE,"SimOut1";#N/A,#N/A,FALSE,"SimOut2";#N/A,#N/A,FALSE,"SimOut3";#N/A,#N/A,FALSE,"SimOut4";#N/A,#N/A,FALSE,"SimOut5"}</definedName>
    <definedName name="рррррр_2" localSheetId="8" hidden="1">{#N/A,#N/A,FALSE,"SimInp1";#N/A,#N/A,FALSE,"SimInp2";#N/A,#N/A,FALSE,"SimOut1";#N/A,#N/A,FALSE,"SimOut2";#N/A,#N/A,FALSE,"SimOut3";#N/A,#N/A,FALSE,"SimOut4";#N/A,#N/A,FALSE,"SimOut5"}</definedName>
    <definedName name="рррррр_2" hidden="1">{#N/A,#N/A,FALSE,"SimInp1";#N/A,#N/A,FALSE,"SimInp2";#N/A,#N/A,FALSE,"SimOut1";#N/A,#N/A,FALSE,"SimOut2";#N/A,#N/A,FALSE,"SimOut3";#N/A,#N/A,FALSE,"SimOut4";#N/A,#N/A,FALSE,"SimOut5"}</definedName>
    <definedName name="РРРРРРРРРРРРРРРРРРРРРРРРРРР" localSheetId="7" hidden="1">{"MONA",#N/A,FALSE,"S"}</definedName>
    <definedName name="РРРРРРРРРРРРРРРРРРРРРРРРРРР" localSheetId="12" hidden="1">{"MONA",#N/A,FALSE,"S"}</definedName>
    <definedName name="РРРРРРРРРРРРРРРРРРРРРРРРРРР" localSheetId="8" hidden="1">{"MONA",#N/A,FALSE,"S"}</definedName>
    <definedName name="РРРРРРРРРРРРРРРРРРРРРРРРРРР" hidden="1">{"MONA",#N/A,FALSE,"S"}</definedName>
    <definedName name="РРРРРРРРРРРРРРРРРРРРРРРРРРР_1" localSheetId="12" hidden="1">{"MONA",#N/A,FALSE,"S"}</definedName>
    <definedName name="РРРРРРРРРРРРРРРРРРРРРРРРРРР_1" localSheetId="8" hidden="1">{"MONA",#N/A,FALSE,"S"}</definedName>
    <definedName name="РРРРРРРРРРРРРРРРРРРРРРРРРРР_1" hidden="1">{"MONA",#N/A,FALSE,"S"}</definedName>
    <definedName name="РРРРРРРРРРРРРРРРРРРРРРРРРРР_2" localSheetId="12" hidden="1">{"MONA",#N/A,FALSE,"S"}</definedName>
    <definedName name="РРРРРРРРРРРРРРРРРРРРРРРРРРР_2" localSheetId="8" hidden="1">{"MONA",#N/A,FALSE,"S"}</definedName>
    <definedName name="РРРРРРРРРРРРРРРРРРРРРРРРРРР_2" hidden="1">{"MONA",#N/A,FALSE,"S"}</definedName>
    <definedName name="СВОД" localSheetId="12" hidden="1">{"'Всего'!$A$1:$F$19"}</definedName>
    <definedName name="СВОД" hidden="1">{"'Всего'!$A$1:$F$19"}</definedName>
    <definedName name="сми" localSheetId="7" hidden="1">{#N/A,#N/A,FALSE,"Лист4"}</definedName>
    <definedName name="сми" localSheetId="12" hidden="1">{#N/A,#N/A,FALSE,"Лист4"}</definedName>
    <definedName name="сми" localSheetId="8" hidden="1">{#N/A,#N/A,FALSE,"Лист4"}</definedName>
    <definedName name="сми" hidden="1">{#N/A,#N/A,FALSE,"Лист4"}</definedName>
    <definedName name="Список">'[23]146024'!$A$8:$A$88</definedName>
    <definedName name="сс" localSheetId="7" hidden="1">{#N/A,#N/A,FALSE,"Лист4"}</definedName>
    <definedName name="сс" localSheetId="12" hidden="1">{#N/A,#N/A,FALSE,"Лист4"}</definedName>
    <definedName name="сс" localSheetId="8" hidden="1">{#N/A,#N/A,FALSE,"Лист4"}</definedName>
    <definedName name="сс" hidden="1">{#N/A,#N/A,FALSE,"Лист4"}</definedName>
    <definedName name="стельм." localSheetId="12" hidden="1">{#N/A,#N/A,FALSE,"т17-1банки (2)"}</definedName>
    <definedName name="стельм." localSheetId="8" hidden="1">{#N/A,#N/A,FALSE,"т17-1банки (2)"}</definedName>
    <definedName name="стельм." hidden="1">{#N/A,#N/A,FALSE,"т17-1банки (2)"}</definedName>
    <definedName name="сум" localSheetId="7" hidden="1">{#N/A,#N/A,FALSE,"Лист4"}</definedName>
    <definedName name="сум" localSheetId="12" hidden="1">{#N/A,#N/A,FALSE,"Лист4"}</definedName>
    <definedName name="сум" localSheetId="8" hidden="1">{#N/A,#N/A,FALSE,"Лист4"}</definedName>
    <definedName name="сум" hidden="1">{#N/A,#N/A,FALSE,"Лист4"}</definedName>
    <definedName name="Суми" localSheetId="7" hidden="1">{#N/A,#N/A,FALSE,"Лист4"}</definedName>
    <definedName name="Суми" localSheetId="12" hidden="1">{#N/A,#N/A,FALSE,"Лист4"}</definedName>
    <definedName name="Суми" localSheetId="8" hidden="1">{#N/A,#N/A,FALSE,"Лист4"}</definedName>
    <definedName name="Суми" hidden="1">{#N/A,#N/A,FALSE,"Лист4"}</definedName>
    <definedName name="счу" localSheetId="7" hidden="1">{#N/A,#N/A,FALSE,"Лист4"}</definedName>
    <definedName name="счу" localSheetId="12" hidden="1">{#N/A,#N/A,FALSE,"Лист4"}</definedName>
    <definedName name="счу" localSheetId="8" hidden="1">{#N/A,#N/A,FALSE,"Лист4"}</definedName>
    <definedName name="счу" hidden="1">{#N/A,#N/A,FALSE,"Лист4"}</definedName>
    <definedName name="счя" localSheetId="7" hidden="1">{#N/A,#N/A,FALSE,"Лист4"}</definedName>
    <definedName name="счя" localSheetId="12" hidden="1">{#N/A,#N/A,FALSE,"Лист4"}</definedName>
    <definedName name="счя" localSheetId="8" hidden="1">{#N/A,#N/A,FALSE,"Лист4"}</definedName>
    <definedName name="счя" hidden="1">{#N/A,#N/A,FALSE,"Лист4"}</definedName>
    <definedName name="т01">#REF!</definedName>
    <definedName name="т05" localSheetId="10" hidden="1">{#N/A,#N/A,FALSE,"т04"}</definedName>
    <definedName name="т05" localSheetId="7" hidden="1">{#N/A,#N/A,FALSE,"т04"}</definedName>
    <definedName name="т05" localSheetId="12" hidden="1">{#N/A,#N/A,FALSE,"т04"}</definedName>
    <definedName name="т05" localSheetId="20" hidden="1">{#N/A,#N/A,FALSE,"т04"}</definedName>
    <definedName name="т05" localSheetId="3" hidden="1">{#N/A,#N/A,FALSE,"т04"}</definedName>
    <definedName name="т05" localSheetId="8" hidden="1">{#N/A,#N/A,FALSE,"т04"}</definedName>
    <definedName name="т05" localSheetId="2" hidden="1">{#N/A,#N/A,FALSE,"т04"}</definedName>
    <definedName name="т05" hidden="1">{#N/A,#N/A,FALSE,"т04"}</definedName>
    <definedName name="т05_2" localSheetId="12" hidden="1">{#N/A,#N/A,FALSE,"т04"}</definedName>
    <definedName name="т05_2" localSheetId="8" hidden="1">{#N/A,#N/A,FALSE,"т04"}</definedName>
    <definedName name="т05_2" hidden="1">{#N/A,#N/A,FALSE,"т04"}</definedName>
    <definedName name="т05_2_1" localSheetId="12" hidden="1">{#N/A,#N/A,FALSE,"т04"}</definedName>
    <definedName name="т05_2_1" localSheetId="8" hidden="1">{#N/A,#N/A,FALSE,"т04"}</definedName>
    <definedName name="т05_2_1" hidden="1">{#N/A,#N/A,FALSE,"т04"}</definedName>
    <definedName name="т06">#REF!</definedName>
    <definedName name="т07КБ98">'[19]т07(98)'!$A$1</definedName>
    <definedName name="т09СЕ98">'[28]т09(98) по сек-рам ек-ки'!$A$1</definedName>
    <definedName name="т15">[29]т15!$A$1</definedName>
    <definedName name="т17.1">'[30]т17-1(шаблон)'!$A$1:$H$1</definedName>
    <definedName name="т17.1.2001">'[30]т17-1(шаблон)'!$A$1:$H$1</definedName>
    <definedName name="т17.1обл2001">'[30]т17-1(шаблон)'!$A$1:$H$1</definedName>
    <definedName name="т17.2" localSheetId="12">#REF!</definedName>
    <definedName name="т17.2">#REF!</definedName>
    <definedName name="т17.2.2001">'[31]т17-2 '!$A$1</definedName>
    <definedName name="т17.3">'[31]т17-3'!$A$1:$L$2</definedName>
    <definedName name="т17.3.2001">'[31]т17-2 '!$A$1</definedName>
    <definedName name="т17.4" localSheetId="12">#REF!</definedName>
    <definedName name="т17.4">#REF!</definedName>
    <definedName name="т17.4.1999" localSheetId="12">#REF!</definedName>
    <definedName name="т17.4.1999">#REF!</definedName>
    <definedName name="т17.4.2001" localSheetId="12">#REF!</definedName>
    <definedName name="т17.4.2001">#REF!</definedName>
    <definedName name="т17.5">#REF!</definedName>
    <definedName name="т17.5.2001">#REF!</definedName>
    <definedName name="т17.7">#REF!</definedName>
    <definedName name="т17мб">'[32]т17мб(шаблон)'!$A$1</definedName>
    <definedName name="т841" localSheetId="10" hidden="1">{#N/A,#N/A,FALSE,"т02бд"}</definedName>
    <definedName name="т841" localSheetId="7" hidden="1">{#N/A,#N/A,FALSE,"т02бд"}</definedName>
    <definedName name="т841" localSheetId="12" hidden="1">{#N/A,#N/A,FALSE,"т02бд"}</definedName>
    <definedName name="т841" localSheetId="20" hidden="1">{#N/A,#N/A,FALSE,"т02бд"}</definedName>
    <definedName name="т841" localSheetId="3" hidden="1">{#N/A,#N/A,FALSE,"т02бд"}</definedName>
    <definedName name="т841" localSheetId="8" hidden="1">{#N/A,#N/A,FALSE,"т02бд"}</definedName>
    <definedName name="т841" localSheetId="2" hidden="1">{#N/A,#N/A,FALSE,"т02бд"}</definedName>
    <definedName name="т841" hidden="1">{#N/A,#N/A,FALSE,"т02бд"}</definedName>
    <definedName name="там06_2010" localSheetId="26" hidden="1">{"BOP_TAB",#N/A,FALSE,"N";"MIDTERM_TAB",#N/A,FALSE,"O";"FUND_CRED",#N/A,FALSE,"P";"DEBT_TAB1",#N/A,FALSE,"Q";"DEBT_TAB2",#N/A,FALSE,"Q";"FORFIN_TAB1",#N/A,FALSE,"R";"FORFIN_TAB2",#N/A,FALSE,"R";"BOP_ANALY",#N/A,FALSE,"U"}</definedName>
    <definedName name="там06_2010" localSheetId="16" hidden="1">{"BOP_TAB",#N/A,FALSE,"N";"MIDTERM_TAB",#N/A,FALSE,"O";"FUND_CRED",#N/A,FALSE,"P";"DEBT_TAB1",#N/A,FALSE,"Q";"DEBT_TAB2",#N/A,FALSE,"Q";"FORFIN_TAB1",#N/A,FALSE,"R";"FORFIN_TAB2",#N/A,FALSE,"R";"BOP_ANALY",#N/A,FALSE,"U"}</definedName>
    <definedName name="там06_2010" localSheetId="17" hidden="1">{"BOP_TAB",#N/A,FALSE,"N";"MIDTERM_TAB",#N/A,FALSE,"O";"FUND_CRED",#N/A,FALSE,"P";"DEBT_TAB1",#N/A,FALSE,"Q";"DEBT_TAB2",#N/A,FALSE,"Q";"FORFIN_TAB1",#N/A,FALSE,"R";"FORFIN_TAB2",#N/A,FALSE,"R";"BOP_ANALY",#N/A,FALSE,"U"}</definedName>
    <definedName name="там06_2010" localSheetId="22" hidden="1">{"BOP_TAB",#N/A,FALSE,"N";"MIDTERM_TAB",#N/A,FALSE,"O";"FUND_CRED",#N/A,FALSE,"P";"DEBT_TAB1",#N/A,FALSE,"Q";"DEBT_TAB2",#N/A,FALSE,"Q";"FORFIN_TAB1",#N/A,FALSE,"R";"FORFIN_TAB2",#N/A,FALSE,"R";"BOP_ANALY",#N/A,FALSE,"U"}</definedName>
    <definedName name="там06_2010" localSheetId="10" hidden="1">{"BOP_TAB",#N/A,FALSE,"N";"MIDTERM_TAB",#N/A,FALSE,"O";"FUND_CRED",#N/A,FALSE,"P";"DEBT_TAB1",#N/A,FALSE,"Q";"DEBT_TAB2",#N/A,FALSE,"Q";"FORFIN_TAB1",#N/A,FALSE,"R";"FORFIN_TAB2",#N/A,FALSE,"R";"BOP_ANALY",#N/A,FALSE,"U"}</definedName>
    <definedName name="там06_2010" localSheetId="28" hidden="1">{"BOP_TAB",#N/A,FALSE,"N";"MIDTERM_TAB",#N/A,FALSE,"O";"FUND_CRED",#N/A,FALSE,"P";"DEBT_TAB1",#N/A,FALSE,"Q";"DEBT_TAB2",#N/A,FALSE,"Q";"FORFIN_TAB1",#N/A,FALSE,"R";"FORFIN_TAB2",#N/A,FALSE,"R";"BOP_ANALY",#N/A,FALSE,"U"}</definedName>
    <definedName name="там06_2010" localSheetId="14" hidden="1">{"BOP_TAB",#N/A,FALSE,"N";"MIDTERM_TAB",#N/A,FALSE,"O";"FUND_CRED",#N/A,FALSE,"P";"DEBT_TAB1",#N/A,FALSE,"Q";"DEBT_TAB2",#N/A,FALSE,"Q";"FORFIN_TAB1",#N/A,FALSE,"R";"FORFIN_TAB2",#N/A,FALSE,"R";"BOP_ANALY",#N/A,FALSE,"U"}</definedName>
    <definedName name="там06_2010" localSheetId="7" hidden="1">{"BOP_TAB",#N/A,FALSE,"N";"MIDTERM_TAB",#N/A,FALSE,"O";"FUND_CRED",#N/A,FALSE,"P";"DEBT_TAB1",#N/A,FALSE,"Q";"DEBT_TAB2",#N/A,FALSE,"Q";"FORFIN_TAB1",#N/A,FALSE,"R";"FORFIN_TAB2",#N/A,FALSE,"R";"BOP_ANALY",#N/A,FALSE,"U"}</definedName>
    <definedName name="там06_2010" localSheetId="12" hidden="1">{"BOP_TAB",#N/A,FALSE,"N";"MIDTERM_TAB",#N/A,FALSE,"O";"FUND_CRED",#N/A,FALSE,"P";"DEBT_TAB1",#N/A,FALSE,"Q";"DEBT_TAB2",#N/A,FALSE,"Q";"FORFIN_TAB1",#N/A,FALSE,"R";"FORFIN_TAB2",#N/A,FALSE,"R";"BOP_ANALY",#N/A,FALSE,"U"}</definedName>
    <definedName name="там06_2010" localSheetId="19" hidden="1">{"BOP_TAB",#N/A,FALSE,"N";"MIDTERM_TAB",#N/A,FALSE,"O";"FUND_CRED",#N/A,FALSE,"P";"DEBT_TAB1",#N/A,FALSE,"Q";"DEBT_TAB2",#N/A,FALSE,"Q";"FORFIN_TAB1",#N/A,FALSE,"R";"FORFIN_TAB2",#N/A,FALSE,"R";"BOP_ANALY",#N/A,FALSE,"U"}</definedName>
    <definedName name="там06_2010" localSheetId="20" hidden="1">{"BOP_TAB",#N/A,FALSE,"N";"MIDTERM_TAB",#N/A,FALSE,"O";"FUND_CRED",#N/A,FALSE,"P";"DEBT_TAB1",#N/A,FALSE,"Q";"DEBT_TAB2",#N/A,FALSE,"Q";"FORFIN_TAB1",#N/A,FALSE,"R";"FORFIN_TAB2",#N/A,FALSE,"R";"BOP_ANALY",#N/A,FALSE,"U"}</definedName>
    <definedName name="там06_2010" localSheetId="3" hidden="1">{"BOP_TAB",#N/A,FALSE,"N";"MIDTERM_TAB",#N/A,FALSE,"O";"FUND_CRED",#N/A,FALSE,"P";"DEBT_TAB1",#N/A,FALSE,"Q";"DEBT_TAB2",#N/A,FALSE,"Q";"FORFIN_TAB1",#N/A,FALSE,"R";"FORFIN_TAB2",#N/A,FALSE,"R";"BOP_ANALY",#N/A,FALSE,"U"}</definedName>
    <definedName name="там06_2010" localSheetId="8" hidden="1">{"BOP_TAB",#N/A,FALSE,"N";"MIDTERM_TAB",#N/A,FALSE,"O";"FUND_CRED",#N/A,FALSE,"P";"DEBT_TAB1",#N/A,FALSE,"Q";"DEBT_TAB2",#N/A,FALSE,"Q";"FORFIN_TAB1",#N/A,FALSE,"R";"FORFIN_TAB2",#N/A,FALSE,"R";"BOP_ANALY",#N/A,FALSE,"U"}</definedName>
    <definedName name="там06_2010" localSheetId="2" hidden="1">{"BOP_TAB",#N/A,FALSE,"N";"MIDTERM_TAB",#N/A,FALSE,"O";"FUND_CRED",#N/A,FALSE,"P";"DEBT_TAB1",#N/A,FALSE,"Q";"DEBT_TAB2",#N/A,FALSE,"Q";"FORFIN_TAB1",#N/A,FALSE,"R";"FORFIN_TAB2",#N/A,FALSE,"R";"BOP_ANALY",#N/A,FALSE,"U"}</definedName>
    <definedName name="там06_2010" hidden="1">{"BOP_TAB",#N/A,FALSE,"N";"MIDTERM_TAB",#N/A,FALSE,"O";"FUND_CRED",#N/A,FALSE,"P";"DEBT_TAB1",#N/A,FALSE,"Q";"DEBT_TAB2",#N/A,FALSE,"Q";"FORFIN_TAB1",#N/A,FALSE,"R";"FORFIN_TAB2",#N/A,FALSE,"R";"BOP_ANALY",#N/A,FALSE,"U"}</definedName>
    <definedName name="там06_2010_1" localSheetId="12" hidden="1">{"BOP_TAB",#N/A,FALSE,"N";"MIDTERM_TAB",#N/A,FALSE,"O";"FUND_CRED",#N/A,FALSE,"P";"DEBT_TAB1",#N/A,FALSE,"Q";"DEBT_TAB2",#N/A,FALSE,"Q";"FORFIN_TAB1",#N/A,FALSE,"R";"FORFIN_TAB2",#N/A,FALSE,"R";"BOP_ANALY",#N/A,FALSE,"U"}</definedName>
    <definedName name="там06_2010_1" localSheetId="8" hidden="1">{"BOP_TAB",#N/A,FALSE,"N";"MIDTERM_TAB",#N/A,FALSE,"O";"FUND_CRED",#N/A,FALSE,"P";"DEBT_TAB1",#N/A,FALSE,"Q";"DEBT_TAB2",#N/A,FALSE,"Q";"FORFIN_TAB1",#N/A,FALSE,"R";"FORFIN_TAB2",#N/A,FALSE,"R";"BOP_ANALY",#N/A,FALSE,"U"}</definedName>
    <definedName name="там06_2010_1" hidden="1">{"BOP_TAB",#N/A,FALSE,"N";"MIDTERM_TAB",#N/A,FALSE,"O";"FUND_CRED",#N/A,FALSE,"P";"DEBT_TAB1",#N/A,FALSE,"Q";"DEBT_TAB2",#N/A,FALSE,"Q";"FORFIN_TAB1",#N/A,FALSE,"R";"FORFIN_TAB2",#N/A,FALSE,"R";"BOP_ANALY",#N/A,FALSE,"U"}</definedName>
    <definedName name="там06_2010_2" localSheetId="12" hidden="1">{"BOP_TAB",#N/A,FALSE,"N";"MIDTERM_TAB",#N/A,FALSE,"O";"FUND_CRED",#N/A,FALSE,"P";"DEBT_TAB1",#N/A,FALSE,"Q";"DEBT_TAB2",#N/A,FALSE,"Q";"FORFIN_TAB1",#N/A,FALSE,"R";"FORFIN_TAB2",#N/A,FALSE,"R";"BOP_ANALY",#N/A,FALSE,"U"}</definedName>
    <definedName name="там06_2010_2" localSheetId="8" hidden="1">{"BOP_TAB",#N/A,FALSE,"N";"MIDTERM_TAB",#N/A,FALSE,"O";"FUND_CRED",#N/A,FALSE,"P";"DEBT_TAB1",#N/A,FALSE,"Q";"DEBT_TAB2",#N/A,FALSE,"Q";"FORFIN_TAB1",#N/A,FALSE,"R";"FORFIN_TAB2",#N/A,FALSE,"R";"BOP_ANALY",#N/A,FALSE,"U"}</definedName>
    <definedName name="там06_2010_2" hidden="1">{"BOP_TAB",#N/A,FALSE,"N";"MIDTERM_TAB",#N/A,FALSE,"O";"FUND_CRED",#N/A,FALSE,"P";"DEBT_TAB1",#N/A,FALSE,"Q";"DEBT_TAB2",#N/A,FALSE,"Q";"FORFIN_TAB1",#N/A,FALSE,"R";"FORFIN_TAB2",#N/A,FALSE,"R";"BOP_ANALY",#N/A,FALSE,"U"}</definedName>
    <definedName name="тогн" localSheetId="7" hidden="1">{#N/A,#N/A,FALSE,"Лист4"}</definedName>
    <definedName name="тогн" localSheetId="12" hidden="1">{#N/A,#N/A,FALSE,"Лист4"}</definedName>
    <definedName name="тогн" localSheetId="8" hidden="1">{#N/A,#N/A,FALSE,"Лист4"}</definedName>
    <definedName name="тогн" hidden="1">{#N/A,#N/A,FALSE,"Лист4"}</definedName>
    <definedName name="трн" localSheetId="7" hidden="1">{#N/A,#N/A,FALSE,"Лист4"}</definedName>
    <definedName name="трн" localSheetId="12" hidden="1">{#N/A,#N/A,FALSE,"Лист4"}</definedName>
    <definedName name="трн" localSheetId="8" hidden="1">{#N/A,#N/A,FALSE,"Лист4"}</definedName>
    <definedName name="трн" hidden="1">{#N/A,#N/A,FALSE,"Лист4"}</definedName>
    <definedName name="тт" localSheetId="10" hidden="1">{#N/A,#N/A,FALSE,"т04"}</definedName>
    <definedName name="тт" localSheetId="7" hidden="1">{#N/A,#N/A,FALSE,"т04"}</definedName>
    <definedName name="тт" localSheetId="12" hidden="1">{#N/A,#N/A,FALSE,"т04"}</definedName>
    <definedName name="тт" localSheetId="20" hidden="1">{#N/A,#N/A,FALSE,"т04"}</definedName>
    <definedName name="тт" localSheetId="3" hidden="1">{#N/A,#N/A,FALSE,"т04"}</definedName>
    <definedName name="тт" localSheetId="8" hidden="1">{#N/A,#N/A,FALSE,"т04"}</definedName>
    <definedName name="тт" localSheetId="2" hidden="1">{#N/A,#N/A,FALSE,"т04"}</definedName>
    <definedName name="тт" hidden="1">{#N/A,#N/A,FALSE,"т04"}</definedName>
    <definedName name="ттт" localSheetId="7" hidden="1">{"BOP_TAB",#N/A,FALSE,"N";"MIDTERM_TAB",#N/A,FALSE,"O";"FUND_CRED",#N/A,FALSE,"P";"DEBT_TAB1",#N/A,FALSE,"Q";"DEBT_TAB2",#N/A,FALSE,"Q";"FORFIN_TAB1",#N/A,FALSE,"R";"FORFIN_TAB2",#N/A,FALSE,"R";"BOP_ANALY",#N/A,FALSE,"U"}</definedName>
    <definedName name="ттт" localSheetId="12" hidden="1">{#N/A,#N/A,FALSE,"Лист4"}</definedName>
    <definedName name="ттт" localSheetId="8" hidden="1">{"BOP_TAB",#N/A,FALSE,"N";"MIDTERM_TAB",#N/A,FALSE,"O";"FUND_CRED",#N/A,FALSE,"P";"DEBT_TAB1",#N/A,FALSE,"Q";"DEBT_TAB2",#N/A,FALSE,"Q";"FORFIN_TAB1",#N/A,FALSE,"R";"FORFIN_TAB2",#N/A,FALSE,"R";"BOP_ANALY",#N/A,FALSE,"U"}</definedName>
    <definedName name="ттт" hidden="1">{#N/A,#N/A,FALSE,"Лист4"}</definedName>
    <definedName name="ть" localSheetId="7" hidden="1">{#N/A,#N/A,FALSE,"Лист4"}</definedName>
    <definedName name="ть" localSheetId="12" hidden="1">{#N/A,#N/A,FALSE,"Лист4"}</definedName>
    <definedName name="ть" localSheetId="8" hidden="1">{#N/A,#N/A,FALSE,"Лист4"}</definedName>
    <definedName name="ть" hidden="1">{#N/A,#N/A,FALSE,"Лист4"}</definedName>
    <definedName name="у">#REF!</definedName>
    <definedName name="уа" localSheetId="7" hidden="1">{#N/A,#N/A,FALSE,"Лист4"}</definedName>
    <definedName name="уа" localSheetId="12" hidden="1">{#N/A,#N/A,FALSE,"Лист4"}</definedName>
    <definedName name="уа" localSheetId="8" hidden="1">{#N/A,#N/A,FALSE,"Лист4"}</definedName>
    <definedName name="уа" hidden="1">{#N/A,#N/A,FALSE,"Лист4"}</definedName>
    <definedName name="увке" localSheetId="7" hidden="1">{#N/A,#N/A,FALSE,"Лист4"}</definedName>
    <definedName name="увке" localSheetId="12" hidden="1">{#N/A,#N/A,FALSE,"Лист4"}</definedName>
    <definedName name="увке" localSheetId="8" hidden="1">{#N/A,#N/A,FALSE,"Лист4"}</definedName>
    <definedName name="увке" hidden="1">{#N/A,#N/A,FALSE,"Лист4"}</definedName>
    <definedName name="уеунукнун" localSheetId="7" hidden="1">{#N/A,#N/A,FALSE,"Лист4"}</definedName>
    <definedName name="уеунукнун" localSheetId="12" hidden="1">{#N/A,#N/A,FALSE,"Лист4"}</definedName>
    <definedName name="уеунукнун" localSheetId="8" hidden="1">{#N/A,#N/A,FALSE,"Лист4"}</definedName>
    <definedName name="уеунукнун" hidden="1">{#N/A,#N/A,FALSE,"Лист4"}</definedName>
    <definedName name="уке" localSheetId="7" hidden="1">{#N/A,#N/A,FALSE,"Лист4"}</definedName>
    <definedName name="уке" localSheetId="12" hidden="1">{#N/A,#N/A,FALSE,"Лист4"}</definedName>
    <definedName name="уке" localSheetId="8" hidden="1">{#N/A,#N/A,FALSE,"Лист4"}</definedName>
    <definedName name="уке" hidden="1">{#N/A,#N/A,FALSE,"Лист4"}</definedName>
    <definedName name="укй" localSheetId="7" hidden="1">{#N/A,#N/A,FALSE,"Лист4"}</definedName>
    <definedName name="укй" localSheetId="12" hidden="1">{#N/A,#N/A,FALSE,"Лист4"}</definedName>
    <definedName name="укй" localSheetId="8" hidden="1">{#N/A,#N/A,FALSE,"Лист4"}</definedName>
    <definedName name="укй" hidden="1">{#N/A,#N/A,FALSE,"Лист4"}</definedName>
    <definedName name="укунн" localSheetId="7" hidden="1">{#N/A,#N/A,FALSE,"Лист4"}</definedName>
    <definedName name="укунн" localSheetId="12" hidden="1">{#N/A,#N/A,FALSE,"Лист4"}</definedName>
    <definedName name="укунн" localSheetId="8" hidden="1">{#N/A,#N/A,FALSE,"Лист4"}</definedName>
    <definedName name="укунн" hidden="1">{#N/A,#N/A,FALSE,"Лист4"}</definedName>
    <definedName name="унунен" localSheetId="7" hidden="1">{#N/A,#N/A,FALSE,"Лист4"}</definedName>
    <definedName name="унунен" localSheetId="12" hidden="1">{#N/A,#N/A,FALSE,"Лист4"}</definedName>
    <definedName name="унунен" localSheetId="8" hidden="1">{#N/A,#N/A,FALSE,"Лист4"}</definedName>
    <definedName name="унунен" hidden="1">{#N/A,#N/A,FALSE,"Лист4"}</definedName>
    <definedName name="унунун" localSheetId="7" hidden="1">{#N/A,#N/A,FALSE,"Лист4"}</definedName>
    <definedName name="унунун" localSheetId="12" hidden="1">{#N/A,#N/A,FALSE,"Лист4"}</definedName>
    <definedName name="унунун" localSheetId="8" hidden="1">{#N/A,#N/A,FALSE,"Лист4"}</definedName>
    <definedName name="унунун" hidden="1">{#N/A,#N/A,FALSE,"Лист4"}</definedName>
    <definedName name="унуу" localSheetId="7" hidden="1">{#N/A,#N/A,FALSE,"Лист4"}</definedName>
    <definedName name="унуу" localSheetId="12" hidden="1">{#N/A,#N/A,FALSE,"Лист4"}</definedName>
    <definedName name="унуу" localSheetId="8" hidden="1">{#N/A,#N/A,FALSE,"Лист4"}</definedName>
    <definedName name="унуу" hidden="1">{#N/A,#N/A,FALSE,"Лист4"}</definedName>
    <definedName name="унуун" localSheetId="7" hidden="1">{#N/A,#N/A,FALSE,"Лист4"}</definedName>
    <definedName name="унуун" localSheetId="12" hidden="1">{#N/A,#N/A,FALSE,"Лист4"}</definedName>
    <definedName name="унуун" localSheetId="8" hidden="1">{#N/A,#N/A,FALSE,"Лист4"}</definedName>
    <definedName name="унуун" hidden="1">{#N/A,#N/A,FALSE,"Лист4"}</definedName>
    <definedName name="унууу" localSheetId="7" hidden="1">{#N/A,#N/A,FALSE,"Лист4"}</definedName>
    <definedName name="унууу" localSheetId="12" hidden="1">{#N/A,#N/A,FALSE,"Лист4"}</definedName>
    <definedName name="унууу" localSheetId="8" hidden="1">{#N/A,#N/A,FALSE,"Лист4"}</definedName>
    <definedName name="унууу" hidden="1">{#N/A,#N/A,FALSE,"Лист4"}</definedName>
    <definedName name="управ" localSheetId="7" hidden="1">{#N/A,#N/A,FALSE,"Лист4"}</definedName>
    <definedName name="управ" localSheetId="12" hidden="1">{#N/A,#N/A,FALSE,"Лист4"}</definedName>
    <definedName name="управ" localSheetId="8" hidden="1">{#N/A,#N/A,FALSE,"Лист4"}</definedName>
    <definedName name="управ" hidden="1">{#N/A,#N/A,FALSE,"Лист4"}</definedName>
    <definedName name="управління" localSheetId="7" hidden="1">{#N/A,#N/A,FALSE,"Лист4"}</definedName>
    <definedName name="управління" localSheetId="12" hidden="1">{#N/A,#N/A,FALSE,"Лист4"}</definedName>
    <definedName name="управління" localSheetId="8" hidden="1">{#N/A,#N/A,FALSE,"Лист4"}</definedName>
    <definedName name="управління" hidden="1">{#N/A,#N/A,FALSE,"Лист4"}</definedName>
    <definedName name="Усі_банки">'[23]146024'!$A$8:$K$88</definedName>
    <definedName name="уукее" localSheetId="7" hidden="1">{#N/A,#N/A,FALSE,"Лист4"}</definedName>
    <definedName name="уукее" localSheetId="12" hidden="1">{#N/A,#N/A,FALSE,"Лист4"}</definedName>
    <definedName name="уукее" localSheetId="8" hidden="1">{#N/A,#N/A,FALSE,"Лист4"}</definedName>
    <definedName name="уукее" hidden="1">{#N/A,#N/A,FALSE,"Лист4"}</definedName>
    <definedName name="ууннну" localSheetId="7" hidden="1">{#N/A,#N/A,FALSE,"Лист4"}</definedName>
    <definedName name="ууннну" localSheetId="12" hidden="1">{#N/A,#N/A,FALSE,"Лист4"}</definedName>
    <definedName name="ууннну" localSheetId="8" hidden="1">{#N/A,#N/A,FALSE,"Лист4"}</definedName>
    <definedName name="ууннну" hidden="1">{#N/A,#N/A,FALSE,"Лист4"}</definedName>
    <definedName name="ууну" localSheetId="7" hidden="1">{#N/A,#N/A,FALSE,"Лист4"}</definedName>
    <definedName name="ууну" localSheetId="12" hidden="1">{#N/A,#N/A,FALSE,"Лист4"}</definedName>
    <definedName name="ууну" localSheetId="8" hidden="1">{#N/A,#N/A,FALSE,"Лист4"}</definedName>
    <definedName name="ууну" hidden="1">{#N/A,#N/A,FALSE,"Лист4"}</definedName>
    <definedName name="уунунг" localSheetId="7" hidden="1">{#N/A,#N/A,FALSE,"Лист4"}</definedName>
    <definedName name="уунунг" localSheetId="12" hidden="1">{#N/A,#N/A,FALSE,"Лист4"}</definedName>
    <definedName name="уунунг" localSheetId="8" hidden="1">{#N/A,#N/A,FALSE,"Лист4"}</definedName>
    <definedName name="уунунг" hidden="1">{#N/A,#N/A,FALSE,"Лист4"}</definedName>
    <definedName name="уунунууу" localSheetId="7" hidden="1">{#N/A,#N/A,FALSE,"Лист4"}</definedName>
    <definedName name="уунунууу" localSheetId="12" hidden="1">{#N/A,#N/A,FALSE,"Лист4"}</definedName>
    <definedName name="уунунууу" localSheetId="8" hidden="1">{#N/A,#N/A,FALSE,"Лист4"}</definedName>
    <definedName name="уунунууу" hidden="1">{#N/A,#N/A,FALSE,"Лист4"}</definedName>
    <definedName name="уунуурр" localSheetId="7" hidden="1">{#N/A,#N/A,FALSE,"Лист4"}</definedName>
    <definedName name="уунуурр" localSheetId="12" hidden="1">{#N/A,#N/A,FALSE,"Лист4"}</definedName>
    <definedName name="уунуурр" localSheetId="8" hidden="1">{#N/A,#N/A,FALSE,"Лист4"}</definedName>
    <definedName name="уунуурр" hidden="1">{#N/A,#N/A,FALSE,"Лист4"}</definedName>
    <definedName name="уунуууу" localSheetId="7" hidden="1">{#N/A,#N/A,FALSE,"Лист4"}</definedName>
    <definedName name="уунуууу" localSheetId="12" hidden="1">{#N/A,#N/A,FALSE,"Лист4"}</definedName>
    <definedName name="уунуууу" localSheetId="8" hidden="1">{#N/A,#N/A,FALSE,"Лист4"}</definedName>
    <definedName name="уунуууу" hidden="1">{#N/A,#N/A,FALSE,"Лист4"}</definedName>
    <definedName name="ууу" localSheetId="7" hidden="1">{#N/A,#N/A,FALSE,"Лист4"}</definedName>
    <definedName name="ууу" localSheetId="12" hidden="1">{#N/A,#N/A,FALSE,"Лист4"}</definedName>
    <definedName name="ууу" localSheetId="8" hidden="1">{#N/A,#N/A,FALSE,"Лист4"}</definedName>
    <definedName name="ууу" hidden="1">{#N/A,#N/A,FALSE,"Лист4"}</definedName>
    <definedName name="ууунну" localSheetId="7" hidden="1">{#N/A,#N/A,FALSE,"Лист4"}</definedName>
    <definedName name="ууунну" localSheetId="12" hidden="1">{#N/A,#N/A,FALSE,"Лист4"}</definedName>
    <definedName name="ууунну" localSheetId="8" hidden="1">{#N/A,#N/A,FALSE,"Лист4"}</definedName>
    <definedName name="ууунну" hidden="1">{#N/A,#N/A,FALSE,"Лист4"}</definedName>
    <definedName name="ууунууууу" localSheetId="7" hidden="1">{#N/A,#N/A,FALSE,"Лист4"}</definedName>
    <definedName name="ууунууууу" localSheetId="12" hidden="1">{#N/A,#N/A,FALSE,"Лист4"}</definedName>
    <definedName name="ууунууууу" localSheetId="8" hidden="1">{#N/A,#N/A,FALSE,"Лист4"}</definedName>
    <definedName name="ууунууууу" hidden="1">{#N/A,#N/A,FALSE,"Лист4"}</definedName>
    <definedName name="уууу" localSheetId="7" hidden="1">{#N/A,#N/A,FALSE,"Лист4"}</definedName>
    <definedName name="уууу" localSheetId="12" hidden="1">{#N/A,#N/A,FALSE,"Лист4"}</definedName>
    <definedName name="уууу" localSheetId="8" hidden="1">{#N/A,#N/A,FALSE,"Лист4"}</definedName>
    <definedName name="уууу" hidden="1">{#N/A,#N/A,FALSE,"Лист4"}</definedName>
    <definedName name="уууу32" localSheetId="7" hidden="1">{#N/A,#N/A,FALSE,"Лист4"}</definedName>
    <definedName name="уууу32" localSheetId="12" hidden="1">{#N/A,#N/A,FALSE,"Лист4"}</definedName>
    <definedName name="уууу32" localSheetId="8" hidden="1">{#N/A,#N/A,FALSE,"Лист4"}</definedName>
    <definedName name="уууу32" hidden="1">{#N/A,#N/A,FALSE,"Лист4"}</definedName>
    <definedName name="уууун" localSheetId="7" hidden="1">{#N/A,#N/A,FALSE,"Лист4"}</definedName>
    <definedName name="уууун" localSheetId="12" hidden="1">{#N/A,#N/A,FALSE,"Лист4"}</definedName>
    <definedName name="уууун" localSheetId="8" hidden="1">{#N/A,#N/A,FALSE,"Лист4"}</definedName>
    <definedName name="уууун" hidden="1">{#N/A,#N/A,FALSE,"Лист4"}</definedName>
    <definedName name="ф" localSheetId="7" hidden="1">{#N/A,#N/A,FALSE,"т02бд"}</definedName>
    <definedName name="ф" localSheetId="12" hidden="1">{#N/A,#N/A,FALSE,"т02бд"}</definedName>
    <definedName name="ф" localSheetId="8" hidden="1">{#N/A,#N/A,FALSE,"т02бд"}</definedName>
    <definedName name="ф" hidden="1">{#N/A,#N/A,FALSE,"т02бд"}</definedName>
    <definedName name="ф_2" localSheetId="12" hidden="1">{#N/A,#N/A,FALSE,"т02бд"}</definedName>
    <definedName name="ф_2" localSheetId="8" hidden="1">{#N/A,#N/A,FALSE,"т02бд"}</definedName>
    <definedName name="ф_2" hidden="1">{#N/A,#N/A,FALSE,"т02бд"}</definedName>
    <definedName name="ф_2_1" localSheetId="12" hidden="1">{#N/A,#N/A,FALSE,"т02бд"}</definedName>
    <definedName name="ф_2_1" localSheetId="8" hidden="1">{#N/A,#N/A,FALSE,"т02бд"}</definedName>
    <definedName name="ф_2_1" hidden="1">{#N/A,#N/A,FALSE,"т02бд"}</definedName>
    <definedName name="фіва" localSheetId="7" hidden="1">{#N/A,#N/A,FALSE,"т02бд"}</definedName>
    <definedName name="фіва" localSheetId="12" hidden="1">{#N/A,#N/A,FALSE,"т02бд"}</definedName>
    <definedName name="фіва" localSheetId="8" hidden="1">{#N/A,#N/A,FALSE,"т02бд"}</definedName>
    <definedName name="фіва" hidden="1">{#N/A,#N/A,FALSE,"т02бд"}</definedName>
    <definedName name="фіва_2" localSheetId="12" hidden="1">{#N/A,#N/A,FALSE,"т02бд"}</definedName>
    <definedName name="фіва_2" localSheetId="8" hidden="1">{#N/A,#N/A,FALSE,"т02бд"}</definedName>
    <definedName name="фіва_2" hidden="1">{#N/A,#N/A,FALSE,"т02бд"}</definedName>
    <definedName name="фіва_2_1" localSheetId="12" hidden="1">{#N/A,#N/A,FALSE,"т02бд"}</definedName>
    <definedName name="фіва_2_1" localSheetId="8" hidden="1">{#N/A,#N/A,FALSE,"т02бд"}</definedName>
    <definedName name="фіва_2_1" hidden="1">{#N/A,#N/A,FALSE,"т02бд"}</definedName>
    <definedName name="фф" localSheetId="7" hidden="1">{#N/A,#N/A,FALSE,"т02бд"}</definedName>
    <definedName name="фф" localSheetId="12" hidden="1">{#N/A,#N/A,FALSE,"Лист4"}</definedName>
    <definedName name="фф" localSheetId="8" hidden="1">{#N/A,#N/A,FALSE,"т02бд"}</definedName>
    <definedName name="фф" hidden="1">{#N/A,#N/A,FALSE,"Лист4"}</definedName>
    <definedName name="фф_2" localSheetId="12" hidden="1">{#N/A,#N/A,FALSE,"т02бд"}</definedName>
    <definedName name="фф_2" localSheetId="8" hidden="1">{#N/A,#N/A,FALSE,"т02бд"}</definedName>
    <definedName name="фф_2" hidden="1">{#N/A,#N/A,FALSE,"т02бд"}</definedName>
    <definedName name="фф_2_1" localSheetId="12" hidden="1">{#N/A,#N/A,FALSE,"т02бд"}</definedName>
    <definedName name="фф_2_1" localSheetId="8" hidden="1">{#N/A,#N/A,FALSE,"т02бд"}</definedName>
    <definedName name="фф_2_1" hidden="1">{#N/A,#N/A,FALSE,"т02бд"}</definedName>
    <definedName name="ффф" localSheetId="7" hidden="1">{#N/A,#N/A,FALSE,"т02бд"}</definedName>
    <definedName name="ффф" localSheetId="12" hidden="1">{#N/A,#N/A,FALSE,"Лист4"}</definedName>
    <definedName name="ффф" localSheetId="8" hidden="1">{#N/A,#N/A,FALSE,"т02бд"}</definedName>
    <definedName name="ффф" hidden="1">{#N/A,#N/A,FALSE,"Лист4"}</definedName>
    <definedName name="ффф_1" localSheetId="12" hidden="1">{#N/A,#N/A,FALSE,"т02бд"}</definedName>
    <definedName name="ффф_1" localSheetId="8" hidden="1">{#N/A,#N/A,FALSE,"т02бд"}</definedName>
    <definedName name="ффф_1" hidden="1">{#N/A,#N/A,FALSE,"т02бд"}</definedName>
    <definedName name="ффф_2" localSheetId="12" hidden="1">{#N/A,#N/A,FALSE,"т02бд"}</definedName>
    <definedName name="ффф_2" localSheetId="8" hidden="1">{#N/A,#N/A,FALSE,"т02бд"}</definedName>
    <definedName name="ффф_2" hidden="1">{#N/A,#N/A,FALSE,"т02бд"}</definedName>
    <definedName name="фффф" localSheetId="7" hidden="1">{#N/A,#N/A,FALSE,"Лист4"}</definedName>
    <definedName name="фффф" localSheetId="12" hidden="1">{#N/A,#N/A,FALSE,"Лист4"}</definedName>
    <definedName name="фффф" localSheetId="8" hidden="1">{#N/A,#N/A,FALSE,"Лист4"}</definedName>
    <definedName name="фффф" hidden="1">{#N/A,#N/A,FALSE,"Лист4"}</definedName>
    <definedName name="ффффф" localSheetId="7" hidden="1">{#N/A,#N/A,FALSE,"Лист4"}</definedName>
    <definedName name="ффффф" localSheetId="12" hidden="1">{#N/A,#N/A,FALSE,"Лист4"}</definedName>
    <definedName name="ффффф" localSheetId="8" hidden="1">{#N/A,#N/A,FALSE,"Лист4"}</definedName>
    <definedName name="ффффф" hidden="1">{#N/A,#N/A,FALSE,"Лист4"}</definedName>
    <definedName name="хз" localSheetId="7" hidden="1">{#N/A,#N/A,FALSE,"Лист4"}</definedName>
    <definedName name="хз" localSheetId="12" hidden="1">{#N/A,#N/A,FALSE,"Лист4"}</definedName>
    <definedName name="хз" localSheetId="8" hidden="1">{#N/A,#N/A,FALSE,"Лист4"}</definedName>
    <definedName name="хз" hidden="1">{#N/A,#N/A,FALSE,"Лист4"}</definedName>
    <definedName name="хїз" localSheetId="7" hidden="1">{#N/A,#N/A,FALSE,"Лист4"}</definedName>
    <definedName name="хїз" localSheetId="12" hidden="1">{#N/A,#N/A,FALSE,"Лист4"}</definedName>
    <definedName name="хїз" localSheetId="8" hidden="1">{#N/A,#N/A,FALSE,"Лист4"}</definedName>
    <definedName name="хїз" hidden="1">{#N/A,#N/A,FALSE,"Лист4"}</definedName>
    <definedName name="ххх" localSheetId="7" hidden="1">{#N/A,#N/A,FALSE,"Лист4"}</definedName>
    <definedName name="ххх" localSheetId="12" hidden="1">{#N/A,#N/A,FALSE,"Лист4"}</definedName>
    <definedName name="ххх" localSheetId="8" hidden="1">{#N/A,#N/A,FALSE,"Лист4"}</definedName>
    <definedName name="ххх" hidden="1">{#N/A,#N/A,FALSE,"Лист4"}</definedName>
    <definedName name="ц" localSheetId="7" hidden="1">{#N/A,#N/A,FALSE,"Лист4"}</definedName>
    <definedName name="ц" localSheetId="12" hidden="1">{#N/A,#N/A,FALSE,"Лист4"}</definedName>
    <definedName name="ц" localSheetId="8" hidden="1">{#N/A,#N/A,FALSE,"Лист4"}</definedName>
    <definedName name="ц" hidden="1">{#N/A,#N/A,FALSE,"Лист4"}</definedName>
    <definedName name="ц_1" localSheetId="12" hidden="1">{#N/A,#N/A,FALSE,"т02бд"}</definedName>
    <definedName name="ц_1" localSheetId="8" hidden="1">{#N/A,#N/A,FALSE,"т02бд"}</definedName>
    <definedName name="ц_1" hidden="1">{#N/A,#N/A,FALSE,"т02бд"}</definedName>
    <definedName name="ц_2" localSheetId="12" hidden="1">{#N/A,#N/A,FALSE,"т02бд"}</definedName>
    <definedName name="ц_2" localSheetId="8" hidden="1">{#N/A,#N/A,FALSE,"т02бд"}</definedName>
    <definedName name="ц_2" hidden="1">{#N/A,#N/A,FALSE,"т02бд"}</definedName>
    <definedName name="цва" localSheetId="7" hidden="1">{#N/A,#N/A,FALSE,"Лист4"}</definedName>
    <definedName name="цва" localSheetId="12" hidden="1">{#N/A,#N/A,FALSE,"Лист4"}</definedName>
    <definedName name="цва" localSheetId="8" hidden="1">{#N/A,#N/A,FALSE,"Лист4"}</definedName>
    <definedName name="цва" hidden="1">{#N/A,#N/A,FALSE,"Лист4"}</definedName>
    <definedName name="цекццецце" localSheetId="7" hidden="1">{#N/A,#N/A,FALSE,"Лист4"}</definedName>
    <definedName name="цекццецце" localSheetId="12" hidden="1">{#N/A,#N/A,FALSE,"Лист4"}</definedName>
    <definedName name="цекццецце" localSheetId="8" hidden="1">{#N/A,#N/A,FALSE,"Лист4"}</definedName>
    <definedName name="цекццецце" hidden="1">{#N/A,#N/A,FALSE,"Лист4"}</definedName>
    <definedName name="цеу" localSheetId="12" hidden="1">{#N/A,#N/A,FALSE,"т02бд"}</definedName>
    <definedName name="цеу" localSheetId="8" hidden="1">{#N/A,#N/A,FALSE,"т02бд"}</definedName>
    <definedName name="цеу" hidden="1">{#N/A,#N/A,FALSE,"т02бд"}</definedName>
    <definedName name="цеце" localSheetId="7" hidden="1">{#N/A,#N/A,FALSE,"Лист4"}</definedName>
    <definedName name="цеце" localSheetId="12" hidden="1">{#N/A,#N/A,FALSE,"Лист4"}</definedName>
    <definedName name="цеце" localSheetId="8" hidden="1">{#N/A,#N/A,FALSE,"Лист4"}</definedName>
    <definedName name="цеце" hidden="1">{#N/A,#N/A,FALSE,"Лист4"}</definedName>
    <definedName name="цецеце" localSheetId="7" hidden="1">{#N/A,#N/A,FALSE,"Лист4"}</definedName>
    <definedName name="цецеце" localSheetId="12" hidden="1">{#N/A,#N/A,FALSE,"Лист4"}</definedName>
    <definedName name="цецеце" localSheetId="8" hidden="1">{#N/A,#N/A,FALSE,"Лист4"}</definedName>
    <definedName name="цецеце" hidden="1">{#N/A,#N/A,FALSE,"Лист4"}</definedName>
    <definedName name="цук" localSheetId="7" hidden="1">{#N/A,#N/A,FALSE,"Лист4"}</definedName>
    <definedName name="цук" localSheetId="12" hidden="1">{#N/A,#N/A,FALSE,"Лист4"}</definedName>
    <definedName name="цук" localSheetId="8" hidden="1">{#N/A,#N/A,FALSE,"Лист4"}</definedName>
    <definedName name="цук" hidden="1">{#N/A,#N/A,FALSE,"Лист4"}</definedName>
    <definedName name="цуку" localSheetId="7" hidden="1">{#N/A,#N/A,FALSE,"Лист4"}</definedName>
    <definedName name="цуку" localSheetId="12" hidden="1">{#N/A,#N/A,FALSE,"Лист4"}</definedName>
    <definedName name="цуку" localSheetId="8" hidden="1">{#N/A,#N/A,FALSE,"Лист4"}</definedName>
    <definedName name="цуку" hidden="1">{#N/A,#N/A,FALSE,"Лист4"}</definedName>
    <definedName name="цууу" localSheetId="7" hidden="1">{#N/A,#N/A,FALSE,"Лист4"}</definedName>
    <definedName name="цууу" localSheetId="12" hidden="1">{#N/A,#N/A,FALSE,"Лист4"}</definedName>
    <definedName name="цууу" localSheetId="8" hidden="1">{#N/A,#N/A,FALSE,"Лист4"}</definedName>
    <definedName name="цууу" hidden="1">{#N/A,#N/A,FALSE,"Лист4"}</definedName>
    <definedName name="цц" localSheetId="7" hidden="1">{#N/A,#N/A,FALSE,"Лист4"}</definedName>
    <definedName name="цц" localSheetId="12" hidden="1">{#N/A,#N/A,FALSE,"Лист4"}</definedName>
    <definedName name="цц" localSheetId="8" hidden="1">{#N/A,#N/A,FALSE,"Лист4"}</definedName>
    <definedName name="цц" hidden="1">{#N/A,#N/A,FALSE,"Лист4"}</definedName>
    <definedName name="ццвва" localSheetId="7" hidden="1">{#N/A,#N/A,FALSE,"Лист4"}</definedName>
    <definedName name="ццвва" localSheetId="12" hidden="1">{#N/A,#N/A,FALSE,"Лист4"}</definedName>
    <definedName name="ццвва" localSheetId="8" hidden="1">{#N/A,#N/A,FALSE,"Лист4"}</definedName>
    <definedName name="ццвва" hidden="1">{#N/A,#N/A,FALSE,"Лист4"}</definedName>
    <definedName name="ццецц" localSheetId="7" hidden="1">{#N/A,#N/A,FALSE,"Лист4"}</definedName>
    <definedName name="ццецц" localSheetId="12" hidden="1">{#N/A,#N/A,FALSE,"Лист4"}</definedName>
    <definedName name="ццецц" localSheetId="8" hidden="1">{#N/A,#N/A,FALSE,"Лист4"}</definedName>
    <definedName name="ццецц" hidden="1">{#N/A,#N/A,FALSE,"Лист4"}</definedName>
    <definedName name="ццеццке" localSheetId="7" hidden="1">{#N/A,#N/A,FALSE,"Лист4"}</definedName>
    <definedName name="ццеццке" localSheetId="12" hidden="1">{#N/A,#N/A,FALSE,"Лист4"}</definedName>
    <definedName name="ццеццке" localSheetId="8" hidden="1">{#N/A,#N/A,FALSE,"Лист4"}</definedName>
    <definedName name="ццеццке" hidden="1">{#N/A,#N/A,FALSE,"Лист4"}</definedName>
    <definedName name="ццеццкевап" localSheetId="7" hidden="1">{#N/A,#N/A,FALSE,"Лист4"}</definedName>
    <definedName name="ццеццкевап" localSheetId="12" hidden="1">{#N/A,#N/A,FALSE,"Лист4"}</definedName>
    <definedName name="ццеццкевап" localSheetId="8" hidden="1">{#N/A,#N/A,FALSE,"Лист4"}</definedName>
    <definedName name="ццеццкевап" hidden="1">{#N/A,#N/A,FALSE,"Лист4"}</definedName>
    <definedName name="ццке" localSheetId="7" hidden="1">{#N/A,#N/A,FALSE,"Лист4"}</definedName>
    <definedName name="ццке" localSheetId="12" hidden="1">{#N/A,#N/A,FALSE,"Лист4"}</definedName>
    <definedName name="ццке" localSheetId="8" hidden="1">{#N/A,#N/A,FALSE,"Лист4"}</definedName>
    <definedName name="ццке" hidden="1">{#N/A,#N/A,FALSE,"Лист4"}</definedName>
    <definedName name="ццук" localSheetId="7" hidden="1">{#N/A,#N/A,FALSE,"Лист4"}</definedName>
    <definedName name="ццук" localSheetId="12" hidden="1">{#N/A,#N/A,FALSE,"Лист4"}</definedName>
    <definedName name="ццук" localSheetId="8" hidden="1">{#N/A,#N/A,FALSE,"Лист4"}</definedName>
    <definedName name="ццук" hidden="1">{#N/A,#N/A,FALSE,"Лист4"}</definedName>
    <definedName name="цццецц" localSheetId="7" hidden="1">{#N/A,#N/A,FALSE,"Лист4"}</definedName>
    <definedName name="цццецц" localSheetId="12" hidden="1">{#N/A,#N/A,FALSE,"Лист4"}</definedName>
    <definedName name="цццецц" localSheetId="8" hidden="1">{#N/A,#N/A,FALSE,"Лист4"}</definedName>
    <definedName name="цццецц" hidden="1">{#N/A,#N/A,FALSE,"Лист4"}</definedName>
    <definedName name="цццкеец" localSheetId="7" hidden="1">{#N/A,#N/A,FALSE,"Лист4"}</definedName>
    <definedName name="цццкеец" localSheetId="12" hidden="1">{#N/A,#N/A,FALSE,"Лист4"}</definedName>
    <definedName name="цццкеец" localSheetId="8" hidden="1">{#N/A,#N/A,FALSE,"Лист4"}</definedName>
    <definedName name="цццкеец" hidden="1">{#N/A,#N/A,FALSE,"Лист4"}</definedName>
    <definedName name="цццц" localSheetId="7" hidden="1">{#N/A,#N/A,FALSE,"Лист4"}</definedName>
    <definedName name="цццц" localSheetId="12" hidden="1">{#N/A,#N/A,FALSE,"Лист4"}</definedName>
    <definedName name="цццц" localSheetId="8" hidden="1">{#N/A,#N/A,FALSE,"Лист4"}</definedName>
    <definedName name="цццц" hidden="1">{#N/A,#N/A,FALSE,"Лист4"}</definedName>
    <definedName name="ццццкц" localSheetId="7" hidden="1">{#N/A,#N/A,FALSE,"Лист4"}</definedName>
    <definedName name="ццццкц" localSheetId="12" hidden="1">{#N/A,#N/A,FALSE,"Лист4"}</definedName>
    <definedName name="ццццкц" localSheetId="8" hidden="1">{#N/A,#N/A,FALSE,"Лист4"}</definedName>
    <definedName name="ццццкц" hidden="1">{#N/A,#N/A,FALSE,"Лист4"}</definedName>
    <definedName name="ццццц" localSheetId="7" hidden="1">{#N/A,#N/A,FALSE,"Лист4"}</definedName>
    <definedName name="ццццц" localSheetId="12" hidden="1">{#N/A,#N/A,FALSE,"Лист4"}</definedName>
    <definedName name="ццццц" localSheetId="8" hidden="1">{#N/A,#N/A,FALSE,"Лист4"}</definedName>
    <definedName name="ццццц" hidden="1">{#N/A,#N/A,FALSE,"Лист4"}</definedName>
    <definedName name="цццццц" localSheetId="7" hidden="1">{#N/A,#N/A,FALSE,"Лист4"}</definedName>
    <definedName name="цццццц" localSheetId="12" hidden="1">{#N/A,#N/A,FALSE,"Лист4"}</definedName>
    <definedName name="цццццц" localSheetId="8" hidden="1">{#N/A,#N/A,FALSE,"Лист4"}</definedName>
    <definedName name="цццццц" hidden="1">{#N/A,#N/A,FALSE,"Лист4"}</definedName>
    <definedName name="чву" localSheetId="7" hidden="1">{#N/A,#N/A,FALSE,"Лист4"}</definedName>
    <definedName name="чву" localSheetId="12" hidden="1">{#N/A,#N/A,FALSE,"Лист4"}</definedName>
    <definedName name="чву" localSheetId="8" hidden="1">{#N/A,#N/A,FALSE,"Лист4"}</definedName>
    <definedName name="чву" hidden="1">{#N/A,#N/A,FALSE,"Лист4"}</definedName>
    <definedName name="черв" localSheetId="12" hidden="1">{#N/A,#N/A,FALSE,"т02бд"}</definedName>
    <definedName name="черв" localSheetId="8" hidden="1">{#N/A,#N/A,FALSE,"т02бд"}</definedName>
    <definedName name="черв" hidden="1">{#N/A,#N/A,FALSE,"т02бд"}</definedName>
    <definedName name="чч" localSheetId="7" hidden="1">{#N/A,#N/A,FALSE,"Лист4"}</definedName>
    <definedName name="чч" localSheetId="12" hidden="1">{#N/A,#N/A,FALSE,"Лист4"}</definedName>
    <definedName name="чч" localSheetId="8" hidden="1">{#N/A,#N/A,FALSE,"Лист4"}</definedName>
    <definedName name="чч" hidden="1">{#N/A,#N/A,FALSE,"Лист4"}</definedName>
    <definedName name="ччч" localSheetId="7" hidden="1">{#N/A,#N/A,FALSE,"Лист4"}</definedName>
    <definedName name="ччч" localSheetId="12" hidden="1">{#N/A,#N/A,FALSE,"Лист4"}</definedName>
    <definedName name="ччч" localSheetId="8" hidden="1">{#N/A,#N/A,FALSE,"Лист4"}</definedName>
    <definedName name="ччч" hidden="1">{#N/A,#N/A,FALSE,"Лист4"}</definedName>
    <definedName name="шш" localSheetId="7" hidden="1">{#N/A,#N/A,FALSE,"Лист4"}</definedName>
    <definedName name="шш" localSheetId="12" hidden="1">{#N/A,#N/A,FALSE,"Лист4"}</definedName>
    <definedName name="шш" localSheetId="8" hidden="1">{#N/A,#N/A,FALSE,"Лист4"}</definedName>
    <definedName name="шш" hidden="1">{#N/A,#N/A,FALSE,"Лист4"}</definedName>
    <definedName name="шшшш" localSheetId="7" hidden="1">{#N/A,#N/A,FALSE,"Лист4"}</definedName>
    <definedName name="шшшш" localSheetId="12" hidden="1">{#N/A,#N/A,FALSE,"Лист4"}</definedName>
    <definedName name="шшшш" localSheetId="8" hidden="1">{#N/A,#N/A,FALSE,"Лист4"}</definedName>
    <definedName name="шшшш" hidden="1">{#N/A,#N/A,FALSE,"Лист4"}</definedName>
    <definedName name="щщ" localSheetId="7" hidden="1">{#N/A,#N/A,FALSE,"Лист4"}</definedName>
    <definedName name="щщ" localSheetId="12" hidden="1">{#N/A,#N/A,FALSE,"Лист4"}</definedName>
    <definedName name="щщ" localSheetId="8" hidden="1">{#N/A,#N/A,FALSE,"Лист4"}</definedName>
    <definedName name="щщ" hidden="1">{#N/A,#N/A,FALSE,"Лист4"}</definedName>
    <definedName name="щщщ" localSheetId="7" hidden="1">{#N/A,#N/A,FALSE,"Лист4"}</definedName>
    <definedName name="щщщ" localSheetId="12" hidden="1">{#N/A,#N/A,FALSE,"Лист4"}</definedName>
    <definedName name="щщщ" localSheetId="8" hidden="1">{#N/A,#N/A,FALSE,"Лист4"}</definedName>
    <definedName name="щщщ" hidden="1">{#N/A,#N/A,FALSE,"Лист4"}</definedName>
    <definedName name="щщщшг" localSheetId="7" hidden="1">{#N/A,#N/A,FALSE,"Лист4"}</definedName>
    <definedName name="щщщшг" localSheetId="12" hidden="1">{#N/A,#N/A,FALSE,"Лист4"}</definedName>
    <definedName name="щщщшг" localSheetId="8" hidden="1">{#N/A,#N/A,FALSE,"Лист4"}</definedName>
    <definedName name="щщщшг" hidden="1">{#N/A,#N/A,FALSE,"Лист4"}</definedName>
    <definedName name="ыва3" localSheetId="26">#REF!</definedName>
    <definedName name="ыва3" localSheetId="28">#REF!</definedName>
    <definedName name="ыва3" localSheetId="12">#REF!</definedName>
    <definedName name="ыва3" localSheetId="19">#REF!</definedName>
    <definedName name="ыва3" localSheetId="20">#REF!</definedName>
    <definedName name="ыва3" localSheetId="3">#REF!</definedName>
    <definedName name="ыва3">#REF!</definedName>
    <definedName name="элд" localSheetId="12" hidden="1">{"'Всего'!$A$1:$F$19"}</definedName>
    <definedName name="элд" hidden="1">{"'Всего'!$A$1:$F$19"}</definedName>
    <definedName name="юю" localSheetId="7" hidden="1">{#N/A,#N/A,FALSE,"Лист4"}</definedName>
    <definedName name="юю" localSheetId="12" hidden="1">{#N/A,#N/A,FALSE,"Лист4"}</definedName>
    <definedName name="юю" localSheetId="8" hidden="1">{#N/A,#N/A,FALSE,"Лист4"}</definedName>
    <definedName name="юю" hidden="1">{#N/A,#N/A,FALSE,"Лист4"}</definedName>
    <definedName name="ююю" localSheetId="7" hidden="1">{#N/A,#N/A,FALSE,"Лист4"}</definedName>
    <definedName name="ююю" localSheetId="12" hidden="1">{#N/A,#N/A,FALSE,"Лист4"}</definedName>
    <definedName name="ююю" localSheetId="8" hidden="1">{#N/A,#N/A,FALSE,"Лист4"}</definedName>
    <definedName name="ююю" hidden="1">{#N/A,#N/A,FALSE,"Лист4"}</definedName>
    <definedName name="яяя" localSheetId="7" hidden="1">{#N/A,#N/A,FALSE,"Лист4"}</definedName>
    <definedName name="яяя" localSheetId="12" hidden="1">{#N/A,#N/A,FALSE,"Лист4"}</definedName>
    <definedName name="яяя" localSheetId="8" hidden="1">{#N/A,#N/A,FALSE,"Лист4"}</definedName>
    <definedName name="яяя" hidden="1">{#N/A,#N/A,FALSE,"Лист4"}</definedName>
    <definedName name="яяяя" localSheetId="7" hidden="1">{#N/A,#N/A,FALSE,"Лист4"}</definedName>
    <definedName name="яяяя" localSheetId="12" hidden="1">{#N/A,#N/A,FALSE,"Лист4"}</definedName>
    <definedName name="яяяя" localSheetId="8" hidden="1">{#N/A,#N/A,FALSE,"Лист4"}</definedName>
    <definedName name="яяяя" hidden="1">{#N/A,#N/A,FALSE,"Лист4"}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07" i="36" l="1" a="1"/>
  <c r="F107" i="36" s="1"/>
  <c r="F104" i="36" a="1"/>
  <c r="F104" i="36" s="1"/>
  <c r="W103" i="36"/>
  <c r="X103" i="36" s="1"/>
  <c r="Y103" i="36" s="1"/>
  <c r="Z103" i="36" s="1"/>
  <c r="AA103" i="36" s="1"/>
  <c r="AB103" i="36" s="1"/>
  <c r="AC103" i="36" s="1"/>
  <c r="AD103" i="36" s="1"/>
  <c r="AE103" i="36" s="1"/>
  <c r="AF103" i="36" s="1"/>
  <c r="AG103" i="36" s="1"/>
  <c r="AH103" i="36" s="1"/>
  <c r="AI103" i="36"/>
  <c r="AJ103" i="36" s="1"/>
  <c r="AK103" i="36" s="1"/>
  <c r="AL103" i="36" s="1"/>
  <c r="AM103" i="36" s="1"/>
  <c r="AN103" i="36" s="1"/>
  <c r="AO103" i="36" s="1"/>
  <c r="AP103" i="36" s="1"/>
  <c r="AQ103" i="36" s="1"/>
  <c r="AR103" i="36" s="1"/>
  <c r="AS103" i="36" s="1"/>
  <c r="AT103" i="36" s="1"/>
  <c r="AU103" i="36"/>
  <c r="AV103" i="36" s="1"/>
  <c r="AW103" i="36" s="1"/>
  <c r="AX103" i="36" s="1"/>
  <c r="AY103" i="36" s="1"/>
  <c r="AZ103" i="36" s="1"/>
  <c r="BA103" i="36" s="1"/>
  <c r="BB103" i="36" s="1"/>
  <c r="BC103" i="36" s="1"/>
  <c r="BD103" i="36" s="1"/>
  <c r="BE103" i="36" s="1"/>
  <c r="BF103" i="36" s="1"/>
  <c r="K103" i="36"/>
  <c r="K104" i="36" a="1"/>
  <c r="K104" i="36" s="1"/>
  <c r="F78" i="36" a="1"/>
  <c r="F78" i="36" s="1"/>
  <c r="L89" i="36"/>
  <c r="L87" i="36"/>
  <c r="L85" i="36"/>
  <c r="F81" i="36" a="1"/>
  <c r="F81" i="36" s="1"/>
  <c r="F82" i="36" a="1"/>
  <c r="F82" i="36" s="1"/>
  <c r="F83" i="36" a="1"/>
  <c r="F83" i="36" s="1"/>
  <c r="F80" i="36" a="1"/>
  <c r="F80" i="36" s="1"/>
  <c r="W77" i="36"/>
  <c r="X77" i="36" s="1"/>
  <c r="Y77" i="36" s="1"/>
  <c r="Z77" i="36" s="1"/>
  <c r="AA77" i="36" s="1"/>
  <c r="AB77" i="36" s="1"/>
  <c r="AC77" i="36" s="1"/>
  <c r="AD77" i="36" s="1"/>
  <c r="AE77" i="36" s="1"/>
  <c r="AF77" i="36" s="1"/>
  <c r="AG77" i="36" s="1"/>
  <c r="AH77" i="36" s="1"/>
  <c r="AI77" i="36"/>
  <c r="AJ77" i="36" s="1"/>
  <c r="AK77" i="36" s="1"/>
  <c r="AL77" i="36" s="1"/>
  <c r="AM77" i="36" s="1"/>
  <c r="AN77" i="36" s="1"/>
  <c r="AO77" i="36" s="1"/>
  <c r="AP77" i="36" s="1"/>
  <c r="AQ77" i="36" s="1"/>
  <c r="AR77" i="36" s="1"/>
  <c r="AS77" i="36" s="1"/>
  <c r="AT77" i="36" s="1"/>
  <c r="AU77" i="36"/>
  <c r="AV77" i="36" s="1"/>
  <c r="AW77" i="36" s="1"/>
  <c r="AX77" i="36" s="1"/>
  <c r="AY77" i="36" s="1"/>
  <c r="AZ77" i="36" s="1"/>
  <c r="BA77" i="36" s="1"/>
  <c r="BB77" i="36" s="1"/>
  <c r="BC77" i="36" s="1"/>
  <c r="BD77" i="36" s="1"/>
  <c r="BE77" i="36" s="1"/>
  <c r="BF77" i="36" s="1"/>
  <c r="K77" i="36"/>
  <c r="L77" i="36" s="1"/>
  <c r="M77" i="36" s="1"/>
  <c r="N77" i="36" s="1"/>
  <c r="O77" i="36" s="1"/>
  <c r="P77" i="36" s="1"/>
  <c r="Q77" i="36" s="1"/>
  <c r="R77" i="36" s="1"/>
  <c r="S77" i="36" s="1"/>
  <c r="T77" i="36" s="1"/>
  <c r="U77" i="36" s="1"/>
  <c r="V77" i="36" s="1"/>
  <c r="K76" i="36" a="1"/>
  <c r="K76" i="36" s="1"/>
  <c r="K78" i="36" a="1"/>
  <c r="K78" i="36" s="1"/>
  <c r="W60" i="36"/>
  <c r="X60" i="36" s="1"/>
  <c r="Y60" i="36" s="1"/>
  <c r="Z60" i="36" s="1"/>
  <c r="AA60" i="36" s="1"/>
  <c r="AB60" i="36" s="1"/>
  <c r="AC60" i="36" s="1"/>
  <c r="AD60" i="36" s="1"/>
  <c r="AE60" i="36" s="1"/>
  <c r="AF60" i="36" s="1"/>
  <c r="AG60" i="36" s="1"/>
  <c r="AH60" i="36" s="1"/>
  <c r="K60" i="36"/>
  <c r="L60" i="36" s="1"/>
  <c r="M60" i="36" s="1"/>
  <c r="N60" i="36" s="1"/>
  <c r="O60" i="36" s="1"/>
  <c r="P60" i="36" s="1"/>
  <c r="Q60" i="36" s="1"/>
  <c r="R60" i="36" s="1"/>
  <c r="S60" i="36" s="1"/>
  <c r="T60" i="36" s="1"/>
  <c r="U60" i="36" s="1"/>
  <c r="V60" i="36" s="1"/>
  <c r="K59" i="36" a="1"/>
  <c r="K59" i="36" s="1"/>
  <c r="K61" i="36" a="1"/>
  <c r="K61" i="36" s="1"/>
  <c r="F61" i="36" s="1" a="1"/>
  <c r="F61" i="36" s="1"/>
  <c r="F39" i="36" a="1"/>
  <c r="F39" i="36" s="1"/>
  <c r="F37" i="36" a="1"/>
  <c r="F37" i="36" s="1"/>
  <c r="W36" i="36"/>
  <c r="X36" i="36" s="1"/>
  <c r="Y36" i="36" s="1"/>
  <c r="Z36" i="36" s="1"/>
  <c r="AA36" i="36" s="1"/>
  <c r="AB36" i="36" s="1"/>
  <c r="AC36" i="36" s="1"/>
  <c r="AD36" i="36" s="1"/>
  <c r="AE36" i="36" s="1"/>
  <c r="AF36" i="36" s="1"/>
  <c r="AG36" i="36" s="1"/>
  <c r="AH36" i="36" s="1"/>
  <c r="K36" i="36"/>
  <c r="K37" i="36" a="1"/>
  <c r="K37" i="36" s="1"/>
  <c r="F11" i="36" a="1"/>
  <c r="F11" i="36" s="1"/>
  <c r="F12" i="36" a="1"/>
  <c r="F12" i="36" s="1"/>
  <c r="F13" i="36" a="1"/>
  <c r="F13" i="36" s="1"/>
  <c r="F9" i="36" a="1"/>
  <c r="F9" i="36" s="1"/>
  <c r="T8" i="36"/>
  <c r="U8" i="36" s="1"/>
  <c r="V8" i="36" s="1"/>
  <c r="P8" i="36"/>
  <c r="Q8" i="36" s="1"/>
  <c r="R8" i="36" s="1"/>
  <c r="M8" i="36"/>
  <c r="L8" i="36"/>
  <c r="S8" i="36" a="1"/>
  <c r="S8" i="36" s="1"/>
  <c r="O8" i="36" a="1"/>
  <c r="O8" i="36" s="1"/>
  <c r="K8" i="36" a="1"/>
  <c r="K8" i="36" s="1"/>
  <c r="K9" i="36" a="1"/>
  <c r="K9" i="36" s="1"/>
  <c r="L36" i="36" l="1"/>
  <c r="M36" i="36" s="1"/>
  <c r="N36" i="36" s="1"/>
  <c r="O36" i="36" s="1"/>
  <c r="P36" i="36" s="1"/>
  <c r="Q36" i="36" s="1"/>
  <c r="R36" i="36" s="1"/>
  <c r="S36" i="36" s="1"/>
  <c r="T36" i="36" s="1"/>
  <c r="U36" i="36" s="1"/>
  <c r="V36" i="36" s="1"/>
  <c r="N8" i="36"/>
  <c r="F8" i="36" s="1" a="1"/>
  <c r="F8" i="36" s="1"/>
  <c r="F77" i="36" a="1"/>
  <c r="F77" i="36" s="1"/>
  <c r="L103" i="36"/>
  <c r="M103" i="36" s="1"/>
  <c r="N103" i="36" s="1"/>
  <c r="O103" i="36" s="1"/>
  <c r="P103" i="36" s="1"/>
  <c r="Q103" i="36" s="1"/>
  <c r="R103" i="36" s="1"/>
  <c r="S103" i="36" s="1"/>
  <c r="T103" i="36" s="1"/>
  <c r="U103" i="36" s="1"/>
  <c r="V103" i="36" s="1"/>
  <c r="AU112" i="19"/>
  <c r="BS131" i="19"/>
  <c r="F36" i="36" l="1" a="1"/>
  <c r="F36" i="36" s="1"/>
  <c r="F103" i="36" a="1"/>
  <c r="F103" i="36" s="1"/>
  <c r="BO131" i="19"/>
  <c r="AW144" i="19"/>
  <c r="U183" i="10"/>
  <c r="BR129" i="19"/>
  <c r="AW131" i="19" l="1"/>
  <c r="BN131" i="19"/>
  <c r="BN129" i="19"/>
  <c r="F75" i="17"/>
  <c r="H159" i="10" l="1"/>
  <c r="G159" i="10"/>
  <c r="H172" i="10"/>
  <c r="G165" i="10"/>
  <c r="I165" i="10"/>
  <c r="U165" i="10"/>
  <c r="U184" i="10" l="1"/>
  <c r="U185" i="10"/>
  <c r="U186" i="10"/>
  <c r="U187" i="10"/>
  <c r="U188" i="10"/>
  <c r="U189" i="10"/>
  <c r="U190" i="10"/>
  <c r="U191" i="10"/>
  <c r="S181" i="10" l="1"/>
  <c r="S182" i="10"/>
  <c r="S183" i="10"/>
  <c r="R183" i="10" s="1"/>
  <c r="S184" i="10"/>
  <c r="R184" i="10" s="1"/>
  <c r="S185" i="10"/>
  <c r="R185" i="10" s="1"/>
  <c r="S186" i="10"/>
  <c r="R186" i="10" s="1"/>
  <c r="S187" i="10"/>
  <c r="R187" i="10" s="1"/>
  <c r="S188" i="10"/>
  <c r="R188" i="10" s="1"/>
  <c r="S189" i="10"/>
  <c r="R189" i="10" s="1"/>
  <c r="S190" i="10"/>
  <c r="R190" i="10" s="1"/>
  <c r="S191" i="10"/>
  <c r="R191" i="10" s="1"/>
  <c r="S180" i="10"/>
  <c r="R194" i="10" l="1"/>
  <c r="AG12" i="27"/>
  <c r="AF19" i="27"/>
  <c r="AF12" i="27"/>
  <c r="AG7" i="27"/>
  <c r="AG8" i="27"/>
  <c r="AH3" i="27"/>
  <c r="AI3" i="27"/>
  <c r="AJ3" i="27"/>
  <c r="AK3" i="27"/>
  <c r="AL3" i="27"/>
  <c r="AM3" i="27"/>
  <c r="AN3" i="27"/>
  <c r="AO3" i="27"/>
  <c r="AP3" i="27"/>
  <c r="AQ3" i="27"/>
  <c r="AR3" i="27"/>
  <c r="AG3" i="27"/>
  <c r="AZ123" i="19"/>
  <c r="AI13" i="28"/>
  <c r="AJ13" i="28"/>
  <c r="AI14" i="28"/>
  <c r="AJ14" i="28"/>
  <c r="AJ9" i="28"/>
  <c r="AJ10" i="28"/>
  <c r="AJ6" i="28"/>
  <c r="AJ7" i="28"/>
  <c r="AK2" i="28"/>
  <c r="AL2" i="28"/>
  <c r="AM2" i="28"/>
  <c r="AN2" i="28"/>
  <c r="AO2" i="28"/>
  <c r="AP2" i="28"/>
  <c r="AQ2" i="28"/>
  <c r="AR2" i="28"/>
  <c r="AS2" i="28"/>
  <c r="AT2" i="28"/>
  <c r="AU2" i="28"/>
  <c r="AJ2" i="28"/>
  <c r="H88" i="28"/>
  <c r="G88" i="28"/>
  <c r="B88" i="28"/>
  <c r="A88" i="28"/>
  <c r="F122" i="27" l="1"/>
  <c r="E122" i="27"/>
  <c r="A122" i="27"/>
  <c r="AS180" i="10" a="1"/>
  <c r="AS182" i="10" s="1"/>
  <c r="AS180" i="10"/>
  <c r="AS181" i="10"/>
  <c r="AS183" i="10"/>
  <c r="AS184" i="10"/>
  <c r="AS185" i="10"/>
  <c r="AS187" i="10"/>
  <c r="AS188" i="10"/>
  <c r="AS189" i="10"/>
  <c r="AS191" i="10"/>
  <c r="AS190" i="10" l="1"/>
  <c r="AS186" i="10"/>
  <c r="L114" i="36" l="1"/>
  <c r="L113" i="36"/>
  <c r="L112" i="36"/>
  <c r="L111" i="36"/>
  <c r="L110" i="36"/>
  <c r="L109" i="36"/>
  <c r="E103" i="36"/>
  <c r="F116" i="36"/>
  <c r="K118" i="36"/>
  <c r="F118" i="36" s="1"/>
  <c r="K116" i="36"/>
  <c r="K117" i="36"/>
  <c r="F99" i="36"/>
  <c r="K99" i="36"/>
  <c r="K101" i="36"/>
  <c r="K100" i="36"/>
  <c r="F117" i="36"/>
  <c r="F114" i="36"/>
  <c r="F113" i="36"/>
  <c r="E113" i="36" s="1"/>
  <c r="D113" i="36" s="1"/>
  <c r="F112" i="36"/>
  <c r="F111" i="36"/>
  <c r="E111" i="36" s="1"/>
  <c r="D111" i="36" s="1"/>
  <c r="F110" i="36"/>
  <c r="F109" i="36"/>
  <c r="E104" i="36"/>
  <c r="F101" i="36"/>
  <c r="F100" i="36"/>
  <c r="F92" i="36"/>
  <c r="K94" i="36"/>
  <c r="F94" i="36" s="1"/>
  <c r="K92" i="36"/>
  <c r="K93" i="36"/>
  <c r="K80" i="36" a="1"/>
  <c r="K80" i="36" s="1"/>
  <c r="E80" i="36" s="1"/>
  <c r="K75" i="36"/>
  <c r="F75" i="36" s="1"/>
  <c r="K73" i="36"/>
  <c r="F73" i="36" s="1"/>
  <c r="K74" i="36"/>
  <c r="F74" i="36" s="1"/>
  <c r="F93" i="36"/>
  <c r="F90" i="36"/>
  <c r="F89" i="36"/>
  <c r="F88" i="36"/>
  <c r="F87" i="36"/>
  <c r="F86" i="36"/>
  <c r="F85" i="36"/>
  <c r="K63" i="36" a="1"/>
  <c r="K63" i="36" s="1"/>
  <c r="F63" i="36" s="1" a="1"/>
  <c r="F63" i="36" s="1"/>
  <c r="E63" i="36" s="1"/>
  <c r="F60" i="36" a="1"/>
  <c r="F60" i="36" s="1"/>
  <c r="E60" i="36" s="1"/>
  <c r="K68" i="36"/>
  <c r="F68" i="36" s="1"/>
  <c r="K66" i="36"/>
  <c r="F66" i="36" s="1"/>
  <c r="K67" i="36"/>
  <c r="F67" i="36" s="1"/>
  <c r="K58" i="36"/>
  <c r="F58" i="36" s="1"/>
  <c r="K56" i="36"/>
  <c r="F56" i="36" s="1"/>
  <c r="K57" i="36"/>
  <c r="F57" i="36"/>
  <c r="K51" i="36"/>
  <c r="F51" i="36" s="1"/>
  <c r="K49" i="36"/>
  <c r="F49" i="36" s="1"/>
  <c r="K50" i="36"/>
  <c r="F50" i="36" s="1"/>
  <c r="L46" i="36"/>
  <c r="F46" i="36" s="1"/>
  <c r="L44" i="36"/>
  <c r="F44" i="36" s="1"/>
  <c r="L47" i="36"/>
  <c r="F47" i="36" s="1"/>
  <c r="L45" i="36"/>
  <c r="F45" i="36" s="1"/>
  <c r="L43" i="36"/>
  <c r="F43" i="36" s="1"/>
  <c r="L42" i="36"/>
  <c r="F42" i="36" s="1"/>
  <c r="E36" i="36"/>
  <c r="K34" i="36"/>
  <c r="F34" i="36" s="1"/>
  <c r="K32" i="36"/>
  <c r="F32" i="36" s="1"/>
  <c r="K33" i="36"/>
  <c r="F33" i="36" s="1"/>
  <c r="L23" i="36"/>
  <c r="F23" i="36" s="1"/>
  <c r="L20" i="36"/>
  <c r="F20" i="36" s="1"/>
  <c r="L22" i="36"/>
  <c r="F22" i="36" s="1"/>
  <c r="L19" i="36"/>
  <c r="F19" i="36" s="1"/>
  <c r="L17" i="36"/>
  <c r="F17" i="36" s="1"/>
  <c r="L16" i="36"/>
  <c r="F16" i="36" s="1"/>
  <c r="L21" i="36"/>
  <c r="F21" i="36" s="1"/>
  <c r="L15" i="36"/>
  <c r="F15" i="36" s="1"/>
  <c r="L18" i="36"/>
  <c r="F18" i="36" s="1"/>
  <c r="G1" i="17"/>
  <c r="E8" i="36"/>
  <c r="K27" i="36"/>
  <c r="F27" i="36" s="1"/>
  <c r="K25" i="36"/>
  <c r="F25" i="36" s="1"/>
  <c r="K26" i="36"/>
  <c r="K6" i="36"/>
  <c r="F6" i="36" s="1"/>
  <c r="K4" i="36"/>
  <c r="F4" i="36" s="1"/>
  <c r="K5" i="36"/>
  <c r="F5" i="36" s="1"/>
  <c r="F26" i="36"/>
  <c r="C103" i="36" l="1"/>
  <c r="B103" i="36" s="1"/>
  <c r="E109" i="36"/>
  <c r="D109" i="36" s="1"/>
  <c r="C109" i="36" s="1"/>
  <c r="B109" i="36" s="1"/>
  <c r="C116" i="36"/>
  <c r="B116" i="36" s="1"/>
  <c r="C99" i="36"/>
  <c r="B99" i="36" s="1"/>
  <c r="E85" i="36"/>
  <c r="D85" i="36" s="1"/>
  <c r="E89" i="36"/>
  <c r="D89" i="36" s="1"/>
  <c r="E87" i="36"/>
  <c r="D87" i="36" s="1"/>
  <c r="C73" i="36"/>
  <c r="B73" i="36" s="1"/>
  <c r="C92" i="36"/>
  <c r="B92" i="36" s="1"/>
  <c r="E77" i="36"/>
  <c r="E78" i="36"/>
  <c r="C63" i="36"/>
  <c r="B63" i="36" s="1"/>
  <c r="E46" i="36"/>
  <c r="D46" i="36" s="1"/>
  <c r="E61" i="36"/>
  <c r="C60" i="36" s="1"/>
  <c r="B60" i="36" s="1"/>
  <c r="C66" i="36"/>
  <c r="B66" i="36" s="1"/>
  <c r="C56" i="36"/>
  <c r="B56" i="36" s="1"/>
  <c r="C49" i="36"/>
  <c r="B49" i="36" s="1"/>
  <c r="E9" i="36"/>
  <c r="C8" i="36" s="1"/>
  <c r="B8" i="36" s="1"/>
  <c r="E44" i="36"/>
  <c r="D44" i="36" s="1"/>
  <c r="C4" i="36"/>
  <c r="B4" i="36" s="1"/>
  <c r="C25" i="36"/>
  <c r="B25" i="36" s="1"/>
  <c r="E42" i="36"/>
  <c r="D42" i="36" s="1"/>
  <c r="E37" i="36"/>
  <c r="C36" i="36" s="1"/>
  <c r="B36" i="36" s="1"/>
  <c r="C32" i="36"/>
  <c r="B32" i="36" s="1"/>
  <c r="E21" i="36"/>
  <c r="D21" i="36" s="1"/>
  <c r="E15" i="36"/>
  <c r="D15" i="36" s="1"/>
  <c r="E18" i="36"/>
  <c r="D18" i="36" s="1"/>
  <c r="AX135" i="19"/>
  <c r="AZ136" i="19"/>
  <c r="C85" i="36" l="1"/>
  <c r="B85" i="36" s="1"/>
  <c r="C77" i="36"/>
  <c r="B77" i="36" s="1"/>
  <c r="B55" i="36"/>
  <c r="A55" i="36" s="1"/>
  <c r="C42" i="36"/>
  <c r="B42" i="36" s="1"/>
  <c r="C15" i="36"/>
  <c r="B15" i="36" s="1"/>
  <c r="AR112" i="19"/>
  <c r="AS112" i="19"/>
  <c r="AT112" i="19"/>
  <c r="G319" i="10"/>
  <c r="EB67" i="23" l="1"/>
  <c r="EC67" i="23"/>
  <c r="N170" i="23"/>
  <c r="EC65" i="23" l="1"/>
  <c r="Y33" i="23"/>
  <c r="Y34" i="23"/>
  <c r="Y35" i="23"/>
  <c r="Y36" i="23"/>
  <c r="Y37" i="23"/>
  <c r="Y38" i="23"/>
  <c r="Y39" i="23"/>
  <c r="Y40" i="23"/>
  <c r="Y41" i="23"/>
  <c r="Y42" i="23"/>
  <c r="Y43" i="23"/>
  <c r="Y44" i="23"/>
  <c r="Y19" i="23"/>
  <c r="Y20" i="23"/>
  <c r="Y21" i="23"/>
  <c r="Y22" i="23"/>
  <c r="Y23" i="23"/>
  <c r="Y24" i="23"/>
  <c r="Y25" i="23"/>
  <c r="Y26" i="23"/>
  <c r="Y27" i="23"/>
  <c r="Y28" i="23"/>
  <c r="Y29" i="23"/>
  <c r="Y30" i="23"/>
  <c r="Y18" i="23" l="1"/>
  <c r="Y16" i="23" s="1"/>
  <c r="F119" i="27"/>
  <c r="E119" i="27"/>
  <c r="A119" i="27"/>
  <c r="H85" i="28"/>
  <c r="G85" i="28"/>
  <c r="B85" i="28"/>
  <c r="A85" i="28"/>
  <c r="AW139" i="19"/>
  <c r="EB65" i="23" l="1"/>
  <c r="X33" i="23"/>
  <c r="X34" i="23"/>
  <c r="X35" i="23"/>
  <c r="X36" i="23"/>
  <c r="X37" i="23"/>
  <c r="X38" i="23"/>
  <c r="X39" i="23"/>
  <c r="X40" i="23"/>
  <c r="X41" i="23"/>
  <c r="X42" i="23"/>
  <c r="X43" i="23"/>
  <c r="X44" i="23"/>
  <c r="X19" i="23"/>
  <c r="X20" i="23"/>
  <c r="X21" i="23"/>
  <c r="X22" i="23"/>
  <c r="X23" i="23"/>
  <c r="X24" i="23"/>
  <c r="X25" i="23"/>
  <c r="X26" i="23"/>
  <c r="X27" i="23"/>
  <c r="X28" i="23"/>
  <c r="X29" i="23"/>
  <c r="X30" i="23"/>
  <c r="X18" i="23" l="1"/>
  <c r="X16" i="23" s="1"/>
  <c r="Z21" i="19"/>
  <c r="Z24" i="19" s="1"/>
  <c r="Z12" i="19" s="1"/>
  <c r="E303" i="10" l="1"/>
  <c r="E304" i="10"/>
  <c r="E305" i="10"/>
  <c r="G306" i="10"/>
  <c r="AX150" i="19"/>
  <c r="E306" i="10" l="1"/>
  <c r="AA172" i="10"/>
  <c r="Z172" i="10" s="1"/>
  <c r="AA173" i="10"/>
  <c r="Z173" i="10" s="1"/>
  <c r="AA174" i="10"/>
  <c r="Z174" i="10" s="1"/>
  <c r="M174" i="10" s="1"/>
  <c r="H174" i="10" s="1"/>
  <c r="AA175" i="10"/>
  <c r="Z175" i="10" s="1"/>
  <c r="M175" i="10" s="1"/>
  <c r="H175" i="10" s="1"/>
  <c r="AA176" i="10"/>
  <c r="Z176" i="10" s="1"/>
  <c r="M176" i="10" s="1"/>
  <c r="H176" i="10" s="1"/>
  <c r="G176" i="10" s="1"/>
  <c r="I176" i="10" s="1"/>
  <c r="AA181" i="10"/>
  <c r="Z181" i="10" s="1"/>
  <c r="AA182" i="10"/>
  <c r="Z182" i="10" s="1"/>
  <c r="AA183" i="10"/>
  <c r="Z183" i="10" s="1"/>
  <c r="AA184" i="10"/>
  <c r="Z184" i="10" s="1"/>
  <c r="AA185" i="10"/>
  <c r="Z185" i="10" s="1"/>
  <c r="AA186" i="10"/>
  <c r="Z186" i="10" s="1"/>
  <c r="AA187" i="10"/>
  <c r="Z187" i="10" s="1"/>
  <c r="AA188" i="10"/>
  <c r="Z188" i="10" s="1"/>
  <c r="AA189" i="10"/>
  <c r="Z189" i="10" s="1"/>
  <c r="AA190" i="10"/>
  <c r="Z190" i="10" s="1"/>
  <c r="AA191" i="10"/>
  <c r="Z191" i="10" s="1"/>
  <c r="AA180" i="10"/>
  <c r="Z180" i="10" s="1"/>
  <c r="K76" i="17" l="1"/>
  <c r="K75" i="17"/>
  <c r="H82" i="28" l="1"/>
  <c r="G82" i="28"/>
  <c r="B82" i="28"/>
  <c r="A82" i="28"/>
  <c r="F116" i="27" l="1"/>
  <c r="E116" i="27"/>
  <c r="A116" i="27"/>
  <c r="H165" i="10"/>
  <c r="H168" i="10"/>
  <c r="H65" i="17"/>
  <c r="E65" i="17" s="1"/>
  <c r="G65" i="17" l="1"/>
  <c r="F65" i="17"/>
  <c r="BJ143" i="19"/>
  <c r="AY143" i="19" s="1"/>
  <c r="AZ143" i="19" s="1"/>
  <c r="BA143" i="19" s="1"/>
  <c r="BB143" i="19" s="1"/>
  <c r="BC143" i="19" s="1"/>
  <c r="BD143" i="19" s="1"/>
  <c r="BE143" i="19" s="1"/>
  <c r="BF143" i="19" s="1"/>
  <c r="BG143" i="19" s="1"/>
  <c r="BH143" i="19" s="1"/>
  <c r="I268" i="10" l="1"/>
  <c r="J270" i="10" s="1"/>
  <c r="F309" i="10"/>
  <c r="F310" i="10"/>
  <c r="F308" i="10"/>
  <c r="G309" i="10"/>
  <c r="G310" i="10"/>
  <c r="G311" i="10"/>
  <c r="G312" i="10"/>
  <c r="G313" i="10"/>
  <c r="G314" i="10"/>
  <c r="G315" i="10"/>
  <c r="G316" i="10"/>
  <c r="G317" i="10"/>
  <c r="G318" i="10"/>
  <c r="G308" i="10"/>
  <c r="E297" i="10"/>
  <c r="E298" i="10"/>
  <c r="E299" i="10"/>
  <c r="E300" i="10"/>
  <c r="E301" i="10"/>
  <c r="E302" i="10"/>
  <c r="G307" i="10"/>
  <c r="K83" i="36" s="1" a="1"/>
  <c r="K83" i="36" s="1"/>
  <c r="E83" i="36" s="1"/>
  <c r="E296" i="10"/>
  <c r="K81" i="36" s="1" a="1"/>
  <c r="K81" i="36" s="1"/>
  <c r="E81" i="36" s="1"/>
  <c r="C80" i="36" s="1"/>
  <c r="B80" i="36" s="1"/>
  <c r="B72" i="36" s="1"/>
  <c r="A72" i="36" s="1"/>
  <c r="E285" i="10"/>
  <c r="E286" i="10"/>
  <c r="E287" i="10"/>
  <c r="E288" i="10"/>
  <c r="E289" i="10"/>
  <c r="E290" i="10"/>
  <c r="E291" i="10"/>
  <c r="E292" i="10"/>
  <c r="E293" i="10"/>
  <c r="E294" i="10"/>
  <c r="E295" i="10"/>
  <c r="E284" i="10"/>
  <c r="E273" i="10"/>
  <c r="E274" i="10"/>
  <c r="E275" i="10"/>
  <c r="E276" i="10"/>
  <c r="E277" i="10"/>
  <c r="E278" i="10"/>
  <c r="E279" i="10"/>
  <c r="E280" i="10"/>
  <c r="E281" i="10"/>
  <c r="E282" i="10"/>
  <c r="E283" i="10"/>
  <c r="E272" i="10"/>
  <c r="F285" i="10"/>
  <c r="D285" i="10" s="1"/>
  <c r="D284" i="10"/>
  <c r="D273" i="10"/>
  <c r="D274" i="10"/>
  <c r="D275" i="10"/>
  <c r="D276" i="10"/>
  <c r="D277" i="10"/>
  <c r="D278" i="10"/>
  <c r="D279" i="10"/>
  <c r="D280" i="10"/>
  <c r="D281" i="10"/>
  <c r="D282" i="10"/>
  <c r="D283" i="10"/>
  <c r="D272" i="10"/>
  <c r="EA67" i="23"/>
  <c r="M170" i="23"/>
  <c r="J170" i="23"/>
  <c r="K270" i="10" l="1"/>
  <c r="D270" i="10" s="1"/>
  <c r="L170" i="23" l="1"/>
  <c r="K170" i="23"/>
  <c r="EA65" i="23"/>
  <c r="DZ65" i="23"/>
  <c r="W33" i="23"/>
  <c r="W34" i="23"/>
  <c r="W35" i="23"/>
  <c r="W36" i="23"/>
  <c r="W37" i="23"/>
  <c r="W38" i="23"/>
  <c r="W39" i="23"/>
  <c r="W40" i="23"/>
  <c r="W41" i="23"/>
  <c r="W42" i="23"/>
  <c r="W43" i="23"/>
  <c r="W44" i="23"/>
  <c r="W19" i="23"/>
  <c r="W20" i="23"/>
  <c r="W21" i="23"/>
  <c r="W22" i="23"/>
  <c r="W23" i="23"/>
  <c r="W24" i="23"/>
  <c r="W25" i="23"/>
  <c r="W26" i="23"/>
  <c r="W27" i="23"/>
  <c r="W28" i="23"/>
  <c r="W29" i="23"/>
  <c r="W30" i="23"/>
  <c r="W18" i="23" l="1"/>
  <c r="W16" i="23" s="1"/>
  <c r="F113" i="27"/>
  <c r="E113" i="27"/>
  <c r="A113" i="27"/>
  <c r="H79" i="28"/>
  <c r="G79" i="28"/>
  <c r="B79" i="28"/>
  <c r="A79" i="28"/>
  <c r="AE4" i="23"/>
  <c r="AE5" i="23"/>
  <c r="AE6" i="23"/>
  <c r="AE7" i="23"/>
  <c r="AE8" i="23"/>
  <c r="AE9" i="23"/>
  <c r="AE10" i="23"/>
  <c r="AE11" i="23"/>
  <c r="AE12" i="23"/>
  <c r="AE13" i="23"/>
  <c r="AE14" i="23"/>
  <c r="AE3" i="23"/>
  <c r="AG9" i="23"/>
  <c r="AH6" i="23"/>
  <c r="AG6" i="23"/>
  <c r="AF6" i="23" s="1"/>
  <c r="H74" i="21" l="1"/>
  <c r="BI123" i="19"/>
  <c r="BF123" i="19"/>
  <c r="BC123" i="19"/>
  <c r="E55" i="17"/>
  <c r="E54" i="17"/>
  <c r="H180" i="10" l="1"/>
  <c r="AC83" i="23"/>
  <c r="R83" i="23" s="1"/>
  <c r="AB82" i="23"/>
  <c r="AC82" i="23" s="1"/>
  <c r="AC88" i="23" s="1"/>
  <c r="X81" i="23"/>
  <c r="X82" i="23" s="1"/>
  <c r="R84" i="23" l="1"/>
  <c r="R86" i="23" s="1"/>
  <c r="S83" i="23"/>
  <c r="C162" i="23"/>
  <c r="D162" i="23"/>
  <c r="E162" i="23"/>
  <c r="F162" i="23"/>
  <c r="G162" i="23"/>
  <c r="H162" i="23"/>
  <c r="I162" i="23"/>
  <c r="J162" i="23"/>
  <c r="K162" i="23"/>
  <c r="L162" i="23"/>
  <c r="M162" i="23"/>
  <c r="N162" i="23"/>
  <c r="C163" i="23"/>
  <c r="D163" i="23"/>
  <c r="D172" i="23" s="1"/>
  <c r="E163" i="23"/>
  <c r="F163" i="23"/>
  <c r="G163" i="23"/>
  <c r="H163" i="23"/>
  <c r="I163" i="23"/>
  <c r="J163" i="23"/>
  <c r="K163" i="23"/>
  <c r="L163" i="23"/>
  <c r="M163" i="23"/>
  <c r="N163" i="23"/>
  <c r="C164" i="23"/>
  <c r="D164" i="23"/>
  <c r="E164" i="23"/>
  <c r="F164" i="23"/>
  <c r="G164" i="23"/>
  <c r="H164" i="23"/>
  <c r="I164" i="23"/>
  <c r="J164" i="23"/>
  <c r="K164" i="23"/>
  <c r="L164" i="23"/>
  <c r="M164" i="23"/>
  <c r="N164" i="23"/>
  <c r="C165" i="23"/>
  <c r="D165" i="23"/>
  <c r="E165" i="23"/>
  <c r="F165" i="23"/>
  <c r="G165" i="23"/>
  <c r="H165" i="23"/>
  <c r="I165" i="23"/>
  <c r="J165" i="23"/>
  <c r="K165" i="23"/>
  <c r="L165" i="23"/>
  <c r="M165" i="23"/>
  <c r="N165" i="23"/>
  <c r="C166" i="23"/>
  <c r="D166" i="23"/>
  <c r="E166" i="23"/>
  <c r="F166" i="23"/>
  <c r="G166" i="23"/>
  <c r="H166" i="23"/>
  <c r="I166" i="23"/>
  <c r="J166" i="23"/>
  <c r="K166" i="23"/>
  <c r="L166" i="23"/>
  <c r="M166" i="23"/>
  <c r="N166" i="23"/>
  <c r="C167" i="23"/>
  <c r="D167" i="23"/>
  <c r="E167" i="23"/>
  <c r="F167" i="23"/>
  <c r="G167" i="23"/>
  <c r="H167" i="23"/>
  <c r="I167" i="23"/>
  <c r="J167" i="23"/>
  <c r="K167" i="23"/>
  <c r="L167" i="23"/>
  <c r="M167" i="23"/>
  <c r="N167" i="23"/>
  <c r="C168" i="23"/>
  <c r="D168" i="23"/>
  <c r="E168" i="23"/>
  <c r="F168" i="23"/>
  <c r="G168" i="23"/>
  <c r="H168" i="23"/>
  <c r="I168" i="23"/>
  <c r="J168" i="23"/>
  <c r="K168" i="23"/>
  <c r="L168" i="23"/>
  <c r="M168" i="23"/>
  <c r="N168" i="23"/>
  <c r="C169" i="23"/>
  <c r="D169" i="23"/>
  <c r="E169" i="23"/>
  <c r="F169" i="23"/>
  <c r="G169" i="23"/>
  <c r="H169" i="23"/>
  <c r="I169" i="23"/>
  <c r="J169" i="23"/>
  <c r="K169" i="23"/>
  <c r="L169" i="23"/>
  <c r="M169" i="23"/>
  <c r="N169" i="23"/>
  <c r="C170" i="23"/>
  <c r="D170" i="23"/>
  <c r="E170" i="23"/>
  <c r="F170" i="23"/>
  <c r="G170" i="23"/>
  <c r="H170" i="23"/>
  <c r="I170" i="23"/>
  <c r="I176" i="23" s="1"/>
  <c r="E161" i="23"/>
  <c r="F161" i="23"/>
  <c r="G161" i="23"/>
  <c r="H161" i="23"/>
  <c r="I161" i="23"/>
  <c r="J161" i="23"/>
  <c r="K161" i="23"/>
  <c r="L161" i="23"/>
  <c r="M161" i="23"/>
  <c r="N161" i="23"/>
  <c r="D161" i="23"/>
  <c r="C161" i="23"/>
  <c r="E160" i="23"/>
  <c r="F160" i="23"/>
  <c r="G160" i="23"/>
  <c r="H160" i="23"/>
  <c r="I160" i="23"/>
  <c r="J160" i="23"/>
  <c r="K160" i="23"/>
  <c r="L160" i="23"/>
  <c r="M160" i="23"/>
  <c r="N160" i="23"/>
  <c r="D160" i="23"/>
  <c r="S84" i="23" l="1"/>
  <c r="S86" i="23" s="1"/>
  <c r="T83" i="23"/>
  <c r="E172" i="23"/>
  <c r="F172" i="23" s="1"/>
  <c r="G172" i="23" s="1"/>
  <c r="H172" i="23" s="1"/>
  <c r="J176" i="23"/>
  <c r="U83" i="23" l="1"/>
  <c r="T84" i="23"/>
  <c r="T86" i="23" s="1"/>
  <c r="K176" i="23"/>
  <c r="F58" i="17"/>
  <c r="ED49" i="23"/>
  <c r="EA49" i="23"/>
  <c r="EB49" i="23"/>
  <c r="EC49" i="23"/>
  <c r="DW48" i="23"/>
  <c r="DX48" i="23"/>
  <c r="DY48" i="23"/>
  <c r="DZ48" i="23"/>
  <c r="EA48" i="23"/>
  <c r="EB48" i="23"/>
  <c r="EC48" i="23"/>
  <c r="ED48" i="23"/>
  <c r="DW49" i="23"/>
  <c r="DX49" i="23"/>
  <c r="DY49" i="23"/>
  <c r="DZ49" i="23"/>
  <c r="DW65" i="23"/>
  <c r="DX65" i="23"/>
  <c r="DY65" i="23"/>
  <c r="S33" i="23"/>
  <c r="T33" i="23"/>
  <c r="U33" i="23"/>
  <c r="V33" i="23"/>
  <c r="S34" i="23"/>
  <c r="T34" i="23"/>
  <c r="U34" i="23"/>
  <c r="V34" i="23"/>
  <c r="S35" i="23"/>
  <c r="T35" i="23"/>
  <c r="U35" i="23"/>
  <c r="V35" i="23"/>
  <c r="S36" i="23"/>
  <c r="T36" i="23"/>
  <c r="U36" i="23"/>
  <c r="V36" i="23"/>
  <c r="S37" i="23"/>
  <c r="T37" i="23"/>
  <c r="U37" i="23"/>
  <c r="V37" i="23"/>
  <c r="S38" i="23"/>
  <c r="T38" i="23"/>
  <c r="U38" i="23"/>
  <c r="V38" i="23"/>
  <c r="S39" i="23"/>
  <c r="T39" i="23"/>
  <c r="U39" i="23"/>
  <c r="V39" i="23"/>
  <c r="S40" i="23"/>
  <c r="T40" i="23"/>
  <c r="U40" i="23"/>
  <c r="V40" i="23"/>
  <c r="S41" i="23"/>
  <c r="T41" i="23"/>
  <c r="U41" i="23"/>
  <c r="V41" i="23"/>
  <c r="S42" i="23"/>
  <c r="T42" i="23"/>
  <c r="U42" i="23"/>
  <c r="V42" i="23"/>
  <c r="S43" i="23"/>
  <c r="T43" i="23"/>
  <c r="U43" i="23"/>
  <c r="V43" i="23"/>
  <c r="S44" i="23"/>
  <c r="T44" i="23"/>
  <c r="U44" i="23"/>
  <c r="V44" i="23"/>
  <c r="V21" i="23"/>
  <c r="S19" i="23"/>
  <c r="T19" i="23"/>
  <c r="U19" i="23"/>
  <c r="V19" i="23"/>
  <c r="S20" i="23"/>
  <c r="T20" i="23"/>
  <c r="U20" i="23"/>
  <c r="V20" i="23"/>
  <c r="S21" i="23"/>
  <c r="T21" i="23"/>
  <c r="U21" i="23"/>
  <c r="S22" i="23"/>
  <c r="T22" i="23"/>
  <c r="U22" i="23"/>
  <c r="V22" i="23"/>
  <c r="S23" i="23"/>
  <c r="T23" i="23"/>
  <c r="U23" i="23"/>
  <c r="V23" i="23"/>
  <c r="S24" i="23"/>
  <c r="T24" i="23"/>
  <c r="U24" i="23"/>
  <c r="V24" i="23"/>
  <c r="S25" i="23"/>
  <c r="T25" i="23"/>
  <c r="U25" i="23"/>
  <c r="V25" i="23"/>
  <c r="S26" i="23"/>
  <c r="T26" i="23"/>
  <c r="U26" i="23"/>
  <c r="V26" i="23"/>
  <c r="S27" i="23"/>
  <c r="T27" i="23"/>
  <c r="U27" i="23"/>
  <c r="V27" i="23"/>
  <c r="S28" i="23"/>
  <c r="T28" i="23"/>
  <c r="U28" i="23"/>
  <c r="V28" i="23"/>
  <c r="S29" i="23"/>
  <c r="T29" i="23"/>
  <c r="U29" i="23"/>
  <c r="V29" i="23"/>
  <c r="S30" i="23"/>
  <c r="T30" i="23"/>
  <c r="U30" i="23"/>
  <c r="V30" i="23"/>
  <c r="V83" i="23" l="1"/>
  <c r="U84" i="23"/>
  <c r="U86" i="23" s="1"/>
  <c r="L176" i="23"/>
  <c r="V18" i="23"/>
  <c r="V16" i="23" s="1"/>
  <c r="U18" i="23"/>
  <c r="U16" i="23" s="1"/>
  <c r="T18" i="23"/>
  <c r="T16" i="23" s="1"/>
  <c r="S18" i="23"/>
  <c r="S16" i="23" s="1"/>
  <c r="W83" i="23" l="1"/>
  <c r="V84" i="23"/>
  <c r="V86" i="23" s="1"/>
  <c r="M176" i="23"/>
  <c r="N176" i="23" s="1"/>
  <c r="AC165" i="11"/>
  <c r="AC154" i="11"/>
  <c r="AA157" i="11"/>
  <c r="AA160" i="11"/>
  <c r="AA163" i="11"/>
  <c r="AA154" i="11"/>
  <c r="X155" i="11"/>
  <c r="X156" i="11"/>
  <c r="X157" i="11"/>
  <c r="X158" i="11"/>
  <c r="X159" i="11"/>
  <c r="X160" i="11"/>
  <c r="X161" i="11"/>
  <c r="X162" i="11"/>
  <c r="X163" i="11"/>
  <c r="X164" i="11"/>
  <c r="X165" i="11"/>
  <c r="X154" i="11"/>
  <c r="AN186" i="10"/>
  <c r="AP186" i="10" s="1"/>
  <c r="AD180" i="10"/>
  <c r="AO190" i="10"/>
  <c r="AO191" i="10" s="1"/>
  <c r="AA165" i="11" s="1"/>
  <c r="AO187" i="10"/>
  <c r="AO188" i="10" s="1"/>
  <c r="AA162" i="11" s="1"/>
  <c r="AO184" i="10"/>
  <c r="AO185" i="10" s="1"/>
  <c r="AA159" i="11" s="1"/>
  <c r="AO181" i="10"/>
  <c r="AO182" i="10" s="1"/>
  <c r="AA156" i="11" s="1"/>
  <c r="AN181" i="10"/>
  <c r="AN182" i="10"/>
  <c r="AN183" i="10"/>
  <c r="AN184" i="10"/>
  <c r="AN185" i="10"/>
  <c r="AN187" i="10"/>
  <c r="AP187" i="10" s="1"/>
  <c r="AN188" i="10"/>
  <c r="AN189" i="10"/>
  <c r="AP189" i="10" s="1"/>
  <c r="AN190" i="10"/>
  <c r="AN191" i="10"/>
  <c r="AN180" i="10"/>
  <c r="AP180" i="10" s="1"/>
  <c r="AJ191" i="10"/>
  <c r="AJ180" i="10"/>
  <c r="X83" i="23" l="1"/>
  <c r="W84" i="23"/>
  <c r="W86" i="23" s="1"/>
  <c r="AP185" i="10"/>
  <c r="AA161" i="11"/>
  <c r="AA155" i="11"/>
  <c r="AA158" i="11"/>
  <c r="AP181" i="10"/>
  <c r="AA164" i="11"/>
  <c r="AP190" i="10"/>
  <c r="AP188" i="10"/>
  <c r="AP191" i="10"/>
  <c r="AP184" i="10"/>
  <c r="AP183" i="10"/>
  <c r="AP182" i="10"/>
  <c r="Y83" i="23" l="1"/>
  <c r="X84" i="23"/>
  <c r="X86" i="23" s="1"/>
  <c r="AK178" i="10"/>
  <c r="AH192" i="10"/>
  <c r="AH181" i="10" s="1"/>
  <c r="Z83" i="23" l="1"/>
  <c r="Y84" i="23"/>
  <c r="Y86" i="23" s="1"/>
  <c r="AH182" i="10"/>
  <c r="AC155" i="11"/>
  <c r="AJ181" i="10"/>
  <c r="H75" i="28"/>
  <c r="G75" i="28"/>
  <c r="B75" i="28"/>
  <c r="A75" i="28"/>
  <c r="H71" i="28"/>
  <c r="G71" i="28"/>
  <c r="B71" i="28"/>
  <c r="A71" i="28"/>
  <c r="AA83" i="23" l="1"/>
  <c r="Z84" i="23"/>
  <c r="Z86" i="23" s="1"/>
  <c r="AH183" i="10"/>
  <c r="AC156" i="11"/>
  <c r="AJ182" i="10"/>
  <c r="F109" i="27"/>
  <c r="E109" i="27"/>
  <c r="A109" i="27"/>
  <c r="F105" i="27"/>
  <c r="E105" i="27"/>
  <c r="A105" i="27"/>
  <c r="P71" i="17"/>
  <c r="AA84" i="23" l="1"/>
  <c r="AA86" i="23" s="1"/>
  <c r="AB84" i="23"/>
  <c r="AB86" i="23" s="1"/>
  <c r="AH184" i="10"/>
  <c r="AJ183" i="10"/>
  <c r="AC157" i="11"/>
  <c r="AN112" i="19"/>
  <c r="AO112" i="19"/>
  <c r="AP112" i="19"/>
  <c r="AQ112" i="19"/>
  <c r="AH185" i="10" l="1"/>
  <c r="AC158" i="11"/>
  <c r="AJ184" i="10"/>
  <c r="H171" i="10"/>
  <c r="AH186" i="10" l="1"/>
  <c r="AC159" i="11"/>
  <c r="AJ185" i="10"/>
  <c r="AH187" i="10" l="1"/>
  <c r="AC160" i="11"/>
  <c r="AJ186" i="10"/>
  <c r="H67" i="28"/>
  <c r="G67" i="28"/>
  <c r="B67" i="28"/>
  <c r="A67" i="28"/>
  <c r="AH188" i="10" l="1"/>
  <c r="AJ187" i="10"/>
  <c r="AC161" i="11"/>
  <c r="F101" i="27"/>
  <c r="E101" i="27"/>
  <c r="A101" i="27"/>
  <c r="AH189" i="10" l="1"/>
  <c r="AC162" i="11"/>
  <c r="AJ188" i="10"/>
  <c r="T152" i="11"/>
  <c r="AH190" i="10" l="1"/>
  <c r="AC163" i="11"/>
  <c r="AJ189" i="10"/>
  <c r="T152" i="34"/>
  <c r="T143" i="34" s="1"/>
  <c r="T144" i="34" s="1"/>
  <c r="T145" i="34" s="1"/>
  <c r="AL212" i="10"/>
  <c r="X144" i="34" s="1"/>
  <c r="AL211" i="10"/>
  <c r="X143" i="34" s="1"/>
  <c r="AL213" i="10"/>
  <c r="X145" i="34" s="1"/>
  <c r="AL214" i="10"/>
  <c r="X146" i="34" s="1"/>
  <c r="AL215" i="10"/>
  <c r="X147" i="34" s="1"/>
  <c r="AL216" i="10"/>
  <c r="X148" i="34" s="1"/>
  <c r="AL217" i="10"/>
  <c r="X149" i="34" s="1"/>
  <c r="AL218" i="10"/>
  <c r="X150" i="34" s="1"/>
  <c r="F195" i="34"/>
  <c r="F196" i="34" s="1"/>
  <c r="F197" i="34" s="1"/>
  <c r="F198" i="34" s="1"/>
  <c r="F199" i="34" s="1"/>
  <c r="F200" i="34" s="1"/>
  <c r="F201" i="34" s="1"/>
  <c r="F202" i="34" s="1"/>
  <c r="F203" i="34" s="1"/>
  <c r="F204" i="34" s="1"/>
  <c r="F205" i="34" s="1"/>
  <c r="F206" i="34" s="1"/>
  <c r="G195" i="34" s="1"/>
  <c r="G196" i="34" s="1"/>
  <c r="G197" i="34" s="1"/>
  <c r="G198" i="34" s="1"/>
  <c r="G199" i="34" s="1"/>
  <c r="G200" i="34" s="1"/>
  <c r="G201" i="34" s="1"/>
  <c r="G202" i="34" s="1"/>
  <c r="G203" i="34" s="1"/>
  <c r="G204" i="34" s="1"/>
  <c r="G205" i="34" s="1"/>
  <c r="G206" i="34" s="1"/>
  <c r="H195" i="34" s="1"/>
  <c r="H196" i="34" s="1"/>
  <c r="H197" i="34" s="1"/>
  <c r="H198" i="34" s="1"/>
  <c r="H199" i="34" s="1"/>
  <c r="H200" i="34" s="1"/>
  <c r="H201" i="34" s="1"/>
  <c r="H202" i="34" s="1"/>
  <c r="H203" i="34" s="1"/>
  <c r="H204" i="34" s="1"/>
  <c r="H205" i="34" s="1"/>
  <c r="H206" i="34" s="1"/>
  <c r="I195" i="34" s="1"/>
  <c r="I196" i="34" s="1"/>
  <c r="I197" i="34" s="1"/>
  <c r="I198" i="34" s="1"/>
  <c r="I199" i="34" s="1"/>
  <c r="I200" i="34" s="1"/>
  <c r="I201" i="34" s="1"/>
  <c r="I202" i="34" s="1"/>
  <c r="I203" i="34" s="1"/>
  <c r="I204" i="34" s="1"/>
  <c r="I205" i="34" s="1"/>
  <c r="I206" i="34" s="1"/>
  <c r="J195" i="34" s="1"/>
  <c r="J196" i="34" s="1"/>
  <c r="J197" i="34" s="1"/>
  <c r="J198" i="34" s="1"/>
  <c r="J199" i="34" s="1"/>
  <c r="J200" i="34" s="1"/>
  <c r="J201" i="34" s="1"/>
  <c r="J202" i="34" s="1"/>
  <c r="J203" i="34" s="1"/>
  <c r="J204" i="34" s="1"/>
  <c r="J205" i="34" s="1"/>
  <c r="J206" i="34" s="1"/>
  <c r="K195" i="34" s="1"/>
  <c r="K196" i="34" s="1"/>
  <c r="K197" i="34" s="1"/>
  <c r="K198" i="34" s="1"/>
  <c r="K199" i="34" s="1"/>
  <c r="K200" i="34" s="1"/>
  <c r="K201" i="34" s="1"/>
  <c r="K202" i="34" s="1"/>
  <c r="K203" i="34" s="1"/>
  <c r="K204" i="34" s="1"/>
  <c r="K205" i="34" s="1"/>
  <c r="K206" i="34" s="1"/>
  <c r="L195" i="34" s="1"/>
  <c r="L196" i="34" s="1"/>
  <c r="L197" i="34" s="1"/>
  <c r="L198" i="34" s="1"/>
  <c r="L199" i="34" s="1"/>
  <c r="L200" i="34" s="1"/>
  <c r="L201" i="34" s="1"/>
  <c r="L202" i="34" s="1"/>
  <c r="L203" i="34" s="1"/>
  <c r="L204" i="34" s="1"/>
  <c r="L205" i="34" s="1"/>
  <c r="L206" i="34" s="1"/>
  <c r="M195" i="34" s="1"/>
  <c r="M196" i="34" s="1"/>
  <c r="M197" i="34" s="1"/>
  <c r="M198" i="34" s="1"/>
  <c r="M199" i="34" s="1"/>
  <c r="M200" i="34" s="1"/>
  <c r="M201" i="34" s="1"/>
  <c r="M202" i="34" s="1"/>
  <c r="M203" i="34" s="1"/>
  <c r="M204" i="34" s="1"/>
  <c r="M205" i="34" s="1"/>
  <c r="M206" i="34" s="1"/>
  <c r="N195" i="34" s="1"/>
  <c r="N196" i="34" s="1"/>
  <c r="N197" i="34" s="1"/>
  <c r="N198" i="34" s="1"/>
  <c r="N199" i="34" s="1"/>
  <c r="P174" i="34"/>
  <c r="L174" i="34"/>
  <c r="P173" i="34"/>
  <c r="L173" i="34"/>
  <c r="P172" i="34"/>
  <c r="L172" i="34"/>
  <c r="G172" i="34"/>
  <c r="P171" i="34"/>
  <c r="L171" i="34"/>
  <c r="G171" i="34"/>
  <c r="AA170" i="34"/>
  <c r="AB170" i="34" s="1"/>
  <c r="P170" i="34"/>
  <c r="L170" i="34"/>
  <c r="G170" i="34"/>
  <c r="AA169" i="34"/>
  <c r="AB169" i="34" s="1"/>
  <c r="P169" i="34"/>
  <c r="L169" i="34"/>
  <c r="G169" i="34"/>
  <c r="AA168" i="34"/>
  <c r="AB168" i="34" s="1"/>
  <c r="P168" i="34"/>
  <c r="L168" i="34"/>
  <c r="G168" i="34"/>
  <c r="P167" i="34"/>
  <c r="L167" i="34"/>
  <c r="G167" i="34"/>
  <c r="P166" i="34"/>
  <c r="L166" i="34"/>
  <c r="G166" i="34"/>
  <c r="P165" i="34"/>
  <c r="L165" i="34"/>
  <c r="G165" i="34"/>
  <c r="P164" i="34"/>
  <c r="L164" i="34"/>
  <c r="G164" i="34"/>
  <c r="X163" i="34"/>
  <c r="P163" i="34"/>
  <c r="L163" i="34"/>
  <c r="L175" i="34" s="1"/>
  <c r="G163" i="34"/>
  <c r="G162" i="34"/>
  <c r="G161" i="34"/>
  <c r="D159" i="34"/>
  <c r="D158" i="34"/>
  <c r="D157" i="34"/>
  <c r="AC150" i="34"/>
  <c r="D150" i="34"/>
  <c r="AC149" i="34"/>
  <c r="D149" i="34"/>
  <c r="AC148" i="34"/>
  <c r="AA148" i="34"/>
  <c r="D148" i="34"/>
  <c r="AC147" i="34"/>
  <c r="D147" i="34"/>
  <c r="AC146" i="34"/>
  <c r="D146" i="34"/>
  <c r="AC145" i="34"/>
  <c r="AA145" i="34"/>
  <c r="D145" i="34"/>
  <c r="AC144" i="34"/>
  <c r="G144" i="34"/>
  <c r="G145" i="34" s="1"/>
  <c r="G146" i="34" s="1"/>
  <c r="G147" i="34" s="1"/>
  <c r="G148" i="34" s="1"/>
  <c r="G149" i="34" s="1"/>
  <c r="G150" i="34" s="1"/>
  <c r="D144" i="34"/>
  <c r="AC143" i="34"/>
  <c r="D143" i="34"/>
  <c r="AC142" i="34"/>
  <c r="AA142" i="34"/>
  <c r="X142" i="34"/>
  <c r="D142" i="34"/>
  <c r="AC141" i="34"/>
  <c r="X141" i="34"/>
  <c r="D141" i="34"/>
  <c r="AC140" i="34"/>
  <c r="X140" i="34"/>
  <c r="D140" i="34"/>
  <c r="AC139" i="34"/>
  <c r="AA139" i="34"/>
  <c r="X139" i="34"/>
  <c r="D139" i="34"/>
  <c r="AP137" i="34"/>
  <c r="AC137" i="34"/>
  <c r="X137" i="34"/>
  <c r="L136" i="34"/>
  <c r="L125" i="34" s="1"/>
  <c r="L126" i="34" s="1"/>
  <c r="L127" i="34" s="1"/>
  <c r="L128" i="34" s="1"/>
  <c r="L129" i="34" s="1"/>
  <c r="L130" i="34" s="1"/>
  <c r="L131" i="34" s="1"/>
  <c r="L132" i="34" s="1"/>
  <c r="L133" i="34" s="1"/>
  <c r="H136" i="34"/>
  <c r="N212" i="34" s="1"/>
  <c r="AH135" i="34"/>
  <c r="AC135" i="34"/>
  <c r="X135" i="34"/>
  <c r="V135" i="34"/>
  <c r="H135" i="34"/>
  <c r="M223" i="34" s="1"/>
  <c r="D135" i="34"/>
  <c r="AH134" i="34"/>
  <c r="AC134" i="34"/>
  <c r="X134" i="34"/>
  <c r="L134" i="34"/>
  <c r="H134" i="34"/>
  <c r="M222" i="34" s="1"/>
  <c r="D134" i="34"/>
  <c r="AN133" i="34"/>
  <c r="AH133" i="34"/>
  <c r="AC133" i="34"/>
  <c r="AA133" i="34"/>
  <c r="X133" i="34"/>
  <c r="H133" i="34"/>
  <c r="M221" i="34" s="1"/>
  <c r="D133" i="34"/>
  <c r="AH132" i="34"/>
  <c r="AC132" i="34"/>
  <c r="X132" i="34"/>
  <c r="H132" i="34"/>
  <c r="M220" i="34" s="1"/>
  <c r="D132" i="34"/>
  <c r="AH131" i="34"/>
  <c r="AC131" i="34"/>
  <c r="X131" i="34"/>
  <c r="H131" i="34"/>
  <c r="M219" i="34" s="1"/>
  <c r="D131" i="34"/>
  <c r="AN130" i="34"/>
  <c r="AH130" i="34"/>
  <c r="AC130" i="34"/>
  <c r="AA130" i="34"/>
  <c r="X130" i="34"/>
  <c r="H130" i="34"/>
  <c r="M218" i="34" s="1"/>
  <c r="D130" i="34"/>
  <c r="AH129" i="34"/>
  <c r="AC129" i="34"/>
  <c r="X129" i="34"/>
  <c r="H129" i="34"/>
  <c r="M217" i="34" s="1"/>
  <c r="D129" i="34"/>
  <c r="AH128" i="34"/>
  <c r="AC128" i="34"/>
  <c r="X128" i="34"/>
  <c r="H128" i="34"/>
  <c r="M216" i="34" s="1"/>
  <c r="D128" i="34"/>
  <c r="AN127" i="34"/>
  <c r="AH127" i="34"/>
  <c r="AC127" i="34"/>
  <c r="AA127" i="34"/>
  <c r="X127" i="34"/>
  <c r="H127" i="34"/>
  <c r="M215" i="34" s="1"/>
  <c r="D127" i="34"/>
  <c r="AH126" i="34"/>
  <c r="AC126" i="34"/>
  <c r="X126" i="34"/>
  <c r="H126" i="34"/>
  <c r="M214" i="34" s="1"/>
  <c r="D126" i="34"/>
  <c r="AH125" i="34"/>
  <c r="AC125" i="34"/>
  <c r="X125" i="34"/>
  <c r="H125" i="34"/>
  <c r="M213" i="34" s="1"/>
  <c r="D125" i="34"/>
  <c r="AN124" i="34"/>
  <c r="AH124" i="34"/>
  <c r="AC124" i="34"/>
  <c r="AA124" i="34"/>
  <c r="X124" i="34"/>
  <c r="H124" i="34"/>
  <c r="M212" i="34" s="1"/>
  <c r="D124" i="34"/>
  <c r="AC121" i="34"/>
  <c r="AA121" i="34"/>
  <c r="X121" i="34"/>
  <c r="R121" i="34"/>
  <c r="E121" i="34"/>
  <c r="L223" i="34" s="1"/>
  <c r="D121" i="34"/>
  <c r="AC120" i="34"/>
  <c r="Q173" i="34" s="1"/>
  <c r="AA120" i="34"/>
  <c r="X120" i="34"/>
  <c r="Z120" i="34" s="1"/>
  <c r="R120" i="34"/>
  <c r="E120" i="34"/>
  <c r="L222" i="34" s="1"/>
  <c r="D120" i="34"/>
  <c r="AC119" i="34"/>
  <c r="Q172" i="34" s="1"/>
  <c r="AA119" i="34"/>
  <c r="X119" i="34"/>
  <c r="Z119" i="34" s="1"/>
  <c r="R119" i="34"/>
  <c r="E119" i="34"/>
  <c r="L221" i="34" s="1"/>
  <c r="D119" i="34"/>
  <c r="AC118" i="34"/>
  <c r="Q171" i="34" s="1"/>
  <c r="AA118" i="34"/>
  <c r="X118" i="34"/>
  <c r="Z118" i="34" s="1"/>
  <c r="R118" i="34"/>
  <c r="E118" i="34"/>
  <c r="L220" i="34" s="1"/>
  <c r="D118" i="34"/>
  <c r="AC117" i="34"/>
  <c r="AD117" i="34" s="1"/>
  <c r="AA117" i="34"/>
  <c r="X117" i="34"/>
  <c r="R117" i="34"/>
  <c r="E117" i="34"/>
  <c r="L219" i="34" s="1"/>
  <c r="D117" i="34"/>
  <c r="AC116" i="34"/>
  <c r="AA116" i="34"/>
  <c r="X116" i="34"/>
  <c r="Z116" i="34" s="1"/>
  <c r="R116" i="34"/>
  <c r="E116" i="34"/>
  <c r="L218" i="34" s="1"/>
  <c r="O218" i="34" s="1"/>
  <c r="N218" i="34" s="1"/>
  <c r="H145" i="34" s="1"/>
  <c r="D116" i="34"/>
  <c r="AC115" i="34"/>
  <c r="Q168" i="34" s="1"/>
  <c r="AA115" i="34"/>
  <c r="X115" i="34"/>
  <c r="Z115" i="34" s="1"/>
  <c r="R115" i="34"/>
  <c r="E115" i="34"/>
  <c r="L217" i="34" s="1"/>
  <c r="D115" i="34"/>
  <c r="AC114" i="34"/>
  <c r="Q167" i="34" s="1"/>
  <c r="AA114" i="34"/>
  <c r="X114" i="34"/>
  <c r="Z114" i="34" s="1"/>
  <c r="R114" i="34"/>
  <c r="E114" i="34"/>
  <c r="L216" i="34" s="1"/>
  <c r="D114" i="34"/>
  <c r="AC113" i="34"/>
  <c r="AA113" i="34"/>
  <c r="X113" i="34"/>
  <c r="R113" i="34"/>
  <c r="E113" i="34"/>
  <c r="L215" i="34" s="1"/>
  <c r="D113" i="34"/>
  <c r="AC112" i="34"/>
  <c r="AA112" i="34"/>
  <c r="X112" i="34"/>
  <c r="Z112" i="34" s="1"/>
  <c r="R112" i="34"/>
  <c r="E112" i="34"/>
  <c r="L214" i="34" s="1"/>
  <c r="D112" i="34"/>
  <c r="AC111" i="34"/>
  <c r="Q164" i="34" s="1"/>
  <c r="AA111" i="34"/>
  <c r="X111" i="34"/>
  <c r="Z111" i="34" s="1"/>
  <c r="R111" i="34"/>
  <c r="E111" i="34"/>
  <c r="L213" i="34" s="1"/>
  <c r="D111" i="34"/>
  <c r="AC110" i="34"/>
  <c r="Q163" i="34" s="1"/>
  <c r="AA110" i="34"/>
  <c r="X110" i="34"/>
  <c r="Z110" i="34" s="1"/>
  <c r="R110" i="34"/>
  <c r="E110" i="34"/>
  <c r="L212" i="34" s="1"/>
  <c r="D110" i="34"/>
  <c r="AH109" i="34"/>
  <c r="AG109" i="34"/>
  <c r="AF109" i="34"/>
  <c r="AD109" i="34"/>
  <c r="Z109" i="34"/>
  <c r="AB109" i="34" s="1"/>
  <c r="N109" i="34" s="1"/>
  <c r="E109" i="34"/>
  <c r="K223" i="34" s="1"/>
  <c r="D109" i="34"/>
  <c r="AH108" i="34"/>
  <c r="AG108" i="34"/>
  <c r="AF108" i="34"/>
  <c r="AD108" i="34"/>
  <c r="Z108" i="34"/>
  <c r="AB108" i="34" s="1"/>
  <c r="E108" i="34"/>
  <c r="K222" i="34" s="1"/>
  <c r="D108" i="34"/>
  <c r="AH107" i="34"/>
  <c r="AG107" i="34"/>
  <c r="AF107" i="34"/>
  <c r="AK107" i="34" s="1"/>
  <c r="AD107" i="34"/>
  <c r="Z107" i="34"/>
  <c r="AB107" i="34" s="1"/>
  <c r="N107" i="34" s="1"/>
  <c r="E107" i="34"/>
  <c r="K221" i="34" s="1"/>
  <c r="D107" i="34"/>
  <c r="AH106" i="34"/>
  <c r="AG106" i="34"/>
  <c r="AF106" i="34"/>
  <c r="AK106" i="34" s="1"/>
  <c r="AD106" i="34"/>
  <c r="Z106" i="34"/>
  <c r="AB106" i="34" s="1"/>
  <c r="E106" i="34"/>
  <c r="K220" i="34" s="1"/>
  <c r="D106" i="34"/>
  <c r="AH105" i="34"/>
  <c r="AG105" i="34"/>
  <c r="AF105" i="34"/>
  <c r="AD105" i="34"/>
  <c r="AB105" i="34"/>
  <c r="Z105" i="34"/>
  <c r="E105" i="34"/>
  <c r="K219" i="34" s="1"/>
  <c r="D105" i="34"/>
  <c r="AH104" i="34"/>
  <c r="AG104" i="34"/>
  <c r="AF104" i="34"/>
  <c r="AD104" i="34"/>
  <c r="Z104" i="34"/>
  <c r="AB104" i="34" s="1"/>
  <c r="E104" i="34"/>
  <c r="K218" i="34" s="1"/>
  <c r="D104" i="34"/>
  <c r="AH103" i="34"/>
  <c r="AG103" i="34"/>
  <c r="AF103" i="34"/>
  <c r="AK103" i="34" s="1"/>
  <c r="AD103" i="34"/>
  <c r="Z103" i="34"/>
  <c r="AB103" i="34" s="1"/>
  <c r="E103" i="34"/>
  <c r="K217" i="34" s="1"/>
  <c r="O217" i="34" s="1"/>
  <c r="N217" i="34" s="1"/>
  <c r="H144" i="34" s="1"/>
  <c r="D103" i="34"/>
  <c r="AH102" i="34"/>
  <c r="AG102" i="34"/>
  <c r="AF102" i="34"/>
  <c r="AD102" i="34"/>
  <c r="AB102" i="34"/>
  <c r="Z102" i="34"/>
  <c r="E102" i="34"/>
  <c r="K216" i="34" s="1"/>
  <c r="D102" i="34"/>
  <c r="AH101" i="34"/>
  <c r="AG101" i="34"/>
  <c r="AF101" i="34"/>
  <c r="AD101" i="34"/>
  <c r="Z101" i="34"/>
  <c r="AB101" i="34" s="1"/>
  <c r="E101" i="34"/>
  <c r="K215" i="34" s="1"/>
  <c r="D101" i="34"/>
  <c r="AH100" i="34"/>
  <c r="AG100" i="34"/>
  <c r="AF100" i="34"/>
  <c r="AD100" i="34"/>
  <c r="Z100" i="34"/>
  <c r="AB100" i="34" s="1"/>
  <c r="N100" i="34" s="1"/>
  <c r="O100" i="34" s="1"/>
  <c r="I100" i="34"/>
  <c r="E100" i="34"/>
  <c r="K214" i="34" s="1"/>
  <c r="D100" i="34"/>
  <c r="AH99" i="34"/>
  <c r="AG99" i="34"/>
  <c r="AF99" i="34"/>
  <c r="AD99" i="34"/>
  <c r="N99" i="34" s="1"/>
  <c r="AB99" i="34"/>
  <c r="Z99" i="34"/>
  <c r="I99" i="34"/>
  <c r="E99" i="34"/>
  <c r="K213" i="34" s="1"/>
  <c r="D99" i="34"/>
  <c r="AH98" i="34"/>
  <c r="AG98" i="34"/>
  <c r="AF98" i="34"/>
  <c r="AD98" i="34"/>
  <c r="Z98" i="34"/>
  <c r="AB98" i="34" s="1"/>
  <c r="Y98" i="34"/>
  <c r="Y111" i="34" s="1"/>
  <c r="I98" i="34"/>
  <c r="H98" i="34"/>
  <c r="H99" i="34" s="1"/>
  <c r="H100" i="34" s="1"/>
  <c r="H101" i="34" s="1"/>
  <c r="H102" i="34" s="1"/>
  <c r="H103" i="34" s="1"/>
  <c r="H104" i="34" s="1"/>
  <c r="H105" i="34" s="1"/>
  <c r="H106" i="34" s="1"/>
  <c r="H107" i="34" s="1"/>
  <c r="H108" i="34" s="1"/>
  <c r="E98" i="34"/>
  <c r="K212" i="34" s="1"/>
  <c r="D98" i="34"/>
  <c r="AH97" i="34"/>
  <c r="AI97" i="34" s="1"/>
  <c r="AG97" i="34"/>
  <c r="AF97" i="34"/>
  <c r="AD97" i="34"/>
  <c r="Z97" i="34"/>
  <c r="AB97" i="34" s="1"/>
  <c r="I97" i="34"/>
  <c r="E97" i="34"/>
  <c r="J223" i="34" s="1"/>
  <c r="O223" i="34" s="1"/>
  <c r="N223" i="34" s="1"/>
  <c r="H150" i="34" s="1"/>
  <c r="D97" i="34"/>
  <c r="AH96" i="34"/>
  <c r="AI96" i="34" s="1"/>
  <c r="AJ96" i="34" s="1"/>
  <c r="AG96" i="34"/>
  <c r="AF96" i="34"/>
  <c r="AD96" i="34"/>
  <c r="Z96" i="34"/>
  <c r="AB96" i="34" s="1"/>
  <c r="N96" i="34" s="1"/>
  <c r="O96" i="34" s="1"/>
  <c r="P96" i="34"/>
  <c r="I96" i="34"/>
  <c r="E96" i="34"/>
  <c r="J222" i="34" s="1"/>
  <c r="D96" i="34"/>
  <c r="AK95" i="34"/>
  <c r="AH95" i="34"/>
  <c r="AI95" i="34" s="1"/>
  <c r="AJ95" i="34" s="1"/>
  <c r="AG95" i="34"/>
  <c r="AF95" i="34"/>
  <c r="AD95" i="34"/>
  <c r="Z95" i="34"/>
  <c r="AB95" i="34" s="1"/>
  <c r="I95" i="34"/>
  <c r="E95" i="34"/>
  <c r="J221" i="34" s="1"/>
  <c r="D95" i="34"/>
  <c r="AH94" i="34"/>
  <c r="AI94" i="34" s="1"/>
  <c r="AJ94" i="34" s="1"/>
  <c r="AG94" i="34"/>
  <c r="AF94" i="34"/>
  <c r="AD94" i="34"/>
  <c r="AB94" i="34"/>
  <c r="Z94" i="34"/>
  <c r="I94" i="34"/>
  <c r="E94" i="34"/>
  <c r="J220" i="34" s="1"/>
  <c r="O220" i="34" s="1"/>
  <c r="N220" i="34" s="1"/>
  <c r="H147" i="34" s="1"/>
  <c r="D94" i="34"/>
  <c r="AH93" i="34"/>
  <c r="AI93" i="34" s="1"/>
  <c r="AJ93" i="34" s="1"/>
  <c r="AG93" i="34"/>
  <c r="AF93" i="34"/>
  <c r="AK93" i="34" s="1"/>
  <c r="AD93" i="34"/>
  <c r="Z93" i="34"/>
  <c r="AB93" i="34" s="1"/>
  <c r="I93" i="34"/>
  <c r="E93" i="34"/>
  <c r="J219" i="34" s="1"/>
  <c r="D93" i="34"/>
  <c r="AH92" i="34"/>
  <c r="AI92" i="34" s="1"/>
  <c r="AJ92" i="34" s="1"/>
  <c r="AG92" i="34"/>
  <c r="AF92" i="34"/>
  <c r="AK92" i="34" s="1"/>
  <c r="AD92" i="34"/>
  <c r="Z92" i="34"/>
  <c r="AB92" i="34" s="1"/>
  <c r="I92" i="34"/>
  <c r="E92" i="34"/>
  <c r="J218" i="34" s="1"/>
  <c r="D92" i="34"/>
  <c r="AH91" i="34"/>
  <c r="AI91" i="34" s="1"/>
  <c r="AJ91" i="34" s="1"/>
  <c r="AG91" i="34"/>
  <c r="AF91" i="34"/>
  <c r="AK91" i="34" s="1"/>
  <c r="AD91" i="34"/>
  <c r="Z91" i="34"/>
  <c r="AB91" i="34" s="1"/>
  <c r="I91" i="34"/>
  <c r="E91" i="34"/>
  <c r="J217" i="34" s="1"/>
  <c r="D91" i="34"/>
  <c r="AH90" i="34"/>
  <c r="AI90" i="34" s="1"/>
  <c r="AJ90" i="34" s="1"/>
  <c r="AG90" i="34"/>
  <c r="AF90" i="34"/>
  <c r="AD90" i="34"/>
  <c r="N90" i="34" s="1"/>
  <c r="AB90" i="34"/>
  <c r="Z90" i="34"/>
  <c r="I90" i="34"/>
  <c r="E90" i="34"/>
  <c r="J216" i="34" s="1"/>
  <c r="O216" i="34" s="1"/>
  <c r="N216" i="34" s="1"/>
  <c r="H143" i="34" s="1"/>
  <c r="D90" i="34"/>
  <c r="AH89" i="34"/>
  <c r="AI89" i="34" s="1"/>
  <c r="AG89" i="34"/>
  <c r="AF89" i="34"/>
  <c r="AK89" i="34" s="1"/>
  <c r="AD89" i="34"/>
  <c r="Z89" i="34"/>
  <c r="AB89" i="34" s="1"/>
  <c r="I89" i="34"/>
  <c r="E89" i="34"/>
  <c r="J215" i="34" s="1"/>
  <c r="D89" i="34"/>
  <c r="AH88" i="34"/>
  <c r="AI88" i="34" s="1"/>
  <c r="AJ88" i="34" s="1"/>
  <c r="AG88" i="34"/>
  <c r="AF88" i="34"/>
  <c r="AD88" i="34"/>
  <c r="Z88" i="34"/>
  <c r="AB88" i="34" s="1"/>
  <c r="I88" i="34"/>
  <c r="E88" i="34"/>
  <c r="J214" i="34" s="1"/>
  <c r="D88" i="34"/>
  <c r="AH87" i="34"/>
  <c r="AI87" i="34" s="1"/>
  <c r="AJ87" i="34" s="1"/>
  <c r="AG87" i="34"/>
  <c r="AF87" i="34"/>
  <c r="AK87" i="34" s="1"/>
  <c r="AD87" i="34"/>
  <c r="Z87" i="34"/>
  <c r="AB87" i="34" s="1"/>
  <c r="I87" i="34"/>
  <c r="E87" i="34"/>
  <c r="J213" i="34" s="1"/>
  <c r="O213" i="34" s="1"/>
  <c r="N213" i="34" s="1"/>
  <c r="H140" i="34" s="1"/>
  <c r="D87" i="34"/>
  <c r="AH86" i="34"/>
  <c r="AI86" i="34" s="1"/>
  <c r="AJ86" i="34" s="1"/>
  <c r="AG86" i="34"/>
  <c r="AF86" i="34"/>
  <c r="AD86" i="34"/>
  <c r="AB86" i="34"/>
  <c r="Z86" i="34"/>
  <c r="I86" i="34"/>
  <c r="E86" i="34"/>
  <c r="J212" i="34" s="1"/>
  <c r="O212" i="34" s="1"/>
  <c r="D86" i="34"/>
  <c r="AI85" i="34"/>
  <c r="AJ85" i="34" s="1"/>
  <c r="AG85" i="34"/>
  <c r="AF85" i="34"/>
  <c r="AD85" i="34"/>
  <c r="AB85" i="34"/>
  <c r="Z85" i="34"/>
  <c r="I85" i="34"/>
  <c r="E85" i="34"/>
  <c r="I223" i="34" s="1"/>
  <c r="D85" i="34"/>
  <c r="AI84" i="34"/>
  <c r="AJ84" i="34" s="1"/>
  <c r="AG84" i="34"/>
  <c r="AF84" i="34"/>
  <c r="AK84" i="34" s="1"/>
  <c r="AD84" i="34"/>
  <c r="Z84" i="34"/>
  <c r="AB84" i="34" s="1"/>
  <c r="N84" i="34" s="1"/>
  <c r="I84" i="34"/>
  <c r="E84" i="34"/>
  <c r="I222" i="34" s="1"/>
  <c r="D84" i="34"/>
  <c r="AI83" i="34"/>
  <c r="AJ83" i="34" s="1"/>
  <c r="AG83" i="34"/>
  <c r="AF83" i="34"/>
  <c r="AD83" i="34"/>
  <c r="AB83" i="34"/>
  <c r="K83" i="34" s="1"/>
  <c r="L83" i="34" s="1"/>
  <c r="Z83" i="34"/>
  <c r="I83" i="34"/>
  <c r="E83" i="34"/>
  <c r="I221" i="34" s="1"/>
  <c r="D83" i="34"/>
  <c r="AI82" i="34"/>
  <c r="AJ82" i="34" s="1"/>
  <c r="AG82" i="34"/>
  <c r="AF82" i="34"/>
  <c r="AK82" i="34" s="1"/>
  <c r="AD82" i="34"/>
  <c r="Z82" i="34"/>
  <c r="AB82" i="34" s="1"/>
  <c r="I82" i="34"/>
  <c r="E82" i="34"/>
  <c r="I220" i="34" s="1"/>
  <c r="D82" i="34"/>
  <c r="AI81" i="34"/>
  <c r="AJ81" i="34" s="1"/>
  <c r="AG81" i="34"/>
  <c r="AF81" i="34"/>
  <c r="AD81" i="34"/>
  <c r="Z81" i="34"/>
  <c r="AB81" i="34" s="1"/>
  <c r="N81" i="34" s="1"/>
  <c r="I81" i="34"/>
  <c r="E81" i="34"/>
  <c r="I219" i="34" s="1"/>
  <c r="D81" i="34"/>
  <c r="AI80" i="34"/>
  <c r="AJ80" i="34" s="1"/>
  <c r="AG80" i="34"/>
  <c r="AF80" i="34"/>
  <c r="AD80" i="34"/>
  <c r="Z80" i="34"/>
  <c r="AB80" i="34" s="1"/>
  <c r="K80" i="34" s="1"/>
  <c r="L80" i="34" s="1"/>
  <c r="I80" i="34"/>
  <c r="E80" i="34"/>
  <c r="I218" i="34" s="1"/>
  <c r="D80" i="34"/>
  <c r="AJ79" i="34"/>
  <c r="AI79" i="34"/>
  <c r="AG79" i="34"/>
  <c r="AF79" i="34"/>
  <c r="AD79" i="34"/>
  <c r="AB79" i="34"/>
  <c r="Z79" i="34"/>
  <c r="K79" i="34"/>
  <c r="L79" i="34" s="1"/>
  <c r="I79" i="34"/>
  <c r="E79" i="34"/>
  <c r="I217" i="34" s="1"/>
  <c r="D79" i="34"/>
  <c r="AK78" i="34"/>
  <c r="AI78" i="34"/>
  <c r="AJ78" i="34" s="1"/>
  <c r="AG78" i="34"/>
  <c r="AF78" i="34"/>
  <c r="AD78" i="34"/>
  <c r="Z78" i="34"/>
  <c r="AB78" i="34" s="1"/>
  <c r="I78" i="34"/>
  <c r="E78" i="34"/>
  <c r="I216" i="34" s="1"/>
  <c r="D78" i="34"/>
  <c r="AI77" i="34"/>
  <c r="AJ77" i="34" s="1"/>
  <c r="AG77" i="34"/>
  <c r="AF77" i="34"/>
  <c r="AD77" i="34"/>
  <c r="AB77" i="34"/>
  <c r="Z77" i="34"/>
  <c r="I77" i="34"/>
  <c r="E77" i="34"/>
  <c r="I215" i="34" s="1"/>
  <c r="D77" i="34"/>
  <c r="AI76" i="34"/>
  <c r="AJ76" i="34" s="1"/>
  <c r="AG76" i="34"/>
  <c r="AF76" i="34"/>
  <c r="AK76" i="34" s="1"/>
  <c r="AD76" i="34"/>
  <c r="Z76" i="34"/>
  <c r="AB76" i="34" s="1"/>
  <c r="N76" i="34" s="1"/>
  <c r="I76" i="34"/>
  <c r="E76" i="34"/>
  <c r="I214" i="34" s="1"/>
  <c r="D76" i="34"/>
  <c r="AI75" i="34"/>
  <c r="AJ75" i="34" s="1"/>
  <c r="AG75" i="34"/>
  <c r="AF75" i="34"/>
  <c r="AD75" i="34"/>
  <c r="AB75" i="34"/>
  <c r="K75" i="34" s="1"/>
  <c r="L75" i="34" s="1"/>
  <c r="Z75" i="34"/>
  <c r="I75" i="34"/>
  <c r="E75" i="34"/>
  <c r="I213" i="34" s="1"/>
  <c r="D75" i="34"/>
  <c r="AI74" i="34"/>
  <c r="AJ74" i="34" s="1"/>
  <c r="AG74" i="34"/>
  <c r="AF74" i="34"/>
  <c r="AK74" i="34" s="1"/>
  <c r="AD74" i="34"/>
  <c r="Z74" i="34"/>
  <c r="AB74" i="34" s="1"/>
  <c r="I74" i="34"/>
  <c r="G74" i="34" s="1"/>
  <c r="E74" i="34"/>
  <c r="I212" i="34" s="1"/>
  <c r="D74" i="34"/>
  <c r="AJ73" i="34"/>
  <c r="AI73" i="34"/>
  <c r="AG73" i="34"/>
  <c r="AF73" i="34"/>
  <c r="AD73" i="34"/>
  <c r="Z73" i="34"/>
  <c r="AB73" i="34" s="1"/>
  <c r="I73" i="34"/>
  <c r="E73" i="34"/>
  <c r="H223" i="34" s="1"/>
  <c r="D73" i="34"/>
  <c r="AI72" i="34"/>
  <c r="AJ72" i="34" s="1"/>
  <c r="AG72" i="34"/>
  <c r="AF72" i="34"/>
  <c r="AD72" i="34"/>
  <c r="AB72" i="34"/>
  <c r="Z72" i="34"/>
  <c r="I72" i="34"/>
  <c r="E72" i="34"/>
  <c r="H222" i="34" s="1"/>
  <c r="D72" i="34"/>
  <c r="AJ71" i="34"/>
  <c r="AI71" i="34"/>
  <c r="AG71" i="34"/>
  <c r="AF71" i="34"/>
  <c r="AD71" i="34"/>
  <c r="Z71" i="34"/>
  <c r="AB71" i="34" s="1"/>
  <c r="I71" i="34"/>
  <c r="E71" i="34"/>
  <c r="H221" i="34" s="1"/>
  <c r="D71" i="34"/>
  <c r="AI70" i="34"/>
  <c r="AJ70" i="34" s="1"/>
  <c r="AG70" i="34"/>
  <c r="AF70" i="34"/>
  <c r="AD70" i="34"/>
  <c r="Z70" i="34"/>
  <c r="AB70" i="34" s="1"/>
  <c r="N70" i="34" s="1"/>
  <c r="I70" i="34"/>
  <c r="E70" i="34"/>
  <c r="H220" i="34" s="1"/>
  <c r="D70" i="34"/>
  <c r="AJ69" i="34"/>
  <c r="AI69" i="34"/>
  <c r="AG69" i="34"/>
  <c r="AF69" i="34"/>
  <c r="AD69" i="34"/>
  <c r="Z69" i="34"/>
  <c r="AB69" i="34" s="1"/>
  <c r="I69" i="34"/>
  <c r="E69" i="34"/>
  <c r="H219" i="34" s="1"/>
  <c r="D69" i="34"/>
  <c r="AI68" i="34"/>
  <c r="AJ68" i="34" s="1"/>
  <c r="AG68" i="34"/>
  <c r="AF68" i="34"/>
  <c r="AD68" i="34"/>
  <c r="AB68" i="34"/>
  <c r="Z68" i="34"/>
  <c r="I68" i="34"/>
  <c r="E68" i="34"/>
  <c r="H218" i="34" s="1"/>
  <c r="D68" i="34"/>
  <c r="AJ67" i="34"/>
  <c r="AI67" i="34"/>
  <c r="AG67" i="34"/>
  <c r="AF67" i="34"/>
  <c r="AD67" i="34"/>
  <c r="Z67" i="34"/>
  <c r="AB67" i="34" s="1"/>
  <c r="I67" i="34"/>
  <c r="E67" i="34"/>
  <c r="H217" i="34" s="1"/>
  <c r="D67" i="34"/>
  <c r="AI66" i="34"/>
  <c r="AJ66" i="34" s="1"/>
  <c r="AG66" i="34"/>
  <c r="AF66" i="34"/>
  <c r="AD66" i="34"/>
  <c r="Z66" i="34"/>
  <c r="AB66" i="34" s="1"/>
  <c r="N66" i="34" s="1"/>
  <c r="I66" i="34"/>
  <c r="E66" i="34"/>
  <c r="H216" i="34" s="1"/>
  <c r="D66" i="34"/>
  <c r="AJ65" i="34"/>
  <c r="AI65" i="34"/>
  <c r="AG65" i="34"/>
  <c r="AF65" i="34"/>
  <c r="AD65" i="34"/>
  <c r="Z65" i="34"/>
  <c r="AB65" i="34" s="1"/>
  <c r="I65" i="34"/>
  <c r="E65" i="34"/>
  <c r="H215" i="34" s="1"/>
  <c r="D65" i="34"/>
  <c r="AI64" i="34"/>
  <c r="AJ64" i="34" s="1"/>
  <c r="AG64" i="34"/>
  <c r="AF64" i="34"/>
  <c r="AD64" i="34"/>
  <c r="AB64" i="34"/>
  <c r="Z64" i="34"/>
  <c r="I64" i="34"/>
  <c r="E64" i="34"/>
  <c r="H214" i="34" s="1"/>
  <c r="D64" i="34"/>
  <c r="AJ63" i="34"/>
  <c r="AI63" i="34"/>
  <c r="AG63" i="34"/>
  <c r="AF63" i="34"/>
  <c r="AD63" i="34"/>
  <c r="Z63" i="34"/>
  <c r="AB63" i="34" s="1"/>
  <c r="I63" i="34"/>
  <c r="E63" i="34"/>
  <c r="H213" i="34" s="1"/>
  <c r="D63" i="34"/>
  <c r="AI62" i="34"/>
  <c r="AJ62" i="34" s="1"/>
  <c r="AG62" i="34"/>
  <c r="AF62" i="34"/>
  <c r="AD62" i="34"/>
  <c r="Z62" i="34"/>
  <c r="AB62" i="34" s="1"/>
  <c r="N62" i="34" s="1"/>
  <c r="I62" i="34"/>
  <c r="E62" i="34"/>
  <c r="H212" i="34" s="1"/>
  <c r="D62" i="34"/>
  <c r="AI61" i="34"/>
  <c r="AJ61" i="34" s="1"/>
  <c r="AG61" i="34"/>
  <c r="AF61" i="34"/>
  <c r="AD61" i="34"/>
  <c r="AB61" i="34"/>
  <c r="Z61" i="34"/>
  <c r="I61" i="34"/>
  <c r="E61" i="34"/>
  <c r="G223" i="34" s="1"/>
  <c r="D61" i="34"/>
  <c r="AJ60" i="34"/>
  <c r="AI60" i="34"/>
  <c r="AG60" i="34"/>
  <c r="AF60" i="34"/>
  <c r="AD60" i="34"/>
  <c r="Z60" i="34"/>
  <c r="AB60" i="34" s="1"/>
  <c r="I60" i="34"/>
  <c r="E60" i="34"/>
  <c r="G222" i="34" s="1"/>
  <c r="D60" i="34"/>
  <c r="AJ59" i="34"/>
  <c r="AI59" i="34"/>
  <c r="AG59" i="34"/>
  <c r="AF59" i="34"/>
  <c r="AD59" i="34"/>
  <c r="Z59" i="34"/>
  <c r="AB59" i="34" s="1"/>
  <c r="I59" i="34"/>
  <c r="E59" i="34"/>
  <c r="G221" i="34" s="1"/>
  <c r="D59" i="34"/>
  <c r="AI58" i="34"/>
  <c r="AJ58" i="34" s="1"/>
  <c r="AG58" i="34"/>
  <c r="AF58" i="34"/>
  <c r="AD58" i="34"/>
  <c r="Z58" i="34"/>
  <c r="AB58" i="34" s="1"/>
  <c r="I58" i="34"/>
  <c r="E58" i="34"/>
  <c r="G220" i="34" s="1"/>
  <c r="D58" i="34"/>
  <c r="AI57" i="34"/>
  <c r="AJ57" i="34" s="1"/>
  <c r="AG57" i="34"/>
  <c r="AF57" i="34"/>
  <c r="AD57" i="34"/>
  <c r="AB57" i="34"/>
  <c r="Z57" i="34"/>
  <c r="I57" i="34"/>
  <c r="E57" i="34"/>
  <c r="G219" i="34" s="1"/>
  <c r="D57" i="34"/>
  <c r="AJ56" i="34"/>
  <c r="AI56" i="34"/>
  <c r="AG56" i="34"/>
  <c r="AF56" i="34"/>
  <c r="AD56" i="34"/>
  <c r="Z56" i="34"/>
  <c r="AB56" i="34" s="1"/>
  <c r="I56" i="34"/>
  <c r="E56" i="34"/>
  <c r="G218" i="34" s="1"/>
  <c r="D56" i="34"/>
  <c r="AI55" i="34"/>
  <c r="AJ55" i="34" s="1"/>
  <c r="AG55" i="34"/>
  <c r="AF55" i="34"/>
  <c r="AK55" i="34" s="1"/>
  <c r="AD55" i="34"/>
  <c r="AB55" i="34"/>
  <c r="Z55" i="34"/>
  <c r="I55" i="34"/>
  <c r="E55" i="34"/>
  <c r="G217" i="34" s="1"/>
  <c r="D55" i="34"/>
  <c r="AI54" i="34"/>
  <c r="AJ54" i="34" s="1"/>
  <c r="AG54" i="34"/>
  <c r="AF54" i="34"/>
  <c r="AD54" i="34"/>
  <c r="AB54" i="34"/>
  <c r="Z54" i="34"/>
  <c r="I54" i="34"/>
  <c r="E54" i="34"/>
  <c r="G216" i="34" s="1"/>
  <c r="D54" i="34"/>
  <c r="AI53" i="34"/>
  <c r="AJ53" i="34" s="1"/>
  <c r="AG53" i="34"/>
  <c r="AF53" i="34"/>
  <c r="AK53" i="34" s="1"/>
  <c r="AD53" i="34"/>
  <c r="Z53" i="34"/>
  <c r="AB53" i="34" s="1"/>
  <c r="I53" i="34"/>
  <c r="E53" i="34"/>
  <c r="G215" i="34" s="1"/>
  <c r="D53" i="34"/>
  <c r="AJ52" i="34"/>
  <c r="AI52" i="34"/>
  <c r="AG52" i="34"/>
  <c r="AF52" i="34"/>
  <c r="AD52" i="34"/>
  <c r="Z52" i="34"/>
  <c r="AB52" i="34" s="1"/>
  <c r="I52" i="34"/>
  <c r="E52" i="34"/>
  <c r="G214" i="34" s="1"/>
  <c r="D52" i="34"/>
  <c r="AI51" i="34"/>
  <c r="AJ51" i="34" s="1"/>
  <c r="AG51" i="34"/>
  <c r="AF51" i="34"/>
  <c r="AD51" i="34"/>
  <c r="Z51" i="34"/>
  <c r="AB51" i="34" s="1"/>
  <c r="I51" i="34"/>
  <c r="E51" i="34"/>
  <c r="G213" i="34" s="1"/>
  <c r="D51" i="34"/>
  <c r="AI50" i="34"/>
  <c r="AJ50" i="34" s="1"/>
  <c r="AG50" i="34"/>
  <c r="AF50" i="34"/>
  <c r="AD50" i="34"/>
  <c r="Z50" i="34"/>
  <c r="AB50" i="34" s="1"/>
  <c r="I50" i="34"/>
  <c r="E50" i="34"/>
  <c r="G212" i="34" s="1"/>
  <c r="D50" i="34"/>
  <c r="AJ49" i="34"/>
  <c r="AI49" i="34"/>
  <c r="AG49" i="34"/>
  <c r="AF49" i="34"/>
  <c r="AD49" i="34"/>
  <c r="Z49" i="34"/>
  <c r="AB49" i="34" s="1"/>
  <c r="I49" i="34"/>
  <c r="E49" i="34"/>
  <c r="F223" i="34" s="1"/>
  <c r="D49" i="34"/>
  <c r="AJ48" i="34"/>
  <c r="AI48" i="34"/>
  <c r="AG48" i="34"/>
  <c r="AF48" i="34"/>
  <c r="AK48" i="34" s="1"/>
  <c r="AD48" i="34"/>
  <c r="AB48" i="34"/>
  <c r="Z48" i="34"/>
  <c r="I48" i="34"/>
  <c r="E48" i="34"/>
  <c r="F222" i="34" s="1"/>
  <c r="D48" i="34"/>
  <c r="AI47" i="34"/>
  <c r="AJ47" i="34" s="1"/>
  <c r="AG47" i="34"/>
  <c r="AF47" i="34"/>
  <c r="AD47" i="34"/>
  <c r="Z47" i="34"/>
  <c r="AB47" i="34" s="1"/>
  <c r="I47" i="34"/>
  <c r="E47" i="34"/>
  <c r="F221" i="34" s="1"/>
  <c r="D47" i="34"/>
  <c r="AI46" i="34"/>
  <c r="AJ46" i="34" s="1"/>
  <c r="AG46" i="34"/>
  <c r="AF46" i="34"/>
  <c r="AD46" i="34"/>
  <c r="Z46" i="34"/>
  <c r="AB46" i="34" s="1"/>
  <c r="I46" i="34"/>
  <c r="E46" i="34"/>
  <c r="F220" i="34" s="1"/>
  <c r="D46" i="34"/>
  <c r="AJ45" i="34"/>
  <c r="AI45" i="34"/>
  <c r="AG45" i="34"/>
  <c r="AF45" i="34"/>
  <c r="AK57" i="34" s="1"/>
  <c r="AD45" i="34"/>
  <c r="Z45" i="34"/>
  <c r="AB45" i="34" s="1"/>
  <c r="I45" i="34"/>
  <c r="E45" i="34"/>
  <c r="F219" i="34" s="1"/>
  <c r="D45" i="34"/>
  <c r="AJ44" i="34"/>
  <c r="AI44" i="34"/>
  <c r="AG44" i="34"/>
  <c r="AF44" i="34"/>
  <c r="AK44" i="34" s="1"/>
  <c r="AD44" i="34"/>
  <c r="AB44" i="34"/>
  <c r="Z44" i="34"/>
  <c r="I44" i="34"/>
  <c r="E44" i="34"/>
  <c r="F218" i="34" s="1"/>
  <c r="D44" i="34"/>
  <c r="AI43" i="34"/>
  <c r="AJ43" i="34" s="1"/>
  <c r="AG43" i="34"/>
  <c r="AF43" i="34"/>
  <c r="AD43" i="34"/>
  <c r="Z43" i="34"/>
  <c r="AB43" i="34" s="1"/>
  <c r="I43" i="34"/>
  <c r="E43" i="34"/>
  <c r="F217" i="34" s="1"/>
  <c r="D43" i="34"/>
  <c r="AI42" i="34"/>
  <c r="AJ42" i="34" s="1"/>
  <c r="AG42" i="34"/>
  <c r="AF42" i="34"/>
  <c r="AD42" i="34"/>
  <c r="Z42" i="34"/>
  <c r="AB42" i="34" s="1"/>
  <c r="I42" i="34"/>
  <c r="E42" i="34"/>
  <c r="F216" i="34" s="1"/>
  <c r="D42" i="34"/>
  <c r="AJ41" i="34"/>
  <c r="AI41" i="34"/>
  <c r="AG41" i="34"/>
  <c r="AF41" i="34"/>
  <c r="AD41" i="34"/>
  <c r="Z41" i="34"/>
  <c r="AB41" i="34" s="1"/>
  <c r="I41" i="34"/>
  <c r="E41" i="34"/>
  <c r="F215" i="34" s="1"/>
  <c r="D41" i="34"/>
  <c r="AJ40" i="34"/>
  <c r="AI40" i="34"/>
  <c r="AG40" i="34"/>
  <c r="AF40" i="34"/>
  <c r="AD40" i="34"/>
  <c r="AB40" i="34"/>
  <c r="Z40" i="34"/>
  <c r="I40" i="34"/>
  <c r="E40" i="34"/>
  <c r="F214" i="34" s="1"/>
  <c r="D40" i="34"/>
  <c r="AI39" i="34"/>
  <c r="AJ39" i="34" s="1"/>
  <c r="AG39" i="34"/>
  <c r="AF39" i="34"/>
  <c r="AD39" i="34"/>
  <c r="Z39" i="34"/>
  <c r="AB39" i="34" s="1"/>
  <c r="I39" i="34"/>
  <c r="E39" i="34"/>
  <c r="F213" i="34" s="1"/>
  <c r="D39" i="34"/>
  <c r="AI38" i="34"/>
  <c r="AJ38" i="34" s="1"/>
  <c r="AG38" i="34"/>
  <c r="AF38" i="34"/>
  <c r="AD38" i="34"/>
  <c r="Z38" i="34"/>
  <c r="AB38" i="34" s="1"/>
  <c r="I38" i="34"/>
  <c r="E38" i="34"/>
  <c r="F212" i="34" s="1"/>
  <c r="D38" i="34"/>
  <c r="AI37" i="34"/>
  <c r="AJ37" i="34" s="1"/>
  <c r="AG37" i="34"/>
  <c r="AF37" i="34"/>
  <c r="AD37" i="34"/>
  <c r="Z37" i="34"/>
  <c r="AB37" i="34" s="1"/>
  <c r="I37" i="34"/>
  <c r="E37" i="34"/>
  <c r="E223" i="34" s="1"/>
  <c r="D37" i="34"/>
  <c r="AJ36" i="34"/>
  <c r="AI36" i="34"/>
  <c r="AG36" i="34"/>
  <c r="AF36" i="34"/>
  <c r="AD36" i="34"/>
  <c r="Z36" i="34"/>
  <c r="AB36" i="34" s="1"/>
  <c r="I36" i="34"/>
  <c r="E36" i="34"/>
  <c r="E222" i="34" s="1"/>
  <c r="D36" i="34"/>
  <c r="AJ35" i="34"/>
  <c r="AI35" i="34"/>
  <c r="AG35" i="34"/>
  <c r="AF35" i="34"/>
  <c r="AK35" i="34" s="1"/>
  <c r="AD35" i="34"/>
  <c r="AB35" i="34"/>
  <c r="Z35" i="34"/>
  <c r="I35" i="34"/>
  <c r="E35" i="34"/>
  <c r="E221" i="34" s="1"/>
  <c r="D35" i="34"/>
  <c r="AI34" i="34"/>
  <c r="AJ34" i="34" s="1"/>
  <c r="AG34" i="34"/>
  <c r="AF34" i="34"/>
  <c r="AD34" i="34"/>
  <c r="Z34" i="34"/>
  <c r="AB34" i="34" s="1"/>
  <c r="I34" i="34"/>
  <c r="E34" i="34"/>
  <c r="E220" i="34" s="1"/>
  <c r="D34" i="34"/>
  <c r="AI33" i="34"/>
  <c r="AJ33" i="34" s="1"/>
  <c r="AG33" i="34"/>
  <c r="AF33" i="34"/>
  <c r="AD33" i="34"/>
  <c r="Z33" i="34"/>
  <c r="AB33" i="34" s="1"/>
  <c r="I33" i="34"/>
  <c r="E33" i="34"/>
  <c r="E219" i="34" s="1"/>
  <c r="D33" i="34"/>
  <c r="AJ32" i="34"/>
  <c r="AI32" i="34"/>
  <c r="AG32" i="34"/>
  <c r="AF32" i="34"/>
  <c r="AD32" i="34"/>
  <c r="Z32" i="34"/>
  <c r="AB32" i="34" s="1"/>
  <c r="I32" i="34"/>
  <c r="E32" i="34"/>
  <c r="E218" i="34" s="1"/>
  <c r="D32" i="34"/>
  <c r="AI31" i="34"/>
  <c r="AJ31" i="34" s="1"/>
  <c r="AG31" i="34"/>
  <c r="AF31" i="34"/>
  <c r="AK31" i="34" s="1"/>
  <c r="AD31" i="34"/>
  <c r="AB31" i="34"/>
  <c r="Z31" i="34"/>
  <c r="I31" i="34"/>
  <c r="E31" i="34"/>
  <c r="E217" i="34" s="1"/>
  <c r="D31" i="34"/>
  <c r="AI30" i="34"/>
  <c r="AJ30" i="34" s="1"/>
  <c r="AG30" i="34"/>
  <c r="AF30" i="34"/>
  <c r="AD30" i="34"/>
  <c r="Z30" i="34"/>
  <c r="AB30" i="34" s="1"/>
  <c r="I30" i="34"/>
  <c r="E30" i="34"/>
  <c r="E216" i="34" s="1"/>
  <c r="D30" i="34"/>
  <c r="AI29" i="34"/>
  <c r="AJ29" i="34" s="1"/>
  <c r="AG29" i="34"/>
  <c r="AF29" i="34"/>
  <c r="AD29" i="34"/>
  <c r="Z29" i="34"/>
  <c r="AB29" i="34" s="1"/>
  <c r="I29" i="34"/>
  <c r="E29" i="34"/>
  <c r="E215" i="34" s="1"/>
  <c r="D29" i="34"/>
  <c r="AJ28" i="34"/>
  <c r="AI28" i="34"/>
  <c r="AG28" i="34"/>
  <c r="AF28" i="34"/>
  <c r="AD28" i="34"/>
  <c r="Z28" i="34"/>
  <c r="AB28" i="34" s="1"/>
  <c r="I28" i="34"/>
  <c r="E28" i="34"/>
  <c r="E214" i="34" s="1"/>
  <c r="D28" i="34"/>
  <c r="AI27" i="34"/>
  <c r="AJ27" i="34" s="1"/>
  <c r="AG27" i="34"/>
  <c r="AF27" i="34"/>
  <c r="AK27" i="34" s="1"/>
  <c r="AD27" i="34"/>
  <c r="AB27" i="34"/>
  <c r="Z27" i="34"/>
  <c r="I27" i="34"/>
  <c r="E27" i="34"/>
  <c r="E213" i="34" s="1"/>
  <c r="D27" i="34"/>
  <c r="AI26" i="34"/>
  <c r="AJ26" i="34" s="1"/>
  <c r="AG26" i="34"/>
  <c r="AF26" i="34"/>
  <c r="AD26" i="34"/>
  <c r="Z26" i="34"/>
  <c r="I26" i="34"/>
  <c r="E26" i="34"/>
  <c r="E212" i="34" s="1"/>
  <c r="D26" i="34"/>
  <c r="AI25" i="34"/>
  <c r="AJ25" i="34" s="1"/>
  <c r="AG25" i="34"/>
  <c r="AF25" i="34"/>
  <c r="AD25" i="34"/>
  <c r="AB25" i="34"/>
  <c r="Z25" i="34"/>
  <c r="I25" i="34"/>
  <c r="E25" i="34"/>
  <c r="AJ24" i="34"/>
  <c r="AI24" i="34"/>
  <c r="AG24" i="34"/>
  <c r="AF24" i="34"/>
  <c r="AD24" i="34"/>
  <c r="Z24" i="34"/>
  <c r="I24" i="34"/>
  <c r="E24" i="34"/>
  <c r="AI23" i="34"/>
  <c r="AJ23" i="34" s="1"/>
  <c r="AG23" i="34"/>
  <c r="AF23" i="34"/>
  <c r="AD23" i="34"/>
  <c r="AB23" i="34"/>
  <c r="Z23" i="34"/>
  <c r="AB26" i="34" s="1"/>
  <c r="I23" i="34"/>
  <c r="E23" i="34"/>
  <c r="AJ22" i="34"/>
  <c r="AI22" i="34"/>
  <c r="AG22" i="34"/>
  <c r="AF22" i="34"/>
  <c r="AD22" i="34"/>
  <c r="Z22" i="34"/>
  <c r="I22" i="34"/>
  <c r="E22" i="34"/>
  <c r="AI21" i="34"/>
  <c r="AJ21" i="34" s="1"/>
  <c r="AG21" i="34"/>
  <c r="AF21" i="34"/>
  <c r="AD21" i="34"/>
  <c r="AB21" i="34"/>
  <c r="Z21" i="34"/>
  <c r="AB24" i="34" s="1"/>
  <c r="I21" i="34"/>
  <c r="E21" i="34"/>
  <c r="AJ20" i="34"/>
  <c r="AI20" i="34"/>
  <c r="AG20" i="34"/>
  <c r="AF20" i="34"/>
  <c r="AD20" i="34"/>
  <c r="Z20" i="34"/>
  <c r="I20" i="34"/>
  <c r="E20" i="34"/>
  <c r="AI19" i="34"/>
  <c r="AJ19" i="34" s="1"/>
  <c r="AG19" i="34"/>
  <c r="AF19" i="34"/>
  <c r="AD19" i="34"/>
  <c r="AB19" i="34"/>
  <c r="Z19" i="34"/>
  <c r="AB22" i="34" s="1"/>
  <c r="I19" i="34"/>
  <c r="E19" i="34"/>
  <c r="AJ18" i="34"/>
  <c r="AI18" i="34"/>
  <c r="AG18" i="34"/>
  <c r="AF18" i="34"/>
  <c r="AD18" i="34"/>
  <c r="Z18" i="34"/>
  <c r="I18" i="34"/>
  <c r="E18" i="34"/>
  <c r="AI17" i="34"/>
  <c r="AJ17" i="34" s="1"/>
  <c r="AG17" i="34"/>
  <c r="AF17" i="34"/>
  <c r="AD17" i="34"/>
  <c r="AB17" i="34"/>
  <c r="Z17" i="34"/>
  <c r="AB20" i="34" s="1"/>
  <c r="I17" i="34"/>
  <c r="E17" i="34"/>
  <c r="AJ16" i="34"/>
  <c r="AI16" i="34"/>
  <c r="AG16" i="34"/>
  <c r="AF16" i="34"/>
  <c r="AD16" i="34"/>
  <c r="AB16" i="34"/>
  <c r="Z16" i="34"/>
  <c r="I16" i="34"/>
  <c r="E16" i="34"/>
  <c r="AI15" i="34"/>
  <c r="AJ15" i="34" s="1"/>
  <c r="AG15" i="34"/>
  <c r="AF15" i="34"/>
  <c r="Z15" i="34"/>
  <c r="AB18" i="34" s="1"/>
  <c r="I15" i="34"/>
  <c r="E15" i="34"/>
  <c r="AI14" i="34"/>
  <c r="AJ14" i="34" s="1"/>
  <c r="AG14" i="34"/>
  <c r="AF14" i="34"/>
  <c r="Z14" i="34"/>
  <c r="I14" i="34"/>
  <c r="E14" i="34"/>
  <c r="AF13" i="34"/>
  <c r="AF12" i="34"/>
  <c r="AF11" i="34"/>
  <c r="AF10" i="34"/>
  <c r="AF9" i="34"/>
  <c r="AF8" i="34"/>
  <c r="AF7" i="34"/>
  <c r="AF6" i="34"/>
  <c r="AF5" i="34"/>
  <c r="AF4" i="34"/>
  <c r="AF3" i="34"/>
  <c r="AF2" i="34"/>
  <c r="AJ213" i="10"/>
  <c r="AJ214" i="10"/>
  <c r="AJ215" i="10"/>
  <c r="AJ216" i="10"/>
  <c r="AJ217" i="10"/>
  <c r="AJ218" i="10"/>
  <c r="AJ212" i="10"/>
  <c r="Y24" i="19"/>
  <c r="Y12" i="19" s="1"/>
  <c r="W12" i="19"/>
  <c r="V12" i="16"/>
  <c r="B93" i="19"/>
  <c r="B37" i="19"/>
  <c r="B77" i="19" s="1"/>
  <c r="B64" i="19"/>
  <c r="H63" i="28"/>
  <c r="G63" i="28"/>
  <c r="B63" i="28"/>
  <c r="A63" i="28"/>
  <c r="K91" i="34" l="1"/>
  <c r="L91" i="34" s="1"/>
  <c r="N91" i="34"/>
  <c r="P99" i="34"/>
  <c r="O99" i="34"/>
  <c r="AK56" i="34"/>
  <c r="AK88" i="34"/>
  <c r="AK16" i="34"/>
  <c r="AK18" i="34"/>
  <c r="AK20" i="34"/>
  <c r="AK22" i="34"/>
  <c r="AK24" i="34"/>
  <c r="AK28" i="34"/>
  <c r="AK32" i="34"/>
  <c r="AK36" i="34"/>
  <c r="AK41" i="34"/>
  <c r="AK49" i="34"/>
  <c r="N63" i="34"/>
  <c r="AK65" i="34"/>
  <c r="N67" i="34"/>
  <c r="AK69" i="34"/>
  <c r="N71" i="34"/>
  <c r="AK73" i="34"/>
  <c r="K74" i="34"/>
  <c r="L74" i="34" s="1"/>
  <c r="K82" i="34"/>
  <c r="L82" i="34" s="1"/>
  <c r="O221" i="34"/>
  <c r="N221" i="34" s="1"/>
  <c r="H148" i="34" s="1"/>
  <c r="K97" i="34"/>
  <c r="L97" i="34" s="1"/>
  <c r="AK98" i="34"/>
  <c r="AK99" i="34"/>
  <c r="AK102" i="34"/>
  <c r="AK104" i="34"/>
  <c r="AK60" i="34"/>
  <c r="AK17" i="34"/>
  <c r="AK19" i="34"/>
  <c r="AK21" i="34"/>
  <c r="AK23" i="34"/>
  <c r="AK25" i="34"/>
  <c r="G26" i="34"/>
  <c r="AK29" i="34"/>
  <c r="AK33" i="34"/>
  <c r="AK37" i="34"/>
  <c r="AK38" i="34"/>
  <c r="AK42" i="34"/>
  <c r="AK46" i="34"/>
  <c r="AK50" i="34"/>
  <c r="K76" i="34"/>
  <c r="L76" i="34" s="1"/>
  <c r="AK80" i="34"/>
  <c r="K84" i="34"/>
  <c r="L84" i="34" s="1"/>
  <c r="N88" i="34"/>
  <c r="N92" i="34"/>
  <c r="O92" i="34" s="1"/>
  <c r="N93" i="34"/>
  <c r="P93" i="34" s="1"/>
  <c r="AK100" i="34"/>
  <c r="AK14" i="34"/>
  <c r="AK26" i="34"/>
  <c r="G38" i="34"/>
  <c r="AK39" i="34"/>
  <c r="AK43" i="34"/>
  <c r="AK47" i="34"/>
  <c r="G50" i="34"/>
  <c r="AK51" i="34"/>
  <c r="AK52" i="34"/>
  <c r="AK59" i="34"/>
  <c r="G62" i="34"/>
  <c r="AK63" i="34"/>
  <c r="N64" i="34"/>
  <c r="N65" i="34"/>
  <c r="AK66" i="34"/>
  <c r="AK67" i="34"/>
  <c r="N68" i="34"/>
  <c r="N69" i="34"/>
  <c r="AK70" i="34"/>
  <c r="AK71" i="34"/>
  <c r="N72" i="34"/>
  <c r="N73" i="34"/>
  <c r="N77" i="34"/>
  <c r="K78" i="34"/>
  <c r="L78" i="34" s="1"/>
  <c r="N80" i="34"/>
  <c r="N85" i="34"/>
  <c r="AK96" i="34"/>
  <c r="AK97" i="34"/>
  <c r="P100" i="34"/>
  <c r="N102" i="34"/>
  <c r="N104" i="34"/>
  <c r="N105" i="34"/>
  <c r="AK108" i="34"/>
  <c r="AB110" i="34"/>
  <c r="AB114" i="34"/>
  <c r="AD139" i="34"/>
  <c r="AB119" i="34"/>
  <c r="Z141" i="34"/>
  <c r="AF118" i="34"/>
  <c r="AK118" i="34" s="1"/>
  <c r="AD140" i="34"/>
  <c r="AD141" i="34"/>
  <c r="Z131" i="34"/>
  <c r="AC164" i="11"/>
  <c r="AJ190" i="10"/>
  <c r="AF115" i="34"/>
  <c r="AK115" i="34" s="1"/>
  <c r="AB116" i="34"/>
  <c r="AB115" i="34"/>
  <c r="AB120" i="34"/>
  <c r="AB112" i="34"/>
  <c r="AB111" i="34"/>
  <c r="AD118" i="34"/>
  <c r="K92" i="34"/>
  <c r="L92" i="34" s="1"/>
  <c r="AI101" i="34"/>
  <c r="K101" i="34" s="1"/>
  <c r="L101" i="34" s="1"/>
  <c r="AF120" i="34"/>
  <c r="AK120" i="34" s="1"/>
  <c r="Z146" i="34"/>
  <c r="AI100" i="34"/>
  <c r="AJ100" i="34" s="1"/>
  <c r="AF110" i="34"/>
  <c r="AK110" i="34" s="1"/>
  <c r="AB118" i="34"/>
  <c r="AD130" i="34"/>
  <c r="Z132" i="34"/>
  <c r="AD114" i="34"/>
  <c r="N114" i="34" s="1"/>
  <c r="AD129" i="34"/>
  <c r="K89" i="34"/>
  <c r="L89" i="34" s="1"/>
  <c r="AJ89" i="34"/>
  <c r="AJ97" i="34"/>
  <c r="AI102" i="34"/>
  <c r="AJ102" i="34" s="1"/>
  <c r="AI104" i="34"/>
  <c r="AJ104" i="34" s="1"/>
  <c r="AF111" i="34"/>
  <c r="AK111" i="34" s="1"/>
  <c r="AF114" i="34"/>
  <c r="AK114" i="34" s="1"/>
  <c r="AF119" i="34"/>
  <c r="AK119" i="34" s="1"/>
  <c r="AD124" i="34"/>
  <c r="AD126" i="34"/>
  <c r="Z128" i="34"/>
  <c r="Z130" i="34"/>
  <c r="AQ130" i="34" s="1"/>
  <c r="AD131" i="34"/>
  <c r="Z133" i="34"/>
  <c r="AB133" i="34" s="1"/>
  <c r="AD134" i="34"/>
  <c r="Z124" i="34"/>
  <c r="AQ124" i="34" s="1"/>
  <c r="AD127" i="34"/>
  <c r="AI107" i="34"/>
  <c r="K107" i="34" s="1"/>
  <c r="AI98" i="34"/>
  <c r="AJ98" i="34" s="1"/>
  <c r="AI99" i="34"/>
  <c r="AJ99" i="34" s="1"/>
  <c r="AI108" i="34"/>
  <c r="AJ108" i="34" s="1"/>
  <c r="AI109" i="34"/>
  <c r="AJ109" i="34" s="1"/>
  <c r="Z127" i="34"/>
  <c r="AB127" i="34" s="1"/>
  <c r="AD125" i="34"/>
  <c r="Z129" i="34"/>
  <c r="T146" i="34"/>
  <c r="T147" i="34" s="1"/>
  <c r="T148" i="34" s="1"/>
  <c r="T149" i="34" s="1"/>
  <c r="H120" i="34"/>
  <c r="H109" i="34"/>
  <c r="P109" i="34"/>
  <c r="O109" i="34"/>
  <c r="AK30" i="34"/>
  <c r="AK34" i="34"/>
  <c r="P90" i="34"/>
  <c r="O90" i="34"/>
  <c r="K95" i="34"/>
  <c r="L95" i="34" s="1"/>
  <c r="N95" i="34"/>
  <c r="N103" i="34"/>
  <c r="P107" i="34"/>
  <c r="O107" i="34"/>
  <c r="AK15" i="34"/>
  <c r="AK40" i="34"/>
  <c r="K87" i="34"/>
  <c r="L87" i="34" s="1"/>
  <c r="N87" i="34"/>
  <c r="P102" i="34"/>
  <c r="O102" i="34"/>
  <c r="P105" i="34"/>
  <c r="O105" i="34"/>
  <c r="AK45" i="34"/>
  <c r="K108" i="34"/>
  <c r="N108" i="34"/>
  <c r="AK109" i="34"/>
  <c r="Q166" i="34"/>
  <c r="AF113" i="34"/>
  <c r="AK113" i="34" s="1"/>
  <c r="AK61" i="34"/>
  <c r="K64" i="34"/>
  <c r="L64" i="34" s="1"/>
  <c r="AK83" i="34"/>
  <c r="AK90" i="34"/>
  <c r="AK101" i="34"/>
  <c r="AI105" i="34"/>
  <c r="Q165" i="34"/>
  <c r="AF112" i="34"/>
  <c r="AK112" i="34" s="1"/>
  <c r="AD112" i="34"/>
  <c r="AD113" i="34"/>
  <c r="Q169" i="34"/>
  <c r="AF116" i="34"/>
  <c r="AK116" i="34" s="1"/>
  <c r="AD116" i="34"/>
  <c r="N116" i="34" s="1"/>
  <c r="AD121" i="34"/>
  <c r="Q174" i="34"/>
  <c r="Z140" i="34"/>
  <c r="Z125" i="34"/>
  <c r="Z126" i="34"/>
  <c r="AD149" i="34"/>
  <c r="AD128" i="34"/>
  <c r="K62" i="34"/>
  <c r="L62" i="34" s="1"/>
  <c r="K66" i="34"/>
  <c r="L66" i="34" s="1"/>
  <c r="K72" i="34"/>
  <c r="L72" i="34" s="1"/>
  <c r="AK79" i="34"/>
  <c r="K86" i="34"/>
  <c r="L86" i="34" s="1"/>
  <c r="P91" i="34"/>
  <c r="O91" i="34"/>
  <c r="K93" i="34"/>
  <c r="L93" i="34" s="1"/>
  <c r="K94" i="34"/>
  <c r="L94" i="34" s="1"/>
  <c r="AK54" i="34"/>
  <c r="AK62" i="34"/>
  <c r="AK64" i="34"/>
  <c r="AK68" i="34"/>
  <c r="AK72" i="34"/>
  <c r="N74" i="34"/>
  <c r="K77" i="34"/>
  <c r="L77" i="34" s="1"/>
  <c r="N78" i="34"/>
  <c r="K81" i="34"/>
  <c r="L81" i="34" s="1"/>
  <c r="N82" i="34"/>
  <c r="K85" i="34"/>
  <c r="L85" i="34" s="1"/>
  <c r="N86" i="34"/>
  <c r="K88" i="34"/>
  <c r="L88" i="34" s="1"/>
  <c r="N89" i="34"/>
  <c r="P92" i="34"/>
  <c r="O93" i="34"/>
  <c r="N94" i="34"/>
  <c r="K96" i="34"/>
  <c r="L96" i="34" s="1"/>
  <c r="N97" i="34"/>
  <c r="N98" i="34"/>
  <c r="AK105" i="34"/>
  <c r="Z113" i="34"/>
  <c r="AB113" i="34" s="1"/>
  <c r="Z117" i="34"/>
  <c r="AB117" i="34" s="1"/>
  <c r="AF121" i="34"/>
  <c r="AK121" i="34" s="1"/>
  <c r="Q170" i="34"/>
  <c r="AF117" i="34"/>
  <c r="AK117" i="34" s="1"/>
  <c r="Z139" i="34"/>
  <c r="Z137" i="34"/>
  <c r="K68" i="34"/>
  <c r="L68" i="34" s="1"/>
  <c r="K70" i="34"/>
  <c r="L70" i="34" s="1"/>
  <c r="AK75" i="34"/>
  <c r="AK58" i="34"/>
  <c r="K63" i="34"/>
  <c r="L63" i="34" s="1"/>
  <c r="K65" i="34"/>
  <c r="L65" i="34" s="1"/>
  <c r="K67" i="34"/>
  <c r="L67" i="34" s="1"/>
  <c r="K69" i="34"/>
  <c r="L69" i="34" s="1"/>
  <c r="K71" i="34"/>
  <c r="L71" i="34" s="1"/>
  <c r="K73" i="34"/>
  <c r="L73" i="34" s="1"/>
  <c r="N75" i="34"/>
  <c r="AK77" i="34"/>
  <c r="N79" i="34"/>
  <c r="AK81" i="34"/>
  <c r="N83" i="34"/>
  <c r="AK85" i="34"/>
  <c r="AK86" i="34"/>
  <c r="K90" i="34"/>
  <c r="L90" i="34" s="1"/>
  <c r="AK94" i="34"/>
  <c r="N101" i="34"/>
  <c r="AI103" i="34"/>
  <c r="AJ103" i="34" s="1"/>
  <c r="N106" i="34"/>
  <c r="AI106" i="34"/>
  <c r="AJ106" i="34" s="1"/>
  <c r="Z121" i="34"/>
  <c r="AB121" i="34" s="1"/>
  <c r="Z135" i="34"/>
  <c r="AD132" i="34"/>
  <c r="O214" i="34"/>
  <c r="N214" i="34" s="1"/>
  <c r="H141" i="34" s="1"/>
  <c r="O222" i="34"/>
  <c r="N222" i="34" s="1"/>
  <c r="H149" i="34" s="1"/>
  <c r="Z134" i="34"/>
  <c r="AD135" i="34"/>
  <c r="O215" i="34"/>
  <c r="N215" i="34" s="1"/>
  <c r="H142" i="34" s="1"/>
  <c r="O219" i="34"/>
  <c r="N219" i="34" s="1"/>
  <c r="H146" i="34" s="1"/>
  <c r="AD110" i="34"/>
  <c r="AD111" i="34"/>
  <c r="N111" i="34" s="1"/>
  <c r="AD115" i="34"/>
  <c r="AD119" i="34"/>
  <c r="AD120" i="34"/>
  <c r="AD133" i="34"/>
  <c r="AD145" i="34"/>
  <c r="Z142" i="34"/>
  <c r="AD144" i="34"/>
  <c r="Z145" i="34"/>
  <c r="AD148" i="34"/>
  <c r="Z149" i="34"/>
  <c r="AD143" i="34"/>
  <c r="Z144" i="34"/>
  <c r="AD147" i="34"/>
  <c r="Z148" i="34"/>
  <c r="AD137" i="34"/>
  <c r="AD142" i="34"/>
  <c r="Z143" i="34"/>
  <c r="AD146" i="34"/>
  <c r="Z147" i="34"/>
  <c r="AD150" i="34"/>
  <c r="Z150" i="34"/>
  <c r="AB171" i="34"/>
  <c r="F97" i="27"/>
  <c r="E97" i="27"/>
  <c r="A97" i="27"/>
  <c r="H181" i="10"/>
  <c r="H182" i="10"/>
  <c r="H183" i="10"/>
  <c r="H184" i="10"/>
  <c r="H185" i="10"/>
  <c r="H186" i="10"/>
  <c r="H187" i="10"/>
  <c r="H188" i="10"/>
  <c r="H189" i="10"/>
  <c r="H190" i="10"/>
  <c r="H191" i="10"/>
  <c r="O88" i="34" l="1"/>
  <c r="P88" i="34"/>
  <c r="O104" i="34"/>
  <c r="P104" i="34"/>
  <c r="N112" i="34"/>
  <c r="AJ101" i="34"/>
  <c r="K99" i="34"/>
  <c r="L99" i="34" s="1"/>
  <c r="AQ133" i="34"/>
  <c r="K100" i="34"/>
  <c r="L100" i="34" s="1"/>
  <c r="N115" i="34"/>
  <c r="AB130" i="34"/>
  <c r="K104" i="34"/>
  <c r="L104" i="34" s="1"/>
  <c r="K102" i="34"/>
  <c r="L102" i="34" s="1"/>
  <c r="AJ107" i="34"/>
  <c r="N118" i="34"/>
  <c r="AQ127" i="34"/>
  <c r="K98" i="34"/>
  <c r="L98" i="34" s="1"/>
  <c r="AB124" i="34"/>
  <c r="K109" i="34"/>
  <c r="L109" i="34" s="1"/>
  <c r="M109" i="34" s="1"/>
  <c r="K106" i="34"/>
  <c r="L106" i="34" s="1"/>
  <c r="K103" i="34"/>
  <c r="L103" i="34" s="1"/>
  <c r="N110" i="34"/>
  <c r="P110" i="34" s="1"/>
  <c r="P97" i="34"/>
  <c r="O97" i="34"/>
  <c r="L108" i="34"/>
  <c r="M108" i="34" s="1"/>
  <c r="AB148" i="34"/>
  <c r="AB139" i="34"/>
  <c r="O89" i="34"/>
  <c r="P89" i="34"/>
  <c r="AJ105" i="34"/>
  <c r="K105" i="34"/>
  <c r="P87" i="34"/>
  <c r="O87" i="34"/>
  <c r="N120" i="34"/>
  <c r="P95" i="34"/>
  <c r="O95" i="34"/>
  <c r="N113" i="34"/>
  <c r="AB142" i="34"/>
  <c r="O106" i="34"/>
  <c r="O122" i="34" s="1"/>
  <c r="P106" i="34"/>
  <c r="P101" i="34"/>
  <c r="O101" i="34"/>
  <c r="P94" i="34"/>
  <c r="O94" i="34"/>
  <c r="H121" i="34"/>
  <c r="H110" i="34"/>
  <c r="N121" i="34"/>
  <c r="AB145" i="34"/>
  <c r="N117" i="34"/>
  <c r="P98" i="34"/>
  <c r="O98" i="34"/>
  <c r="P86" i="34"/>
  <c r="O86" i="34"/>
  <c r="N119" i="34"/>
  <c r="O108" i="34"/>
  <c r="P108" i="34"/>
  <c r="L107" i="34"/>
  <c r="M107" i="34" s="1"/>
  <c r="P103" i="34"/>
  <c r="O103" i="34"/>
  <c r="F134" i="34"/>
  <c r="E39" i="32"/>
  <c r="F39" i="32"/>
  <c r="G39" i="32"/>
  <c r="DS65" i="23"/>
  <c r="DT65" i="23"/>
  <c r="DU65" i="23"/>
  <c r="DV65" i="23"/>
  <c r="D48" i="23"/>
  <c r="E48" i="23"/>
  <c r="F48" i="23"/>
  <c r="G48" i="23"/>
  <c r="H48" i="23"/>
  <c r="I48" i="23"/>
  <c r="J48" i="23"/>
  <c r="K48" i="23"/>
  <c r="L48" i="23"/>
  <c r="M48" i="23"/>
  <c r="N48" i="23"/>
  <c r="O48" i="23"/>
  <c r="P48" i="23"/>
  <c r="Q48" i="23"/>
  <c r="R48" i="23"/>
  <c r="S48" i="23"/>
  <c r="T48" i="23"/>
  <c r="U48" i="23"/>
  <c r="V48" i="23"/>
  <c r="W48" i="23"/>
  <c r="X48" i="23"/>
  <c r="Y48" i="23"/>
  <c r="Z48" i="23"/>
  <c r="AA48" i="23"/>
  <c r="AB48" i="23"/>
  <c r="AC48" i="23"/>
  <c r="AD48" i="23"/>
  <c r="AE48" i="23"/>
  <c r="AF48" i="23"/>
  <c r="AG48" i="23"/>
  <c r="AH48" i="23"/>
  <c r="AI48" i="23"/>
  <c r="AJ48" i="23"/>
  <c r="AK48" i="23"/>
  <c r="AL48" i="23"/>
  <c r="AM48" i="23"/>
  <c r="AN48" i="23"/>
  <c r="AO48" i="23"/>
  <c r="AP48" i="23"/>
  <c r="AQ48" i="23"/>
  <c r="AR48" i="23"/>
  <c r="AS48" i="23"/>
  <c r="AT48" i="23"/>
  <c r="AU48" i="23"/>
  <c r="AV48" i="23"/>
  <c r="AW48" i="23"/>
  <c r="AX48" i="23"/>
  <c r="AY48" i="23"/>
  <c r="AZ48" i="23"/>
  <c r="BA48" i="23"/>
  <c r="BB48" i="23"/>
  <c r="BC48" i="23"/>
  <c r="BD48" i="23"/>
  <c r="BE48" i="23"/>
  <c r="BF48" i="23"/>
  <c r="BG48" i="23"/>
  <c r="BH48" i="23"/>
  <c r="BI48" i="23"/>
  <c r="BJ48" i="23"/>
  <c r="BK48" i="23"/>
  <c r="BL48" i="23"/>
  <c r="BM48" i="23"/>
  <c r="BN48" i="23"/>
  <c r="BO48" i="23"/>
  <c r="BP48" i="23"/>
  <c r="BQ48" i="23"/>
  <c r="BR48" i="23"/>
  <c r="BS48" i="23"/>
  <c r="BT48" i="23"/>
  <c r="BU48" i="23"/>
  <c r="BV48" i="23"/>
  <c r="BW48" i="23"/>
  <c r="BX48" i="23"/>
  <c r="BY48" i="23"/>
  <c r="BZ48" i="23"/>
  <c r="CA48" i="23"/>
  <c r="CB48" i="23"/>
  <c r="CC48" i="23"/>
  <c r="CD48" i="23"/>
  <c r="CE48" i="23"/>
  <c r="CF48" i="23"/>
  <c r="CG48" i="23"/>
  <c r="CH48" i="23"/>
  <c r="CI48" i="23"/>
  <c r="CJ48" i="23"/>
  <c r="CK48" i="23"/>
  <c r="CL48" i="23"/>
  <c r="CM48" i="23"/>
  <c r="CN48" i="23"/>
  <c r="CO48" i="23"/>
  <c r="CP48" i="23"/>
  <c r="CQ48" i="23"/>
  <c r="CR48" i="23"/>
  <c r="CS48" i="23"/>
  <c r="CT48" i="23"/>
  <c r="CU48" i="23"/>
  <c r="CV48" i="23"/>
  <c r="CW48" i="23"/>
  <c r="CX48" i="23"/>
  <c r="CY48" i="23"/>
  <c r="CZ48" i="23"/>
  <c r="DA48" i="23"/>
  <c r="DB48" i="23"/>
  <c r="DC48" i="23"/>
  <c r="DD48" i="23"/>
  <c r="DE48" i="23"/>
  <c r="DF48" i="23"/>
  <c r="DG48" i="23"/>
  <c r="DH48" i="23"/>
  <c r="DI48" i="23"/>
  <c r="DJ48" i="23"/>
  <c r="DK48" i="23"/>
  <c r="DL48" i="23"/>
  <c r="DM48" i="23"/>
  <c r="DN48" i="23"/>
  <c r="DO48" i="23"/>
  <c r="DP48" i="23"/>
  <c r="DQ48" i="23"/>
  <c r="DR48" i="23"/>
  <c r="DS48" i="23"/>
  <c r="DT48" i="23"/>
  <c r="DU48" i="23"/>
  <c r="DV48" i="23"/>
  <c r="D49" i="23"/>
  <c r="E49" i="23"/>
  <c r="F49" i="23"/>
  <c r="G49" i="23"/>
  <c r="H49" i="23"/>
  <c r="I49" i="23"/>
  <c r="J49" i="23"/>
  <c r="K49" i="23"/>
  <c r="L49" i="23"/>
  <c r="M49" i="23"/>
  <c r="N49" i="23"/>
  <c r="O49" i="23"/>
  <c r="P49" i="23"/>
  <c r="Q49" i="23"/>
  <c r="R49" i="23"/>
  <c r="S49" i="23"/>
  <c r="T49" i="23"/>
  <c r="U49" i="23"/>
  <c r="V49" i="23"/>
  <c r="W49" i="23"/>
  <c r="X49" i="23"/>
  <c r="Y49" i="23"/>
  <c r="Z49" i="23"/>
  <c r="AA49" i="23"/>
  <c r="AB49" i="23"/>
  <c r="AC49" i="23"/>
  <c r="AD49" i="23"/>
  <c r="AE49" i="23"/>
  <c r="AF49" i="23"/>
  <c r="AG49" i="23"/>
  <c r="AH49" i="23"/>
  <c r="AI49" i="23"/>
  <c r="AJ49" i="23"/>
  <c r="AK49" i="23"/>
  <c r="AL49" i="23"/>
  <c r="AM49" i="23"/>
  <c r="AN49" i="23"/>
  <c r="AO49" i="23"/>
  <c r="AP49" i="23"/>
  <c r="AQ49" i="23"/>
  <c r="AR49" i="23"/>
  <c r="AS49" i="23"/>
  <c r="AT49" i="23"/>
  <c r="AU49" i="23"/>
  <c r="AV49" i="23"/>
  <c r="AW49" i="23"/>
  <c r="AX49" i="23"/>
  <c r="AY49" i="23"/>
  <c r="AZ49" i="23"/>
  <c r="BA49" i="23"/>
  <c r="BB49" i="23"/>
  <c r="BC49" i="23"/>
  <c r="BD49" i="23"/>
  <c r="BE49" i="23"/>
  <c r="BF49" i="23"/>
  <c r="BG49" i="23"/>
  <c r="BH49" i="23"/>
  <c r="BI49" i="23"/>
  <c r="BJ49" i="23"/>
  <c r="BK49" i="23"/>
  <c r="BL49" i="23"/>
  <c r="BM49" i="23"/>
  <c r="BN49" i="23"/>
  <c r="BO49" i="23"/>
  <c r="BP49" i="23"/>
  <c r="BQ49" i="23"/>
  <c r="BR49" i="23"/>
  <c r="BS49" i="23"/>
  <c r="BT49" i="23"/>
  <c r="BU49" i="23"/>
  <c r="BV49" i="23"/>
  <c r="BW49" i="23"/>
  <c r="BX49" i="23"/>
  <c r="BY49" i="23"/>
  <c r="BZ49" i="23"/>
  <c r="CA49" i="23"/>
  <c r="CB49" i="23"/>
  <c r="CC49" i="23"/>
  <c r="CD49" i="23"/>
  <c r="CE49" i="23"/>
  <c r="CF49" i="23"/>
  <c r="CG49" i="23"/>
  <c r="CH49" i="23"/>
  <c r="CI49" i="23"/>
  <c r="CJ49" i="23"/>
  <c r="CK49" i="23"/>
  <c r="CL49" i="23"/>
  <c r="CM49" i="23"/>
  <c r="CN49" i="23"/>
  <c r="CO49" i="23"/>
  <c r="CP49" i="23"/>
  <c r="CQ49" i="23"/>
  <c r="CR49" i="23"/>
  <c r="CS49" i="23"/>
  <c r="CT49" i="23"/>
  <c r="CU49" i="23"/>
  <c r="CV49" i="23"/>
  <c r="CW49" i="23"/>
  <c r="CX49" i="23"/>
  <c r="CY49" i="23"/>
  <c r="CZ49" i="23"/>
  <c r="DA49" i="23"/>
  <c r="DB49" i="23"/>
  <c r="DC49" i="23"/>
  <c r="DD49" i="23"/>
  <c r="DE49" i="23"/>
  <c r="DF49" i="23"/>
  <c r="DG49" i="23"/>
  <c r="DH49" i="23"/>
  <c r="DI49" i="23"/>
  <c r="DJ49" i="23"/>
  <c r="DK49" i="23"/>
  <c r="DL49" i="23"/>
  <c r="DM49" i="23"/>
  <c r="DN49" i="23"/>
  <c r="DO49" i="23"/>
  <c r="DP49" i="23"/>
  <c r="DQ49" i="23"/>
  <c r="DR49" i="23"/>
  <c r="DS49" i="23"/>
  <c r="DT49" i="23"/>
  <c r="DU49" i="23"/>
  <c r="DV49" i="23"/>
  <c r="C49" i="23"/>
  <c r="C48" i="23"/>
  <c r="Q34" i="23"/>
  <c r="R33" i="23"/>
  <c r="L33" i="23"/>
  <c r="M33" i="23"/>
  <c r="N33" i="23"/>
  <c r="O33" i="23"/>
  <c r="P33" i="23"/>
  <c r="Q33" i="23"/>
  <c r="L34" i="23"/>
  <c r="M34" i="23"/>
  <c r="N34" i="23"/>
  <c r="O34" i="23"/>
  <c r="P34" i="23"/>
  <c r="R34" i="23"/>
  <c r="L35" i="23"/>
  <c r="M35" i="23"/>
  <c r="N35" i="23"/>
  <c r="O35" i="23"/>
  <c r="P35" i="23"/>
  <c r="Q35" i="23"/>
  <c r="R35" i="23"/>
  <c r="L36" i="23"/>
  <c r="M36" i="23"/>
  <c r="N36" i="23"/>
  <c r="O36" i="23"/>
  <c r="P36" i="23"/>
  <c r="Q36" i="23"/>
  <c r="R36" i="23"/>
  <c r="L37" i="23"/>
  <c r="M37" i="23"/>
  <c r="N37" i="23"/>
  <c r="O37" i="23"/>
  <c r="P37" i="23"/>
  <c r="Q37" i="23"/>
  <c r="R37" i="23"/>
  <c r="L38" i="23"/>
  <c r="M38" i="23"/>
  <c r="N38" i="23"/>
  <c r="O38" i="23"/>
  <c r="P38" i="23"/>
  <c r="Q38" i="23"/>
  <c r="R38" i="23"/>
  <c r="L39" i="23"/>
  <c r="M39" i="23"/>
  <c r="N39" i="23"/>
  <c r="O39" i="23"/>
  <c r="P39" i="23"/>
  <c r="Q39" i="23"/>
  <c r="R39" i="23"/>
  <c r="L40" i="23"/>
  <c r="M40" i="23"/>
  <c r="N40" i="23"/>
  <c r="O40" i="23"/>
  <c r="P40" i="23"/>
  <c r="Q40" i="23"/>
  <c r="R40" i="23"/>
  <c r="L41" i="23"/>
  <c r="M41" i="23"/>
  <c r="N41" i="23"/>
  <c r="O41" i="23"/>
  <c r="P41" i="23"/>
  <c r="Q41" i="23"/>
  <c r="R41" i="23"/>
  <c r="L42" i="23"/>
  <c r="M42" i="23"/>
  <c r="N42" i="23"/>
  <c r="O42" i="23"/>
  <c r="P42" i="23"/>
  <c r="Q42" i="23"/>
  <c r="R42" i="23"/>
  <c r="L43" i="23"/>
  <c r="M43" i="23"/>
  <c r="N43" i="23"/>
  <c r="O43" i="23"/>
  <c r="P43" i="23"/>
  <c r="Q43" i="23"/>
  <c r="R43" i="23"/>
  <c r="L44" i="23"/>
  <c r="M44" i="23"/>
  <c r="N44" i="23"/>
  <c r="O44" i="23"/>
  <c r="P44" i="23"/>
  <c r="Q44" i="23"/>
  <c r="R44" i="23"/>
  <c r="L19" i="23"/>
  <c r="M19" i="23"/>
  <c r="N19" i="23"/>
  <c r="O19" i="23"/>
  <c r="P19" i="23"/>
  <c r="Q19" i="23"/>
  <c r="R19" i="23"/>
  <c r="L20" i="23"/>
  <c r="M20" i="23"/>
  <c r="N20" i="23"/>
  <c r="O20" i="23"/>
  <c r="P20" i="23"/>
  <c r="Q20" i="23"/>
  <c r="R20" i="23"/>
  <c r="L21" i="23"/>
  <c r="M21" i="23"/>
  <c r="N21" i="23"/>
  <c r="O21" i="23"/>
  <c r="P21" i="23"/>
  <c r="Q21" i="23"/>
  <c r="R21" i="23"/>
  <c r="L22" i="23"/>
  <c r="M22" i="23"/>
  <c r="N22" i="23"/>
  <c r="O22" i="23"/>
  <c r="P22" i="23"/>
  <c r="Q22" i="23"/>
  <c r="R22" i="23"/>
  <c r="L23" i="23"/>
  <c r="M23" i="23"/>
  <c r="N23" i="23"/>
  <c r="O23" i="23"/>
  <c r="P23" i="23"/>
  <c r="Q23" i="23"/>
  <c r="R23" i="23"/>
  <c r="L24" i="23"/>
  <c r="M24" i="23"/>
  <c r="N24" i="23"/>
  <c r="O24" i="23"/>
  <c r="P24" i="23"/>
  <c r="Q24" i="23"/>
  <c r="R24" i="23"/>
  <c r="L25" i="23"/>
  <c r="M25" i="23"/>
  <c r="N25" i="23"/>
  <c r="O25" i="23"/>
  <c r="P25" i="23"/>
  <c r="Q25" i="23"/>
  <c r="R25" i="23"/>
  <c r="L26" i="23"/>
  <c r="M26" i="23"/>
  <c r="N26" i="23"/>
  <c r="O26" i="23"/>
  <c r="P26" i="23"/>
  <c r="Q26" i="23"/>
  <c r="R26" i="23"/>
  <c r="L27" i="23"/>
  <c r="M27" i="23"/>
  <c r="N27" i="23"/>
  <c r="O27" i="23"/>
  <c r="P27" i="23"/>
  <c r="Q27" i="23"/>
  <c r="R27" i="23"/>
  <c r="L28" i="23"/>
  <c r="M28" i="23"/>
  <c r="N28" i="23"/>
  <c r="O28" i="23"/>
  <c r="P28" i="23"/>
  <c r="Q28" i="23"/>
  <c r="R28" i="23"/>
  <c r="L29" i="23"/>
  <c r="M29" i="23"/>
  <c r="N29" i="23"/>
  <c r="O29" i="23"/>
  <c r="P29" i="23"/>
  <c r="Q29" i="23"/>
  <c r="R29" i="23"/>
  <c r="L30" i="23"/>
  <c r="M30" i="23"/>
  <c r="N30" i="23"/>
  <c r="O30" i="23"/>
  <c r="P30" i="23"/>
  <c r="Q30" i="23"/>
  <c r="R30" i="23"/>
  <c r="K33" i="23"/>
  <c r="L268" i="23" l="1"/>
  <c r="L236" i="23"/>
  <c r="L208" i="23"/>
  <c r="L222" i="23"/>
  <c r="M193" i="23"/>
  <c r="M252" i="23"/>
  <c r="M222" i="23"/>
  <c r="M268" i="23"/>
  <c r="M236" i="23"/>
  <c r="M208" i="23"/>
  <c r="L193" i="23"/>
  <c r="L252" i="23"/>
  <c r="L156" i="23"/>
  <c r="M125" i="23"/>
  <c r="L109" i="23"/>
  <c r="L141" i="23"/>
  <c r="M141" i="23"/>
  <c r="M156" i="23"/>
  <c r="M109" i="23"/>
  <c r="L93" i="23"/>
  <c r="M93" i="23"/>
  <c r="L77" i="23"/>
  <c r="L125" i="23"/>
  <c r="K208" i="23"/>
  <c r="K252" i="23"/>
  <c r="K236" i="23"/>
  <c r="K193" i="23"/>
  <c r="K268" i="23"/>
  <c r="K222" i="23"/>
  <c r="K156" i="23"/>
  <c r="K93" i="23"/>
  <c r="K141" i="23"/>
  <c r="K77" i="23"/>
  <c r="K125" i="23"/>
  <c r="K109" i="23"/>
  <c r="S67" i="23"/>
  <c r="X68" i="23"/>
  <c r="R70" i="23"/>
  <c r="W71" i="23"/>
  <c r="AB72" i="23"/>
  <c r="V74" i="23"/>
  <c r="AA75" i="23"/>
  <c r="U77" i="23"/>
  <c r="Q76" i="23"/>
  <c r="U68" i="23"/>
  <c r="Z69" i="23"/>
  <c r="T71" i="23"/>
  <c r="Y72" i="23"/>
  <c r="S74" i="23"/>
  <c r="X75" i="23"/>
  <c r="R77" i="23"/>
  <c r="Q73" i="23"/>
  <c r="Y67" i="23"/>
  <c r="S69" i="23"/>
  <c r="X70" i="23"/>
  <c r="R72" i="23"/>
  <c r="W73" i="23"/>
  <c r="AB74" i="23"/>
  <c r="V76" i="23"/>
  <c r="AA77" i="23"/>
  <c r="R67" i="23"/>
  <c r="W68" i="23"/>
  <c r="AB69" i="23"/>
  <c r="V71" i="23"/>
  <c r="AA72" i="23"/>
  <c r="U74" i="23"/>
  <c r="Z75" i="23"/>
  <c r="T77" i="23"/>
  <c r="Y69" i="23"/>
  <c r="W75" i="23"/>
  <c r="AB67" i="23"/>
  <c r="U72" i="23"/>
  <c r="Y76" i="23"/>
  <c r="Z68" i="23"/>
  <c r="X74" i="23"/>
  <c r="Q75" i="23"/>
  <c r="W72" i="23"/>
  <c r="AA76" i="23"/>
  <c r="W67" i="23"/>
  <c r="AB68" i="23"/>
  <c r="V70" i="23"/>
  <c r="AA71" i="23"/>
  <c r="U73" i="23"/>
  <c r="Z74" i="23"/>
  <c r="T76" i="23"/>
  <c r="Y77" i="23"/>
  <c r="T67" i="23"/>
  <c r="Y68" i="23"/>
  <c r="S70" i="23"/>
  <c r="X71" i="23"/>
  <c r="R73" i="23"/>
  <c r="W74" i="23"/>
  <c r="AB75" i="23"/>
  <c r="V77" i="23"/>
  <c r="Q77" i="23"/>
  <c r="R68" i="23"/>
  <c r="W69" i="23"/>
  <c r="AB70" i="23"/>
  <c r="V72" i="23"/>
  <c r="AA73" i="23"/>
  <c r="U75" i="23"/>
  <c r="Z76" i="23"/>
  <c r="Q70" i="23"/>
  <c r="V67" i="23"/>
  <c r="AA68" i="23"/>
  <c r="U70" i="23"/>
  <c r="Z71" i="23"/>
  <c r="T73" i="23"/>
  <c r="Y74" i="23"/>
  <c r="S76" i="23"/>
  <c r="X77" i="23"/>
  <c r="T68" i="23"/>
  <c r="AB76" i="23"/>
  <c r="V69" i="23"/>
  <c r="Z73" i="23"/>
  <c r="Q69" i="23"/>
  <c r="T70" i="23"/>
  <c r="R76" i="23"/>
  <c r="S68" i="23"/>
  <c r="AB73" i="23"/>
  <c r="AA67" i="23"/>
  <c r="U69" i="23"/>
  <c r="Z70" i="23"/>
  <c r="T72" i="23"/>
  <c r="Y73" i="23"/>
  <c r="S75" i="23"/>
  <c r="X76" i="23"/>
  <c r="Q68" i="23"/>
  <c r="X67" i="23"/>
  <c r="R69" i="23"/>
  <c r="W70" i="23"/>
  <c r="AB71" i="23"/>
  <c r="V73" i="23"/>
  <c r="AA74" i="23"/>
  <c r="U76" i="23"/>
  <c r="Z77" i="23"/>
  <c r="Q67" i="23"/>
  <c r="V68" i="23"/>
  <c r="AA69" i="23"/>
  <c r="U71" i="23"/>
  <c r="Z72" i="23"/>
  <c r="T74" i="23"/>
  <c r="Y75" i="23"/>
  <c r="S77" i="23"/>
  <c r="Q74" i="23"/>
  <c r="Z67" i="23"/>
  <c r="T69" i="23"/>
  <c r="Y70" i="23"/>
  <c r="S72" i="23"/>
  <c r="X73" i="23"/>
  <c r="R75" i="23"/>
  <c r="W76" i="23"/>
  <c r="AB77" i="23"/>
  <c r="S71" i="23"/>
  <c r="R74" i="23"/>
  <c r="Q72" i="23"/>
  <c r="AA70" i="23"/>
  <c r="T75" i="23"/>
  <c r="U67" i="23"/>
  <c r="S73" i="23"/>
  <c r="W77" i="23"/>
  <c r="X69" i="23"/>
  <c r="V75" i="23"/>
  <c r="X72" i="23"/>
  <c r="Y71" i="23"/>
  <c r="R71" i="23"/>
  <c r="Q71" i="23"/>
  <c r="G115" i="23"/>
  <c r="G268" i="23"/>
  <c r="C268" i="23"/>
  <c r="G252" i="23"/>
  <c r="C252" i="23"/>
  <c r="G236" i="23"/>
  <c r="C236" i="23"/>
  <c r="G222" i="23"/>
  <c r="C222" i="23"/>
  <c r="G208" i="23"/>
  <c r="C208" i="23"/>
  <c r="G193" i="23"/>
  <c r="C193" i="23"/>
  <c r="G156" i="23"/>
  <c r="C156" i="23"/>
  <c r="G141" i="23"/>
  <c r="C141" i="23"/>
  <c r="G125" i="23"/>
  <c r="C125" i="23"/>
  <c r="G109" i="23"/>
  <c r="C109" i="23"/>
  <c r="G93" i="23"/>
  <c r="C93" i="23"/>
  <c r="G77" i="23"/>
  <c r="F77" i="23"/>
  <c r="F268" i="23"/>
  <c r="J252" i="23"/>
  <c r="F222" i="23"/>
  <c r="J208" i="23"/>
  <c r="F156" i="23"/>
  <c r="J141" i="23"/>
  <c r="F109" i="23"/>
  <c r="J93" i="23"/>
  <c r="D268" i="23"/>
  <c r="H268" i="23"/>
  <c r="D252" i="23"/>
  <c r="H252" i="23"/>
  <c r="D236" i="23"/>
  <c r="H236" i="23"/>
  <c r="D222" i="23"/>
  <c r="H222" i="23"/>
  <c r="D208" i="23"/>
  <c r="H208" i="23"/>
  <c r="D193" i="23"/>
  <c r="H193" i="23"/>
  <c r="D156" i="23"/>
  <c r="H156" i="23"/>
  <c r="D141" i="23"/>
  <c r="H141" i="23"/>
  <c r="D125" i="23"/>
  <c r="H125" i="23"/>
  <c r="D109" i="23"/>
  <c r="H109" i="23"/>
  <c r="D93" i="23"/>
  <c r="H93" i="23"/>
  <c r="C77" i="23"/>
  <c r="H77" i="23"/>
  <c r="F252" i="23"/>
  <c r="F236" i="23"/>
  <c r="J222" i="23"/>
  <c r="F193" i="23"/>
  <c r="J156" i="23"/>
  <c r="F125" i="23"/>
  <c r="J109" i="23"/>
  <c r="E77" i="23"/>
  <c r="E268" i="23"/>
  <c r="I268" i="23"/>
  <c r="E252" i="23"/>
  <c r="I252" i="23"/>
  <c r="E236" i="23"/>
  <c r="I236" i="23"/>
  <c r="E222" i="23"/>
  <c r="I222" i="23"/>
  <c r="E208" i="23"/>
  <c r="I208" i="23"/>
  <c r="E193" i="23"/>
  <c r="I193" i="23"/>
  <c r="E156" i="23"/>
  <c r="I156" i="23"/>
  <c r="E141" i="23"/>
  <c r="I141" i="23"/>
  <c r="E125" i="23"/>
  <c r="I125" i="23"/>
  <c r="E109" i="23"/>
  <c r="I109" i="23"/>
  <c r="E93" i="23"/>
  <c r="I93" i="23"/>
  <c r="D77" i="23"/>
  <c r="I77" i="23"/>
  <c r="J268" i="23"/>
  <c r="J236" i="23"/>
  <c r="F208" i="23"/>
  <c r="J193" i="23"/>
  <c r="F141" i="23"/>
  <c r="J125" i="23"/>
  <c r="F93" i="23"/>
  <c r="J77" i="23"/>
  <c r="O110" i="34"/>
  <c r="M106" i="34"/>
  <c r="E134" i="34"/>
  <c r="L105" i="34"/>
  <c r="M105" i="34" s="1"/>
  <c r="H111" i="34"/>
  <c r="F124" i="34"/>
  <c r="F135" i="34"/>
  <c r="I121" i="34"/>
  <c r="C121" i="23"/>
  <c r="E121" i="23"/>
  <c r="E117" i="23"/>
  <c r="J124" i="23"/>
  <c r="N122" i="23"/>
  <c r="J121" i="23"/>
  <c r="N119" i="23"/>
  <c r="J118" i="23"/>
  <c r="N116" i="23"/>
  <c r="J115" i="23"/>
  <c r="M119" i="23"/>
  <c r="I119" i="23"/>
  <c r="M118" i="23"/>
  <c r="I118" i="23"/>
  <c r="M117" i="23"/>
  <c r="I117" i="23"/>
  <c r="M116" i="23"/>
  <c r="I116" i="23"/>
  <c r="M115" i="23"/>
  <c r="I115" i="23"/>
  <c r="C117" i="23"/>
  <c r="F122" i="23"/>
  <c r="F118" i="23"/>
  <c r="N124" i="23"/>
  <c r="J123" i="23"/>
  <c r="N121" i="23"/>
  <c r="J120" i="23"/>
  <c r="N118" i="23"/>
  <c r="J117" i="23"/>
  <c r="C124" i="23"/>
  <c r="C116" i="23"/>
  <c r="F123" i="23"/>
  <c r="D121" i="23"/>
  <c r="F119" i="23"/>
  <c r="D117" i="23"/>
  <c r="M124" i="23"/>
  <c r="M123" i="23"/>
  <c r="I123" i="23"/>
  <c r="M122" i="23"/>
  <c r="I122" i="23"/>
  <c r="M121" i="23"/>
  <c r="I121" i="23"/>
  <c r="I120" i="23"/>
  <c r="C123" i="23"/>
  <c r="C119" i="23"/>
  <c r="F124" i="23"/>
  <c r="E123" i="23"/>
  <c r="D122" i="23"/>
  <c r="F120" i="23"/>
  <c r="E119" i="23"/>
  <c r="D118" i="23"/>
  <c r="F116" i="23"/>
  <c r="E115" i="23"/>
  <c r="L124" i="23"/>
  <c r="H124" i="23"/>
  <c r="L123" i="23"/>
  <c r="H123" i="23"/>
  <c r="L122" i="23"/>
  <c r="H122" i="23"/>
  <c r="L121" i="23"/>
  <c r="H121" i="23"/>
  <c r="L120" i="23"/>
  <c r="H120" i="23"/>
  <c r="L119" i="23"/>
  <c r="H119" i="23"/>
  <c r="L118" i="23"/>
  <c r="H118" i="23"/>
  <c r="L117" i="23"/>
  <c r="H117" i="23"/>
  <c r="L116" i="23"/>
  <c r="H116" i="23"/>
  <c r="L115" i="23"/>
  <c r="H115" i="23"/>
  <c r="C115" i="23"/>
  <c r="D124" i="23"/>
  <c r="D120" i="23"/>
  <c r="D116" i="23"/>
  <c r="N123" i="23"/>
  <c r="N125" i="23" s="1"/>
  <c r="J122" i="23"/>
  <c r="N120" i="23"/>
  <c r="J119" i="23"/>
  <c r="N117" i="23"/>
  <c r="J116" i="23"/>
  <c r="N115" i="23"/>
  <c r="C120" i="23"/>
  <c r="E122" i="23"/>
  <c r="E118" i="23"/>
  <c r="F115" i="23"/>
  <c r="I124" i="23"/>
  <c r="M120" i="23"/>
  <c r="C122" i="23"/>
  <c r="C118" i="23"/>
  <c r="E124" i="23"/>
  <c r="D123" i="23"/>
  <c r="F121" i="23"/>
  <c r="E120" i="23"/>
  <c r="D119" i="23"/>
  <c r="F117" i="23"/>
  <c r="E116" i="23"/>
  <c r="D115" i="23"/>
  <c r="K124" i="23"/>
  <c r="G124" i="23"/>
  <c r="K123" i="23"/>
  <c r="G123" i="23"/>
  <c r="K122" i="23"/>
  <c r="G122" i="23"/>
  <c r="K121" i="23"/>
  <c r="G121" i="23"/>
  <c r="K120" i="23"/>
  <c r="G120" i="23"/>
  <c r="K119" i="23"/>
  <c r="G119" i="23"/>
  <c r="K118" i="23"/>
  <c r="G118" i="23"/>
  <c r="K117" i="23"/>
  <c r="G117" i="23"/>
  <c r="K116" i="23"/>
  <c r="G116" i="23"/>
  <c r="K115" i="23"/>
  <c r="H245" i="23"/>
  <c r="L262" i="23"/>
  <c r="C70" i="23"/>
  <c r="I76" i="23"/>
  <c r="H75" i="23"/>
  <c r="G74" i="23"/>
  <c r="F73" i="23"/>
  <c r="E72" i="23"/>
  <c r="D71" i="23"/>
  <c r="N69" i="23"/>
  <c r="M68" i="23"/>
  <c r="L67" i="23"/>
  <c r="C91" i="23"/>
  <c r="M92" i="23"/>
  <c r="L91" i="23"/>
  <c r="K90" i="23"/>
  <c r="N89" i="23"/>
  <c r="M88" i="23"/>
  <c r="L87" i="23"/>
  <c r="K86" i="23"/>
  <c r="J85" i="23"/>
  <c r="I84" i="23"/>
  <c r="H83" i="23"/>
  <c r="C103" i="23"/>
  <c r="H108" i="23"/>
  <c r="G107" i="23"/>
  <c r="F106" i="23"/>
  <c r="E105" i="23"/>
  <c r="L103" i="23"/>
  <c r="G102" i="23"/>
  <c r="D100" i="23"/>
  <c r="C132" i="23"/>
  <c r="D139" i="23"/>
  <c r="L137" i="23"/>
  <c r="N134" i="23"/>
  <c r="K155" i="23"/>
  <c r="N146" i="23"/>
  <c r="C207" i="23"/>
  <c r="K201" i="23"/>
  <c r="H218" i="23"/>
  <c r="L231" i="23"/>
  <c r="H247" i="23"/>
  <c r="D76" i="23"/>
  <c r="N74" i="23"/>
  <c r="I73" i="23"/>
  <c r="H72" i="23"/>
  <c r="G71" i="23"/>
  <c r="M69" i="23"/>
  <c r="L68" i="23"/>
  <c r="K67" i="23"/>
  <c r="D92" i="23"/>
  <c r="N90" i="23"/>
  <c r="M89" i="23"/>
  <c r="L88" i="23"/>
  <c r="K87" i="23"/>
  <c r="J86" i="23"/>
  <c r="I85" i="23"/>
  <c r="H84" i="23"/>
  <c r="G83" i="23"/>
  <c r="N107" i="23"/>
  <c r="M106" i="23"/>
  <c r="L105" i="23"/>
  <c r="E104" i="23"/>
  <c r="K102" i="23"/>
  <c r="I100" i="23"/>
  <c r="L140" i="23"/>
  <c r="M138" i="23"/>
  <c r="G136" i="23"/>
  <c r="N154" i="23"/>
  <c r="F146" i="23"/>
  <c r="C199" i="23"/>
  <c r="F200" i="23"/>
  <c r="H216" i="23"/>
  <c r="L229" i="23"/>
  <c r="D245" i="23"/>
  <c r="C74" i="23"/>
  <c r="M76" i="23"/>
  <c r="D75" i="23"/>
  <c r="N73" i="23"/>
  <c r="M72" i="23"/>
  <c r="L71" i="23"/>
  <c r="K70" i="23"/>
  <c r="F69" i="23"/>
  <c r="E68" i="23"/>
  <c r="D67" i="23"/>
  <c r="E92" i="23"/>
  <c r="D91" i="23"/>
  <c r="J89" i="23"/>
  <c r="I88" i="23"/>
  <c r="H87" i="23"/>
  <c r="N85" i="23"/>
  <c r="M84" i="23"/>
  <c r="L83" i="23"/>
  <c r="C107" i="23"/>
  <c r="L108" i="23"/>
  <c r="K107" i="23"/>
  <c r="J106" i="23"/>
  <c r="I105" i="23"/>
  <c r="F104" i="23"/>
  <c r="L102" i="23"/>
  <c r="F101" i="23"/>
  <c r="C138" i="23"/>
  <c r="K139" i="23"/>
  <c r="E137" i="23"/>
  <c r="D132" i="23"/>
  <c r="M149" i="23"/>
  <c r="K188" i="23"/>
  <c r="M205" i="23"/>
  <c r="F235" i="23"/>
  <c r="D265" i="23"/>
  <c r="I258" i="23"/>
  <c r="M258" i="23"/>
  <c r="I259" i="23"/>
  <c r="M259" i="23"/>
  <c r="I260" i="23"/>
  <c r="M260" i="23"/>
  <c r="I261" i="23"/>
  <c r="M261" i="23"/>
  <c r="I262" i="23"/>
  <c r="M262" i="23"/>
  <c r="I263" i="23"/>
  <c r="M263" i="23"/>
  <c r="I264" i="23"/>
  <c r="M264" i="23"/>
  <c r="I265" i="23"/>
  <c r="M265" i="23"/>
  <c r="I266" i="23"/>
  <c r="M266" i="23"/>
  <c r="I267" i="23"/>
  <c r="M267" i="23"/>
  <c r="F258" i="23"/>
  <c r="D260" i="23"/>
  <c r="E261" i="23"/>
  <c r="F262" i="23"/>
  <c r="D264" i="23"/>
  <c r="E265" i="23"/>
  <c r="F266" i="23"/>
  <c r="C259" i="23"/>
  <c r="C263" i="23"/>
  <c r="C267" i="23"/>
  <c r="I242" i="23"/>
  <c r="M242" i="23"/>
  <c r="I243" i="23"/>
  <c r="M243" i="23"/>
  <c r="I244" i="23"/>
  <c r="M244" i="23"/>
  <c r="I245" i="23"/>
  <c r="M245" i="23"/>
  <c r="I246" i="23"/>
  <c r="M246" i="23"/>
  <c r="I247" i="23"/>
  <c r="M247" i="23"/>
  <c r="I248" i="23"/>
  <c r="M248" i="23"/>
  <c r="I249" i="23"/>
  <c r="M249" i="23"/>
  <c r="I250" i="23"/>
  <c r="M250" i="23"/>
  <c r="I251" i="23"/>
  <c r="M251" i="23"/>
  <c r="F242" i="23"/>
  <c r="D244" i="23"/>
  <c r="E245" i="23"/>
  <c r="F246" i="23"/>
  <c r="D248" i="23"/>
  <c r="E249" i="23"/>
  <c r="F250" i="23"/>
  <c r="C244" i="23"/>
  <c r="C248" i="23"/>
  <c r="I226" i="23"/>
  <c r="M226" i="23"/>
  <c r="I227" i="23"/>
  <c r="M227" i="23"/>
  <c r="I228" i="23"/>
  <c r="M228" i="23"/>
  <c r="I229" i="23"/>
  <c r="M229" i="23"/>
  <c r="I230" i="23"/>
  <c r="M230" i="23"/>
  <c r="I231" i="23"/>
  <c r="M231" i="23"/>
  <c r="I232" i="23"/>
  <c r="M232" i="23"/>
  <c r="I233" i="23"/>
  <c r="M233" i="23"/>
  <c r="I234" i="23"/>
  <c r="M234" i="23"/>
  <c r="I235" i="23"/>
  <c r="M235" i="23"/>
  <c r="F226" i="23"/>
  <c r="D228" i="23"/>
  <c r="E229" i="23"/>
  <c r="F230" i="23"/>
  <c r="D232" i="23"/>
  <c r="E233" i="23"/>
  <c r="F234" i="23"/>
  <c r="C228" i="23"/>
  <c r="C232" i="23"/>
  <c r="I212" i="23"/>
  <c r="M212" i="23"/>
  <c r="I213" i="23"/>
  <c r="M213" i="23"/>
  <c r="I214" i="23"/>
  <c r="M214" i="23"/>
  <c r="I215" i="23"/>
  <c r="M215" i="23"/>
  <c r="I216" i="23"/>
  <c r="M216" i="23"/>
  <c r="I217" i="23"/>
  <c r="M217" i="23"/>
  <c r="I218" i="23"/>
  <c r="M218" i="23"/>
  <c r="I219" i="23"/>
  <c r="M219" i="23"/>
  <c r="I220" i="23"/>
  <c r="M220" i="23"/>
  <c r="I221" i="23"/>
  <c r="M221" i="23"/>
  <c r="F212" i="23"/>
  <c r="D214" i="23"/>
  <c r="E215" i="23"/>
  <c r="F216" i="23"/>
  <c r="D218" i="23"/>
  <c r="E219" i="23"/>
  <c r="F220" i="23"/>
  <c r="C214" i="23"/>
  <c r="C218" i="23"/>
  <c r="F192" i="23"/>
  <c r="E198" i="23"/>
  <c r="I198" i="23"/>
  <c r="M198" i="23"/>
  <c r="F199" i="23"/>
  <c r="J199" i="23"/>
  <c r="N199" i="23"/>
  <c r="G200" i="23"/>
  <c r="K200" i="23"/>
  <c r="D201" i="23"/>
  <c r="H201" i="23"/>
  <c r="L201" i="23"/>
  <c r="E202" i="23"/>
  <c r="I202" i="23"/>
  <c r="M202" i="23"/>
  <c r="F203" i="23"/>
  <c r="J203" i="23"/>
  <c r="N203" i="23"/>
  <c r="J258" i="23"/>
  <c r="N258" i="23"/>
  <c r="J259" i="23"/>
  <c r="N259" i="23"/>
  <c r="J260" i="23"/>
  <c r="N260" i="23"/>
  <c r="J261" i="23"/>
  <c r="N261" i="23"/>
  <c r="J262" i="23"/>
  <c r="N262" i="23"/>
  <c r="J263" i="23"/>
  <c r="N263" i="23"/>
  <c r="J264" i="23"/>
  <c r="N264" i="23"/>
  <c r="J265" i="23"/>
  <c r="N265" i="23"/>
  <c r="J266" i="23"/>
  <c r="N266" i="23"/>
  <c r="J267" i="23"/>
  <c r="N267" i="23"/>
  <c r="D259" i="23"/>
  <c r="E260" i="23"/>
  <c r="F261" i="23"/>
  <c r="D263" i="23"/>
  <c r="E264" i="23"/>
  <c r="F265" i="23"/>
  <c r="D267" i="23"/>
  <c r="C260" i="23"/>
  <c r="C264" i="23"/>
  <c r="C258" i="23"/>
  <c r="J242" i="23"/>
  <c r="N242" i="23"/>
  <c r="J243" i="23"/>
  <c r="N243" i="23"/>
  <c r="J244" i="23"/>
  <c r="N244" i="23"/>
  <c r="J245" i="23"/>
  <c r="N245" i="23"/>
  <c r="J246" i="23"/>
  <c r="N246" i="23"/>
  <c r="J247" i="23"/>
  <c r="N247" i="23"/>
  <c r="J248" i="23"/>
  <c r="N248" i="23"/>
  <c r="J249" i="23"/>
  <c r="N249" i="23"/>
  <c r="J250" i="23"/>
  <c r="N250" i="23"/>
  <c r="J251" i="23"/>
  <c r="N251" i="23"/>
  <c r="D243" i="23"/>
  <c r="E244" i="23"/>
  <c r="F245" i="23"/>
  <c r="D247" i="23"/>
  <c r="E248" i="23"/>
  <c r="F249" i="23"/>
  <c r="D251" i="23"/>
  <c r="C245" i="23"/>
  <c r="C249" i="23"/>
  <c r="C242" i="23"/>
  <c r="J226" i="23"/>
  <c r="N226" i="23"/>
  <c r="J227" i="23"/>
  <c r="N227" i="23"/>
  <c r="J228" i="23"/>
  <c r="N228" i="23"/>
  <c r="J229" i="23"/>
  <c r="N229" i="23"/>
  <c r="J230" i="23"/>
  <c r="N230" i="23"/>
  <c r="J231" i="23"/>
  <c r="N231" i="23"/>
  <c r="J232" i="23"/>
  <c r="N232" i="23"/>
  <c r="J233" i="23"/>
  <c r="N233" i="23"/>
  <c r="J234" i="23"/>
  <c r="N234" i="23"/>
  <c r="J235" i="23"/>
  <c r="N235" i="23"/>
  <c r="D227" i="23"/>
  <c r="E228" i="23"/>
  <c r="F229" i="23"/>
  <c r="D231" i="23"/>
  <c r="E232" i="23"/>
  <c r="F233" i="23"/>
  <c r="D235" i="23"/>
  <c r="C229" i="23"/>
  <c r="C233" i="23"/>
  <c r="C226" i="23"/>
  <c r="J212" i="23"/>
  <c r="N212" i="23"/>
  <c r="J213" i="23"/>
  <c r="N213" i="23"/>
  <c r="J214" i="23"/>
  <c r="N214" i="23"/>
  <c r="J215" i="23"/>
  <c r="N215" i="23"/>
  <c r="J216" i="23"/>
  <c r="N216" i="23"/>
  <c r="J217" i="23"/>
  <c r="N217" i="23"/>
  <c r="J218" i="23"/>
  <c r="N218" i="23"/>
  <c r="J219" i="23"/>
  <c r="N219" i="23"/>
  <c r="J220" i="23"/>
  <c r="N220" i="23"/>
  <c r="J221" i="23"/>
  <c r="N221" i="23"/>
  <c r="D213" i="23"/>
  <c r="E214" i="23"/>
  <c r="F215" i="23"/>
  <c r="D217" i="23"/>
  <c r="E218" i="23"/>
  <c r="F219" i="23"/>
  <c r="D221" i="23"/>
  <c r="C215" i="23"/>
  <c r="C219" i="23"/>
  <c r="C192" i="23"/>
  <c r="C212" i="23"/>
  <c r="F198" i="23"/>
  <c r="J198" i="23"/>
  <c r="N198" i="23"/>
  <c r="G199" i="23"/>
  <c r="K199" i="23"/>
  <c r="D200" i="23"/>
  <c r="H200" i="23"/>
  <c r="L200" i="23"/>
  <c r="E201" i="23"/>
  <c r="I201" i="23"/>
  <c r="M201" i="23"/>
  <c r="F202" i="23"/>
  <c r="J202" i="23"/>
  <c r="N202" i="23"/>
  <c r="G203" i="23"/>
  <c r="K203" i="23"/>
  <c r="D204" i="23"/>
  <c r="G258" i="23"/>
  <c r="K258" i="23"/>
  <c r="G259" i="23"/>
  <c r="H259" i="23"/>
  <c r="H260" i="23"/>
  <c r="H261" i="23"/>
  <c r="H262" i="23"/>
  <c r="H263" i="23"/>
  <c r="H264" i="23"/>
  <c r="H265" i="23"/>
  <c r="H266" i="23"/>
  <c r="H267" i="23"/>
  <c r="E258" i="23"/>
  <c r="D261" i="23"/>
  <c r="F263" i="23"/>
  <c r="E266" i="23"/>
  <c r="C266" i="23"/>
  <c r="L242" i="23"/>
  <c r="L243" i="23"/>
  <c r="L244" i="23"/>
  <c r="L245" i="23"/>
  <c r="L246" i="23"/>
  <c r="L247" i="23"/>
  <c r="L248" i="23"/>
  <c r="L249" i="23"/>
  <c r="L250" i="23"/>
  <c r="L251" i="23"/>
  <c r="F243" i="23"/>
  <c r="E246" i="23"/>
  <c r="D249" i="23"/>
  <c r="F251" i="23"/>
  <c r="C247" i="23"/>
  <c r="H226" i="23"/>
  <c r="H227" i="23"/>
  <c r="H228" i="23"/>
  <c r="H229" i="23"/>
  <c r="H230" i="23"/>
  <c r="H231" i="23"/>
  <c r="H232" i="23"/>
  <c r="H233" i="23"/>
  <c r="H234" i="23"/>
  <c r="H235" i="23"/>
  <c r="E226" i="23"/>
  <c r="D229" i="23"/>
  <c r="F231" i="23"/>
  <c r="E234" i="23"/>
  <c r="C227" i="23"/>
  <c r="C235" i="23"/>
  <c r="L212" i="23"/>
  <c r="L213" i="23"/>
  <c r="L214" i="23"/>
  <c r="L215" i="23"/>
  <c r="L216" i="23"/>
  <c r="L217" i="23"/>
  <c r="L218" i="23"/>
  <c r="L219" i="23"/>
  <c r="L220" i="23"/>
  <c r="L221" i="23"/>
  <c r="F213" i="23"/>
  <c r="E216" i="23"/>
  <c r="D219" i="23"/>
  <c r="F221" i="23"/>
  <c r="C217" i="23"/>
  <c r="E192" i="23"/>
  <c r="H198" i="23"/>
  <c r="E199" i="23"/>
  <c r="M199" i="23"/>
  <c r="J200" i="23"/>
  <c r="G201" i="23"/>
  <c r="D202" i="23"/>
  <c r="L202" i="23"/>
  <c r="I203" i="23"/>
  <c r="F204" i="23"/>
  <c r="J204" i="23"/>
  <c r="N204" i="23"/>
  <c r="G205" i="23"/>
  <c r="K205" i="23"/>
  <c r="D206" i="23"/>
  <c r="H206" i="23"/>
  <c r="L206" i="23"/>
  <c r="E207" i="23"/>
  <c r="I207" i="23"/>
  <c r="M207" i="23"/>
  <c r="C201" i="23"/>
  <c r="C205" i="23"/>
  <c r="D183" i="23"/>
  <c r="H183" i="23"/>
  <c r="L183" i="23"/>
  <c r="E184" i="23"/>
  <c r="I184" i="23"/>
  <c r="M184" i="23"/>
  <c r="F185" i="23"/>
  <c r="J185" i="23"/>
  <c r="N185" i="23"/>
  <c r="G186" i="23"/>
  <c r="K186" i="23"/>
  <c r="D187" i="23"/>
  <c r="H187" i="23"/>
  <c r="L187" i="23"/>
  <c r="E188" i="23"/>
  <c r="I188" i="23"/>
  <c r="M188" i="23"/>
  <c r="F189" i="23"/>
  <c r="J189" i="23"/>
  <c r="N189" i="23"/>
  <c r="G190" i="23"/>
  <c r="K190" i="23"/>
  <c r="D191" i="23"/>
  <c r="H191" i="23"/>
  <c r="L191" i="23"/>
  <c r="H192" i="23"/>
  <c r="L192" i="23"/>
  <c r="C185" i="23"/>
  <c r="C189" i="23"/>
  <c r="D146" i="23"/>
  <c r="H146" i="23"/>
  <c r="L146" i="23"/>
  <c r="E147" i="23"/>
  <c r="I147" i="23"/>
  <c r="M147" i="23"/>
  <c r="F148" i="23"/>
  <c r="J148" i="23"/>
  <c r="N148" i="23"/>
  <c r="G149" i="23"/>
  <c r="K149" i="23"/>
  <c r="D150" i="23"/>
  <c r="H150" i="23"/>
  <c r="L150" i="23"/>
  <c r="E151" i="23"/>
  <c r="I151" i="23"/>
  <c r="M151" i="23"/>
  <c r="F152" i="23"/>
  <c r="J152" i="23"/>
  <c r="N152" i="23"/>
  <c r="G153" i="23"/>
  <c r="K153" i="23"/>
  <c r="D154" i="23"/>
  <c r="H154" i="23"/>
  <c r="L154" i="23"/>
  <c r="E155" i="23"/>
  <c r="I155" i="23"/>
  <c r="M155" i="23"/>
  <c r="C149" i="23"/>
  <c r="C153" i="23"/>
  <c r="D131" i="23"/>
  <c r="H131" i="23"/>
  <c r="L131" i="23"/>
  <c r="E132" i="23"/>
  <c r="I132" i="23"/>
  <c r="M132" i="23"/>
  <c r="F133" i="23"/>
  <c r="J133" i="23"/>
  <c r="N133" i="23"/>
  <c r="G134" i="23"/>
  <c r="K134" i="23"/>
  <c r="D135" i="23"/>
  <c r="H135" i="23"/>
  <c r="L135" i="23"/>
  <c r="E136" i="23"/>
  <c r="K259" i="23"/>
  <c r="K260" i="23"/>
  <c r="K261" i="23"/>
  <c r="K262" i="23"/>
  <c r="K263" i="23"/>
  <c r="K264" i="23"/>
  <c r="K265" i="23"/>
  <c r="K266" i="23"/>
  <c r="K267" i="23"/>
  <c r="E259" i="23"/>
  <c r="D262" i="23"/>
  <c r="F264" i="23"/>
  <c r="E267" i="23"/>
  <c r="C261" i="23"/>
  <c r="G242" i="23"/>
  <c r="G243" i="23"/>
  <c r="G244" i="23"/>
  <c r="G245" i="23"/>
  <c r="G246" i="23"/>
  <c r="G247" i="23"/>
  <c r="G248" i="23"/>
  <c r="G249" i="23"/>
  <c r="G250" i="23"/>
  <c r="G251" i="23"/>
  <c r="D242" i="23"/>
  <c r="F244" i="23"/>
  <c r="E247" i="23"/>
  <c r="D250" i="23"/>
  <c r="C250" i="23"/>
  <c r="K226" i="23"/>
  <c r="K227" i="23"/>
  <c r="K228" i="23"/>
  <c r="K229" i="23"/>
  <c r="K230" i="23"/>
  <c r="K231" i="23"/>
  <c r="K232" i="23"/>
  <c r="K233" i="23"/>
  <c r="K234" i="23"/>
  <c r="K235" i="23"/>
  <c r="E227" i="23"/>
  <c r="D230" i="23"/>
  <c r="F232" i="23"/>
  <c r="E235" i="23"/>
  <c r="C230" i="23"/>
  <c r="G212" i="23"/>
  <c r="G213" i="23"/>
  <c r="G214" i="23"/>
  <c r="G215" i="23"/>
  <c r="G216" i="23"/>
  <c r="G217" i="23"/>
  <c r="G218" i="23"/>
  <c r="G219" i="23"/>
  <c r="G220" i="23"/>
  <c r="G221" i="23"/>
  <c r="D212" i="23"/>
  <c r="F214" i="23"/>
  <c r="E217" i="23"/>
  <c r="D220" i="23"/>
  <c r="C220" i="23"/>
  <c r="K198" i="23"/>
  <c r="H199" i="23"/>
  <c r="E200" i="23"/>
  <c r="M200" i="23"/>
  <c r="J201" i="23"/>
  <c r="G202" i="23"/>
  <c r="D203" i="23"/>
  <c r="L203" i="23"/>
  <c r="G204" i="23"/>
  <c r="K204" i="23"/>
  <c r="D205" i="23"/>
  <c r="H205" i="23"/>
  <c r="L205" i="23"/>
  <c r="E206" i="23"/>
  <c r="I206" i="23"/>
  <c r="M206" i="23"/>
  <c r="F207" i="23"/>
  <c r="J207" i="23"/>
  <c r="N207" i="23"/>
  <c r="C202" i="23"/>
  <c r="C206" i="23"/>
  <c r="E183" i="23"/>
  <c r="I183" i="23"/>
  <c r="M183" i="23"/>
  <c r="F184" i="23"/>
  <c r="J184" i="23"/>
  <c r="N184" i="23"/>
  <c r="G185" i="23"/>
  <c r="K185" i="23"/>
  <c r="D186" i="23"/>
  <c r="H186" i="23"/>
  <c r="L186" i="23"/>
  <c r="E187" i="23"/>
  <c r="I187" i="23"/>
  <c r="M187" i="23"/>
  <c r="F188" i="23"/>
  <c r="J188" i="23"/>
  <c r="N188" i="23"/>
  <c r="G189" i="23"/>
  <c r="K189" i="23"/>
  <c r="D190" i="23"/>
  <c r="H190" i="23"/>
  <c r="L190" i="23"/>
  <c r="E191" i="23"/>
  <c r="I191" i="23"/>
  <c r="M191" i="23"/>
  <c r="I192" i="23"/>
  <c r="M192" i="23"/>
  <c r="C186" i="23"/>
  <c r="C190" i="23"/>
  <c r="E146" i="23"/>
  <c r="I146" i="23"/>
  <c r="M146" i="23"/>
  <c r="F147" i="23"/>
  <c r="J147" i="23"/>
  <c r="N147" i="23"/>
  <c r="G148" i="23"/>
  <c r="K148" i="23"/>
  <c r="D149" i="23"/>
  <c r="H149" i="23"/>
  <c r="L149" i="23"/>
  <c r="E150" i="23"/>
  <c r="I150" i="23"/>
  <c r="M150" i="23"/>
  <c r="F151" i="23"/>
  <c r="J151" i="23"/>
  <c r="N151" i="23"/>
  <c r="G152" i="23"/>
  <c r="K152" i="23"/>
  <c r="D153" i="23"/>
  <c r="H153" i="23"/>
  <c r="L153" i="23"/>
  <c r="E154" i="23"/>
  <c r="I154" i="23"/>
  <c r="M154" i="23"/>
  <c r="F155" i="23"/>
  <c r="J155" i="23"/>
  <c r="N155" i="23"/>
  <c r="C150" i="23"/>
  <c r="C154" i="23"/>
  <c r="E131" i="23"/>
  <c r="I131" i="23"/>
  <c r="M131" i="23"/>
  <c r="F132" i="23"/>
  <c r="J132" i="23"/>
  <c r="N132" i="23"/>
  <c r="G133" i="23"/>
  <c r="K133" i="23"/>
  <c r="D134" i="23"/>
  <c r="H134" i="23"/>
  <c r="L134" i="23"/>
  <c r="E135" i="23"/>
  <c r="I135" i="23"/>
  <c r="M135" i="23"/>
  <c r="F136" i="23"/>
  <c r="J136" i="23"/>
  <c r="N136" i="23"/>
  <c r="G137" i="23"/>
  <c r="K137" i="23"/>
  <c r="D138" i="23"/>
  <c r="H138" i="23"/>
  <c r="L138" i="23"/>
  <c r="E139" i="23"/>
  <c r="I139" i="23"/>
  <c r="M139" i="23"/>
  <c r="F140" i="23"/>
  <c r="J140" i="23"/>
  <c r="N140" i="23"/>
  <c r="C135" i="23"/>
  <c r="C139" i="23"/>
  <c r="E99" i="23"/>
  <c r="I99" i="23"/>
  <c r="M99" i="23"/>
  <c r="F100" i="23"/>
  <c r="J100" i="23"/>
  <c r="N100" i="23"/>
  <c r="G101" i="23"/>
  <c r="L258" i="23"/>
  <c r="G261" i="23"/>
  <c r="G263" i="23"/>
  <c r="G265" i="23"/>
  <c r="G267" i="23"/>
  <c r="F260" i="23"/>
  <c r="D266" i="23"/>
  <c r="C265" i="23"/>
  <c r="K243" i="23"/>
  <c r="K245" i="23"/>
  <c r="K247" i="23"/>
  <c r="K249" i="23"/>
  <c r="K251" i="23"/>
  <c r="D246" i="23"/>
  <c r="E251" i="23"/>
  <c r="G226" i="23"/>
  <c r="G228" i="23"/>
  <c r="G230" i="23"/>
  <c r="G232" i="23"/>
  <c r="G234" i="23"/>
  <c r="D226" i="23"/>
  <c r="E231" i="23"/>
  <c r="K212" i="23"/>
  <c r="K214" i="23"/>
  <c r="K216" i="23"/>
  <c r="K218" i="23"/>
  <c r="K220" i="23"/>
  <c r="E213" i="23"/>
  <c r="F218" i="23"/>
  <c r="C216" i="23"/>
  <c r="D192" i="23"/>
  <c r="D199" i="23"/>
  <c r="I200" i="23"/>
  <c r="N201" i="23"/>
  <c r="H203" i="23"/>
  <c r="I204" i="23"/>
  <c r="F205" i="23"/>
  <c r="N205" i="23"/>
  <c r="K206" i="23"/>
  <c r="H207" i="23"/>
  <c r="C200" i="23"/>
  <c r="C198" i="23"/>
  <c r="K183" i="23"/>
  <c r="H184" i="23"/>
  <c r="E185" i="23"/>
  <c r="M185" i="23"/>
  <c r="J186" i="23"/>
  <c r="G187" i="23"/>
  <c r="D188" i="23"/>
  <c r="L188" i="23"/>
  <c r="I189" i="23"/>
  <c r="F190" i="23"/>
  <c r="N190" i="23"/>
  <c r="K191" i="23"/>
  <c r="K192" i="23"/>
  <c r="C188" i="23"/>
  <c r="G146" i="23"/>
  <c r="D147" i="23"/>
  <c r="L147" i="23"/>
  <c r="I148" i="23"/>
  <c r="F149" i="23"/>
  <c r="N149" i="23"/>
  <c r="K150" i="23"/>
  <c r="H151" i="23"/>
  <c r="E152" i="23"/>
  <c r="M152" i="23"/>
  <c r="J153" i="23"/>
  <c r="G154" i="23"/>
  <c r="D155" i="23"/>
  <c r="L155" i="23"/>
  <c r="C152" i="23"/>
  <c r="G131" i="23"/>
  <c r="L259" i="23"/>
  <c r="L261" i="23"/>
  <c r="L263" i="23"/>
  <c r="L265" i="23"/>
  <c r="L267" i="23"/>
  <c r="E262" i="23"/>
  <c r="F267" i="23"/>
  <c r="H242" i="23"/>
  <c r="H244" i="23"/>
  <c r="H246" i="23"/>
  <c r="H248" i="23"/>
  <c r="H250" i="23"/>
  <c r="E242" i="23"/>
  <c r="F247" i="23"/>
  <c r="C243" i="23"/>
  <c r="L226" i="23"/>
  <c r="L228" i="23"/>
  <c r="L230" i="23"/>
  <c r="L232" i="23"/>
  <c r="L234" i="23"/>
  <c r="F227" i="23"/>
  <c r="D233" i="23"/>
  <c r="C231" i="23"/>
  <c r="H213" i="23"/>
  <c r="H215" i="23"/>
  <c r="H217" i="23"/>
  <c r="H219" i="23"/>
  <c r="H221" i="23"/>
  <c r="D215" i="23"/>
  <c r="E220" i="23"/>
  <c r="C221" i="23"/>
  <c r="D198" i="23"/>
  <c r="I199" i="23"/>
  <c r="N200" i="23"/>
  <c r="H202" i="23"/>
  <c r="M203" i="23"/>
  <c r="L204" i="23"/>
  <c r="I205" i="23"/>
  <c r="F206" i="23"/>
  <c r="N206" i="23"/>
  <c r="K207" i="23"/>
  <c r="C203" i="23"/>
  <c r="F183" i="23"/>
  <c r="N183" i="23"/>
  <c r="K184" i="23"/>
  <c r="H185" i="23"/>
  <c r="E186" i="23"/>
  <c r="D173" i="23" s="1"/>
  <c r="M186" i="23"/>
  <c r="J187" i="23"/>
  <c r="G188" i="23"/>
  <c r="D189" i="23"/>
  <c r="L189" i="23"/>
  <c r="I190" i="23"/>
  <c r="F191" i="23"/>
  <c r="N191" i="23"/>
  <c r="N192" i="23"/>
  <c r="N193" i="23" s="1"/>
  <c r="C191" i="23"/>
  <c r="J146" i="23"/>
  <c r="G147" i="23"/>
  <c r="D148" i="23"/>
  <c r="L148" i="23"/>
  <c r="I149" i="23"/>
  <c r="F150" i="23"/>
  <c r="N150" i="23"/>
  <c r="K151" i="23"/>
  <c r="H152" i="23"/>
  <c r="E153" i="23"/>
  <c r="M153" i="23"/>
  <c r="J154" i="23"/>
  <c r="G155" i="23"/>
  <c r="C147" i="23"/>
  <c r="C155" i="23"/>
  <c r="J131" i="23"/>
  <c r="G132" i="23"/>
  <c r="D133" i="23"/>
  <c r="L133" i="23"/>
  <c r="I134" i="23"/>
  <c r="F135" i="23"/>
  <c r="N135" i="23"/>
  <c r="I136" i="23"/>
  <c r="D137" i="23"/>
  <c r="I137" i="23"/>
  <c r="N137" i="23"/>
  <c r="I138" i="23"/>
  <c r="N138" i="23"/>
  <c r="H139" i="23"/>
  <c r="N139" i="23"/>
  <c r="H140" i="23"/>
  <c r="M140" i="23"/>
  <c r="C136" i="23"/>
  <c r="C131" i="23"/>
  <c r="H99" i="23"/>
  <c r="N99" i="23"/>
  <c r="H100" i="23"/>
  <c r="M100" i="23"/>
  <c r="H101" i="23"/>
  <c r="L101" i="23"/>
  <c r="E102" i="23"/>
  <c r="I102" i="23"/>
  <c r="M102" i="23"/>
  <c r="F103" i="23"/>
  <c r="J103" i="23"/>
  <c r="N103" i="23"/>
  <c r="G104" i="23"/>
  <c r="K104" i="23"/>
  <c r="G260" i="23"/>
  <c r="G262" i="23"/>
  <c r="G264" i="23"/>
  <c r="G266" i="23"/>
  <c r="D258" i="23"/>
  <c r="E263" i="23"/>
  <c r="K242" i="23"/>
  <c r="K244" i="23"/>
  <c r="K246" i="23"/>
  <c r="K248" i="23"/>
  <c r="K250" i="23"/>
  <c r="E243" i="23"/>
  <c r="F248" i="23"/>
  <c r="C246" i="23"/>
  <c r="G227" i="23"/>
  <c r="G229" i="23"/>
  <c r="G231" i="23"/>
  <c r="G233" i="23"/>
  <c r="G235" i="23"/>
  <c r="F228" i="23"/>
  <c r="D234" i="23"/>
  <c r="C234" i="23"/>
  <c r="K213" i="23"/>
  <c r="K215" i="23"/>
  <c r="K217" i="23"/>
  <c r="K219" i="23"/>
  <c r="K221" i="23"/>
  <c r="D216" i="23"/>
  <c r="E221" i="23"/>
  <c r="G198" i="23"/>
  <c r="L199" i="23"/>
  <c r="F201" i="23"/>
  <c r="K202" i="23"/>
  <c r="E204" i="23"/>
  <c r="M204" i="23"/>
  <c r="J205" i="23"/>
  <c r="G206" i="23"/>
  <c r="D207" i="23"/>
  <c r="L207" i="23"/>
  <c r="C204" i="23"/>
  <c r="G183" i="23"/>
  <c r="D184" i="23"/>
  <c r="L184" i="23"/>
  <c r="I185" i="23"/>
  <c r="F186" i="23"/>
  <c r="N186" i="23"/>
  <c r="K187" i="23"/>
  <c r="H188" i="23"/>
  <c r="E189" i="23"/>
  <c r="M189" i="23"/>
  <c r="J190" i="23"/>
  <c r="G191" i="23"/>
  <c r="G192" i="23"/>
  <c r="C184" i="23"/>
  <c r="C183" i="23"/>
  <c r="K146" i="23"/>
  <c r="H147" i="23"/>
  <c r="E148" i="23"/>
  <c r="M148" i="23"/>
  <c r="J149" i="23"/>
  <c r="G150" i="23"/>
  <c r="D151" i="23"/>
  <c r="L151" i="23"/>
  <c r="I152" i="23"/>
  <c r="F153" i="23"/>
  <c r="N153" i="23"/>
  <c r="K154" i="23"/>
  <c r="H155" i="23"/>
  <c r="C148" i="23"/>
  <c r="C146" i="23"/>
  <c r="K131" i="23"/>
  <c r="H132" i="23"/>
  <c r="E133" i="23"/>
  <c r="M133" i="23"/>
  <c r="J134" i="23"/>
  <c r="G135" i="23"/>
  <c r="D136" i="23"/>
  <c r="C67" i="23"/>
  <c r="C69" i="23"/>
  <c r="H76" i="23"/>
  <c r="G75" i="23"/>
  <c r="F74" i="23"/>
  <c r="E73" i="23"/>
  <c r="K71" i="23"/>
  <c r="J70" i="23"/>
  <c r="I69" i="23"/>
  <c r="H68" i="23"/>
  <c r="G67" i="23"/>
  <c r="C90" i="23"/>
  <c r="L92" i="23"/>
  <c r="K91" i="23"/>
  <c r="J90" i="23"/>
  <c r="E89" i="23"/>
  <c r="D88" i="23"/>
  <c r="N86" i="23"/>
  <c r="M85" i="23"/>
  <c r="L84" i="23"/>
  <c r="K83" i="23"/>
  <c r="C106" i="23"/>
  <c r="K108" i="23"/>
  <c r="J107" i="23"/>
  <c r="I106" i="23"/>
  <c r="H105" i="23"/>
  <c r="K103" i="23"/>
  <c r="F102" i="23"/>
  <c r="E101" i="23"/>
  <c r="F99" i="23"/>
  <c r="J139" i="23"/>
  <c r="J137" i="23"/>
  <c r="M134" i="23"/>
  <c r="N131" i="23"/>
  <c r="E149" i="23"/>
  <c r="M190" i="23"/>
  <c r="D185" i="23"/>
  <c r="E205" i="23"/>
  <c r="F217" i="23"/>
  <c r="E230" i="23"/>
  <c r="L260" i="23"/>
  <c r="C76" i="23"/>
  <c r="C72" i="23"/>
  <c r="C68" i="23"/>
  <c r="K76" i="23"/>
  <c r="G76" i="23"/>
  <c r="N75" i="23"/>
  <c r="J75" i="23"/>
  <c r="F75" i="23"/>
  <c r="M74" i="23"/>
  <c r="I74" i="23"/>
  <c r="E74" i="23"/>
  <c r="L73" i="23"/>
  <c r="H73" i="23"/>
  <c r="D73" i="23"/>
  <c r="K72" i="23"/>
  <c r="G72" i="23"/>
  <c r="N71" i="23"/>
  <c r="J71" i="23"/>
  <c r="F71" i="23"/>
  <c r="M70" i="23"/>
  <c r="I70" i="23"/>
  <c r="E70" i="23"/>
  <c r="L69" i="23"/>
  <c r="H69" i="23"/>
  <c r="D69" i="23"/>
  <c r="K68" i="23"/>
  <c r="G68" i="23"/>
  <c r="N67" i="23"/>
  <c r="J67" i="23"/>
  <c r="F67" i="23"/>
  <c r="C89" i="23"/>
  <c r="C85" i="23"/>
  <c r="K92" i="23"/>
  <c r="G92" i="23"/>
  <c r="N91" i="23"/>
  <c r="J91" i="23"/>
  <c r="F91" i="23"/>
  <c r="M90" i="23"/>
  <c r="I90" i="23"/>
  <c r="E90" i="23"/>
  <c r="L89" i="23"/>
  <c r="H89" i="23"/>
  <c r="D89" i="23"/>
  <c r="K88" i="23"/>
  <c r="G88" i="23"/>
  <c r="N87" i="23"/>
  <c r="J87" i="23"/>
  <c r="F87" i="23"/>
  <c r="M86" i="23"/>
  <c r="I86" i="23"/>
  <c r="E86" i="23"/>
  <c r="L85" i="23"/>
  <c r="H85" i="23"/>
  <c r="D85" i="23"/>
  <c r="K84" i="23"/>
  <c r="G84" i="23"/>
  <c r="N83" i="23"/>
  <c r="J83" i="23"/>
  <c r="F83" i="23"/>
  <c r="C105" i="23"/>
  <c r="C101" i="23"/>
  <c r="N108" i="23"/>
  <c r="J108" i="23"/>
  <c r="F108" i="23"/>
  <c r="M107" i="23"/>
  <c r="I107" i="23"/>
  <c r="E107" i="23"/>
  <c r="L106" i="23"/>
  <c r="H106" i="23"/>
  <c r="D106" i="23"/>
  <c r="K105" i="23"/>
  <c r="G105" i="23"/>
  <c r="N104" i="23"/>
  <c r="I104" i="23"/>
  <c r="D104" i="23"/>
  <c r="I103" i="23"/>
  <c r="D103" i="23"/>
  <c r="J102" i="23"/>
  <c r="D102" i="23"/>
  <c r="J101" i="23"/>
  <c r="D101" i="23"/>
  <c r="G100" i="23"/>
  <c r="K99" i="23"/>
  <c r="D99" i="23"/>
  <c r="C134" i="23"/>
  <c r="K140" i="23"/>
  <c r="D140" i="23"/>
  <c r="G139" i="23"/>
  <c r="K138" i="23"/>
  <c r="E138" i="23"/>
  <c r="H137" i="23"/>
  <c r="L136" i="23"/>
  <c r="K135" i="23"/>
  <c r="F134" i="23"/>
  <c r="L132" i="23"/>
  <c r="F131" i="23"/>
  <c r="F154" i="23"/>
  <c r="G151" i="23"/>
  <c r="H148" i="23"/>
  <c r="C187" i="23"/>
  <c r="E190" i="23"/>
  <c r="F187" i="23"/>
  <c r="G184" i="23"/>
  <c r="G207" i="23"/>
  <c r="H204" i="23"/>
  <c r="L198" i="23"/>
  <c r="E212" i="23"/>
  <c r="H214" i="23"/>
  <c r="L235" i="23"/>
  <c r="L227" i="23"/>
  <c r="H251" i="23"/>
  <c r="H243" i="23"/>
  <c r="L266" i="23"/>
  <c r="H258" i="23"/>
  <c r="E76" i="23"/>
  <c r="L75" i="23"/>
  <c r="K74" i="23"/>
  <c r="J73" i="23"/>
  <c r="I72" i="23"/>
  <c r="H71" i="23"/>
  <c r="G70" i="23"/>
  <c r="J69" i="23"/>
  <c r="I68" i="23"/>
  <c r="H67" i="23"/>
  <c r="C87" i="23"/>
  <c r="I92" i="23"/>
  <c r="H91" i="23"/>
  <c r="G90" i="23"/>
  <c r="F89" i="23"/>
  <c r="E88" i="23"/>
  <c r="D87" i="23"/>
  <c r="G86" i="23"/>
  <c r="F85" i="23"/>
  <c r="E84" i="23"/>
  <c r="D83" i="23"/>
  <c r="D108" i="23"/>
  <c r="N106" i="23"/>
  <c r="N109" i="23" s="1"/>
  <c r="M105" i="23"/>
  <c r="L104" i="23"/>
  <c r="G103" i="23"/>
  <c r="M101" i="23"/>
  <c r="K100" i="23"/>
  <c r="G99" i="23"/>
  <c r="G140" i="23"/>
  <c r="G138" i="23"/>
  <c r="H136" i="23"/>
  <c r="I133" i="23"/>
  <c r="L152" i="23"/>
  <c r="J191" i="23"/>
  <c r="L185" i="23"/>
  <c r="C213" i="23"/>
  <c r="E250" i="23"/>
  <c r="C73" i="23"/>
  <c r="L76" i="23"/>
  <c r="K75" i="23"/>
  <c r="J74" i="23"/>
  <c r="M73" i="23"/>
  <c r="M77" i="23" s="1"/>
  <c r="L72" i="23"/>
  <c r="D72" i="23"/>
  <c r="N70" i="23"/>
  <c r="F70" i="23"/>
  <c r="E69" i="23"/>
  <c r="D68" i="23"/>
  <c r="C83" i="23"/>
  <c r="C86" i="23"/>
  <c r="H92" i="23"/>
  <c r="G91" i="23"/>
  <c r="F90" i="23"/>
  <c r="I89" i="23"/>
  <c r="H88" i="23"/>
  <c r="G87" i="23"/>
  <c r="F86" i="23"/>
  <c r="E85" i="23"/>
  <c r="D84" i="23"/>
  <c r="C99" i="23"/>
  <c r="C102" i="23"/>
  <c r="G108" i="23"/>
  <c r="F107" i="23"/>
  <c r="E106" i="23"/>
  <c r="D105" i="23"/>
  <c r="J104" i="23"/>
  <c r="E103" i="23"/>
  <c r="K101" i="23"/>
  <c r="L99" i="23"/>
  <c r="C137" i="23"/>
  <c r="E140" i="23"/>
  <c r="F138" i="23"/>
  <c r="M136" i="23"/>
  <c r="H133" i="23"/>
  <c r="D152" i="23"/>
  <c r="N187" i="23"/>
  <c r="F259" i="23"/>
  <c r="C75" i="23"/>
  <c r="C71" i="23"/>
  <c r="N76" i="23"/>
  <c r="J76" i="23"/>
  <c r="F76" i="23"/>
  <c r="M75" i="23"/>
  <c r="I75" i="23"/>
  <c r="E75" i="23"/>
  <c r="L74" i="23"/>
  <c r="H74" i="23"/>
  <c r="D74" i="23"/>
  <c r="K73" i="23"/>
  <c r="G73" i="23"/>
  <c r="N72" i="23"/>
  <c r="J72" i="23"/>
  <c r="F72" i="23"/>
  <c r="M71" i="23"/>
  <c r="I71" i="23"/>
  <c r="E71" i="23"/>
  <c r="L70" i="23"/>
  <c r="H70" i="23"/>
  <c r="D70" i="23"/>
  <c r="K69" i="23"/>
  <c r="G69" i="23"/>
  <c r="N68" i="23"/>
  <c r="J68" i="23"/>
  <c r="F68" i="23"/>
  <c r="M67" i="23"/>
  <c r="I67" i="23"/>
  <c r="E67" i="23"/>
  <c r="C92" i="23"/>
  <c r="C88" i="23"/>
  <c r="C84" i="23"/>
  <c r="N92" i="23"/>
  <c r="J92" i="23"/>
  <c r="F92" i="23"/>
  <c r="M91" i="23"/>
  <c r="I91" i="23"/>
  <c r="E91" i="23"/>
  <c r="L90" i="23"/>
  <c r="H90" i="23"/>
  <c r="D90" i="23"/>
  <c r="K89" i="23"/>
  <c r="G89" i="23"/>
  <c r="N88" i="23"/>
  <c r="J88" i="23"/>
  <c r="F88" i="23"/>
  <c r="M87" i="23"/>
  <c r="I87" i="23"/>
  <c r="E87" i="23"/>
  <c r="L86" i="23"/>
  <c r="H86" i="23"/>
  <c r="D86" i="23"/>
  <c r="K85" i="23"/>
  <c r="G85" i="23"/>
  <c r="N84" i="23"/>
  <c r="J84" i="23"/>
  <c r="F84" i="23"/>
  <c r="M83" i="23"/>
  <c r="I83" i="23"/>
  <c r="E83" i="23"/>
  <c r="C108" i="23"/>
  <c r="C104" i="23"/>
  <c r="C100" i="23"/>
  <c r="M108" i="23"/>
  <c r="I108" i="23"/>
  <c r="E108" i="23"/>
  <c r="L107" i="23"/>
  <c r="H107" i="23"/>
  <c r="D107" i="23"/>
  <c r="K106" i="23"/>
  <c r="G106" i="23"/>
  <c r="N105" i="23"/>
  <c r="J105" i="23"/>
  <c r="F105" i="23"/>
  <c r="M104" i="23"/>
  <c r="H104" i="23"/>
  <c r="M103" i="23"/>
  <c r="H103" i="23"/>
  <c r="N102" i="23"/>
  <c r="H102" i="23"/>
  <c r="N101" i="23"/>
  <c r="I101" i="23"/>
  <c r="L100" i="23"/>
  <c r="E100" i="23"/>
  <c r="J99" i="23"/>
  <c r="C140" i="23"/>
  <c r="C133" i="23"/>
  <c r="I140" i="23"/>
  <c r="L139" i="23"/>
  <c r="F139" i="23"/>
  <c r="J138" i="23"/>
  <c r="M137" i="23"/>
  <c r="F137" i="23"/>
  <c r="K136" i="23"/>
  <c r="J135" i="23"/>
  <c r="E134" i="23"/>
  <c r="K132" i="23"/>
  <c r="C151" i="23"/>
  <c r="I153" i="23"/>
  <c r="J150" i="23"/>
  <c r="K147" i="23"/>
  <c r="J192" i="23"/>
  <c r="H189" i="23"/>
  <c r="I186" i="23"/>
  <c r="J183" i="23"/>
  <c r="J206" i="23"/>
  <c r="E203" i="23"/>
  <c r="H220" i="23"/>
  <c r="H212" i="23"/>
  <c r="L233" i="23"/>
  <c r="C251" i="23"/>
  <c r="H249" i="23"/>
  <c r="C262" i="23"/>
  <c r="L264" i="23"/>
  <c r="Q18" i="23"/>
  <c r="Q16" i="23" s="1"/>
  <c r="M18" i="23"/>
  <c r="M16" i="23" s="1"/>
  <c r="O18" i="23"/>
  <c r="O16" i="23" s="1"/>
  <c r="R18" i="23"/>
  <c r="R16" i="23" s="1"/>
  <c r="N18" i="23"/>
  <c r="N16" i="23" s="1"/>
  <c r="P18" i="23"/>
  <c r="P16" i="23" s="1"/>
  <c r="L18" i="23"/>
  <c r="L16" i="23" s="1"/>
  <c r="N156" i="23" l="1"/>
  <c r="N252" i="23"/>
  <c r="J78" i="23"/>
  <c r="K194" i="23"/>
  <c r="N268" i="23"/>
  <c r="D174" i="23"/>
  <c r="E173" i="23"/>
  <c r="N77" i="23"/>
  <c r="ED52" i="23" s="1"/>
  <c r="N141" i="23"/>
  <c r="ED56" i="23" s="1"/>
  <c r="F94" i="23"/>
  <c r="D78" i="23"/>
  <c r="E110" i="23"/>
  <c r="E142" i="23"/>
  <c r="J110" i="23"/>
  <c r="C78" i="23"/>
  <c r="D110" i="23"/>
  <c r="D142" i="23"/>
  <c r="F110" i="23"/>
  <c r="G78" i="23"/>
  <c r="G110" i="23"/>
  <c r="G142" i="23"/>
  <c r="ED57" i="23"/>
  <c r="ED55" i="23"/>
  <c r="J126" i="23"/>
  <c r="I94" i="23"/>
  <c r="I126" i="23"/>
  <c r="I157" i="23"/>
  <c r="F126" i="23"/>
  <c r="H94" i="23"/>
  <c r="H126" i="23"/>
  <c r="H157" i="23"/>
  <c r="J142" i="23"/>
  <c r="C94" i="23"/>
  <c r="C126" i="23"/>
  <c r="C157" i="23"/>
  <c r="F142" i="23"/>
  <c r="E94" i="23"/>
  <c r="E126" i="23"/>
  <c r="E157" i="23"/>
  <c r="J157" i="23"/>
  <c r="D94" i="23"/>
  <c r="D126" i="23"/>
  <c r="D157" i="23"/>
  <c r="F157" i="23"/>
  <c r="G94" i="23"/>
  <c r="G126" i="23"/>
  <c r="G157" i="23"/>
  <c r="N236" i="23"/>
  <c r="ED61" i="23" s="1"/>
  <c r="ED62" i="23"/>
  <c r="I78" i="23"/>
  <c r="I110" i="23"/>
  <c r="I142" i="23"/>
  <c r="E78" i="23"/>
  <c r="H78" i="23"/>
  <c r="H110" i="23"/>
  <c r="H142" i="23"/>
  <c r="J94" i="23"/>
  <c r="F78" i="23"/>
  <c r="C110" i="23"/>
  <c r="C142" i="23"/>
  <c r="F209" i="23"/>
  <c r="E194" i="23"/>
  <c r="E223" i="23"/>
  <c r="E253" i="23"/>
  <c r="J223" i="23"/>
  <c r="D194" i="23"/>
  <c r="D223" i="23"/>
  <c r="D253" i="23"/>
  <c r="F223" i="23"/>
  <c r="G194" i="23"/>
  <c r="G223" i="23"/>
  <c r="G253" i="23"/>
  <c r="J237" i="23"/>
  <c r="I209" i="23"/>
  <c r="I237" i="23"/>
  <c r="F237" i="23"/>
  <c r="H209" i="23"/>
  <c r="H237" i="23"/>
  <c r="J253" i="23"/>
  <c r="C209" i="23"/>
  <c r="C237" i="23"/>
  <c r="E209" i="23"/>
  <c r="E237" i="23"/>
  <c r="F253" i="23"/>
  <c r="D209" i="23"/>
  <c r="D237" i="23"/>
  <c r="G209" i="23"/>
  <c r="G237" i="23"/>
  <c r="J194" i="23"/>
  <c r="I194" i="23"/>
  <c r="I223" i="23"/>
  <c r="I253" i="23"/>
  <c r="F194" i="23"/>
  <c r="H194" i="23"/>
  <c r="H223" i="23"/>
  <c r="H253" i="23"/>
  <c r="J209" i="23"/>
  <c r="C194" i="23"/>
  <c r="C223" i="23"/>
  <c r="C253" i="23"/>
  <c r="I269" i="23"/>
  <c r="H269" i="23"/>
  <c r="C269" i="23"/>
  <c r="J269" i="23"/>
  <c r="E269" i="23"/>
  <c r="D269" i="23"/>
  <c r="F269" i="23"/>
  <c r="G269" i="23"/>
  <c r="F125" i="34"/>
  <c r="H112" i="34"/>
  <c r="M139" i="34"/>
  <c r="N139" i="34" s="1"/>
  <c r="F139" i="34"/>
  <c r="E135" i="34"/>
  <c r="G135" i="34"/>
  <c r="F161" i="34"/>
  <c r="G124" i="34"/>
  <c r="E124" i="34"/>
  <c r="N208" i="23"/>
  <c r="ED59" i="23" s="1"/>
  <c r="N222" i="23"/>
  <c r="ED60" i="23" s="1"/>
  <c r="ED54" i="23"/>
  <c r="ED58" i="23"/>
  <c r="ED63" i="23"/>
  <c r="N93" i="23"/>
  <c r="ED53" i="23" s="1"/>
  <c r="F173" i="23" l="1"/>
  <c r="E174" i="23"/>
  <c r="ED65" i="23"/>
  <c r="F126" i="34"/>
  <c r="H113" i="34"/>
  <c r="E161" i="34"/>
  <c r="F162" i="34"/>
  <c r="M140" i="34"/>
  <c r="N140" i="34" s="1"/>
  <c r="F140" i="34"/>
  <c r="E139" i="34"/>
  <c r="G125" i="34"/>
  <c r="E125" i="34"/>
  <c r="H166" i="10"/>
  <c r="A18" i="30"/>
  <c r="E1" i="30" s="1"/>
  <c r="K18" i="30"/>
  <c r="I1" i="30"/>
  <c r="ED67" i="23" l="1"/>
  <c r="G147" i="11" s="1" a="1"/>
  <c r="D1" i="30"/>
  <c r="B1" i="30"/>
  <c r="C1" i="30"/>
  <c r="F1" i="30"/>
  <c r="G173" i="23"/>
  <c r="H173" i="23" s="1"/>
  <c r="H174" i="23" s="1"/>
  <c r="F174" i="23"/>
  <c r="F127" i="34"/>
  <c r="H114" i="34"/>
  <c r="I139" i="34"/>
  <c r="M141" i="34"/>
  <c r="N141" i="34" s="1"/>
  <c r="F141" i="34"/>
  <c r="E140" i="34"/>
  <c r="I140" i="34" s="1"/>
  <c r="K140" i="34" s="1"/>
  <c r="G126" i="34"/>
  <c r="E126" i="34"/>
  <c r="F163" i="34"/>
  <c r="E162" i="34"/>
  <c r="A22" i="29"/>
  <c r="C1" i="29" s="1"/>
  <c r="J18" i="29"/>
  <c r="J1" i="29"/>
  <c r="G150" i="11" l="1"/>
  <c r="G149" i="11"/>
  <c r="G147" i="11"/>
  <c r="G148" i="11"/>
  <c r="G174" i="23"/>
  <c r="H178" i="23" s="1"/>
  <c r="K139" i="34"/>
  <c r="L139" i="34" s="1"/>
  <c r="L140" i="34"/>
  <c r="M142" i="34"/>
  <c r="N142" i="34" s="1"/>
  <c r="F142" i="34"/>
  <c r="E141" i="34"/>
  <c r="F128" i="34"/>
  <c r="H115" i="34"/>
  <c r="F164" i="34"/>
  <c r="E163" i="34"/>
  <c r="G127" i="34"/>
  <c r="E127" i="34"/>
  <c r="F1" i="29"/>
  <c r="E1" i="29"/>
  <c r="B1" i="29"/>
  <c r="D1" i="29"/>
  <c r="G1" i="29"/>
  <c r="J178" i="23" l="1"/>
  <c r="K178" i="23"/>
  <c r="K179" i="23" s="1"/>
  <c r="L178" i="23"/>
  <c r="L179" i="23" s="1"/>
  <c r="M178" i="23"/>
  <c r="M179" i="23" s="1"/>
  <c r="N178" i="23"/>
  <c r="N179" i="23" s="1"/>
  <c r="G128" i="34"/>
  <c r="E128" i="34"/>
  <c r="I141" i="34"/>
  <c r="F129" i="34"/>
  <c r="H116" i="34"/>
  <c r="E164" i="34"/>
  <c r="R142" i="34" s="1"/>
  <c r="F165" i="34"/>
  <c r="M143" i="34"/>
  <c r="N143" i="34" s="1"/>
  <c r="F143" i="34"/>
  <c r="E142" i="34"/>
  <c r="I142" i="34" s="1"/>
  <c r="G129" i="34" l="1"/>
  <c r="E129" i="34"/>
  <c r="F144" i="34"/>
  <c r="E143" i="34"/>
  <c r="I143" i="34" s="1"/>
  <c r="M144" i="34"/>
  <c r="N144" i="34" s="1"/>
  <c r="E165" i="34"/>
  <c r="R143" i="34" s="1"/>
  <c r="F166" i="34"/>
  <c r="F130" i="34"/>
  <c r="H117" i="34"/>
  <c r="Q142" i="34"/>
  <c r="K142" i="34"/>
  <c r="K141" i="34"/>
  <c r="L141" i="34" s="1"/>
  <c r="AC2" i="28"/>
  <c r="AD2" i="28"/>
  <c r="AE2" i="28"/>
  <c r="AF2" i="28"/>
  <c r="AG2" i="28"/>
  <c r="AH2" i="28"/>
  <c r="AI2" i="28"/>
  <c r="AA2" i="28"/>
  <c r="AB2" i="28"/>
  <c r="B59" i="28"/>
  <c r="A59" i="28"/>
  <c r="B55" i="28"/>
  <c r="A55" i="28"/>
  <c r="H59" i="28"/>
  <c r="G59" i="28"/>
  <c r="H55" i="28"/>
  <c r="G55" i="28"/>
  <c r="L142" i="34" l="1"/>
  <c r="E166" i="34"/>
  <c r="R144" i="34" s="1"/>
  <c r="F167" i="34"/>
  <c r="F145" i="34"/>
  <c r="E144" i="34"/>
  <c r="M145" i="34"/>
  <c r="N145" i="34" s="1"/>
  <c r="F131" i="34"/>
  <c r="H118" i="34"/>
  <c r="G130" i="34"/>
  <c r="E130" i="34"/>
  <c r="Q143" i="34"/>
  <c r="K143" i="34"/>
  <c r="L143" i="34" s="1"/>
  <c r="P150" i="10"/>
  <c r="Q150" i="10"/>
  <c r="P153" i="10"/>
  <c r="Q153" i="10"/>
  <c r="P156" i="10"/>
  <c r="Q156" i="10"/>
  <c r="P159" i="10"/>
  <c r="Q159" i="10"/>
  <c r="F168" i="34" l="1"/>
  <c r="E167" i="34"/>
  <c r="R145" i="34" s="1"/>
  <c r="G131" i="34"/>
  <c r="E131" i="34"/>
  <c r="I144" i="34"/>
  <c r="F132" i="34"/>
  <c r="H119" i="34"/>
  <c r="F146" i="34"/>
  <c r="E145" i="34"/>
  <c r="I145" i="34" s="1"/>
  <c r="M146" i="34"/>
  <c r="N146" i="34" s="1"/>
  <c r="H169" i="10"/>
  <c r="H167" i="10"/>
  <c r="F133" i="34" l="1"/>
  <c r="I120" i="34"/>
  <c r="Q144" i="34"/>
  <c r="K144" i="34"/>
  <c r="L144" i="34" s="1"/>
  <c r="G132" i="34"/>
  <c r="E132" i="34"/>
  <c r="E168" i="34"/>
  <c r="R146" i="34" s="1"/>
  <c r="F169" i="34"/>
  <c r="Q145" i="34"/>
  <c r="K145" i="34"/>
  <c r="F147" i="34"/>
  <c r="E146" i="34"/>
  <c r="I146" i="34" s="1"/>
  <c r="M147" i="34"/>
  <c r="N147" i="34" s="1"/>
  <c r="AJ167" i="10"/>
  <c r="AM182" i="10" s="1"/>
  <c r="AJ157" i="10"/>
  <c r="AD165" i="10"/>
  <c r="L145" i="34" l="1"/>
  <c r="E169" i="34"/>
  <c r="R147" i="34" s="1"/>
  <c r="F170" i="34"/>
  <c r="Q146" i="34"/>
  <c r="K146" i="34"/>
  <c r="L146" i="34" s="1"/>
  <c r="F148" i="34"/>
  <c r="E147" i="34"/>
  <c r="I147" i="34" s="1"/>
  <c r="M148" i="34"/>
  <c r="N148" i="34" s="1"/>
  <c r="E133" i="34"/>
  <c r="G133" i="34"/>
  <c r="G134" i="34"/>
  <c r="F137" i="34"/>
  <c r="X198" i="11"/>
  <c r="Z3" i="27"/>
  <c r="AA3" i="27"/>
  <c r="AB3" i="27"/>
  <c r="AC3" i="27"/>
  <c r="AD3" i="27"/>
  <c r="AE3" i="27"/>
  <c r="AF3" i="27"/>
  <c r="X3" i="27"/>
  <c r="Y3" i="27"/>
  <c r="A93" i="27"/>
  <c r="A89" i="27"/>
  <c r="A85" i="27"/>
  <c r="A81" i="27"/>
  <c r="A77" i="27"/>
  <c r="A73" i="27"/>
  <c r="A69" i="27"/>
  <c r="A65" i="27"/>
  <c r="E69" i="27"/>
  <c r="F69" i="27"/>
  <c r="E73" i="27"/>
  <c r="F73" i="27"/>
  <c r="E77" i="27"/>
  <c r="F77" i="27"/>
  <c r="E81" i="27"/>
  <c r="F81" i="27"/>
  <c r="E85" i="27"/>
  <c r="F85" i="27"/>
  <c r="E89" i="27"/>
  <c r="F89" i="27"/>
  <c r="E93" i="27"/>
  <c r="F93" i="27"/>
  <c r="F65" i="27"/>
  <c r="E65" i="27"/>
  <c r="AQ113" i="19"/>
  <c r="O16" i="28"/>
  <c r="K7" i="28" s="1"/>
  <c r="Z2" i="28"/>
  <c r="Z7" i="28" s="1"/>
  <c r="Z10" i="28" s="1"/>
  <c r="Y2" i="28"/>
  <c r="Y7" i="28" s="1"/>
  <c r="Y10" i="28" s="1"/>
  <c r="X2" i="28"/>
  <c r="X7" i="28" s="1"/>
  <c r="X10" i="28" s="1"/>
  <c r="M2" i="28"/>
  <c r="N2" i="28"/>
  <c r="O2" i="28"/>
  <c r="P2" i="28"/>
  <c r="P7" i="28" s="1"/>
  <c r="Q2" i="28"/>
  <c r="Q7" i="28" s="1"/>
  <c r="R2" i="28"/>
  <c r="R7" i="28" s="1"/>
  <c r="S2" i="28"/>
  <c r="S6" i="28" s="1"/>
  <c r="T2" i="28"/>
  <c r="T7" i="28" s="1"/>
  <c r="U2" i="28"/>
  <c r="U7" i="28" s="1"/>
  <c r="V2" i="28"/>
  <c r="V7" i="28" s="1"/>
  <c r="W2" i="28"/>
  <c r="W6" i="28" s="1"/>
  <c r="L2" i="28"/>
  <c r="K2" i="28"/>
  <c r="H51" i="28"/>
  <c r="G51" i="28"/>
  <c r="H47" i="28"/>
  <c r="G47" i="28"/>
  <c r="H43" i="28"/>
  <c r="G43" i="28"/>
  <c r="H39" i="28"/>
  <c r="G39" i="28"/>
  <c r="H35" i="28"/>
  <c r="G35" i="28"/>
  <c r="H31" i="28"/>
  <c r="G31" i="28"/>
  <c r="H27" i="28"/>
  <c r="G27" i="28"/>
  <c r="H23" i="28"/>
  <c r="G23" i="28"/>
  <c r="H19" i="28"/>
  <c r="G19" i="28"/>
  <c r="H15" i="28"/>
  <c r="G15" i="28"/>
  <c r="H11" i="28"/>
  <c r="G11" i="28"/>
  <c r="H7" i="28"/>
  <c r="O7" i="28" s="1"/>
  <c r="G7" i="28"/>
  <c r="A51" i="28"/>
  <c r="A47" i="28"/>
  <c r="A43" i="28"/>
  <c r="A39" i="28"/>
  <c r="A35" i="28"/>
  <c r="A31" i="28"/>
  <c r="A27" i="28"/>
  <c r="A23" i="28"/>
  <c r="A19" i="28"/>
  <c r="A15" i="28"/>
  <c r="A11" i="28"/>
  <c r="A7" i="28"/>
  <c r="B15" i="28"/>
  <c r="B19" i="28"/>
  <c r="B23" i="28"/>
  <c r="B27" i="28"/>
  <c r="B31" i="28"/>
  <c r="B35" i="28"/>
  <c r="B39" i="28"/>
  <c r="B43" i="28"/>
  <c r="B47" i="28"/>
  <c r="B51" i="28"/>
  <c r="B11" i="28"/>
  <c r="U6" i="28" s="1"/>
  <c r="B7" i="28"/>
  <c r="S7" i="28" l="1"/>
  <c r="Q6" i="28"/>
  <c r="Z6" i="28"/>
  <c r="Z9" i="28" s="1"/>
  <c r="X6" i="28"/>
  <c r="X9" i="28" s="1"/>
  <c r="T6" i="28"/>
  <c r="P6" i="28"/>
  <c r="Y6" i="28"/>
  <c r="Y9" i="28" s="1"/>
  <c r="W7" i="28"/>
  <c r="AA7" i="28"/>
  <c r="AA10" i="28" s="1"/>
  <c r="AH7" i="28"/>
  <c r="AH10" i="28" s="1"/>
  <c r="AG6" i="28"/>
  <c r="AG9" i="28" s="1"/>
  <c r="AI7" i="28"/>
  <c r="AI10" i="28" s="1"/>
  <c r="AB7" i="28"/>
  <c r="AB10" i="28" s="1"/>
  <c r="AD7" i="28"/>
  <c r="AD10" i="28" s="1"/>
  <c r="AC6" i="28"/>
  <c r="AC9" i="28" s="1"/>
  <c r="AA6" i="28"/>
  <c r="AA9" i="28" s="1"/>
  <c r="AI6" i="28"/>
  <c r="AI9" i="28" s="1"/>
  <c r="AB6" i="28"/>
  <c r="AB9" i="28" s="1"/>
  <c r="AD6" i="28"/>
  <c r="AC7" i="28"/>
  <c r="AC10" i="28" s="1"/>
  <c r="AF6" i="28"/>
  <c r="AE6" i="28"/>
  <c r="AH6" i="28"/>
  <c r="AG7" i="28"/>
  <c r="AF7" i="28"/>
  <c r="AE7" i="28"/>
  <c r="O6" i="28"/>
  <c r="V6" i="28"/>
  <c r="R6" i="28"/>
  <c r="Q147" i="34"/>
  <c r="K147" i="34"/>
  <c r="L147" i="34" s="1"/>
  <c r="F171" i="34"/>
  <c r="E170" i="34"/>
  <c r="R148" i="34" s="1"/>
  <c r="F149" i="34"/>
  <c r="E148" i="34"/>
  <c r="I148" i="34" s="1"/>
  <c r="G153" i="34"/>
  <c r="M149" i="34"/>
  <c r="N149" i="34" s="1"/>
  <c r="K6" i="28"/>
  <c r="AE10" i="28" l="1"/>
  <c r="K40" i="36" a="1"/>
  <c r="K40" i="36" s="1"/>
  <c r="F40" i="36" s="1" a="1"/>
  <c r="F40" i="36" s="1"/>
  <c r="E40" i="36" s="1"/>
  <c r="AE9" i="28"/>
  <c r="K39" i="36" a="1"/>
  <c r="K39" i="36" s="1"/>
  <c r="E39" i="36" s="1"/>
  <c r="AH9" i="28"/>
  <c r="AH13" i="28"/>
  <c r="AD9" i="28"/>
  <c r="AG10" i="28"/>
  <c r="AG14" i="28"/>
  <c r="AH14" i="28"/>
  <c r="AF10" i="28"/>
  <c r="AF14" i="28"/>
  <c r="AG13" i="28"/>
  <c r="AF9" i="28"/>
  <c r="AF13" i="28"/>
  <c r="F172" i="34"/>
  <c r="E172" i="34" s="1"/>
  <c r="R150" i="34" s="1"/>
  <c r="E171" i="34"/>
  <c r="R149" i="34" s="1"/>
  <c r="Q148" i="34"/>
  <c r="K148" i="34"/>
  <c r="L148" i="34" s="1"/>
  <c r="M150" i="34"/>
  <c r="N150" i="34" s="1"/>
  <c r="F150" i="34"/>
  <c r="E149" i="34"/>
  <c r="I149" i="34" s="1"/>
  <c r="D73" i="17"/>
  <c r="C39" i="36" l="1"/>
  <c r="B39" i="36" s="1"/>
  <c r="B31" i="36" s="1"/>
  <c r="A31" i="36" s="1"/>
  <c r="R152" i="34"/>
  <c r="Q149" i="34"/>
  <c r="K149" i="34"/>
  <c r="L149" i="34" s="1"/>
  <c r="F157" i="34"/>
  <c r="E157" i="34" s="1"/>
  <c r="I157" i="34" s="1"/>
  <c r="E150" i="34"/>
  <c r="E6" i="27"/>
  <c r="V3" i="27"/>
  <c r="W3" i="27"/>
  <c r="U3" i="27"/>
  <c r="J3" i="27"/>
  <c r="K3" i="27"/>
  <c r="L3" i="27"/>
  <c r="M3" i="27"/>
  <c r="N3" i="27"/>
  <c r="O3" i="27"/>
  <c r="P3" i="27"/>
  <c r="Q3" i="27"/>
  <c r="R3" i="27"/>
  <c r="S3" i="27"/>
  <c r="T3" i="27"/>
  <c r="I3" i="27"/>
  <c r="A14" i="27"/>
  <c r="A18" i="27"/>
  <c r="A22" i="27"/>
  <c r="A26" i="27"/>
  <c r="A30" i="27"/>
  <c r="A34" i="27"/>
  <c r="A38" i="27"/>
  <c r="A42" i="27"/>
  <c r="A46" i="27"/>
  <c r="A50" i="27"/>
  <c r="A54" i="27"/>
  <c r="A58" i="27"/>
  <c r="A62" i="27"/>
  <c r="A10" i="27"/>
  <c r="A6" i="27"/>
  <c r="E14" i="27"/>
  <c r="F14" i="27"/>
  <c r="E18" i="27"/>
  <c r="F18" i="27"/>
  <c r="E22" i="27"/>
  <c r="F22" i="27"/>
  <c r="E26" i="27"/>
  <c r="F26" i="27"/>
  <c r="E30" i="27"/>
  <c r="F30" i="27"/>
  <c r="E34" i="27"/>
  <c r="F34" i="27"/>
  <c r="E38" i="27"/>
  <c r="F38" i="27"/>
  <c r="E42" i="27"/>
  <c r="F42" i="27"/>
  <c r="E46" i="27"/>
  <c r="F46" i="27"/>
  <c r="E50" i="27"/>
  <c r="F50" i="27"/>
  <c r="E54" i="27"/>
  <c r="F54" i="27"/>
  <c r="E58" i="27"/>
  <c r="F58" i="27"/>
  <c r="E62" i="27"/>
  <c r="F62" i="27"/>
  <c r="F10" i="27"/>
  <c r="E10" i="27"/>
  <c r="F6" i="27"/>
  <c r="T7" i="27" l="1"/>
  <c r="P7" i="27"/>
  <c r="L7" i="27"/>
  <c r="W8" i="27"/>
  <c r="S7" i="27"/>
  <c r="O7" i="27"/>
  <c r="K7" i="27"/>
  <c r="V8" i="27"/>
  <c r="V12" i="27" s="1"/>
  <c r="AF7" i="27"/>
  <c r="AF8" i="27"/>
  <c r="R8" i="27"/>
  <c r="N8" i="27"/>
  <c r="J8" i="27"/>
  <c r="I8" i="27"/>
  <c r="Q7" i="27"/>
  <c r="M7" i="27"/>
  <c r="U7" i="27"/>
  <c r="X8" i="27"/>
  <c r="Y8" i="27"/>
  <c r="X7" i="27"/>
  <c r="AE8" i="27"/>
  <c r="AD8" i="27"/>
  <c r="AD7" i="27"/>
  <c r="AC8" i="27"/>
  <c r="AB7" i="27"/>
  <c r="AA7" i="27"/>
  <c r="Z7" i="27"/>
  <c r="AC7" i="27"/>
  <c r="AB8" i="27"/>
  <c r="AA8" i="27"/>
  <c r="Z8" i="27"/>
  <c r="Y7" i="27"/>
  <c r="Y12" i="27" s="1"/>
  <c r="AE7" i="27"/>
  <c r="I7" i="27"/>
  <c r="U8" i="27"/>
  <c r="Q8" i="27"/>
  <c r="Q12" i="27" s="1"/>
  <c r="M8" i="27"/>
  <c r="W7" i="27"/>
  <c r="T8" i="27"/>
  <c r="T12" i="27" s="1"/>
  <c r="P8" i="27"/>
  <c r="P12" i="27" s="1"/>
  <c r="L8" i="27"/>
  <c r="L12" i="27" s="1"/>
  <c r="V7" i="27"/>
  <c r="R7" i="27"/>
  <c r="R12" i="27" s="1"/>
  <c r="N7" i="27"/>
  <c r="N12" i="27" s="1"/>
  <c r="J7" i="27"/>
  <c r="J12" i="27" s="1"/>
  <c r="S8" i="27"/>
  <c r="S12" i="27" s="1"/>
  <c r="O8" i="27"/>
  <c r="O12" i="27" s="1"/>
  <c r="K8" i="27"/>
  <c r="K12" i="27" s="1"/>
  <c r="I150" i="34"/>
  <c r="E152" i="34"/>
  <c r="U12" i="27"/>
  <c r="W12" i="27"/>
  <c r="AC12" i="27" l="1"/>
  <c r="AC19" i="27" s="1"/>
  <c r="AT129" i="19" s="1"/>
  <c r="AD12" i="27"/>
  <c r="M12" i="27"/>
  <c r="AE12" i="27"/>
  <c r="AB12" i="27"/>
  <c r="AB19" i="27" s="1"/>
  <c r="AS129" i="19" s="1"/>
  <c r="X12" i="27"/>
  <c r="K27" i="27"/>
  <c r="K28" i="27" s="1"/>
  <c r="L18" i="27" s="1"/>
  <c r="M18" i="27" s="1"/>
  <c r="N18" i="27" s="1"/>
  <c r="N19" i="27" s="1"/>
  <c r="M27" i="27"/>
  <c r="M28" i="27" s="1"/>
  <c r="R18" i="27" s="1"/>
  <c r="S18" i="27" s="1"/>
  <c r="T18" i="27" s="1"/>
  <c r="T19" i="27" s="1"/>
  <c r="Z12" i="27"/>
  <c r="O27" i="27" s="1"/>
  <c r="O28" i="27" s="1"/>
  <c r="X18" i="27" s="1"/>
  <c r="AD19" i="27"/>
  <c r="AU129" i="19" s="1"/>
  <c r="L27" i="27"/>
  <c r="L28" i="27" s="1"/>
  <c r="O18" i="27" s="1"/>
  <c r="P18" i="27" s="1"/>
  <c r="Q18" i="27" s="1"/>
  <c r="Q19" i="27" s="1"/>
  <c r="N27" i="27"/>
  <c r="N28" i="27" s="1"/>
  <c r="U18" i="27" s="1"/>
  <c r="V18" i="27" s="1"/>
  <c r="W18" i="27" s="1"/>
  <c r="W19" i="27" s="1"/>
  <c r="I19" i="27"/>
  <c r="I12" i="27"/>
  <c r="J27" i="27" s="1"/>
  <c r="J28" i="27" s="1"/>
  <c r="J18" i="27" s="1"/>
  <c r="K18" i="27" s="1"/>
  <c r="K19" i="27" s="1"/>
  <c r="AA12" i="27"/>
  <c r="Q150" i="34"/>
  <c r="Q152" i="34" s="1"/>
  <c r="K150" i="34"/>
  <c r="L150" i="34" s="1"/>
  <c r="I152" i="34"/>
  <c r="AE19" i="27" l="1"/>
  <c r="AV129" i="19" s="1"/>
  <c r="AV131" i="19" s="1"/>
  <c r="M19" i="27"/>
  <c r="Y18" i="27"/>
  <c r="X19" i="27"/>
  <c r="AO129" i="19" s="1"/>
  <c r="BY28" i="19" s="1"/>
  <c r="V19" i="27"/>
  <c r="O19" i="27"/>
  <c r="S19" i="27"/>
  <c r="AA19" i="27"/>
  <c r="P27" i="27"/>
  <c r="P19" i="27"/>
  <c r="L19" i="27"/>
  <c r="U19" i="27"/>
  <c r="AL129" i="19" s="1"/>
  <c r="BV28" i="19" s="1"/>
  <c r="R19" i="27"/>
  <c r="J19" i="27"/>
  <c r="AP113" i="19"/>
  <c r="AO113" i="19"/>
  <c r="AN113" i="19"/>
  <c r="W28" i="27" l="1"/>
  <c r="Z28" i="27"/>
  <c r="K31" i="27"/>
  <c r="X28" i="27"/>
  <c r="AE28" i="27"/>
  <c r="AC28" i="27"/>
  <c r="L31" i="27"/>
  <c r="AB28" i="27"/>
  <c r="AA28" i="27"/>
  <c r="Y28" i="27"/>
  <c r="P31" i="27"/>
  <c r="P33" i="27" s="1"/>
  <c r="AR129" i="19"/>
  <c r="J31" i="27"/>
  <c r="J33" i="27" s="1"/>
  <c r="V28" i="27"/>
  <c r="AD28" i="27"/>
  <c r="U28" i="27"/>
  <c r="AF28" i="27"/>
  <c r="Z18" i="27"/>
  <c r="Z19" i="27" s="1"/>
  <c r="AQ129" i="19" s="1"/>
  <c r="Y19" i="27"/>
  <c r="M31" i="27"/>
  <c r="N31" i="27"/>
  <c r="I78" i="11"/>
  <c r="H125" i="11"/>
  <c r="M248" i="11" s="1"/>
  <c r="H126" i="11"/>
  <c r="M249" i="11" s="1"/>
  <c r="H127" i="11"/>
  <c r="M250" i="11" s="1"/>
  <c r="H128" i="11"/>
  <c r="M251" i="11" s="1"/>
  <c r="H129" i="11"/>
  <c r="M252" i="11" s="1"/>
  <c r="H130" i="11"/>
  <c r="M253" i="11" s="1"/>
  <c r="H131" i="11"/>
  <c r="M254" i="11" s="1"/>
  <c r="H132" i="11"/>
  <c r="M255" i="11" s="1"/>
  <c r="H133" i="11"/>
  <c r="M256" i="11" s="1"/>
  <c r="H134" i="11"/>
  <c r="M257" i="11" s="1"/>
  <c r="H135" i="11"/>
  <c r="M258" i="11" s="1"/>
  <c r="H136" i="11"/>
  <c r="N247" i="11" s="1"/>
  <c r="H124" i="11"/>
  <c r="M247" i="11" s="1"/>
  <c r="E121" i="11"/>
  <c r="L258" i="11" s="1"/>
  <c r="E120" i="11"/>
  <c r="L257" i="11" s="1"/>
  <c r="E119" i="11"/>
  <c r="L256" i="11" s="1"/>
  <c r="E118" i="11"/>
  <c r="L255" i="11" s="1"/>
  <c r="E117" i="11"/>
  <c r="L254" i="11" s="1"/>
  <c r="E116" i="11"/>
  <c r="L253" i="11" s="1"/>
  <c r="O253" i="11" s="1"/>
  <c r="N253" i="11" s="1"/>
  <c r="H145" i="11" s="1"/>
  <c r="E115" i="11"/>
  <c r="L252" i="11" s="1"/>
  <c r="E114" i="11"/>
  <c r="L251" i="11" s="1"/>
  <c r="E113" i="11"/>
  <c r="L250" i="11" s="1"/>
  <c r="E112" i="11"/>
  <c r="L249" i="11" s="1"/>
  <c r="E111" i="11"/>
  <c r="L248" i="11" s="1"/>
  <c r="E110" i="11"/>
  <c r="L247" i="11" s="1"/>
  <c r="E109" i="11"/>
  <c r="K258" i="11" s="1"/>
  <c r="E108" i="11"/>
  <c r="K257" i="11" s="1"/>
  <c r="E107" i="11"/>
  <c r="K256" i="11" s="1"/>
  <c r="E106" i="11"/>
  <c r="K255" i="11" s="1"/>
  <c r="E105" i="11"/>
  <c r="K254" i="11" s="1"/>
  <c r="E104" i="11"/>
  <c r="K253" i="11" s="1"/>
  <c r="E103" i="11"/>
  <c r="K252" i="11" s="1"/>
  <c r="O252" i="11" s="1"/>
  <c r="N252" i="11" s="1"/>
  <c r="H144" i="11" s="1"/>
  <c r="E102" i="11"/>
  <c r="K251" i="11" s="1"/>
  <c r="E101" i="11"/>
  <c r="K250" i="11" s="1"/>
  <c r="E100" i="11"/>
  <c r="K249" i="11" s="1"/>
  <c r="E99" i="11"/>
  <c r="K248" i="11" s="1"/>
  <c r="E98" i="11"/>
  <c r="K247" i="11" s="1"/>
  <c r="E97" i="11"/>
  <c r="J258" i="11" s="1"/>
  <c r="E96" i="11"/>
  <c r="J257" i="11" s="1"/>
  <c r="O257" i="11" s="1"/>
  <c r="E95" i="11"/>
  <c r="J256" i="11" s="1"/>
  <c r="O256" i="11" s="1"/>
  <c r="E94" i="11"/>
  <c r="J255" i="11" s="1"/>
  <c r="E93" i="11"/>
  <c r="J254" i="11" s="1"/>
  <c r="E92" i="11"/>
  <c r="J253" i="11" s="1"/>
  <c r="E91" i="11"/>
  <c r="J252" i="11" s="1"/>
  <c r="E90" i="11"/>
  <c r="J251" i="11" s="1"/>
  <c r="O251" i="11" s="1"/>
  <c r="E89" i="11"/>
  <c r="J250" i="11" s="1"/>
  <c r="E88" i="11"/>
  <c r="J249" i="11" s="1"/>
  <c r="O249" i="11" s="1"/>
  <c r="E87" i="11"/>
  <c r="J248" i="11" s="1"/>
  <c r="O248" i="11" s="1"/>
  <c r="N248" i="11" s="1"/>
  <c r="H140" i="11" s="1"/>
  <c r="E86" i="11"/>
  <c r="J247" i="11" s="1"/>
  <c r="E85" i="11"/>
  <c r="I258" i="11" s="1"/>
  <c r="E84" i="11"/>
  <c r="I257" i="11" s="1"/>
  <c r="E83" i="11"/>
  <c r="I256" i="11" s="1"/>
  <c r="E82" i="11"/>
  <c r="I255" i="11" s="1"/>
  <c r="E81" i="11"/>
  <c r="I254" i="11" s="1"/>
  <c r="E80" i="11"/>
  <c r="I253" i="11" s="1"/>
  <c r="E79" i="11"/>
  <c r="I252" i="11" s="1"/>
  <c r="E78" i="11"/>
  <c r="I251" i="11" s="1"/>
  <c r="E77" i="11"/>
  <c r="I250" i="11" s="1"/>
  <c r="E76" i="11"/>
  <c r="I249" i="11" s="1"/>
  <c r="E75" i="11"/>
  <c r="I248" i="11" s="1"/>
  <c r="E74" i="11"/>
  <c r="I247" i="11" s="1"/>
  <c r="E73" i="11"/>
  <c r="H258" i="11" s="1"/>
  <c r="E72" i="11"/>
  <c r="H257" i="11" s="1"/>
  <c r="E71" i="11"/>
  <c r="H256" i="11" s="1"/>
  <c r="E70" i="11"/>
  <c r="H255" i="11" s="1"/>
  <c r="E69" i="11"/>
  <c r="H254" i="11" s="1"/>
  <c r="E68" i="11"/>
  <c r="H253" i="11" s="1"/>
  <c r="E67" i="11"/>
  <c r="H252" i="11" s="1"/>
  <c r="E66" i="11"/>
  <c r="H251" i="11" s="1"/>
  <c r="E65" i="11"/>
  <c r="H250" i="11" s="1"/>
  <c r="E64" i="11"/>
  <c r="H249" i="11" s="1"/>
  <c r="E63" i="11"/>
  <c r="H248" i="11" s="1"/>
  <c r="E62" i="11"/>
  <c r="H247" i="11" s="1"/>
  <c r="E61" i="11"/>
  <c r="G258" i="11" s="1"/>
  <c r="E60" i="11"/>
  <c r="G257" i="11" s="1"/>
  <c r="E59" i="11"/>
  <c r="G256" i="11" s="1"/>
  <c r="E58" i="11"/>
  <c r="G255" i="11" s="1"/>
  <c r="E57" i="11"/>
  <c r="G254" i="11" s="1"/>
  <c r="E56" i="11"/>
  <c r="G253" i="11" s="1"/>
  <c r="E55" i="11"/>
  <c r="G252" i="11" s="1"/>
  <c r="E54" i="11"/>
  <c r="G251" i="11" s="1"/>
  <c r="E53" i="11"/>
  <c r="G250" i="11" s="1"/>
  <c r="E52" i="11"/>
  <c r="G249" i="11" s="1"/>
  <c r="E51" i="11"/>
  <c r="G248" i="11" s="1"/>
  <c r="E50" i="11"/>
  <c r="G247" i="11" s="1"/>
  <c r="E49" i="11"/>
  <c r="F258" i="11" s="1"/>
  <c r="E48" i="11"/>
  <c r="F257" i="11" s="1"/>
  <c r="E47" i="11"/>
  <c r="F256" i="11" s="1"/>
  <c r="E46" i="11"/>
  <c r="F255" i="11" s="1"/>
  <c r="E45" i="11"/>
  <c r="F254" i="11" s="1"/>
  <c r="E44" i="11"/>
  <c r="F253" i="11" s="1"/>
  <c r="E43" i="11"/>
  <c r="F252" i="11" s="1"/>
  <c r="E42" i="11"/>
  <c r="F251" i="11" s="1"/>
  <c r="E41" i="11"/>
  <c r="F250" i="11" s="1"/>
  <c r="E40" i="11"/>
  <c r="F249" i="11" s="1"/>
  <c r="E39" i="11"/>
  <c r="F248" i="11" s="1"/>
  <c r="E38" i="11"/>
  <c r="F247" i="11" s="1"/>
  <c r="E37" i="11"/>
  <c r="E258" i="11" s="1"/>
  <c r="E36" i="11"/>
  <c r="E257" i="11" s="1"/>
  <c r="E35" i="11"/>
  <c r="E256" i="11" s="1"/>
  <c r="E34" i="11"/>
  <c r="E255" i="11" s="1"/>
  <c r="E33" i="11"/>
  <c r="E254" i="11" s="1"/>
  <c r="E32" i="11"/>
  <c r="E253" i="11" s="1"/>
  <c r="E31" i="11"/>
  <c r="E252" i="11" s="1"/>
  <c r="E30" i="11"/>
  <c r="E251" i="11" s="1"/>
  <c r="E29" i="11"/>
  <c r="E250" i="11" s="1"/>
  <c r="E28" i="11"/>
  <c r="E249" i="11" s="1"/>
  <c r="E27" i="11"/>
  <c r="E248" i="11" s="1"/>
  <c r="E26" i="11"/>
  <c r="E247" i="11" s="1"/>
  <c r="E25" i="11"/>
  <c r="E24" i="11"/>
  <c r="E23" i="11"/>
  <c r="E22" i="11"/>
  <c r="E21" i="11"/>
  <c r="E20" i="11"/>
  <c r="E19" i="11"/>
  <c r="E18" i="11"/>
  <c r="E17" i="11"/>
  <c r="E16" i="11"/>
  <c r="E15" i="11"/>
  <c r="E14" i="11"/>
  <c r="N33" i="27" l="1"/>
  <c r="N35" i="27"/>
  <c r="M35" i="27"/>
  <c r="M33" i="27"/>
  <c r="L35" i="27"/>
  <c r="L33" i="27"/>
  <c r="O31" i="27"/>
  <c r="K35" i="27"/>
  <c r="K33" i="27"/>
  <c r="O255" i="11"/>
  <c r="O250" i="11"/>
  <c r="O254" i="11"/>
  <c r="O258" i="11"/>
  <c r="O247" i="11"/>
  <c r="G95" i="21"/>
  <c r="G91" i="21"/>
  <c r="H73" i="21"/>
  <c r="H72" i="21"/>
  <c r="H71" i="21"/>
  <c r="O33" i="27" l="1"/>
  <c r="O35" i="27"/>
  <c r="P35" i="27"/>
  <c r="H23" i="21"/>
  <c r="H7" i="21" l="1"/>
  <c r="T161" i="10" l="1"/>
  <c r="S161" i="10"/>
  <c r="AD149" i="10" l="1"/>
  <c r="AD150" i="10"/>
  <c r="AD151" i="10"/>
  <c r="AD152" i="10"/>
  <c r="AD153" i="10"/>
  <c r="AD154" i="10"/>
  <c r="AD155" i="10"/>
  <c r="AD156" i="10"/>
  <c r="AD157" i="10"/>
  <c r="AD158" i="10"/>
  <c r="AD159" i="10"/>
  <c r="AD166" i="10"/>
  <c r="AD167" i="10"/>
  <c r="AD168" i="10"/>
  <c r="AD169" i="10"/>
  <c r="AD170" i="10"/>
  <c r="AD171" i="10"/>
  <c r="AD172" i="10"/>
  <c r="AD173" i="10"/>
  <c r="AD174" i="10"/>
  <c r="AD175" i="10"/>
  <c r="AD176" i="10"/>
  <c r="AD145" i="10"/>
  <c r="T144" i="11"/>
  <c r="T145" i="11" s="1"/>
  <c r="T146" i="11" s="1"/>
  <c r="T147" i="11" s="1"/>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BV39" i="19"/>
  <c r="BW39" i="19"/>
  <c r="BX39" i="19"/>
  <c r="BY39" i="19"/>
  <c r="BZ39" i="19"/>
  <c r="CA39" i="19"/>
  <c r="CB39" i="19"/>
  <c r="CC39" i="19"/>
  <c r="CD39" i="19"/>
  <c r="CE39" i="19"/>
  <c r="CF39" i="19"/>
  <c r="CG39" i="19"/>
  <c r="AY39" i="19"/>
  <c r="AY50" i="19" s="1"/>
  <c r="AZ39" i="19"/>
  <c r="AZ50" i="19" s="1"/>
  <c r="BA39" i="19"/>
  <c r="BA50" i="19" s="1"/>
  <c r="BB39" i="19"/>
  <c r="BB50" i="19" s="1"/>
  <c r="BC39" i="19"/>
  <c r="BC50" i="19" s="1"/>
  <c r="BD39" i="19"/>
  <c r="BD50" i="19" s="1"/>
  <c r="BE39" i="19"/>
  <c r="BE50" i="19" s="1"/>
  <c r="BF39" i="19"/>
  <c r="BF50" i="19" s="1"/>
  <c r="BG39" i="19"/>
  <c r="BG50" i="19" s="1"/>
  <c r="BH39" i="19"/>
  <c r="BH50" i="19" s="1"/>
  <c r="BI39" i="19"/>
  <c r="BI50" i="19" s="1"/>
  <c r="AX39" i="19"/>
  <c r="AH123" i="19"/>
  <c r="BR39" i="19" s="1"/>
  <c r="AI123" i="19"/>
  <c r="BS39" i="19" s="1"/>
  <c r="AJ123" i="19"/>
  <c r="BT39" i="19" s="1"/>
  <c r="AK123" i="19"/>
  <c r="BU39" i="19" s="1"/>
  <c r="Y129" i="19"/>
  <c r="X129" i="19"/>
  <c r="BH52" i="19" s="1"/>
  <c r="BH53" i="19" s="1"/>
  <c r="BH64" i="19" s="1"/>
  <c r="AV133" i="10"/>
  <c r="BK136" i="10" s="1"/>
  <c r="AV13" i="18"/>
  <c r="AV12" i="18"/>
  <c r="AV11" i="18"/>
  <c r="AV10" i="18"/>
  <c r="AV9" i="18"/>
  <c r="AV8" i="18"/>
  <c r="AV7" i="18"/>
  <c r="AV6" i="18"/>
  <c r="AN6" i="18"/>
  <c r="AO6" i="18"/>
  <c r="AP6" i="18"/>
  <c r="AQ6" i="18"/>
  <c r="AR6" i="18"/>
  <c r="AS6" i="18"/>
  <c r="AT6" i="18"/>
  <c r="AU6" i="18"/>
  <c r="AN7" i="18"/>
  <c r="AO7" i="18"/>
  <c r="AP7" i="18"/>
  <c r="AQ7" i="18"/>
  <c r="AR7" i="18"/>
  <c r="AS7" i="18"/>
  <c r="AT7" i="18"/>
  <c r="AU7" i="18"/>
  <c r="AN8" i="18"/>
  <c r="AO8" i="18"/>
  <c r="AP8" i="18"/>
  <c r="AQ8" i="18"/>
  <c r="AR8" i="18"/>
  <c r="AS8" i="18"/>
  <c r="AT8" i="18"/>
  <c r="AU8" i="18"/>
  <c r="AN9" i="18"/>
  <c r="AO9" i="18"/>
  <c r="AP9" i="18"/>
  <c r="AQ9" i="18"/>
  <c r="AR9" i="18"/>
  <c r="AS9" i="18"/>
  <c r="AT9" i="18"/>
  <c r="AU9" i="18"/>
  <c r="AN10" i="18"/>
  <c r="AO10" i="18"/>
  <c r="AP10" i="18"/>
  <c r="AQ10" i="18"/>
  <c r="AR10" i="18"/>
  <c r="AS10" i="18"/>
  <c r="AT10" i="18"/>
  <c r="AU10" i="18"/>
  <c r="AN11" i="18"/>
  <c r="AO11" i="18"/>
  <c r="AP11" i="18"/>
  <c r="AQ11" i="18"/>
  <c r="AR11" i="18"/>
  <c r="AS11" i="18"/>
  <c r="AT11" i="18"/>
  <c r="AU11" i="18"/>
  <c r="AN12" i="18"/>
  <c r="AO12" i="18"/>
  <c r="AP12" i="18"/>
  <c r="AQ12" i="18"/>
  <c r="AR12" i="18"/>
  <c r="AS12" i="18"/>
  <c r="AT12" i="18"/>
  <c r="AU12" i="18"/>
  <c r="AN13" i="18"/>
  <c r="AO13" i="18"/>
  <c r="AP13" i="18"/>
  <c r="AQ13" i="18"/>
  <c r="AR13" i="18"/>
  <c r="AS13" i="18"/>
  <c r="AT13" i="18"/>
  <c r="AU13" i="18"/>
  <c r="AM7" i="18"/>
  <c r="AM8" i="18"/>
  <c r="AM9" i="18"/>
  <c r="AM10" i="18"/>
  <c r="AM11" i="18"/>
  <c r="AM12" i="18"/>
  <c r="AM13" i="18"/>
  <c r="AM6" i="18"/>
  <c r="T148" i="11" l="1"/>
  <c r="T149" i="11" s="1"/>
  <c r="BI52" i="19"/>
  <c r="BI53" i="19" s="1"/>
  <c r="BI64" i="19" s="1"/>
  <c r="C1" i="26" l="1"/>
  <c r="B1" i="26"/>
  <c r="A3" i="25"/>
  <c r="A4" i="25"/>
  <c r="A5" i="25"/>
  <c r="A6" i="25"/>
  <c r="A24" i="25"/>
  <c r="A23" i="25"/>
  <c r="A22" i="25"/>
  <c r="A21" i="25"/>
  <c r="A15" i="25"/>
  <c r="A14" i="25"/>
  <c r="A13" i="25"/>
  <c r="A12" i="25"/>
  <c r="B19" i="24" l="1"/>
  <c r="B20" i="24"/>
  <c r="B21" i="24"/>
  <c r="B22" i="24"/>
  <c r="B23" i="24"/>
  <c r="B24" i="24"/>
  <c r="B25" i="24"/>
  <c r="B26" i="24"/>
  <c r="B27" i="24"/>
  <c r="B28" i="24"/>
  <c r="B29" i="24"/>
  <c r="B30" i="24"/>
  <c r="B31" i="24"/>
  <c r="B32" i="24"/>
  <c r="B33" i="24"/>
  <c r="B34" i="24"/>
  <c r="B35" i="24"/>
  <c r="B36" i="24"/>
  <c r="B37" i="24"/>
  <c r="B38" i="24"/>
  <c r="B39" i="24"/>
  <c r="B40" i="24"/>
  <c r="B41" i="24"/>
  <c r="B42" i="24"/>
  <c r="B43" i="24"/>
  <c r="B44" i="24"/>
  <c r="A19" i="24"/>
  <c r="A20" i="24"/>
  <c r="A21" i="24"/>
  <c r="A22" i="24"/>
  <c r="A23" i="24"/>
  <c r="A24" i="24"/>
  <c r="A25" i="24"/>
  <c r="A26" i="24"/>
  <c r="A27" i="24"/>
  <c r="A28" i="24"/>
  <c r="A29" i="24"/>
  <c r="A30" i="24"/>
  <c r="A31" i="24"/>
  <c r="A32" i="24"/>
  <c r="A33" i="24"/>
  <c r="A34" i="24"/>
  <c r="A35" i="24"/>
  <c r="A36" i="24"/>
  <c r="A37" i="24"/>
  <c r="A38" i="24"/>
  <c r="A39" i="24"/>
  <c r="A40" i="24"/>
  <c r="A41" i="24"/>
  <c r="A42" i="24"/>
  <c r="A43" i="24"/>
  <c r="A44" i="24"/>
  <c r="B4" i="24"/>
  <c r="C4" i="24"/>
  <c r="D4" i="24"/>
  <c r="E4" i="24"/>
  <c r="F4" i="24"/>
  <c r="A8" i="24"/>
  <c r="A5" i="24"/>
  <c r="A6" i="24"/>
  <c r="A7" i="24"/>
  <c r="G1" i="20" l="1"/>
  <c r="AX116" i="10" l="1"/>
  <c r="AX115" i="10"/>
  <c r="AX114" i="10"/>
  <c r="AX113" i="10"/>
  <c r="AY115" i="10"/>
  <c r="AY113" i="10"/>
  <c r="AY114" i="10"/>
  <c r="Z166" i="10"/>
  <c r="Y166" i="10"/>
  <c r="AA166" i="10" l="1"/>
  <c r="AC150" i="11"/>
  <c r="AD165" i="11" s="1"/>
  <c r="AC139" i="11"/>
  <c r="AD154" i="11" s="1"/>
  <c r="AA142" i="11"/>
  <c r="AA145" i="11"/>
  <c r="AA148" i="11"/>
  <c r="AA139" i="11"/>
  <c r="AJ176" i="10"/>
  <c r="AM191" i="10" s="1"/>
  <c r="AJ165" i="10"/>
  <c r="AM180" i="10" s="1"/>
  <c r="X139" i="11"/>
  <c r="Z154" i="11" s="1"/>
  <c r="AB154" i="11" s="1"/>
  <c r="X150" i="11"/>
  <c r="Z165" i="11" s="1"/>
  <c r="AB165" i="11" s="1"/>
  <c r="AN173" i="10"/>
  <c r="X144" i="11"/>
  <c r="Z159" i="11" s="1"/>
  <c r="AB159" i="11" s="1"/>
  <c r="X141" i="11"/>
  <c r="Z156" i="11" s="1"/>
  <c r="AB156" i="11" s="1"/>
  <c r="AL162" i="10"/>
  <c r="X149" i="11" l="1"/>
  <c r="Z164" i="11" s="1"/>
  <c r="AB164" i="11" s="1"/>
  <c r="X147" i="11"/>
  <c r="Z162" i="11" s="1"/>
  <c r="AB162" i="11" s="1"/>
  <c r="AN167" i="10"/>
  <c r="AN170" i="10"/>
  <c r="AN165" i="10"/>
  <c r="AP165" i="10" s="1"/>
  <c r="AN176" i="10"/>
  <c r="AN174" i="10" l="1"/>
  <c r="X148" i="11"/>
  <c r="Z163" i="11" s="1"/>
  <c r="AB163" i="11" s="1"/>
  <c r="AN175" i="10"/>
  <c r="X142" i="11"/>
  <c r="Z157" i="11" s="1"/>
  <c r="AB157" i="11" s="1"/>
  <c r="AN168" i="10"/>
  <c r="AP168" i="10" s="1"/>
  <c r="AN166" i="10"/>
  <c r="X140" i="11"/>
  <c r="Z155" i="11" s="1"/>
  <c r="AB155" i="11" s="1"/>
  <c r="X145" i="11"/>
  <c r="Z160" i="11" s="1"/>
  <c r="AB160" i="11" s="1"/>
  <c r="AN171" i="10"/>
  <c r="AP171" i="10" s="1"/>
  <c r="AO175" i="10"/>
  <c r="AA149" i="34" s="1"/>
  <c r="AB149" i="34" s="1"/>
  <c r="AO172" i="10"/>
  <c r="AA146" i="34" s="1"/>
  <c r="AB146" i="34" s="1"/>
  <c r="AO169" i="10"/>
  <c r="AA143" i="34" s="1"/>
  <c r="AB143" i="34" s="1"/>
  <c r="AO166" i="10"/>
  <c r="AA140" i="34" s="1"/>
  <c r="AB140" i="34" s="1"/>
  <c r="AH177" i="10"/>
  <c r="AP174" i="10" l="1"/>
  <c r="AP175" i="10"/>
  <c r="AP166" i="10"/>
  <c r="AC140" i="11"/>
  <c r="AD155" i="11" s="1"/>
  <c r="AJ166" i="10"/>
  <c r="AM181" i="10" s="1"/>
  <c r="X146" i="11"/>
  <c r="Z161" i="11" s="1"/>
  <c r="AB161" i="11" s="1"/>
  <c r="AN172" i="10"/>
  <c r="AO167" i="10"/>
  <c r="AA141" i="34" s="1"/>
  <c r="AB141" i="34" s="1"/>
  <c r="AA140" i="11"/>
  <c r="AO170" i="10"/>
  <c r="AA144" i="34" s="1"/>
  <c r="AB144" i="34" s="1"/>
  <c r="AA143" i="11"/>
  <c r="AO173" i="10"/>
  <c r="AA147" i="34" s="1"/>
  <c r="AB147" i="34" s="1"/>
  <c r="AA146" i="11"/>
  <c r="AO176" i="10"/>
  <c r="AA150" i="34" s="1"/>
  <c r="AB150" i="34" s="1"/>
  <c r="AA149" i="11"/>
  <c r="AN169" i="10"/>
  <c r="AP169" i="10" s="1"/>
  <c r="X143" i="11"/>
  <c r="Z158" i="11" s="1"/>
  <c r="AB158" i="11" s="1"/>
  <c r="H170" i="10"/>
  <c r="H173" i="10"/>
  <c r="AJ144" i="10"/>
  <c r="AP172" i="10" l="1"/>
  <c r="AA147" i="11"/>
  <c r="AP173" i="10"/>
  <c r="AA141" i="11"/>
  <c r="AP167" i="10"/>
  <c r="AA144" i="11"/>
  <c r="AP170" i="10"/>
  <c r="AA150" i="11"/>
  <c r="AP176" i="10"/>
  <c r="AC141" i="11"/>
  <c r="AD156" i="11" s="1"/>
  <c r="AC142" i="11" l="1"/>
  <c r="AD157" i="11" s="1"/>
  <c r="AJ168" i="10"/>
  <c r="AM183" i="10" s="1"/>
  <c r="K44" i="23"/>
  <c r="J44" i="23"/>
  <c r="I44" i="23"/>
  <c r="H44" i="23"/>
  <c r="G44" i="23"/>
  <c r="F44" i="23"/>
  <c r="E44" i="23"/>
  <c r="D44" i="23"/>
  <c r="K43" i="23"/>
  <c r="J43" i="23"/>
  <c r="I43" i="23"/>
  <c r="H43" i="23"/>
  <c r="G43" i="23"/>
  <c r="F43" i="23"/>
  <c r="E43" i="23"/>
  <c r="D43" i="23"/>
  <c r="K42" i="23"/>
  <c r="J42" i="23"/>
  <c r="I42" i="23"/>
  <c r="H42" i="23"/>
  <c r="G42" i="23"/>
  <c r="F42" i="23"/>
  <c r="E42" i="23"/>
  <c r="D42" i="23"/>
  <c r="K41" i="23"/>
  <c r="J41" i="23"/>
  <c r="I41" i="23"/>
  <c r="H41" i="23"/>
  <c r="G41" i="23"/>
  <c r="F41" i="23"/>
  <c r="E41" i="23"/>
  <c r="D41" i="23"/>
  <c r="K40" i="23"/>
  <c r="J40" i="23"/>
  <c r="I40" i="23"/>
  <c r="H40" i="23"/>
  <c r="G40" i="23"/>
  <c r="F40" i="23"/>
  <c r="E40" i="23"/>
  <c r="D40" i="23"/>
  <c r="K39" i="23"/>
  <c r="J39" i="23"/>
  <c r="I39" i="23"/>
  <c r="H39" i="23"/>
  <c r="G39" i="23"/>
  <c r="F39" i="23"/>
  <c r="E39" i="23"/>
  <c r="D39" i="23"/>
  <c r="K38" i="23"/>
  <c r="J38" i="23"/>
  <c r="I38" i="23"/>
  <c r="H38" i="23"/>
  <c r="G38" i="23"/>
  <c r="F38" i="23"/>
  <c r="E38" i="23"/>
  <c r="D38" i="23"/>
  <c r="K37" i="23"/>
  <c r="J37" i="23"/>
  <c r="I37" i="23"/>
  <c r="H37" i="23"/>
  <c r="G37" i="23"/>
  <c r="F37" i="23"/>
  <c r="E37" i="23"/>
  <c r="D37" i="23"/>
  <c r="K36" i="23"/>
  <c r="J36" i="23"/>
  <c r="I36" i="23"/>
  <c r="H36" i="23"/>
  <c r="G36" i="23"/>
  <c r="F36" i="23"/>
  <c r="E36" i="23"/>
  <c r="D36" i="23"/>
  <c r="K35" i="23"/>
  <c r="J35" i="23"/>
  <c r="I35" i="23"/>
  <c r="H35" i="23"/>
  <c r="G35" i="23"/>
  <c r="F35" i="23"/>
  <c r="E35" i="23"/>
  <c r="D35" i="23"/>
  <c r="K34" i="23"/>
  <c r="J34" i="23"/>
  <c r="I34" i="23"/>
  <c r="H34" i="23"/>
  <c r="G34" i="23"/>
  <c r="F34" i="23"/>
  <c r="E34" i="23"/>
  <c r="D34" i="23"/>
  <c r="J33" i="23"/>
  <c r="I33" i="23"/>
  <c r="H33" i="23"/>
  <c r="G33" i="23"/>
  <c r="F33" i="23"/>
  <c r="E33" i="23"/>
  <c r="D33" i="23"/>
  <c r="K30" i="23"/>
  <c r="J30" i="23"/>
  <c r="I30" i="23"/>
  <c r="H30" i="23"/>
  <c r="G30" i="23"/>
  <c r="F30" i="23"/>
  <c r="E30" i="23"/>
  <c r="D30" i="23"/>
  <c r="C30" i="23"/>
  <c r="K29" i="23"/>
  <c r="J29" i="23"/>
  <c r="I29" i="23"/>
  <c r="H29" i="23"/>
  <c r="G29" i="23"/>
  <c r="F29" i="23"/>
  <c r="E29" i="23"/>
  <c r="D29" i="23"/>
  <c r="C29" i="23"/>
  <c r="K28" i="23"/>
  <c r="J28" i="23"/>
  <c r="I28" i="23"/>
  <c r="H28" i="23"/>
  <c r="G28" i="23"/>
  <c r="F28" i="23"/>
  <c r="E28" i="23"/>
  <c r="D28" i="23"/>
  <c r="C28" i="23"/>
  <c r="K27" i="23"/>
  <c r="J27" i="23"/>
  <c r="I27" i="23"/>
  <c r="H27" i="23"/>
  <c r="G27" i="23"/>
  <c r="F27" i="23"/>
  <c r="E27" i="23"/>
  <c r="D27" i="23"/>
  <c r="C27" i="23"/>
  <c r="K26" i="23"/>
  <c r="J26" i="23"/>
  <c r="I26" i="23"/>
  <c r="H26" i="23"/>
  <c r="G26" i="23"/>
  <c r="F26" i="23"/>
  <c r="E26" i="23"/>
  <c r="D26" i="23"/>
  <c r="C26" i="23"/>
  <c r="K25" i="23"/>
  <c r="J25" i="23"/>
  <c r="I25" i="23"/>
  <c r="H25" i="23"/>
  <c r="G25" i="23"/>
  <c r="F25" i="23"/>
  <c r="E25" i="23"/>
  <c r="D25" i="23"/>
  <c r="C25" i="23"/>
  <c r="K24" i="23"/>
  <c r="J24" i="23"/>
  <c r="I24" i="23"/>
  <c r="H24" i="23"/>
  <c r="G24" i="23"/>
  <c r="F24" i="23"/>
  <c r="E24" i="23"/>
  <c r="D24" i="23"/>
  <c r="C24" i="23"/>
  <c r="K23" i="23"/>
  <c r="J23" i="23"/>
  <c r="I23" i="23"/>
  <c r="H23" i="23"/>
  <c r="G23" i="23"/>
  <c r="F23" i="23"/>
  <c r="E23" i="23"/>
  <c r="D23" i="23"/>
  <c r="C23" i="23"/>
  <c r="AC22" i="23"/>
  <c r="AC23" i="23" s="1"/>
  <c r="K22" i="23"/>
  <c r="J22" i="23"/>
  <c r="I22" i="23"/>
  <c r="H22" i="23"/>
  <c r="G22" i="23"/>
  <c r="F22" i="23"/>
  <c r="E22" i="23"/>
  <c r="D22" i="23"/>
  <c r="C22" i="23"/>
  <c r="K21" i="23"/>
  <c r="J21" i="23"/>
  <c r="I21" i="23"/>
  <c r="H21" i="23"/>
  <c r="G21" i="23"/>
  <c r="F21" i="23"/>
  <c r="E21" i="23"/>
  <c r="D21" i="23"/>
  <c r="C21" i="23"/>
  <c r="K20" i="23"/>
  <c r="J20" i="23"/>
  <c r="I20" i="23"/>
  <c r="H20" i="23"/>
  <c r="G20" i="23"/>
  <c r="F20" i="23"/>
  <c r="E20" i="23"/>
  <c r="D20" i="23"/>
  <c r="C20" i="23"/>
  <c r="K19" i="23"/>
  <c r="J19" i="23"/>
  <c r="I19" i="23"/>
  <c r="H19" i="23"/>
  <c r="G19" i="23"/>
  <c r="F19" i="23"/>
  <c r="E19" i="23"/>
  <c r="D19" i="23"/>
  <c r="C19" i="23"/>
  <c r="I18" i="23" l="1"/>
  <c r="I16" i="23" s="1"/>
  <c r="K18" i="23"/>
  <c r="K16" i="23" s="1"/>
  <c r="J18" i="23"/>
  <c r="J16" i="23" s="1"/>
  <c r="E18" i="23"/>
  <c r="E16" i="23" s="1"/>
  <c r="F18" i="23"/>
  <c r="F16" i="23" s="1"/>
  <c r="C18" i="23"/>
  <c r="C16" i="23" s="1"/>
  <c r="D18" i="23"/>
  <c r="D16" i="23" s="1"/>
  <c r="G18" i="23"/>
  <c r="G16" i="23" s="1"/>
  <c r="H18" i="23"/>
  <c r="H16" i="23" s="1"/>
  <c r="AJ169" i="10"/>
  <c r="AM184" i="10" s="1"/>
  <c r="AC143" i="11"/>
  <c r="AD158" i="11" s="1"/>
  <c r="AC144" i="11" l="1"/>
  <c r="AD159" i="11" s="1"/>
  <c r="AJ170" i="10"/>
  <c r="AM185" i="10" s="1"/>
  <c r="AC145" i="11" l="1"/>
  <c r="AD160" i="11" s="1"/>
  <c r="AJ171" i="10"/>
  <c r="AM186" i="10" s="1"/>
  <c r="AA203" i="11"/>
  <c r="AB203" i="11" s="1"/>
  <c r="E145" i="20"/>
  <c r="E144" i="20"/>
  <c r="E143" i="20"/>
  <c r="E142" i="20"/>
  <c r="E141" i="20"/>
  <c r="E140" i="20"/>
  <c r="F139" i="20"/>
  <c r="E139" i="20"/>
  <c r="F138" i="20"/>
  <c r="E138" i="20"/>
  <c r="F137" i="20"/>
  <c r="F136" i="20"/>
  <c r="E136" i="20"/>
  <c r="F135" i="20"/>
  <c r="E135" i="20"/>
  <c r="F134" i="20"/>
  <c r="E134" i="20"/>
  <c r="F133" i="20"/>
  <c r="E133" i="20"/>
  <c r="F132" i="20"/>
  <c r="E132" i="20"/>
  <c r="F131" i="20"/>
  <c r="E131" i="20"/>
  <c r="F130" i="20"/>
  <c r="E130" i="20"/>
  <c r="F129" i="20"/>
  <c r="E129" i="20"/>
  <c r="F128" i="20"/>
  <c r="E128" i="20"/>
  <c r="F127" i="20"/>
  <c r="E127" i="20"/>
  <c r="F126" i="20"/>
  <c r="E126" i="20"/>
  <c r="F125" i="20"/>
  <c r="E125" i="20"/>
  <c r="F124" i="20"/>
  <c r="E124" i="20"/>
  <c r="F123" i="20"/>
  <c r="E123" i="20"/>
  <c r="F122" i="20"/>
  <c r="E122" i="20"/>
  <c r="F121" i="20"/>
  <c r="E121" i="20"/>
  <c r="F120" i="20"/>
  <c r="E120" i="20"/>
  <c r="F119" i="20"/>
  <c r="E119" i="20"/>
  <c r="F118" i="20"/>
  <c r="E118" i="20"/>
  <c r="F117" i="20"/>
  <c r="E117" i="20"/>
  <c r="F116" i="20"/>
  <c r="E116" i="20"/>
  <c r="F115" i="20"/>
  <c r="E115" i="20"/>
  <c r="F114" i="20"/>
  <c r="E114" i="20"/>
  <c r="G67" i="20"/>
  <c r="D66" i="20"/>
  <c r="D65" i="20"/>
  <c r="H178" i="10"/>
  <c r="E51" i="20"/>
  <c r="E50" i="20"/>
  <c r="I100" i="20" s="1"/>
  <c r="G49" i="20"/>
  <c r="F49" i="20"/>
  <c r="G48" i="20"/>
  <c r="F48" i="20"/>
  <c r="F98" i="20" s="1"/>
  <c r="H98" i="20" s="1"/>
  <c r="E48" i="20"/>
  <c r="G47" i="20"/>
  <c r="F47" i="20"/>
  <c r="F97" i="20" s="1"/>
  <c r="H97" i="20" s="1"/>
  <c r="E47" i="20"/>
  <c r="I97" i="20" s="1"/>
  <c r="AB46" i="20"/>
  <c r="AB42" i="20" s="1"/>
  <c r="AG42" i="20" s="1"/>
  <c r="G46" i="20"/>
  <c r="F46" i="20"/>
  <c r="E46" i="20"/>
  <c r="I96" i="20" s="1"/>
  <c r="AK45" i="20"/>
  <c r="AG45" i="20"/>
  <c r="AD45" i="20"/>
  <c r="AC45" i="20"/>
  <c r="AH45" i="20" s="1"/>
  <c r="Z45" i="20"/>
  <c r="Y45" i="20"/>
  <c r="AE45" i="20" s="1"/>
  <c r="R45" i="20"/>
  <c r="G45" i="20"/>
  <c r="F45" i="20"/>
  <c r="E45" i="20"/>
  <c r="L45" i="20" s="1"/>
  <c r="Z44" i="20"/>
  <c r="AL44" i="20" s="1"/>
  <c r="AK44" i="20"/>
  <c r="Y44" i="20"/>
  <c r="AE44" i="20" s="1"/>
  <c r="AD44" i="20"/>
  <c r="AC44" i="20"/>
  <c r="AH44" i="20" s="1"/>
  <c r="R44" i="20"/>
  <c r="G44" i="20"/>
  <c r="F44" i="20"/>
  <c r="O44" i="20" s="1"/>
  <c r="E44" i="20"/>
  <c r="L44" i="20" s="1"/>
  <c r="AK43" i="20"/>
  <c r="AD43" i="20"/>
  <c r="AC43" i="20"/>
  <c r="AH43" i="20" s="1"/>
  <c r="Z43" i="20"/>
  <c r="AL43" i="20" s="1"/>
  <c r="Y43" i="20"/>
  <c r="AE43" i="20" s="1"/>
  <c r="R43" i="20"/>
  <c r="G43" i="20"/>
  <c r="F43" i="20"/>
  <c r="O43" i="20" s="1"/>
  <c r="E43" i="20"/>
  <c r="E77" i="20" s="1"/>
  <c r="AK42" i="20"/>
  <c r="AD42" i="20"/>
  <c r="AC42" i="20"/>
  <c r="AH42" i="20" s="1"/>
  <c r="Z42" i="20"/>
  <c r="AL42" i="20" s="1"/>
  <c r="Y42" i="20"/>
  <c r="AE42" i="20" s="1"/>
  <c r="R42" i="20"/>
  <c r="G42" i="20"/>
  <c r="F42" i="20"/>
  <c r="O42" i="20" s="1"/>
  <c r="E42" i="20"/>
  <c r="L42" i="20" s="1"/>
  <c r="AL41" i="20"/>
  <c r="AH41" i="20"/>
  <c r="AI41" i="20" s="1"/>
  <c r="AG41" i="20"/>
  <c r="AE41" i="20"/>
  <c r="AA41" i="20"/>
  <c r="AF41" i="20" s="1"/>
  <c r="U41" i="20" s="1"/>
  <c r="W41" i="20" s="1"/>
  <c r="T41" i="20"/>
  <c r="X41" i="20" s="1"/>
  <c r="R41" i="20"/>
  <c r="F41" i="20"/>
  <c r="F75" i="20" s="1"/>
  <c r="E41" i="20"/>
  <c r="E75" i="20" s="1"/>
  <c r="AL40" i="20"/>
  <c r="AH40" i="20"/>
  <c r="AI40" i="20" s="1"/>
  <c r="AG40" i="20"/>
  <c r="AE40" i="20"/>
  <c r="AA40" i="20"/>
  <c r="AF40" i="20" s="1"/>
  <c r="U40" i="20" s="1"/>
  <c r="W40" i="20" s="1"/>
  <c r="T40" i="20"/>
  <c r="X40" i="20" s="1"/>
  <c r="Q40" i="20"/>
  <c r="R40" i="20" s="1"/>
  <c r="F40" i="20"/>
  <c r="O40" i="20" s="1"/>
  <c r="E40" i="20"/>
  <c r="K40" i="20" s="1"/>
  <c r="AL39" i="20"/>
  <c r="AH39" i="20"/>
  <c r="AI39" i="20" s="1"/>
  <c r="AG39" i="20"/>
  <c r="AF39" i="20"/>
  <c r="U39" i="20" s="1"/>
  <c r="W39" i="20" s="1"/>
  <c r="AE39" i="20"/>
  <c r="T39" i="20"/>
  <c r="X39" i="20" s="1"/>
  <c r="Q39" i="20"/>
  <c r="F39" i="20"/>
  <c r="N39" i="20" s="1"/>
  <c r="E39" i="20"/>
  <c r="AL38" i="20"/>
  <c r="AH38" i="20"/>
  <c r="AI38" i="20" s="1"/>
  <c r="AG38" i="20"/>
  <c r="AF38" i="20"/>
  <c r="U38" i="20" s="1"/>
  <c r="W38" i="20" s="1"/>
  <c r="AE38" i="20"/>
  <c r="T38" i="20"/>
  <c r="X38" i="20" s="1"/>
  <c r="Q38" i="20"/>
  <c r="F38" i="20"/>
  <c r="F72" i="20" s="1"/>
  <c r="E38" i="20"/>
  <c r="K38" i="20" s="1"/>
  <c r="AL37" i="20"/>
  <c r="AH37" i="20"/>
  <c r="AI37" i="20" s="1"/>
  <c r="AG37" i="20"/>
  <c r="AF37" i="20"/>
  <c r="U37" i="20" s="1"/>
  <c r="W37" i="20" s="1"/>
  <c r="AE37" i="20"/>
  <c r="T37" i="20"/>
  <c r="X37" i="20" s="1"/>
  <c r="Q37" i="20"/>
  <c r="F37" i="20"/>
  <c r="E37" i="20"/>
  <c r="K37" i="20" s="1"/>
  <c r="AL36" i="20"/>
  <c r="AH36" i="20"/>
  <c r="AI36" i="20" s="1"/>
  <c r="AG36" i="20"/>
  <c r="AF36" i="20"/>
  <c r="U36" i="20" s="1"/>
  <c r="W36" i="20" s="1"/>
  <c r="AE36" i="20"/>
  <c r="T36" i="20"/>
  <c r="X36" i="20" s="1"/>
  <c r="Q36" i="20"/>
  <c r="F36" i="20"/>
  <c r="N36" i="20" s="1"/>
  <c r="E36" i="20"/>
  <c r="K36" i="20" s="1"/>
  <c r="AL35" i="20"/>
  <c r="AH35" i="20"/>
  <c r="AI35" i="20" s="1"/>
  <c r="AG35" i="20"/>
  <c r="AF35" i="20"/>
  <c r="U35" i="20" s="1"/>
  <c r="W35" i="20" s="1"/>
  <c r="AE35" i="20"/>
  <c r="T35" i="20"/>
  <c r="X35" i="20" s="1"/>
  <c r="Q35" i="20"/>
  <c r="F35" i="20"/>
  <c r="N35" i="20" s="1"/>
  <c r="E35" i="20"/>
  <c r="K35" i="20" s="1"/>
  <c r="AL34" i="20"/>
  <c r="AH34" i="20"/>
  <c r="AI34" i="20" s="1"/>
  <c r="AG34" i="20"/>
  <c r="AF34" i="20"/>
  <c r="U34" i="20" s="1"/>
  <c r="W34" i="20" s="1"/>
  <c r="AE34" i="20"/>
  <c r="T34" i="20"/>
  <c r="X34" i="20" s="1"/>
  <c r="Q34" i="20"/>
  <c r="F34" i="20"/>
  <c r="N34" i="20" s="1"/>
  <c r="E34" i="20"/>
  <c r="K34" i="20" s="1"/>
  <c r="AL33" i="20"/>
  <c r="AH33" i="20"/>
  <c r="AI33" i="20" s="1"/>
  <c r="AG33" i="20"/>
  <c r="AF33" i="20"/>
  <c r="U33" i="20" s="1"/>
  <c r="W33" i="20" s="1"/>
  <c r="AE33" i="20"/>
  <c r="T33" i="20"/>
  <c r="X33" i="20" s="1"/>
  <c r="Q33" i="20"/>
  <c r="F33" i="20"/>
  <c r="N33" i="20" s="1"/>
  <c r="E33" i="20"/>
  <c r="K33" i="20" s="1"/>
  <c r="AL32" i="20"/>
  <c r="AH32" i="20"/>
  <c r="AI32" i="20" s="1"/>
  <c r="AG32" i="20"/>
  <c r="AF32" i="20"/>
  <c r="U32" i="20" s="1"/>
  <c r="W32" i="20" s="1"/>
  <c r="AE32" i="20"/>
  <c r="T32" i="20"/>
  <c r="X32" i="20" s="1"/>
  <c r="Q32" i="20"/>
  <c r="F32" i="20"/>
  <c r="E32" i="20"/>
  <c r="K32" i="20" s="1"/>
  <c r="AL31" i="20"/>
  <c r="AH31" i="20"/>
  <c r="AI31" i="20" s="1"/>
  <c r="AG31" i="20"/>
  <c r="AF31" i="20"/>
  <c r="U31" i="20" s="1"/>
  <c r="W31" i="20" s="1"/>
  <c r="AE31" i="20"/>
  <c r="T31" i="20"/>
  <c r="X31" i="20" s="1"/>
  <c r="Q31" i="20"/>
  <c r="F31" i="20"/>
  <c r="N31" i="20" s="1"/>
  <c r="E31" i="20"/>
  <c r="AL30" i="20"/>
  <c r="AH30" i="20"/>
  <c r="AI30" i="20" s="1"/>
  <c r="AG30" i="20"/>
  <c r="AF30" i="20"/>
  <c r="U30" i="20" s="1"/>
  <c r="W30" i="20" s="1"/>
  <c r="AE30" i="20"/>
  <c r="T30" i="20"/>
  <c r="X30" i="20" s="1"/>
  <c r="Q30" i="20"/>
  <c r="F30" i="20"/>
  <c r="N30" i="20" s="1"/>
  <c r="E30" i="20"/>
  <c r="K30" i="20" s="1"/>
  <c r="AL29" i="20"/>
  <c r="AH29" i="20"/>
  <c r="AI29" i="20" s="1"/>
  <c r="AG29" i="20"/>
  <c r="AF29" i="20"/>
  <c r="U29" i="20" s="1"/>
  <c r="W29" i="20" s="1"/>
  <c r="AE29" i="20"/>
  <c r="T29" i="20"/>
  <c r="X29" i="20" s="1"/>
  <c r="Q29" i="20"/>
  <c r="F29" i="20"/>
  <c r="E29" i="20"/>
  <c r="K29" i="20" s="1"/>
  <c r="AL28" i="20"/>
  <c r="AH28" i="20"/>
  <c r="AI28" i="20" s="1"/>
  <c r="AG28" i="20"/>
  <c r="AF28" i="20"/>
  <c r="U28" i="20" s="1"/>
  <c r="W28" i="20" s="1"/>
  <c r="AE28" i="20"/>
  <c r="T28" i="20"/>
  <c r="X28" i="20" s="1"/>
  <c r="Q28" i="20"/>
  <c r="F28" i="20"/>
  <c r="E28" i="20"/>
  <c r="K28" i="20" s="1"/>
  <c r="AL27" i="20"/>
  <c r="AH27" i="20"/>
  <c r="AI27" i="20" s="1"/>
  <c r="AG27" i="20"/>
  <c r="AF27" i="20"/>
  <c r="U27" i="20" s="1"/>
  <c r="W27" i="20" s="1"/>
  <c r="AE27" i="20"/>
  <c r="T27" i="20"/>
  <c r="X27" i="20" s="1"/>
  <c r="Q27" i="20"/>
  <c r="F27" i="20"/>
  <c r="E27" i="20"/>
  <c r="K27" i="20" s="1"/>
  <c r="AL26" i="20"/>
  <c r="AH26" i="20"/>
  <c r="AI26" i="20" s="1"/>
  <c r="AG26" i="20"/>
  <c r="AF26" i="20"/>
  <c r="U26" i="20" s="1"/>
  <c r="W26" i="20" s="1"/>
  <c r="AE26" i="20"/>
  <c r="T26" i="20"/>
  <c r="X26" i="20" s="1"/>
  <c r="Q26" i="20"/>
  <c r="F26" i="20"/>
  <c r="E26" i="20"/>
  <c r="K26" i="20" s="1"/>
  <c r="AL25" i="20"/>
  <c r="AH25" i="20"/>
  <c r="AI25" i="20" s="1"/>
  <c r="AG25" i="20"/>
  <c r="AF25" i="20"/>
  <c r="U25" i="20" s="1"/>
  <c r="W25" i="20" s="1"/>
  <c r="AE25" i="20"/>
  <c r="T25" i="20"/>
  <c r="X25" i="20"/>
  <c r="Q25" i="20"/>
  <c r="F25" i="20"/>
  <c r="N25" i="20" s="1"/>
  <c r="E25" i="20"/>
  <c r="K25" i="20" s="1"/>
  <c r="AL24" i="20"/>
  <c r="AH24" i="20"/>
  <c r="AI24" i="20" s="1"/>
  <c r="AG24" i="20"/>
  <c r="AF24" i="20"/>
  <c r="U24" i="20" s="1"/>
  <c r="W24" i="20" s="1"/>
  <c r="AE24" i="20"/>
  <c r="T24" i="20"/>
  <c r="X24" i="20" s="1"/>
  <c r="Q24" i="20"/>
  <c r="F24" i="20"/>
  <c r="E24" i="20"/>
  <c r="K24" i="20" s="1"/>
  <c r="AL23" i="20"/>
  <c r="AH23" i="20"/>
  <c r="AI23" i="20" s="1"/>
  <c r="AG23" i="20"/>
  <c r="AF23" i="20"/>
  <c r="U23" i="20" s="1"/>
  <c r="W23" i="20" s="1"/>
  <c r="AE23" i="20"/>
  <c r="T23" i="20"/>
  <c r="X23" i="20" s="1"/>
  <c r="Q23" i="20"/>
  <c r="F23" i="20"/>
  <c r="N23" i="20" s="1"/>
  <c r="E23" i="20"/>
  <c r="AL22" i="20"/>
  <c r="AH22" i="20"/>
  <c r="AI22" i="20" s="1"/>
  <c r="AG22" i="20"/>
  <c r="AF22" i="20"/>
  <c r="U22" i="20" s="1"/>
  <c r="W22" i="20" s="1"/>
  <c r="AE22" i="20"/>
  <c r="T22" i="20"/>
  <c r="X22" i="20" s="1"/>
  <c r="Q22" i="20"/>
  <c r="F22" i="20"/>
  <c r="N22" i="20" s="1"/>
  <c r="E22" i="20"/>
  <c r="K22" i="20" s="1"/>
  <c r="AL21" i="20"/>
  <c r="AH21" i="20"/>
  <c r="AI21" i="20" s="1"/>
  <c r="AG21" i="20"/>
  <c r="AF21" i="20"/>
  <c r="U21" i="20" s="1"/>
  <c r="W21" i="20" s="1"/>
  <c r="AE21" i="20"/>
  <c r="T21" i="20"/>
  <c r="X21" i="20" s="1"/>
  <c r="Q21" i="20"/>
  <c r="F21" i="20"/>
  <c r="N21" i="20" s="1"/>
  <c r="E21" i="20"/>
  <c r="K21" i="20" s="1"/>
  <c r="AL20" i="20"/>
  <c r="AH20" i="20"/>
  <c r="AI20" i="20" s="1"/>
  <c r="AG20" i="20"/>
  <c r="AF20" i="20"/>
  <c r="U20" i="20" s="1"/>
  <c r="W20" i="20" s="1"/>
  <c r="AE20" i="20"/>
  <c r="T20" i="20"/>
  <c r="X20" i="20" s="1"/>
  <c r="Q20" i="20"/>
  <c r="F20" i="20"/>
  <c r="N20" i="20" s="1"/>
  <c r="E20" i="20"/>
  <c r="K20" i="20" s="1"/>
  <c r="AL19" i="20"/>
  <c r="AH19" i="20"/>
  <c r="AI19" i="20" s="1"/>
  <c r="AG19" i="20"/>
  <c r="AF19" i="20"/>
  <c r="U19" i="20" s="1"/>
  <c r="W19" i="20" s="1"/>
  <c r="AE19" i="20"/>
  <c r="T19" i="20"/>
  <c r="X19" i="20" s="1"/>
  <c r="Q19" i="20"/>
  <c r="F19" i="20"/>
  <c r="E19" i="20"/>
  <c r="K19" i="20" s="1"/>
  <c r="AL18" i="20"/>
  <c r="AH18" i="20"/>
  <c r="AI18" i="20" s="1"/>
  <c r="AG18" i="20"/>
  <c r="AF18" i="20"/>
  <c r="U18" i="20" s="1"/>
  <c r="W18" i="20" s="1"/>
  <c r="AE18" i="20"/>
  <c r="T18" i="20"/>
  <c r="X18" i="20" s="1"/>
  <c r="Q18" i="20"/>
  <c r="F18" i="20"/>
  <c r="N18" i="20" s="1"/>
  <c r="E18" i="20"/>
  <c r="K18" i="20" s="1"/>
  <c r="AL17" i="20"/>
  <c r="AH17" i="20"/>
  <c r="AI17" i="20" s="1"/>
  <c r="AG17" i="20"/>
  <c r="AF17" i="20"/>
  <c r="U17" i="20" s="1"/>
  <c r="W17" i="20" s="1"/>
  <c r="AE17" i="20"/>
  <c r="T17" i="20"/>
  <c r="X17" i="20" s="1"/>
  <c r="AL16" i="20"/>
  <c r="AH16" i="20"/>
  <c r="AI16" i="20" s="1"/>
  <c r="AG16" i="20"/>
  <c r="AF16" i="20"/>
  <c r="U16" i="20" s="1"/>
  <c r="W16" i="20" s="1"/>
  <c r="AE16" i="20"/>
  <c r="T16" i="20"/>
  <c r="X16" i="20" s="1"/>
  <c r="AL15" i="20"/>
  <c r="AH15" i="20"/>
  <c r="AI15" i="20" s="1"/>
  <c r="AG15" i="20"/>
  <c r="AF15" i="20"/>
  <c r="U15" i="20" s="1"/>
  <c r="W15" i="20" s="1"/>
  <c r="AE15" i="20"/>
  <c r="T15" i="20"/>
  <c r="X15" i="20" s="1"/>
  <c r="AL14" i="20"/>
  <c r="AH14" i="20"/>
  <c r="AI14" i="20" s="1"/>
  <c r="AG14" i="20"/>
  <c r="AF14" i="20"/>
  <c r="U14" i="20" s="1"/>
  <c r="W14" i="20" s="1"/>
  <c r="AE14" i="20"/>
  <c r="T14" i="20"/>
  <c r="X14" i="20" s="1"/>
  <c r="AL13" i="20"/>
  <c r="AH13" i="20"/>
  <c r="AI13" i="20" s="1"/>
  <c r="AG13" i="20"/>
  <c r="AF13" i="20"/>
  <c r="U13" i="20" s="1"/>
  <c r="W13" i="20" s="1"/>
  <c r="AE13" i="20"/>
  <c r="T13" i="20"/>
  <c r="X13" i="20" s="1"/>
  <c r="AL12" i="20"/>
  <c r="AH12" i="20"/>
  <c r="AI12" i="20" s="1"/>
  <c r="AG12" i="20"/>
  <c r="AF12" i="20"/>
  <c r="U12" i="20" s="1"/>
  <c r="W12" i="20" s="1"/>
  <c r="AE12" i="20"/>
  <c r="T12" i="20"/>
  <c r="X12" i="20" s="1"/>
  <c r="AL11" i="20"/>
  <c r="AH11" i="20"/>
  <c r="AI11" i="20" s="1"/>
  <c r="AG11" i="20"/>
  <c r="AF11" i="20"/>
  <c r="U11" i="20" s="1"/>
  <c r="W11" i="20" s="1"/>
  <c r="AE11" i="20"/>
  <c r="T11" i="20"/>
  <c r="X11" i="20" s="1"/>
  <c r="AL10" i="20"/>
  <c r="AH10" i="20"/>
  <c r="AI10" i="20" s="1"/>
  <c r="AG10" i="20"/>
  <c r="AF10" i="20"/>
  <c r="U10" i="20" s="1"/>
  <c r="W10" i="20" s="1"/>
  <c r="AE10" i="20"/>
  <c r="T10" i="20"/>
  <c r="X10" i="20" s="1"/>
  <c r="AL9" i="20"/>
  <c r="AH9" i="20"/>
  <c r="AI9" i="20" s="1"/>
  <c r="AG9" i="20"/>
  <c r="AE9" i="20"/>
  <c r="T9" i="20"/>
  <c r="X9" i="20" s="1"/>
  <c r="AL8" i="20"/>
  <c r="AH8" i="20"/>
  <c r="AI8" i="20" s="1"/>
  <c r="AG8" i="20"/>
  <c r="AE8" i="20"/>
  <c r="T8" i="20"/>
  <c r="X8" i="20" s="1"/>
  <c r="AL7" i="20"/>
  <c r="AH7" i="20"/>
  <c r="AI7" i="20" s="1"/>
  <c r="AG7" i="20"/>
  <c r="AE7" i="20"/>
  <c r="T7" i="20"/>
  <c r="X7" i="20" s="1"/>
  <c r="AL6" i="20"/>
  <c r="AH6" i="20"/>
  <c r="AI6" i="20" s="1"/>
  <c r="AG6" i="20"/>
  <c r="AE6" i="20"/>
  <c r="T6" i="20"/>
  <c r="X6" i="20" s="1"/>
  <c r="AA5" i="20"/>
  <c r="AF9" i="20" s="1"/>
  <c r="U9" i="20" s="1"/>
  <c r="W9" i="20" s="1"/>
  <c r="AA4" i="20"/>
  <c r="AF8" i="20" s="1"/>
  <c r="U8" i="20" s="1"/>
  <c r="W8" i="20" s="1"/>
  <c r="AA3" i="20"/>
  <c r="AF7" i="20" s="1"/>
  <c r="U7" i="20" s="1"/>
  <c r="W7" i="20" s="1"/>
  <c r="AA2" i="20"/>
  <c r="AF6" i="20" s="1"/>
  <c r="U6" i="20" s="1"/>
  <c r="W6" i="20" s="1"/>
  <c r="AC137" i="11"/>
  <c r="Z133" i="19"/>
  <c r="AA133" i="19"/>
  <c r="AB133" i="19"/>
  <c r="AC133" i="19"/>
  <c r="AD133" i="19"/>
  <c r="AE133" i="19"/>
  <c r="AF133" i="19"/>
  <c r="AG133" i="19"/>
  <c r="AH133" i="19"/>
  <c r="AI133" i="19"/>
  <c r="AJ133" i="19"/>
  <c r="AK133" i="19"/>
  <c r="Z135" i="19"/>
  <c r="AK135" i="19"/>
  <c r="Z137" i="19"/>
  <c r="Z123" i="19"/>
  <c r="BJ39" i="19" s="1"/>
  <c r="BJ50" i="19" s="1"/>
  <c r="AA123" i="19"/>
  <c r="BK39" i="19" s="1"/>
  <c r="AB123" i="19"/>
  <c r="BL39" i="19" s="1"/>
  <c r="AC123" i="19"/>
  <c r="BM39" i="19" s="1"/>
  <c r="AD123" i="19"/>
  <c r="BN39" i="19" s="1"/>
  <c r="AE123" i="19"/>
  <c r="BO39" i="19" s="1"/>
  <c r="AF123" i="19"/>
  <c r="BP39" i="19" s="1"/>
  <c r="AG123" i="19"/>
  <c r="BQ39" i="19" s="1"/>
  <c r="AA120" i="19"/>
  <c r="AB120" i="19"/>
  <c r="AC120" i="19"/>
  <c r="AD120" i="19"/>
  <c r="AE120" i="19"/>
  <c r="AF120" i="19"/>
  <c r="AG120" i="19"/>
  <c r="AH120" i="19"/>
  <c r="AI120" i="19"/>
  <c r="AJ120" i="19"/>
  <c r="AK120" i="19"/>
  <c r="Z120" i="19"/>
  <c r="AM137" i="19"/>
  <c r="AN137" i="19" s="1"/>
  <c r="AO137" i="19" s="1"/>
  <c r="AP137" i="19" s="1"/>
  <c r="AQ137" i="19" s="1"/>
  <c r="AR137" i="19" s="1"/>
  <c r="AS137" i="19" s="1"/>
  <c r="AT137" i="19" s="1"/>
  <c r="AW136" i="19"/>
  <c r="AW138" i="19" s="1"/>
  <c r="AV136" i="19"/>
  <c r="AU136" i="19"/>
  <c r="AT136" i="19"/>
  <c r="AS136" i="19"/>
  <c r="AR136" i="19"/>
  <c r="AQ136" i="19"/>
  <c r="AP136" i="19"/>
  <c r="AO136" i="19"/>
  <c r="AN136" i="19"/>
  <c r="AM136" i="19"/>
  <c r="AL136" i="19"/>
  <c r="AL138" i="19" s="1"/>
  <c r="Y136" i="19"/>
  <c r="Y138" i="19" s="1"/>
  <c r="BI41" i="19" s="1"/>
  <c r="X136" i="19"/>
  <c r="X138" i="19" s="1"/>
  <c r="BH41" i="19" s="1"/>
  <c r="BH45" i="19" s="1"/>
  <c r="W136" i="19"/>
  <c r="W138" i="19" s="1"/>
  <c r="BG41" i="19" s="1"/>
  <c r="BG45" i="19" s="1"/>
  <c r="V136" i="19"/>
  <c r="V138" i="19" s="1"/>
  <c r="BF41" i="19" s="1"/>
  <c r="BF45" i="19" s="1"/>
  <c r="U136" i="19"/>
  <c r="U138" i="19" s="1"/>
  <c r="BE41" i="19" s="1"/>
  <c r="BE45" i="19" s="1"/>
  <c r="T136" i="19"/>
  <c r="T138" i="19" s="1"/>
  <c r="BD41" i="19" s="1"/>
  <c r="BD45" i="19" s="1"/>
  <c r="S136" i="19"/>
  <c r="S138" i="19" s="1"/>
  <c r="BC41" i="19" s="1"/>
  <c r="BC45" i="19" s="1"/>
  <c r="R136" i="19"/>
  <c r="R138" i="19" s="1"/>
  <c r="BB41" i="19" s="1"/>
  <c r="BB45" i="19" s="1"/>
  <c r="Q136" i="19"/>
  <c r="Q138" i="19" s="1"/>
  <c r="BA41" i="19" s="1"/>
  <c r="BA45" i="19" s="1"/>
  <c r="P136" i="19"/>
  <c r="P138" i="19" s="1"/>
  <c r="AZ41" i="19" s="1"/>
  <c r="AZ45" i="19" s="1"/>
  <c r="O136" i="19"/>
  <c r="O138" i="19" s="1"/>
  <c r="AY41" i="19" s="1"/>
  <c r="AY45" i="19" s="1"/>
  <c r="N136" i="19"/>
  <c r="N138" i="19" s="1"/>
  <c r="AX41" i="19" s="1"/>
  <c r="AX45" i="19" s="1"/>
  <c r="M136" i="19"/>
  <c r="M137" i="19" s="1"/>
  <c r="L136" i="19"/>
  <c r="L137" i="19" s="1"/>
  <c r="K136" i="19"/>
  <c r="K137" i="19" s="1"/>
  <c r="J136" i="19"/>
  <c r="J137" i="19" s="1"/>
  <c r="I136" i="19"/>
  <c r="I137" i="19" s="1"/>
  <c r="H136" i="19"/>
  <c r="H137" i="19" s="1"/>
  <c r="G136" i="19"/>
  <c r="G137" i="19" s="1"/>
  <c r="F136" i="19"/>
  <c r="F137" i="19" s="1"/>
  <c r="E136" i="19"/>
  <c r="E137" i="19" s="1"/>
  <c r="D136" i="19"/>
  <c r="D137" i="19" s="1"/>
  <c r="C136" i="19"/>
  <c r="C137" i="19" s="1"/>
  <c r="B136" i="19"/>
  <c r="B137" i="19" s="1"/>
  <c r="W129" i="19"/>
  <c r="BG52" i="19" s="1"/>
  <c r="BG53" i="19" s="1"/>
  <c r="BG64" i="19" s="1"/>
  <c r="V129" i="19"/>
  <c r="BF52" i="19" s="1"/>
  <c r="BF53" i="19" s="1"/>
  <c r="BF64" i="19" s="1"/>
  <c r="U129" i="19"/>
  <c r="BE52" i="19" s="1"/>
  <c r="BE53" i="19" s="1"/>
  <c r="BE64" i="19" s="1"/>
  <c r="T129" i="19"/>
  <c r="BD52" i="19" s="1"/>
  <c r="BD53" i="19" s="1"/>
  <c r="BD64" i="19" s="1"/>
  <c r="S129" i="19"/>
  <c r="BC52" i="19" s="1"/>
  <c r="BC53" i="19" s="1"/>
  <c r="BC64" i="19" s="1"/>
  <c r="R129" i="19"/>
  <c r="R146" i="19" s="1"/>
  <c r="Q129" i="19"/>
  <c r="Q140" i="19" s="1"/>
  <c r="Q141" i="19" s="1"/>
  <c r="P129" i="19"/>
  <c r="P146" i="19" s="1"/>
  <c r="O129" i="19"/>
  <c r="N129" i="19"/>
  <c r="M129" i="19"/>
  <c r="L129" i="19"/>
  <c r="K129" i="19"/>
  <c r="K140" i="19" s="1"/>
  <c r="K141" i="19" s="1"/>
  <c r="J129" i="19"/>
  <c r="J140" i="19" s="1"/>
  <c r="J141" i="19" s="1"/>
  <c r="I129" i="19"/>
  <c r="H129" i="19"/>
  <c r="H146" i="19" s="1"/>
  <c r="G129" i="19"/>
  <c r="F129" i="19"/>
  <c r="E129" i="19"/>
  <c r="D129" i="19"/>
  <c r="C129" i="19"/>
  <c r="C140" i="19" s="1"/>
  <c r="B129" i="19"/>
  <c r="E116" i="19"/>
  <c r="I119" i="19" s="1"/>
  <c r="D116" i="19"/>
  <c r="H119" i="19" s="1"/>
  <c r="C116" i="19"/>
  <c r="G119" i="19" s="1"/>
  <c r="B116" i="19"/>
  <c r="F119" i="19" s="1"/>
  <c r="M107" i="19"/>
  <c r="L107" i="19"/>
  <c r="K107" i="19"/>
  <c r="J107" i="19"/>
  <c r="I107" i="19"/>
  <c r="H107" i="19"/>
  <c r="G107" i="19"/>
  <c r="F107" i="19"/>
  <c r="E107" i="19"/>
  <c r="D107" i="19"/>
  <c r="C107" i="19"/>
  <c r="B107" i="19"/>
  <c r="L104" i="19"/>
  <c r="K104" i="19"/>
  <c r="W131" i="19" s="1"/>
  <c r="BG46" i="19" s="1"/>
  <c r="J104" i="19"/>
  <c r="V130" i="19" s="1"/>
  <c r="I104" i="19"/>
  <c r="U131" i="19" s="1"/>
  <c r="H104" i="19"/>
  <c r="G104" i="19"/>
  <c r="F104" i="19"/>
  <c r="E104" i="19"/>
  <c r="Q131" i="19" s="1"/>
  <c r="BA46" i="19" s="1"/>
  <c r="BA55" i="19" s="1"/>
  <c r="D104" i="19"/>
  <c r="C104" i="19"/>
  <c r="B104" i="19"/>
  <c r="AA102" i="19"/>
  <c r="Z102" i="19"/>
  <c r="L99" i="19"/>
  <c r="K99" i="19"/>
  <c r="J93" i="19"/>
  <c r="I93" i="19"/>
  <c r="H93" i="19"/>
  <c r="G93" i="19"/>
  <c r="F93" i="19"/>
  <c r="E93" i="19"/>
  <c r="D93" i="19"/>
  <c r="C93" i="19"/>
  <c r="AW52" i="19"/>
  <c r="AW53" i="19" s="1"/>
  <c r="BI63" i="19" s="1"/>
  <c r="AV52" i="19"/>
  <c r="AV53" i="19" s="1"/>
  <c r="BH63" i="19" s="1"/>
  <c r="AU52" i="19"/>
  <c r="AU53" i="19" s="1"/>
  <c r="BG63" i="19" s="1"/>
  <c r="AT52" i="19"/>
  <c r="AT53" i="19" s="1"/>
  <c r="BF63" i="19" s="1"/>
  <c r="AS52" i="19"/>
  <c r="AS53" i="19" s="1"/>
  <c r="BE63" i="19" s="1"/>
  <c r="AR52" i="19"/>
  <c r="AR53" i="19" s="1"/>
  <c r="BD63" i="19" s="1"/>
  <c r="AQ52" i="19"/>
  <c r="AQ53" i="19" s="1"/>
  <c r="BC63" i="19" s="1"/>
  <c r="AP52" i="19"/>
  <c r="AP53" i="19" s="1"/>
  <c r="BB63" i="19" s="1"/>
  <c r="AO52" i="19"/>
  <c r="AO53" i="19" s="1"/>
  <c r="BA63" i="19" s="1"/>
  <c r="AN52" i="19"/>
  <c r="AN53" i="19" s="1"/>
  <c r="AZ63" i="19" s="1"/>
  <c r="AM52" i="19"/>
  <c r="AM53" i="19" s="1"/>
  <c r="AY63" i="19" s="1"/>
  <c r="AL52" i="19"/>
  <c r="AL53" i="19" s="1"/>
  <c r="AX63" i="19" s="1"/>
  <c r="AK52" i="19"/>
  <c r="AK53" i="19" s="1"/>
  <c r="BI62" i="19" s="1"/>
  <c r="AJ52" i="19"/>
  <c r="AJ53" i="19" s="1"/>
  <c r="BH62" i="19" s="1"/>
  <c r="AI52" i="19"/>
  <c r="AI53" i="19" s="1"/>
  <c r="BG62" i="19" s="1"/>
  <c r="AH52" i="19"/>
  <c r="AH53" i="19" s="1"/>
  <c r="BF62" i="19" s="1"/>
  <c r="AG52" i="19"/>
  <c r="AG53" i="19" s="1"/>
  <c r="BE62" i="19" s="1"/>
  <c r="AF52" i="19"/>
  <c r="AF53" i="19" s="1"/>
  <c r="BD62" i="19" s="1"/>
  <c r="AE52" i="19"/>
  <c r="AE53" i="19" s="1"/>
  <c r="BC62" i="19" s="1"/>
  <c r="AD52" i="19"/>
  <c r="AD53" i="19" s="1"/>
  <c r="BB62" i="19" s="1"/>
  <c r="AC52" i="19"/>
  <c r="AC53" i="19" s="1"/>
  <c r="BA62" i="19" s="1"/>
  <c r="AB52" i="19"/>
  <c r="AB53" i="19" s="1"/>
  <c r="AZ62" i="19" s="1"/>
  <c r="AA52" i="19"/>
  <c r="AA53" i="19" s="1"/>
  <c r="AY62" i="19" s="1"/>
  <c r="Z52" i="19"/>
  <c r="Z53" i="19" s="1"/>
  <c r="AX62" i="19" s="1"/>
  <c r="Y52" i="19"/>
  <c r="Y53" i="19" s="1"/>
  <c r="BI61" i="19" s="1"/>
  <c r="X52" i="19"/>
  <c r="X53" i="19" s="1"/>
  <c r="BH61" i="19" s="1"/>
  <c r="W52" i="19"/>
  <c r="W53" i="19" s="1"/>
  <c r="BG61" i="19" s="1"/>
  <c r="V52" i="19"/>
  <c r="V53" i="19" s="1"/>
  <c r="BF61" i="19" s="1"/>
  <c r="U52" i="19"/>
  <c r="U53" i="19" s="1"/>
  <c r="BE61" i="19" s="1"/>
  <c r="T52" i="19"/>
  <c r="T53" i="19" s="1"/>
  <c r="BD61" i="19" s="1"/>
  <c r="S52" i="19"/>
  <c r="S53" i="19" s="1"/>
  <c r="BC61" i="19" s="1"/>
  <c r="R52" i="19"/>
  <c r="R53" i="19" s="1"/>
  <c r="BB61" i="19" s="1"/>
  <c r="Q52" i="19"/>
  <c r="Q53" i="19" s="1"/>
  <c r="BA61" i="19" s="1"/>
  <c r="P52" i="19"/>
  <c r="P53" i="19" s="1"/>
  <c r="AZ61" i="19" s="1"/>
  <c r="O52" i="19"/>
  <c r="O53" i="19" s="1"/>
  <c r="AY61" i="19" s="1"/>
  <c r="N52" i="19"/>
  <c r="N53" i="19" s="1"/>
  <c r="AX61" i="19" s="1"/>
  <c r="M52" i="19"/>
  <c r="M53" i="19" s="1"/>
  <c r="BI60" i="19" s="1"/>
  <c r="L52" i="19"/>
  <c r="L53" i="19" s="1"/>
  <c r="BH60" i="19" s="1"/>
  <c r="K52" i="19"/>
  <c r="K53" i="19" s="1"/>
  <c r="BG60" i="19" s="1"/>
  <c r="J52" i="19"/>
  <c r="J53" i="19" s="1"/>
  <c r="BF60" i="19" s="1"/>
  <c r="I52" i="19"/>
  <c r="I53" i="19" s="1"/>
  <c r="BE60" i="19" s="1"/>
  <c r="H52" i="19"/>
  <c r="H53" i="19" s="1"/>
  <c r="BD60" i="19" s="1"/>
  <c r="G52" i="19"/>
  <c r="G53" i="19" s="1"/>
  <c r="BC60" i="19" s="1"/>
  <c r="F52" i="19"/>
  <c r="F53" i="19" s="1"/>
  <c r="BB60" i="19" s="1"/>
  <c r="E52" i="19"/>
  <c r="E53" i="19" s="1"/>
  <c r="BA60" i="19" s="1"/>
  <c r="D52" i="19"/>
  <c r="D53" i="19" s="1"/>
  <c r="AZ60" i="19" s="1"/>
  <c r="C52" i="19"/>
  <c r="C53" i="19" s="1"/>
  <c r="AY60" i="19" s="1"/>
  <c r="B52" i="19"/>
  <c r="B53" i="19" s="1"/>
  <c r="AX60" i="19" s="1"/>
  <c r="AX50" i="19"/>
  <c r="AW50" i="19"/>
  <c r="AV50" i="19"/>
  <c r="AU50" i="19"/>
  <c r="AT50" i="19"/>
  <c r="AS50" i="19"/>
  <c r="AR50" i="19"/>
  <c r="AQ50" i="19"/>
  <c r="AP50" i="19"/>
  <c r="AO50" i="19"/>
  <c r="AN50" i="19"/>
  <c r="AM50" i="19"/>
  <c r="AL50" i="19"/>
  <c r="AK50" i="19"/>
  <c r="AJ50" i="19"/>
  <c r="AI50" i="19"/>
  <c r="AH50" i="19"/>
  <c r="AG50" i="19"/>
  <c r="AF50" i="19"/>
  <c r="AE50" i="19"/>
  <c r="AD50" i="19"/>
  <c r="AC50" i="19"/>
  <c r="AB50" i="19"/>
  <c r="AA50" i="19"/>
  <c r="Z50" i="19"/>
  <c r="Y50" i="19"/>
  <c r="X50" i="19"/>
  <c r="W50" i="19"/>
  <c r="V50" i="19"/>
  <c r="U50" i="19"/>
  <c r="T50" i="19"/>
  <c r="S50" i="19"/>
  <c r="R50" i="19"/>
  <c r="Q50" i="19"/>
  <c r="P50" i="19"/>
  <c r="O50" i="19"/>
  <c r="N50" i="19"/>
  <c r="M50" i="19"/>
  <c r="L50" i="19"/>
  <c r="K50" i="19"/>
  <c r="J50" i="19"/>
  <c r="I50" i="19"/>
  <c r="H50" i="19"/>
  <c r="G50" i="19"/>
  <c r="F50" i="19"/>
  <c r="E50" i="19"/>
  <c r="D50" i="19"/>
  <c r="C50" i="19"/>
  <c r="B50" i="19"/>
  <c r="BE49" i="19"/>
  <c r="BD49" i="19"/>
  <c r="BC49" i="19"/>
  <c r="BB49" i="19"/>
  <c r="BA49" i="19"/>
  <c r="AZ49" i="19"/>
  <c r="AY49" i="19"/>
  <c r="AX49" i="19"/>
  <c r="AW49" i="19"/>
  <c r="AV49" i="19"/>
  <c r="AU49" i="19"/>
  <c r="AT49" i="19"/>
  <c r="AS49" i="19"/>
  <c r="AR49" i="19"/>
  <c r="AQ49" i="19"/>
  <c r="AP49" i="19"/>
  <c r="AO49" i="19"/>
  <c r="AN49" i="19"/>
  <c r="AM49" i="19"/>
  <c r="AL49" i="19"/>
  <c r="AK49" i="19"/>
  <c r="AJ49" i="19"/>
  <c r="AI49" i="19"/>
  <c r="AH49" i="19"/>
  <c r="AG49" i="19"/>
  <c r="AF49" i="19"/>
  <c r="AE49" i="19"/>
  <c r="AD49" i="19"/>
  <c r="AC49" i="19"/>
  <c r="AB49" i="19"/>
  <c r="AA49" i="19"/>
  <c r="Z49" i="19"/>
  <c r="Y49" i="19"/>
  <c r="X49" i="19"/>
  <c r="W49" i="19"/>
  <c r="V49" i="19"/>
  <c r="U49" i="19"/>
  <c r="T49" i="19"/>
  <c r="S49" i="19"/>
  <c r="R49" i="19"/>
  <c r="Q49" i="19"/>
  <c r="P49" i="19"/>
  <c r="O49" i="19"/>
  <c r="N49" i="19"/>
  <c r="M49" i="19"/>
  <c r="L49" i="19"/>
  <c r="K49" i="19"/>
  <c r="J49" i="19"/>
  <c r="I49" i="19"/>
  <c r="H49" i="19"/>
  <c r="G49" i="19"/>
  <c r="F49" i="19"/>
  <c r="E49" i="19"/>
  <c r="D49" i="19"/>
  <c r="C49" i="19"/>
  <c r="B49" i="19"/>
  <c r="AW46" i="19"/>
  <c r="AV46" i="19"/>
  <c r="L131" i="19" s="1"/>
  <c r="AU46" i="19"/>
  <c r="AT46" i="19"/>
  <c r="AS46" i="19"/>
  <c r="AR46" i="19"/>
  <c r="AQ46" i="19"/>
  <c r="AP46" i="19"/>
  <c r="AO46" i="19"/>
  <c r="AN46" i="19"/>
  <c r="D131" i="19" s="1"/>
  <c r="AM46" i="19"/>
  <c r="C131" i="19" s="1"/>
  <c r="AL46" i="19"/>
  <c r="B131" i="19" s="1"/>
  <c r="AK46" i="19"/>
  <c r="AK55" i="19" s="1"/>
  <c r="AJ46" i="19"/>
  <c r="AJ55" i="19" s="1"/>
  <c r="AI46" i="19"/>
  <c r="AI55" i="19" s="1"/>
  <c r="AH46" i="19"/>
  <c r="AH55" i="19" s="1"/>
  <c r="AG46" i="19"/>
  <c r="AG55" i="19" s="1"/>
  <c r="AF46" i="19"/>
  <c r="AF55" i="19" s="1"/>
  <c r="AF56" i="19" s="1"/>
  <c r="BD72" i="19" s="1"/>
  <c r="AE46" i="19"/>
  <c r="AE55" i="19" s="1"/>
  <c r="AD46" i="19"/>
  <c r="AD55" i="19" s="1"/>
  <c r="AC46" i="19"/>
  <c r="AC55" i="19" s="1"/>
  <c r="AB46" i="19"/>
  <c r="AB55" i="19" s="1"/>
  <c r="AB56" i="19" s="1"/>
  <c r="AZ72" i="19" s="1"/>
  <c r="AA46" i="19"/>
  <c r="AA55" i="19" s="1"/>
  <c r="Z46" i="19"/>
  <c r="Z55" i="19" s="1"/>
  <c r="Y46" i="19"/>
  <c r="Y55" i="19" s="1"/>
  <c r="X46" i="19"/>
  <c r="X55" i="19" s="1"/>
  <c r="W46" i="19"/>
  <c r="W55" i="19" s="1"/>
  <c r="V46" i="19"/>
  <c r="V55" i="19" s="1"/>
  <c r="U46" i="19"/>
  <c r="U55" i="19" s="1"/>
  <c r="T46" i="19"/>
  <c r="T55" i="19" s="1"/>
  <c r="T56" i="19" s="1"/>
  <c r="BD71" i="19" s="1"/>
  <c r="S46" i="19"/>
  <c r="S55" i="19" s="1"/>
  <c r="R46" i="19"/>
  <c r="R55" i="19" s="1"/>
  <c r="Q46" i="19"/>
  <c r="Q55" i="19" s="1"/>
  <c r="P46" i="19"/>
  <c r="P55" i="19" s="1"/>
  <c r="P56" i="19" s="1"/>
  <c r="AZ71" i="19" s="1"/>
  <c r="O46" i="19"/>
  <c r="O55" i="19" s="1"/>
  <c r="N46" i="19"/>
  <c r="N55" i="19" s="1"/>
  <c r="M46" i="19"/>
  <c r="M55" i="19" s="1"/>
  <c r="L46" i="19"/>
  <c r="L55" i="19" s="1"/>
  <c r="K46" i="19"/>
  <c r="K55" i="19" s="1"/>
  <c r="J46" i="19"/>
  <c r="J55" i="19" s="1"/>
  <c r="I46" i="19"/>
  <c r="I55" i="19" s="1"/>
  <c r="H46" i="19"/>
  <c r="H55" i="19" s="1"/>
  <c r="H56" i="19" s="1"/>
  <c r="BD70" i="19" s="1"/>
  <c r="G46" i="19"/>
  <c r="G55" i="19" s="1"/>
  <c r="F46" i="19"/>
  <c r="F55" i="19" s="1"/>
  <c r="E46" i="19"/>
  <c r="E55" i="19"/>
  <c r="D46" i="19"/>
  <c r="D55" i="19" s="1"/>
  <c r="C46" i="19"/>
  <c r="C55" i="19" s="1"/>
  <c r="B46" i="19"/>
  <c r="B55" i="19" s="1"/>
  <c r="AK45" i="19"/>
  <c r="AJ45" i="19"/>
  <c r="AI45" i="19"/>
  <c r="AH45" i="19"/>
  <c r="AG45" i="19"/>
  <c r="AF45" i="19"/>
  <c r="AE45" i="19"/>
  <c r="AD45" i="19"/>
  <c r="AC45" i="19"/>
  <c r="AB45" i="19"/>
  <c r="AA45" i="19"/>
  <c r="Z45" i="19"/>
  <c r="AW43" i="19"/>
  <c r="AV43" i="19"/>
  <c r="AU43" i="19"/>
  <c r="AT43" i="19"/>
  <c r="AS43" i="19"/>
  <c r="AR43" i="19"/>
  <c r="AQ43" i="19"/>
  <c r="AP43" i="19"/>
  <c r="AO43" i="19"/>
  <c r="AN43" i="19"/>
  <c r="AM43" i="19"/>
  <c r="AL43" i="19"/>
  <c r="AK43" i="19"/>
  <c r="AJ43" i="19"/>
  <c r="AI43" i="19"/>
  <c r="AH43" i="19"/>
  <c r="AG43" i="19"/>
  <c r="AF43" i="19"/>
  <c r="AE43" i="19"/>
  <c r="AD43" i="19"/>
  <c r="AC43" i="19"/>
  <c r="AB43" i="19"/>
  <c r="AA43" i="19"/>
  <c r="Z43" i="19"/>
  <c r="Y43" i="19"/>
  <c r="X43" i="19"/>
  <c r="W43" i="19"/>
  <c r="V43" i="19"/>
  <c r="U43" i="19"/>
  <c r="T43" i="19"/>
  <c r="S43" i="19"/>
  <c r="R43" i="19"/>
  <c r="Q43" i="19"/>
  <c r="P43" i="19"/>
  <c r="O43" i="19"/>
  <c r="N43" i="19"/>
  <c r="BU41" i="19"/>
  <c r="AW41" i="19"/>
  <c r="AW45" i="19" s="1"/>
  <c r="M130" i="19" s="1"/>
  <c r="AV41" i="19"/>
  <c r="AV45" i="19" s="1"/>
  <c r="L130" i="19" s="1"/>
  <c r="AU41" i="19"/>
  <c r="AU45" i="19" s="1"/>
  <c r="K130" i="19" s="1"/>
  <c r="AT41" i="19"/>
  <c r="AT45" i="19" s="1"/>
  <c r="J130" i="19" s="1"/>
  <c r="AS41" i="19"/>
  <c r="AS45" i="19" s="1"/>
  <c r="I130" i="19" s="1"/>
  <c r="AR41" i="19"/>
  <c r="AR45" i="19" s="1"/>
  <c r="H130" i="19" s="1"/>
  <c r="AQ41" i="19"/>
  <c r="AQ45" i="19" s="1"/>
  <c r="G130" i="19" s="1"/>
  <c r="AP41" i="19"/>
  <c r="AP45" i="19" s="1"/>
  <c r="F130" i="19" s="1"/>
  <c r="AO41" i="19"/>
  <c r="AO45" i="19" s="1"/>
  <c r="E130" i="19" s="1"/>
  <c r="AN41" i="19"/>
  <c r="AN45" i="19" s="1"/>
  <c r="D130" i="19" s="1"/>
  <c r="AM41" i="19"/>
  <c r="AM45" i="19" s="1"/>
  <c r="C130" i="19" s="1"/>
  <c r="AL41" i="19"/>
  <c r="AL45" i="19" s="1"/>
  <c r="B130" i="19" s="1"/>
  <c r="AW37" i="19"/>
  <c r="M80" i="19" s="1"/>
  <c r="AF26" i="27" s="1"/>
  <c r="AV37" i="19"/>
  <c r="L80" i="19" s="1"/>
  <c r="AE26" i="27" s="1"/>
  <c r="AU37" i="19"/>
  <c r="K80" i="19" s="1"/>
  <c r="AD26" i="27" s="1"/>
  <c r="AT37" i="19"/>
  <c r="J80" i="19" s="1"/>
  <c r="AC26" i="27" s="1"/>
  <c r="AS37" i="19"/>
  <c r="I80" i="19" s="1"/>
  <c r="AB26" i="27" s="1"/>
  <c r="AR37" i="19"/>
  <c r="H80" i="19" s="1"/>
  <c r="AA26" i="27" s="1"/>
  <c r="AQ37" i="19"/>
  <c r="G80" i="19" s="1"/>
  <c r="Z26" i="27" s="1"/>
  <c r="AP37" i="19"/>
  <c r="F80" i="19" s="1"/>
  <c r="Y26" i="27" s="1"/>
  <c r="AO37" i="19"/>
  <c r="E80" i="19" s="1"/>
  <c r="X26" i="27" s="1"/>
  <c r="AN37" i="19"/>
  <c r="D80" i="19" s="1"/>
  <c r="W26" i="27" s="1"/>
  <c r="AM37" i="19"/>
  <c r="C80" i="19" s="1"/>
  <c r="V26" i="27" s="1"/>
  <c r="AL37" i="19"/>
  <c r="B80" i="19" s="1"/>
  <c r="U26" i="27" s="1"/>
  <c r="AK37" i="19"/>
  <c r="M79" i="19" s="1"/>
  <c r="AF25" i="27" s="1"/>
  <c r="AJ37" i="19"/>
  <c r="L79" i="19" s="1"/>
  <c r="AE25" i="27" s="1"/>
  <c r="AI37" i="19"/>
  <c r="K79" i="19" s="1"/>
  <c r="AD25" i="27" s="1"/>
  <c r="AH37" i="19"/>
  <c r="J79" i="19" s="1"/>
  <c r="AC25" i="27" s="1"/>
  <c r="AG37" i="19"/>
  <c r="I79" i="19" s="1"/>
  <c r="AB25" i="27" s="1"/>
  <c r="AF37" i="19"/>
  <c r="H79" i="19" s="1"/>
  <c r="AA25" i="27" s="1"/>
  <c r="AE37" i="19"/>
  <c r="G79" i="19" s="1"/>
  <c r="Z25" i="27" s="1"/>
  <c r="AD37" i="19"/>
  <c r="F79" i="19" s="1"/>
  <c r="Y25" i="27" s="1"/>
  <c r="AC37" i="19"/>
  <c r="E79" i="19" s="1"/>
  <c r="X25" i="27" s="1"/>
  <c r="AB37" i="19"/>
  <c r="D79" i="19" s="1"/>
  <c r="W25" i="27" s="1"/>
  <c r="AA37" i="19"/>
  <c r="C79" i="19" s="1"/>
  <c r="V25" i="27" s="1"/>
  <c r="Z37" i="19"/>
  <c r="B79" i="19" s="1"/>
  <c r="U25" i="27" s="1"/>
  <c r="Y37" i="19"/>
  <c r="M78" i="19" s="1"/>
  <c r="AF24" i="27" s="1"/>
  <c r="X37" i="19"/>
  <c r="L78" i="19" s="1"/>
  <c r="AE24" i="27" s="1"/>
  <c r="W37" i="19"/>
  <c r="K78" i="19" s="1"/>
  <c r="AD24" i="27" s="1"/>
  <c r="V37" i="19"/>
  <c r="J78" i="19" s="1"/>
  <c r="AC24" i="27" s="1"/>
  <c r="U37" i="19"/>
  <c r="I78" i="19" s="1"/>
  <c r="AB24" i="27" s="1"/>
  <c r="T37" i="19"/>
  <c r="H78" i="19" s="1"/>
  <c r="AA24" i="27" s="1"/>
  <c r="S37" i="19"/>
  <c r="G78" i="19" s="1"/>
  <c r="Z24" i="27" s="1"/>
  <c r="R37" i="19"/>
  <c r="F78" i="19" s="1"/>
  <c r="Y24" i="27" s="1"/>
  <c r="Q37" i="19"/>
  <c r="E78" i="19" s="1"/>
  <c r="X24" i="27" s="1"/>
  <c r="P37" i="19"/>
  <c r="D78" i="19" s="1"/>
  <c r="W24" i="27" s="1"/>
  <c r="O37" i="19"/>
  <c r="C78" i="19" s="1"/>
  <c r="V24" i="27" s="1"/>
  <c r="N37" i="19"/>
  <c r="B78" i="19" s="1"/>
  <c r="U24" i="27" s="1"/>
  <c r="M37" i="19"/>
  <c r="M77" i="19" s="1"/>
  <c r="L37" i="19"/>
  <c r="L77" i="19" s="1"/>
  <c r="K37" i="19"/>
  <c r="K77" i="19" s="1"/>
  <c r="J37" i="19"/>
  <c r="J77" i="19" s="1"/>
  <c r="I37" i="19"/>
  <c r="I77" i="19" s="1"/>
  <c r="H37" i="19"/>
  <c r="H77" i="19" s="1"/>
  <c r="G37" i="19"/>
  <c r="G77" i="19" s="1"/>
  <c r="F37" i="19"/>
  <c r="F77" i="19" s="1"/>
  <c r="E37" i="19"/>
  <c r="E77" i="19" s="1"/>
  <c r="D37" i="19"/>
  <c r="D77" i="19" s="1"/>
  <c r="C37" i="19"/>
  <c r="C77" i="19" s="1"/>
  <c r="BF35" i="19"/>
  <c r="BE35" i="19"/>
  <c r="I68" i="19" s="1"/>
  <c r="BD35" i="19"/>
  <c r="H68" i="19" s="1"/>
  <c r="BC35" i="19"/>
  <c r="G68" i="19" s="1"/>
  <c r="BB35" i="19"/>
  <c r="F68" i="19" s="1"/>
  <c r="BA35" i="19"/>
  <c r="E68" i="19" s="1"/>
  <c r="AZ35" i="19"/>
  <c r="D68" i="19" s="1"/>
  <c r="AY35" i="19"/>
  <c r="C68" i="19" s="1"/>
  <c r="AX35" i="19"/>
  <c r="B68" i="19" s="1"/>
  <c r="B71" i="19" s="1"/>
  <c r="B94" i="19" s="1"/>
  <c r="AW35" i="19"/>
  <c r="M67" i="19" s="1"/>
  <c r="AV35" i="19"/>
  <c r="L67" i="19" s="1"/>
  <c r="AU35" i="19"/>
  <c r="K67" i="19" s="1"/>
  <c r="AT35" i="19"/>
  <c r="J67" i="19" s="1"/>
  <c r="AS35" i="19"/>
  <c r="I67" i="19" s="1"/>
  <c r="AR35" i="19"/>
  <c r="H67" i="19" s="1"/>
  <c r="AQ35" i="19"/>
  <c r="G67" i="19" s="1"/>
  <c r="AP35" i="19"/>
  <c r="F67" i="19" s="1"/>
  <c r="AO35" i="19"/>
  <c r="E67" i="19" s="1"/>
  <c r="AN35" i="19"/>
  <c r="D67" i="19" s="1"/>
  <c r="AM35" i="19"/>
  <c r="C67" i="19" s="1"/>
  <c r="AL35" i="19"/>
  <c r="B67" i="19" s="1"/>
  <c r="AK35" i="19"/>
  <c r="M66" i="19" s="1"/>
  <c r="AJ35" i="19"/>
  <c r="L66" i="19" s="1"/>
  <c r="AI35" i="19"/>
  <c r="K66" i="19" s="1"/>
  <c r="AH35" i="19"/>
  <c r="J66" i="19" s="1"/>
  <c r="AG35" i="19"/>
  <c r="I66" i="19" s="1"/>
  <c r="AF35" i="19"/>
  <c r="H66" i="19" s="1"/>
  <c r="AE35" i="19"/>
  <c r="G66" i="19" s="1"/>
  <c r="AD35" i="19"/>
  <c r="F66" i="19" s="1"/>
  <c r="AC35" i="19"/>
  <c r="E66" i="19" s="1"/>
  <c r="AB35" i="19"/>
  <c r="D66" i="19" s="1"/>
  <c r="AA35" i="19"/>
  <c r="C66" i="19" s="1"/>
  <c r="Z35" i="19"/>
  <c r="B66" i="19" s="1"/>
  <c r="Y35" i="19"/>
  <c r="M65" i="19" s="1"/>
  <c r="X35" i="19"/>
  <c r="L65" i="19" s="1"/>
  <c r="W35" i="19"/>
  <c r="K65" i="19" s="1"/>
  <c r="V35" i="19"/>
  <c r="J65" i="19" s="1"/>
  <c r="U35" i="19"/>
  <c r="I65" i="19" s="1"/>
  <c r="T35" i="19"/>
  <c r="H65" i="19" s="1"/>
  <c r="S35" i="19"/>
  <c r="G65" i="19" s="1"/>
  <c r="R35" i="19"/>
  <c r="F65" i="19" s="1"/>
  <c r="Q35" i="19"/>
  <c r="E65" i="19" s="1"/>
  <c r="P35" i="19"/>
  <c r="D65" i="19" s="1"/>
  <c r="O35" i="19"/>
  <c r="C65" i="19" s="1"/>
  <c r="N35" i="19"/>
  <c r="B65" i="19" s="1"/>
  <c r="M35" i="19"/>
  <c r="M64" i="19" s="1"/>
  <c r="L35" i="19"/>
  <c r="L64" i="19" s="1"/>
  <c r="K35" i="19"/>
  <c r="K64" i="19" s="1"/>
  <c r="J35" i="19"/>
  <c r="J64" i="19" s="1"/>
  <c r="I35" i="19"/>
  <c r="I64" i="19" s="1"/>
  <c r="H35" i="19"/>
  <c r="H64" i="19" s="1"/>
  <c r="G35" i="19"/>
  <c r="G64" i="19" s="1"/>
  <c r="F35" i="19"/>
  <c r="F64" i="19" s="1"/>
  <c r="E35" i="19"/>
  <c r="E64" i="19" s="1"/>
  <c r="D35" i="19"/>
  <c r="D64" i="19" s="1"/>
  <c r="C35" i="19"/>
  <c r="C64" i="19" s="1"/>
  <c r="BW19" i="19"/>
  <c r="BJ33" i="19" s="1"/>
  <c r="BJ31" i="19" s="1"/>
  <c r="BF33" i="19"/>
  <c r="BV19" i="19" s="1"/>
  <c r="BE33" i="19"/>
  <c r="BD33" i="19"/>
  <c r="BC33" i="19"/>
  <c r="BB33" i="19"/>
  <c r="BA33" i="19"/>
  <c r="AZ33" i="19"/>
  <c r="AY33" i="19"/>
  <c r="AX33" i="19"/>
  <c r="AW33" i="19"/>
  <c r="AV33" i="19"/>
  <c r="AU33" i="19"/>
  <c r="AT33" i="19"/>
  <c r="AS33" i="19"/>
  <c r="AR33" i="19"/>
  <c r="AQ33" i="19"/>
  <c r="AP33" i="19"/>
  <c r="AO33" i="19"/>
  <c r="AN33" i="19"/>
  <c r="AM33" i="19"/>
  <c r="AL33" i="19"/>
  <c r="AK33" i="19"/>
  <c r="AJ33" i="19"/>
  <c r="AI33" i="19"/>
  <c r="AH33" i="19"/>
  <c r="AG33" i="19"/>
  <c r="AF33" i="19"/>
  <c r="AE33" i="19"/>
  <c r="AD33" i="19"/>
  <c r="AC33" i="19"/>
  <c r="AB33" i="19"/>
  <c r="AA33" i="19"/>
  <c r="Z33" i="19"/>
  <c r="Y33" i="19"/>
  <c r="X33" i="19"/>
  <c r="W33" i="19"/>
  <c r="V33" i="19"/>
  <c r="U33" i="19"/>
  <c r="T33" i="19"/>
  <c r="S33" i="19"/>
  <c r="R33" i="19"/>
  <c r="Q33" i="19"/>
  <c r="P33" i="19"/>
  <c r="O33" i="19"/>
  <c r="N33" i="19"/>
  <c r="BI31" i="19"/>
  <c r="AL27" i="19"/>
  <c r="Z27" i="19"/>
  <c r="V24" i="19"/>
  <c r="U24" i="19"/>
  <c r="T24" i="19"/>
  <c r="T25" i="19" s="1"/>
  <c r="S24" i="19"/>
  <c r="S25" i="19" s="1"/>
  <c r="R24" i="19"/>
  <c r="R25" i="19" s="1"/>
  <c r="Q24" i="19"/>
  <c r="Q25" i="19" s="1"/>
  <c r="P24" i="19"/>
  <c r="P25" i="19" s="1"/>
  <c r="O24" i="19"/>
  <c r="O25" i="19" s="1"/>
  <c r="N24" i="19"/>
  <c r="N25" i="19" s="1"/>
  <c r="M24" i="19"/>
  <c r="M25" i="19" s="1"/>
  <c r="L24" i="19"/>
  <c r="L25" i="19" s="1"/>
  <c r="K24" i="19"/>
  <c r="K25" i="19" s="1"/>
  <c r="J24" i="19"/>
  <c r="J25" i="19" s="1"/>
  <c r="I24" i="19"/>
  <c r="I25" i="19" s="1"/>
  <c r="H24" i="19"/>
  <c r="H25" i="19" s="1"/>
  <c r="G24" i="19"/>
  <c r="G25" i="19" s="1"/>
  <c r="F24" i="19"/>
  <c r="F25" i="19" s="1"/>
  <c r="E24" i="19"/>
  <c r="E25" i="19" s="1"/>
  <c r="D24" i="19"/>
  <c r="D25" i="19" s="1"/>
  <c r="C24" i="19"/>
  <c r="V22" i="19"/>
  <c r="U22" i="19"/>
  <c r="T22" i="19"/>
  <c r="S22" i="19"/>
  <c r="R22" i="19"/>
  <c r="Q22" i="19"/>
  <c r="P22" i="19"/>
  <c r="O22" i="19"/>
  <c r="N22" i="19"/>
  <c r="M22" i="19"/>
  <c r="L22" i="19"/>
  <c r="K22" i="19"/>
  <c r="J22" i="19"/>
  <c r="I22" i="19"/>
  <c r="H22" i="19"/>
  <c r="G22" i="19"/>
  <c r="F22" i="19"/>
  <c r="E22" i="19"/>
  <c r="D22" i="19"/>
  <c r="C22" i="19"/>
  <c r="X21" i="19"/>
  <c r="W21" i="19"/>
  <c r="T17" i="19"/>
  <c r="S17" i="19"/>
  <c r="R17" i="19"/>
  <c r="Q17" i="19"/>
  <c r="P17" i="19"/>
  <c r="O17" i="19"/>
  <c r="N17" i="19"/>
  <c r="M17" i="19"/>
  <c r="L17" i="19"/>
  <c r="K17" i="19"/>
  <c r="J17" i="19"/>
  <c r="I17" i="19"/>
  <c r="H17" i="19"/>
  <c r="G17" i="19"/>
  <c r="F17" i="19"/>
  <c r="E17" i="19"/>
  <c r="T15" i="19"/>
  <c r="S15" i="19"/>
  <c r="R15" i="19"/>
  <c r="Q15" i="19"/>
  <c r="P15" i="19"/>
  <c r="O15" i="19"/>
  <c r="N15" i="19"/>
  <c r="M15" i="19"/>
  <c r="L15" i="19"/>
  <c r="K15" i="19"/>
  <c r="J15" i="19"/>
  <c r="I15" i="19"/>
  <c r="H15" i="19"/>
  <c r="G15" i="19"/>
  <c r="F15" i="19"/>
  <c r="E15" i="19"/>
  <c r="D15" i="19"/>
  <c r="T13" i="19"/>
  <c r="S13" i="19"/>
  <c r="R13" i="19"/>
  <c r="Q13" i="19"/>
  <c r="P13" i="19"/>
  <c r="O13" i="19"/>
  <c r="N13" i="19"/>
  <c r="M13" i="19"/>
  <c r="L13" i="19"/>
  <c r="K13" i="19"/>
  <c r="J13" i="19"/>
  <c r="I13" i="19"/>
  <c r="H13" i="19"/>
  <c r="G13" i="19"/>
  <c r="F13" i="19"/>
  <c r="E13" i="19"/>
  <c r="V12" i="19"/>
  <c r="U12" i="19"/>
  <c r="U15" i="19" s="1"/>
  <c r="X11" i="19"/>
  <c r="W11" i="19"/>
  <c r="V11" i="19"/>
  <c r="U11" i="19"/>
  <c r="T11" i="19"/>
  <c r="S11" i="19"/>
  <c r="R11" i="19"/>
  <c r="Q11" i="19"/>
  <c r="P11" i="19"/>
  <c r="O11" i="19"/>
  <c r="N11" i="19"/>
  <c r="M11" i="19"/>
  <c r="L11" i="19"/>
  <c r="K11" i="19"/>
  <c r="J11" i="19"/>
  <c r="I11" i="19"/>
  <c r="H11" i="19"/>
  <c r="G11" i="19"/>
  <c r="F11" i="19"/>
  <c r="E11" i="19"/>
  <c r="D11" i="19"/>
  <c r="C11" i="19"/>
  <c r="AV51" i="10"/>
  <c r="BE126" i="10" s="1"/>
  <c r="AV52" i="10"/>
  <c r="BE127" i="10" s="1"/>
  <c r="AV53" i="10"/>
  <c r="BE128" i="10" s="1"/>
  <c r="AV54" i="10"/>
  <c r="BE129" i="10" s="1"/>
  <c r="AV55" i="10"/>
  <c r="BE130" i="10" s="1"/>
  <c r="AV56" i="10"/>
  <c r="BE131" i="10" s="1"/>
  <c r="AV57" i="10"/>
  <c r="BE132" i="10" s="1"/>
  <c r="AV58" i="10"/>
  <c r="BE133" i="10" s="1"/>
  <c r="AV59" i="10"/>
  <c r="BE134" i="10" s="1"/>
  <c r="AV60" i="10"/>
  <c r="BE135" i="10" s="1"/>
  <c r="AV61" i="10"/>
  <c r="BE136" i="10" s="1"/>
  <c r="AV50" i="10"/>
  <c r="BE125" i="10" s="1"/>
  <c r="AV63" i="10"/>
  <c r="BF126" i="10" s="1"/>
  <c r="AV64" i="10"/>
  <c r="BF127" i="10" s="1"/>
  <c r="AV65" i="10"/>
  <c r="BF128" i="10" s="1"/>
  <c r="AV66" i="10"/>
  <c r="BF129" i="10" s="1"/>
  <c r="AV67" i="10"/>
  <c r="BF130" i="10" s="1"/>
  <c r="AV68" i="10"/>
  <c r="BF131" i="10" s="1"/>
  <c r="AV69" i="10"/>
  <c r="BF132" i="10" s="1"/>
  <c r="AV70" i="10"/>
  <c r="BF133" i="10" s="1"/>
  <c r="AV71" i="10"/>
  <c r="BF134" i="10" s="1"/>
  <c r="AV72" i="10"/>
  <c r="BF135" i="10" s="1"/>
  <c r="AV73" i="10"/>
  <c r="BF136" i="10" s="1"/>
  <c r="AV62" i="10"/>
  <c r="BF125" i="10" s="1"/>
  <c r="AV75" i="10"/>
  <c r="BG126" i="10" s="1"/>
  <c r="AV76" i="10"/>
  <c r="BG127" i="10" s="1"/>
  <c r="AV77" i="10"/>
  <c r="BG128" i="10" s="1"/>
  <c r="AV78" i="10"/>
  <c r="BG129" i="10" s="1"/>
  <c r="AV79" i="10"/>
  <c r="BG130" i="10" s="1"/>
  <c r="AV80" i="10"/>
  <c r="BG131" i="10" s="1"/>
  <c r="AV81" i="10"/>
  <c r="BG132" i="10" s="1"/>
  <c r="AV82" i="10"/>
  <c r="BG133" i="10" s="1"/>
  <c r="AV83" i="10"/>
  <c r="BG134" i="10" s="1"/>
  <c r="AV84" i="10"/>
  <c r="BG135" i="10" s="1"/>
  <c r="AV85" i="10"/>
  <c r="BG136" i="10" s="1"/>
  <c r="AV74" i="10"/>
  <c r="BG125" i="10" s="1"/>
  <c r="AV87" i="10"/>
  <c r="BH126" i="10" s="1"/>
  <c r="AV88" i="10"/>
  <c r="BH127" i="10" s="1"/>
  <c r="AV89" i="10"/>
  <c r="BH128" i="10" s="1"/>
  <c r="AV90" i="10"/>
  <c r="BH129" i="10" s="1"/>
  <c r="AV91" i="10"/>
  <c r="BH130" i="10" s="1"/>
  <c r="AV92" i="10"/>
  <c r="BH131" i="10" s="1"/>
  <c r="AV93" i="10"/>
  <c r="BH132" i="10" s="1"/>
  <c r="AV94" i="10"/>
  <c r="BH133" i="10" s="1"/>
  <c r="AV95" i="10"/>
  <c r="BH134" i="10" s="1"/>
  <c r="AV96" i="10"/>
  <c r="BH135" i="10" s="1"/>
  <c r="AV97" i="10"/>
  <c r="BH136" i="10" s="1"/>
  <c r="AV86" i="10"/>
  <c r="BH125" i="10" s="1"/>
  <c r="AV109" i="10"/>
  <c r="BI136" i="10" s="1"/>
  <c r="AV107" i="10"/>
  <c r="BI134" i="10" s="1"/>
  <c r="AV99" i="10"/>
  <c r="BI126" i="10" s="1"/>
  <c r="AV100" i="10"/>
  <c r="BI127" i="10" s="1"/>
  <c r="AV101" i="10"/>
  <c r="BI128" i="10" s="1"/>
  <c r="AV102" i="10"/>
  <c r="BI129" i="10" s="1"/>
  <c r="AV103" i="10"/>
  <c r="BI130" i="10" s="1"/>
  <c r="AV104" i="10"/>
  <c r="BI131" i="10" s="1"/>
  <c r="AV105" i="10"/>
  <c r="BI132" i="10" s="1"/>
  <c r="AV106" i="10"/>
  <c r="BI133" i="10" s="1"/>
  <c r="AV108" i="10"/>
  <c r="BI135" i="10" s="1"/>
  <c r="AV98" i="10"/>
  <c r="BI125" i="10" s="1"/>
  <c r="AV111" i="10"/>
  <c r="BJ126" i="10" s="1"/>
  <c r="AV112" i="10"/>
  <c r="BJ127" i="10" s="1"/>
  <c r="AV113" i="10"/>
  <c r="BJ128" i="10" s="1"/>
  <c r="AV114" i="10"/>
  <c r="BJ129" i="10" s="1"/>
  <c r="AV115" i="10"/>
  <c r="BJ130" i="10" s="1"/>
  <c r="AV116" i="10"/>
  <c r="BJ131" i="10" s="1"/>
  <c r="AV117" i="10"/>
  <c r="BJ132" i="10" s="1"/>
  <c r="AV118" i="10"/>
  <c r="BJ133" i="10" s="1"/>
  <c r="AV119" i="10"/>
  <c r="BJ134" i="10" s="1"/>
  <c r="AV120" i="10"/>
  <c r="BJ135" i="10" s="1"/>
  <c r="AV121" i="10"/>
  <c r="BJ136" i="10" s="1"/>
  <c r="AV110" i="10"/>
  <c r="BJ125" i="10" s="1"/>
  <c r="AV123" i="10"/>
  <c r="BK126" i="10" s="1"/>
  <c r="AV124" i="10"/>
  <c r="BK127" i="10" s="1"/>
  <c r="AV125" i="10"/>
  <c r="BK128" i="10" s="1"/>
  <c r="AV126" i="10"/>
  <c r="BK129" i="10" s="1"/>
  <c r="AV127" i="10"/>
  <c r="BK130" i="10" s="1"/>
  <c r="AV128" i="10"/>
  <c r="BK131" i="10" s="1"/>
  <c r="AV129" i="10"/>
  <c r="BK132" i="10" s="1"/>
  <c r="AV130" i="10"/>
  <c r="BK133" i="10" s="1"/>
  <c r="AV131" i="10"/>
  <c r="BK134" i="10" s="1"/>
  <c r="AV132" i="10"/>
  <c r="BK135" i="10" s="1"/>
  <c r="AV122" i="10"/>
  <c r="BK125" i="10" s="1"/>
  <c r="E131" i="19"/>
  <c r="AO55" i="19"/>
  <c r="I131" i="19"/>
  <c r="AS55" i="19"/>
  <c r="AS56" i="19" s="1"/>
  <c r="BE73" i="19" s="1"/>
  <c r="M131" i="19"/>
  <c r="AW55" i="19"/>
  <c r="U13" i="19"/>
  <c r="AN55" i="19"/>
  <c r="AN56" i="19" s="1"/>
  <c r="AZ73" i="19" s="1"/>
  <c r="X130" i="19"/>
  <c r="J146" i="19"/>
  <c r="S146" i="19"/>
  <c r="I99" i="11"/>
  <c r="I100" i="11"/>
  <c r="I98" i="11"/>
  <c r="H98" i="11" s="1"/>
  <c r="I97" i="11"/>
  <c r="I96" i="11"/>
  <c r="I95" i="11"/>
  <c r="I94" i="11"/>
  <c r="I93" i="11"/>
  <c r="I92" i="11"/>
  <c r="I91" i="11"/>
  <c r="I90" i="11"/>
  <c r="I89" i="11"/>
  <c r="I88" i="11"/>
  <c r="I87" i="11"/>
  <c r="I86" i="11"/>
  <c r="I85" i="11"/>
  <c r="I84" i="11"/>
  <c r="I83" i="11"/>
  <c r="I82" i="11"/>
  <c r="I81" i="11"/>
  <c r="I80" i="11"/>
  <c r="I79" i="11"/>
  <c r="I77" i="11"/>
  <c r="I76" i="11"/>
  <c r="I75" i="11"/>
  <c r="I74" i="11"/>
  <c r="I73" i="11"/>
  <c r="I72" i="11"/>
  <c r="I71" i="11"/>
  <c r="I70" i="11"/>
  <c r="I69" i="11"/>
  <c r="I68" i="11"/>
  <c r="I67" i="11"/>
  <c r="I66" i="11"/>
  <c r="I65" i="11"/>
  <c r="I64" i="11"/>
  <c r="I63" i="11"/>
  <c r="I62" i="11"/>
  <c r="I61" i="11"/>
  <c r="I60" i="11"/>
  <c r="I59" i="11"/>
  <c r="I58" i="11"/>
  <c r="I57" i="11"/>
  <c r="I56" i="11"/>
  <c r="I55" i="11"/>
  <c r="I54" i="11"/>
  <c r="I53" i="11"/>
  <c r="I52" i="11"/>
  <c r="I51" i="11"/>
  <c r="I50" i="11"/>
  <c r="I49" i="11"/>
  <c r="I48" i="11"/>
  <c r="I47" i="11"/>
  <c r="I46" i="11"/>
  <c r="I45" i="11"/>
  <c r="I44" i="11"/>
  <c r="I43" i="11"/>
  <c r="I42" i="11"/>
  <c r="I41" i="11"/>
  <c r="I40" i="11"/>
  <c r="I39" i="11"/>
  <c r="I38" i="11"/>
  <c r="I37" i="11"/>
  <c r="I36" i="11"/>
  <c r="I35" i="11"/>
  <c r="I34" i="11"/>
  <c r="I33" i="11"/>
  <c r="I32" i="11"/>
  <c r="I31" i="11"/>
  <c r="I30" i="11"/>
  <c r="I29" i="11"/>
  <c r="I28" i="11"/>
  <c r="I27" i="11"/>
  <c r="I26" i="11"/>
  <c r="I25" i="11"/>
  <c r="I24" i="11"/>
  <c r="I23" i="11"/>
  <c r="I22" i="11"/>
  <c r="I21" i="11"/>
  <c r="I20" i="11"/>
  <c r="I19" i="11"/>
  <c r="I18" i="11"/>
  <c r="I17" i="11"/>
  <c r="I16" i="11"/>
  <c r="I15" i="11"/>
  <c r="I14" i="11"/>
  <c r="AN124" i="11"/>
  <c r="AN127" i="11"/>
  <c r="R110" i="11"/>
  <c r="R111" i="11"/>
  <c r="R112" i="11"/>
  <c r="R113" i="11"/>
  <c r="R114" i="11"/>
  <c r="R115" i="11"/>
  <c r="R116" i="11"/>
  <c r="R117" i="11"/>
  <c r="R118" i="11"/>
  <c r="R119" i="11"/>
  <c r="R120" i="11"/>
  <c r="AA205" i="11"/>
  <c r="AB205" i="11" s="1"/>
  <c r="AA204" i="11"/>
  <c r="AB204" i="11" s="1"/>
  <c r="Z156" i="10"/>
  <c r="W154" i="10" s="1"/>
  <c r="W155" i="10" s="1"/>
  <c r="AP137" i="11"/>
  <c r="X137" i="11"/>
  <c r="D150" i="11"/>
  <c r="D149" i="11"/>
  <c r="D148" i="11"/>
  <c r="D147" i="11"/>
  <c r="D146" i="11"/>
  <c r="D145" i="11"/>
  <c r="D144" i="11"/>
  <c r="D143" i="11"/>
  <c r="D142" i="11"/>
  <c r="D141" i="11"/>
  <c r="D140" i="11"/>
  <c r="D139" i="11"/>
  <c r="AJ154" i="10"/>
  <c r="AN153" i="10"/>
  <c r="AH160" i="10"/>
  <c r="D250" i="10"/>
  <c r="D251" i="10" s="1"/>
  <c r="D252" i="10" s="1"/>
  <c r="D253" i="10" s="1"/>
  <c r="D254" i="10" s="1"/>
  <c r="D255" i="10" s="1"/>
  <c r="D256" i="10" s="1"/>
  <c r="D257" i="10" s="1"/>
  <c r="D258" i="10" s="1"/>
  <c r="D259" i="10" s="1"/>
  <c r="D260" i="10" s="1"/>
  <c r="D261" i="10" s="1"/>
  <c r="E250" i="10" s="1"/>
  <c r="E251" i="10" s="1"/>
  <c r="E252" i="10" s="1"/>
  <c r="E253" i="10" s="1"/>
  <c r="E254" i="10" s="1"/>
  <c r="E255" i="10" s="1"/>
  <c r="E256" i="10" s="1"/>
  <c r="E257" i="10" s="1"/>
  <c r="E258" i="10" s="1"/>
  <c r="E259" i="10" s="1"/>
  <c r="E260" i="10" s="1"/>
  <c r="E261" i="10" s="1"/>
  <c r="F250" i="10" s="1"/>
  <c r="F251" i="10" s="1"/>
  <c r="F252" i="10" s="1"/>
  <c r="F253" i="10" s="1"/>
  <c r="F254" i="10" s="1"/>
  <c r="F255" i="10" s="1"/>
  <c r="F256" i="10" s="1"/>
  <c r="F257" i="10" s="1"/>
  <c r="F258" i="10" s="1"/>
  <c r="F259" i="10" s="1"/>
  <c r="F260" i="10" s="1"/>
  <c r="F261" i="10" s="1"/>
  <c r="G250" i="10" s="1"/>
  <c r="G251" i="10" s="1"/>
  <c r="G252" i="10" s="1"/>
  <c r="G253" i="10" s="1"/>
  <c r="G254" i="10" s="1"/>
  <c r="G255" i="10" s="1"/>
  <c r="G256" i="10" s="1"/>
  <c r="G257" i="10" s="1"/>
  <c r="G258" i="10" s="1"/>
  <c r="G259" i="10" s="1"/>
  <c r="G260" i="10" s="1"/>
  <c r="G261" i="10" s="1"/>
  <c r="H250" i="10" s="1"/>
  <c r="H251" i="10" s="1"/>
  <c r="H252" i="10" s="1"/>
  <c r="H253" i="10" s="1"/>
  <c r="H254" i="10" s="1"/>
  <c r="H255" i="10" s="1"/>
  <c r="H256" i="10" s="1"/>
  <c r="H257" i="10" s="1"/>
  <c r="H258" i="10" s="1"/>
  <c r="H259" i="10" s="1"/>
  <c r="H260" i="10" s="1"/>
  <c r="H261" i="10" s="1"/>
  <c r="I250" i="10" s="1"/>
  <c r="I251" i="10" s="1"/>
  <c r="I252" i="10" s="1"/>
  <c r="I253" i="10" s="1"/>
  <c r="I254" i="10" s="1"/>
  <c r="I255" i="10" s="1"/>
  <c r="I256" i="10" s="1"/>
  <c r="I257" i="10" s="1"/>
  <c r="I258" i="10" s="1"/>
  <c r="I259" i="10" s="1"/>
  <c r="I260" i="10" s="1"/>
  <c r="I261" i="10" s="1"/>
  <c r="J250" i="10" s="1"/>
  <c r="J251" i="10" s="1"/>
  <c r="J252" i="10" s="1"/>
  <c r="J253" i="10" s="1"/>
  <c r="J254" i="10" s="1"/>
  <c r="J255" i="10" s="1"/>
  <c r="J256" i="10" s="1"/>
  <c r="J257" i="10" s="1"/>
  <c r="J258" i="10" s="1"/>
  <c r="J259" i="10" s="1"/>
  <c r="J260" i="10" s="1"/>
  <c r="J261" i="10" s="1"/>
  <c r="K250" i="10" s="1"/>
  <c r="K251" i="10" s="1"/>
  <c r="K252" i="10" s="1"/>
  <c r="K253" i="10" s="1"/>
  <c r="K254" i="10" s="1"/>
  <c r="K255" i="10" s="1"/>
  <c r="K256" i="10" s="1"/>
  <c r="K257" i="10" s="1"/>
  <c r="K258" i="10" s="1"/>
  <c r="K259" i="10" s="1"/>
  <c r="K260" i="10" s="1"/>
  <c r="K261" i="10" s="1"/>
  <c r="M250" i="10" s="1"/>
  <c r="M251" i="10" s="1"/>
  <c r="M252" i="10" s="1"/>
  <c r="M253" i="10" s="1"/>
  <c r="M254" i="10" s="1"/>
  <c r="C27" i="18"/>
  <c r="D27" i="18" s="1"/>
  <c r="E27" i="18" s="1"/>
  <c r="F27" i="18" s="1"/>
  <c r="G27" i="18" s="1"/>
  <c r="H27" i="18" s="1"/>
  <c r="I27" i="18" s="1"/>
  <c r="J27" i="18" s="1"/>
  <c r="K27" i="18" s="1"/>
  <c r="L27" i="18" s="1"/>
  <c r="M27" i="18" s="1"/>
  <c r="N27" i="18" s="1"/>
  <c r="C28" i="18"/>
  <c r="D28" i="18" s="1"/>
  <c r="E28" i="18" s="1"/>
  <c r="F28" i="18" s="1"/>
  <c r="G28" i="18" s="1"/>
  <c r="H28" i="18" s="1"/>
  <c r="I28" i="18" s="1"/>
  <c r="J28" i="18" s="1"/>
  <c r="K28" i="18" s="1"/>
  <c r="L28" i="18" s="1"/>
  <c r="M28" i="18" s="1"/>
  <c r="N28" i="18" s="1"/>
  <c r="N40" i="18" s="1"/>
  <c r="C29" i="18"/>
  <c r="D29" i="18" s="1"/>
  <c r="E29" i="18" s="1"/>
  <c r="F29" i="18" s="1"/>
  <c r="G29" i="18" s="1"/>
  <c r="H29" i="18" s="1"/>
  <c r="I29" i="18" s="1"/>
  <c r="J29" i="18" s="1"/>
  <c r="K29" i="18" s="1"/>
  <c r="L29" i="18" s="1"/>
  <c r="M29" i="18" s="1"/>
  <c r="N29" i="18" s="1"/>
  <c r="C30" i="18"/>
  <c r="D30" i="18" s="1"/>
  <c r="E30" i="18" s="1"/>
  <c r="F30" i="18" s="1"/>
  <c r="G30" i="18" s="1"/>
  <c r="H30" i="18" s="1"/>
  <c r="I30" i="18" s="1"/>
  <c r="J30" i="18" s="1"/>
  <c r="K30" i="18" s="1"/>
  <c r="L30" i="18" s="1"/>
  <c r="M30" i="18" s="1"/>
  <c r="N30" i="18" s="1"/>
  <c r="N42" i="18" s="1"/>
  <c r="C31" i="18"/>
  <c r="D31" i="18" s="1"/>
  <c r="E31" i="18" s="1"/>
  <c r="F31" i="18" s="1"/>
  <c r="G31" i="18" s="1"/>
  <c r="H31" i="18" s="1"/>
  <c r="I31" i="18" s="1"/>
  <c r="J31" i="18" s="1"/>
  <c r="K31" i="18" s="1"/>
  <c r="L31" i="18" s="1"/>
  <c r="M31" i="18" s="1"/>
  <c r="N31" i="18" s="1"/>
  <c r="C32" i="18"/>
  <c r="D32" i="18" s="1"/>
  <c r="E32" i="18" s="1"/>
  <c r="F32" i="18" s="1"/>
  <c r="G32" i="18" s="1"/>
  <c r="H32" i="18" s="1"/>
  <c r="I32" i="18" s="1"/>
  <c r="J32" i="18" s="1"/>
  <c r="K32" i="18" s="1"/>
  <c r="L32" i="18" s="1"/>
  <c r="M32" i="18" s="1"/>
  <c r="N32" i="18" s="1"/>
  <c r="C33" i="18"/>
  <c r="D33" i="18" s="1"/>
  <c r="E33" i="18" s="1"/>
  <c r="F33" i="18" s="1"/>
  <c r="G33" i="18" s="1"/>
  <c r="H33" i="18" s="1"/>
  <c r="I33" i="18" s="1"/>
  <c r="J33" i="18" s="1"/>
  <c r="K33" i="18" s="1"/>
  <c r="L33" i="18" s="1"/>
  <c r="M33" i="18" s="1"/>
  <c r="N33" i="18" s="1"/>
  <c r="AM3" i="18"/>
  <c r="AN3" i="18" s="1"/>
  <c r="AO3" i="18" s="1"/>
  <c r="AP3" i="18" s="1"/>
  <c r="AQ3" i="18" s="1"/>
  <c r="AR3" i="18" s="1"/>
  <c r="AS3" i="18" s="1"/>
  <c r="AT3" i="18" s="1"/>
  <c r="AU3" i="18" s="1"/>
  <c r="AV3" i="18" s="1"/>
  <c r="AW3" i="18" s="1"/>
  <c r="AX3" i="18" s="1"/>
  <c r="AX2" i="18"/>
  <c r="AW2" i="18"/>
  <c r="AV2" i="18"/>
  <c r="AU2" i="18"/>
  <c r="AT2" i="18"/>
  <c r="AS2" i="18"/>
  <c r="AR2" i="18"/>
  <c r="AQ2" i="18"/>
  <c r="AP2" i="18"/>
  <c r="AO2" i="18"/>
  <c r="AN2" i="18"/>
  <c r="AM2" i="18"/>
  <c r="AA3" i="18"/>
  <c r="AB3" i="18" s="1"/>
  <c r="AC3" i="18" s="1"/>
  <c r="AD3" i="18" s="1"/>
  <c r="AE3" i="18" s="1"/>
  <c r="AF3" i="18" s="1"/>
  <c r="AG3" i="18" s="1"/>
  <c r="AH3" i="18" s="1"/>
  <c r="AI3" i="18" s="1"/>
  <c r="AJ3" i="18" s="1"/>
  <c r="AK3" i="18" s="1"/>
  <c r="AL3" i="18" s="1"/>
  <c r="AL2" i="18"/>
  <c r="AK2" i="18"/>
  <c r="AJ2" i="18"/>
  <c r="AI2" i="18"/>
  <c r="AH2" i="18"/>
  <c r="AG2" i="18"/>
  <c r="AF2" i="18"/>
  <c r="AE2" i="18"/>
  <c r="AD2" i="18"/>
  <c r="AC2" i="18"/>
  <c r="AB2" i="18"/>
  <c r="AA2" i="18"/>
  <c r="O3" i="18"/>
  <c r="P3" i="18" s="1"/>
  <c r="Q3" i="18" s="1"/>
  <c r="R3" i="18" s="1"/>
  <c r="S3" i="18" s="1"/>
  <c r="T3" i="18" s="1"/>
  <c r="U3" i="18" s="1"/>
  <c r="V3" i="18" s="1"/>
  <c r="W3" i="18" s="1"/>
  <c r="X3" i="18" s="1"/>
  <c r="Y3" i="18" s="1"/>
  <c r="Z3" i="18" s="1"/>
  <c r="Z2" i="18"/>
  <c r="Y2" i="18"/>
  <c r="X2" i="18"/>
  <c r="W2" i="18"/>
  <c r="V2" i="18"/>
  <c r="U2" i="18"/>
  <c r="T2" i="18"/>
  <c r="S2" i="18"/>
  <c r="R2" i="18"/>
  <c r="Q2" i="18"/>
  <c r="P2" i="18"/>
  <c r="O2" i="18"/>
  <c r="D2" i="18"/>
  <c r="E2" i="18"/>
  <c r="F2" i="18"/>
  <c r="G2" i="18"/>
  <c r="H2" i="18"/>
  <c r="I2" i="18"/>
  <c r="J2" i="18"/>
  <c r="K2" i="18"/>
  <c r="L2" i="18"/>
  <c r="M2" i="18"/>
  <c r="N2" i="18"/>
  <c r="C3" i="18"/>
  <c r="D3" i="18" s="1"/>
  <c r="C2" i="18"/>
  <c r="C26" i="18"/>
  <c r="D26" i="18" s="1"/>
  <c r="E26" i="18" s="1"/>
  <c r="F26" i="18" s="1"/>
  <c r="G26" i="18" s="1"/>
  <c r="H26" i="18" s="1"/>
  <c r="I26" i="18" s="1"/>
  <c r="J26" i="18" s="1"/>
  <c r="K26" i="18" s="1"/>
  <c r="L26" i="18" s="1"/>
  <c r="M26" i="18" s="1"/>
  <c r="N26" i="18" s="1"/>
  <c r="AG159" i="10"/>
  <c r="AG153" i="10"/>
  <c r="BD149" i="10"/>
  <c r="BE149" i="10" s="1"/>
  <c r="G122" i="10"/>
  <c r="G123" i="10" s="1"/>
  <c r="G124" i="10" s="1"/>
  <c r="G125" i="10" s="1"/>
  <c r="G126" i="10" s="1"/>
  <c r="G127" i="10" s="1"/>
  <c r="G128" i="10" s="1"/>
  <c r="G129" i="10" s="1"/>
  <c r="G130" i="10" s="1"/>
  <c r="G131" i="10" s="1"/>
  <c r="G132" i="10" s="1"/>
  <c r="G133" i="10" s="1"/>
  <c r="G134" i="10" s="1"/>
  <c r="F145" i="17"/>
  <c r="F144"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20" i="17"/>
  <c r="E145" i="17"/>
  <c r="E146" i="17"/>
  <c r="E147" i="17"/>
  <c r="E144" i="17"/>
  <c r="E121" i="17"/>
  <c r="E122" i="17"/>
  <c r="E123" i="17"/>
  <c r="E124" i="17"/>
  <c r="E125" i="17"/>
  <c r="E126" i="17"/>
  <c r="E127" i="17"/>
  <c r="E128" i="17"/>
  <c r="E129" i="17"/>
  <c r="E130" i="17"/>
  <c r="E131" i="17"/>
  <c r="E132" i="17"/>
  <c r="E133" i="17"/>
  <c r="E134" i="17"/>
  <c r="H134" i="17" s="1"/>
  <c r="E135" i="17"/>
  <c r="E136" i="17"/>
  <c r="E137" i="17"/>
  <c r="E138" i="17"/>
  <c r="E139" i="17"/>
  <c r="E140" i="17"/>
  <c r="E141" i="17"/>
  <c r="E142" i="17"/>
  <c r="E120" i="17"/>
  <c r="E50" i="17"/>
  <c r="D72" i="17"/>
  <c r="F49" i="17"/>
  <c r="F48" i="17"/>
  <c r="F104" i="17" s="1"/>
  <c r="H104" i="17" s="1"/>
  <c r="E48" i="17"/>
  <c r="F47" i="17"/>
  <c r="M70" i="18" s="1"/>
  <c r="N70" i="18" s="1"/>
  <c r="E47" i="17"/>
  <c r="I103" i="17" s="1"/>
  <c r="AF46" i="17"/>
  <c r="AF42" i="17" s="1"/>
  <c r="F46" i="17"/>
  <c r="M69" i="18" s="1"/>
  <c r="N69" i="18" s="1"/>
  <c r="O69" i="18" s="1"/>
  <c r="P69" i="18" s="1"/>
  <c r="E46" i="17"/>
  <c r="I102" i="17" s="1"/>
  <c r="AO45" i="17"/>
  <c r="AK45" i="17"/>
  <c r="AH45" i="17"/>
  <c r="AG45" i="17"/>
  <c r="AL45" i="17" s="1"/>
  <c r="AD45" i="17"/>
  <c r="AP45" i="17" s="1"/>
  <c r="AC45" i="17"/>
  <c r="AI45" i="17" s="1"/>
  <c r="V45" i="17"/>
  <c r="G45" i="17"/>
  <c r="F45" i="17"/>
  <c r="M68" i="18" s="1"/>
  <c r="N68" i="18" s="1"/>
  <c r="O68" i="18" s="1"/>
  <c r="P68" i="18" s="1"/>
  <c r="E45" i="17"/>
  <c r="P45" i="17" s="1"/>
  <c r="AO44" i="17"/>
  <c r="AH44" i="17"/>
  <c r="AG44" i="17"/>
  <c r="AL44" i="17" s="1"/>
  <c r="AD44" i="17"/>
  <c r="AP44" i="17" s="1"/>
  <c r="AC44" i="17"/>
  <c r="AI44" i="17" s="1"/>
  <c r="V44" i="17"/>
  <c r="G44" i="17"/>
  <c r="F44" i="17"/>
  <c r="M67" i="18" s="1"/>
  <c r="N67" i="18" s="1"/>
  <c r="O67" i="18" s="1"/>
  <c r="P67" i="18" s="1"/>
  <c r="Q67" i="18" s="1"/>
  <c r="R67" i="18" s="1"/>
  <c r="S67" i="18" s="1"/>
  <c r="T67" i="18" s="1"/>
  <c r="E44" i="17"/>
  <c r="AO43" i="17"/>
  <c r="AH43" i="17"/>
  <c r="AG43" i="17"/>
  <c r="AL43" i="17" s="1"/>
  <c r="AD43" i="17"/>
  <c r="AP43" i="17" s="1"/>
  <c r="AC43" i="17"/>
  <c r="V43" i="17"/>
  <c r="G43" i="17"/>
  <c r="F43" i="17"/>
  <c r="M66" i="18" s="1"/>
  <c r="E43" i="17"/>
  <c r="E83" i="17" s="1"/>
  <c r="AO42" i="17"/>
  <c r="AH42" i="17"/>
  <c r="AG42" i="17"/>
  <c r="AL42" i="17" s="1"/>
  <c r="AD42" i="17"/>
  <c r="AP42" i="17" s="1"/>
  <c r="AC42" i="17"/>
  <c r="AI42" i="17" s="1"/>
  <c r="V42" i="17"/>
  <c r="G42" i="17"/>
  <c r="F42" i="17"/>
  <c r="E42" i="17"/>
  <c r="AP41" i="17"/>
  <c r="AL41" i="17"/>
  <c r="AM41" i="17" s="1"/>
  <c r="AK41" i="17"/>
  <c r="AI41" i="17"/>
  <c r="AE41" i="17"/>
  <c r="AJ41" i="17" s="1"/>
  <c r="Y41" i="17" s="1"/>
  <c r="AA41" i="17" s="1"/>
  <c r="X41" i="17"/>
  <c r="AB41" i="17" s="1"/>
  <c r="V41" i="17"/>
  <c r="F41" i="17"/>
  <c r="S41" i="17" s="1"/>
  <c r="E41" i="17"/>
  <c r="P41" i="17" s="1"/>
  <c r="AP40" i="17"/>
  <c r="AL40" i="17"/>
  <c r="AM40" i="17" s="1"/>
  <c r="AK40" i="17"/>
  <c r="AI40" i="17"/>
  <c r="AE40" i="17"/>
  <c r="AJ40" i="17" s="1"/>
  <c r="Y40" i="17" s="1"/>
  <c r="AA40" i="17" s="1"/>
  <c r="X40" i="17"/>
  <c r="AB40" i="17" s="1"/>
  <c r="U40" i="17"/>
  <c r="V40" i="17" s="1"/>
  <c r="F40" i="17"/>
  <c r="E40" i="17"/>
  <c r="O40" i="17" s="1"/>
  <c r="AP39" i="17"/>
  <c r="AL39" i="17"/>
  <c r="AM39" i="17" s="1"/>
  <c r="AK39" i="17"/>
  <c r="AJ39" i="17"/>
  <c r="Y39" i="17" s="1"/>
  <c r="AA39" i="17" s="1"/>
  <c r="AI39" i="17"/>
  <c r="X39" i="17"/>
  <c r="AB39" i="17" s="1"/>
  <c r="U39" i="17"/>
  <c r="F39" i="17"/>
  <c r="R39" i="17" s="1"/>
  <c r="E39" i="17"/>
  <c r="E79" i="17" s="1"/>
  <c r="AP38" i="17"/>
  <c r="AL38" i="17"/>
  <c r="AM38" i="17" s="1"/>
  <c r="AK38" i="17"/>
  <c r="AJ38" i="17"/>
  <c r="Y38" i="17" s="1"/>
  <c r="AA38" i="17" s="1"/>
  <c r="AI38" i="17"/>
  <c r="X38" i="17"/>
  <c r="AB38" i="17" s="1"/>
  <c r="U38" i="17"/>
  <c r="F38" i="17"/>
  <c r="F78" i="17" s="1"/>
  <c r="E38" i="17"/>
  <c r="AP37" i="17"/>
  <c r="AL37" i="17"/>
  <c r="AM37" i="17" s="1"/>
  <c r="AK37" i="17"/>
  <c r="AJ37" i="17"/>
  <c r="Y37" i="17" s="1"/>
  <c r="AA37" i="17" s="1"/>
  <c r="AI37" i="17"/>
  <c r="X37" i="17"/>
  <c r="AB37" i="17" s="1"/>
  <c r="U37" i="17"/>
  <c r="F37" i="17"/>
  <c r="R37" i="17" s="1"/>
  <c r="E37" i="17"/>
  <c r="AP36" i="17"/>
  <c r="AL36" i="17"/>
  <c r="AM36" i="17" s="1"/>
  <c r="AK36" i="17"/>
  <c r="AJ36" i="17"/>
  <c r="Y36" i="17" s="1"/>
  <c r="AA36" i="17" s="1"/>
  <c r="AI36" i="17"/>
  <c r="X36" i="17"/>
  <c r="AB36" i="17" s="1"/>
  <c r="U36" i="17"/>
  <c r="F36" i="17"/>
  <c r="R36" i="17" s="1"/>
  <c r="E36" i="17"/>
  <c r="AP35" i="17"/>
  <c r="AL35" i="17"/>
  <c r="AM35" i="17" s="1"/>
  <c r="AK35" i="17"/>
  <c r="AJ35" i="17"/>
  <c r="Y35" i="17" s="1"/>
  <c r="AA35" i="17" s="1"/>
  <c r="AI35" i="17"/>
  <c r="X35" i="17"/>
  <c r="AB35" i="17" s="1"/>
  <c r="U35" i="17"/>
  <c r="F35" i="17"/>
  <c r="R35" i="17" s="1"/>
  <c r="E35" i="17"/>
  <c r="O35" i="17" s="1"/>
  <c r="AP34" i="17"/>
  <c r="AL34" i="17"/>
  <c r="AM34" i="17" s="1"/>
  <c r="AK34" i="17"/>
  <c r="AJ34" i="17"/>
  <c r="Y34" i="17" s="1"/>
  <c r="AA34" i="17" s="1"/>
  <c r="AI34" i="17"/>
  <c r="X34" i="17"/>
  <c r="AB34" i="17" s="1"/>
  <c r="U34" i="17"/>
  <c r="F34" i="17"/>
  <c r="E34" i="17"/>
  <c r="O34" i="17" s="1"/>
  <c r="AP33" i="17"/>
  <c r="AL33" i="17"/>
  <c r="AM33" i="17" s="1"/>
  <c r="AK33" i="17"/>
  <c r="AJ33" i="17"/>
  <c r="Y33" i="17" s="1"/>
  <c r="AA33" i="17" s="1"/>
  <c r="AI33" i="17"/>
  <c r="X33" i="17"/>
  <c r="AB33" i="17" s="1"/>
  <c r="U33" i="17"/>
  <c r="F33" i="17"/>
  <c r="R33" i="17" s="1"/>
  <c r="E33" i="17"/>
  <c r="O33" i="17" s="1"/>
  <c r="AP32" i="17"/>
  <c r="AL32" i="17"/>
  <c r="AM32" i="17" s="1"/>
  <c r="AK32" i="17"/>
  <c r="AJ32" i="17"/>
  <c r="Y32" i="17" s="1"/>
  <c r="AA32" i="17" s="1"/>
  <c r="AI32" i="17"/>
  <c r="X32" i="17"/>
  <c r="AB32" i="17" s="1"/>
  <c r="U32" i="17"/>
  <c r="F32" i="17"/>
  <c r="R32" i="17" s="1"/>
  <c r="E32" i="17"/>
  <c r="AP31" i="17"/>
  <c r="AL31" i="17"/>
  <c r="AM31" i="17" s="1"/>
  <c r="AK31" i="17"/>
  <c r="AJ31" i="17"/>
  <c r="Y31" i="17" s="1"/>
  <c r="AA31" i="17" s="1"/>
  <c r="AI31" i="17"/>
  <c r="X31" i="17"/>
  <c r="AB31" i="17" s="1"/>
  <c r="U31" i="17"/>
  <c r="F31" i="17"/>
  <c r="R31" i="17" s="1"/>
  <c r="E31" i="17"/>
  <c r="O31" i="17" s="1"/>
  <c r="AP30" i="17"/>
  <c r="AL30" i="17"/>
  <c r="AM30" i="17" s="1"/>
  <c r="AK30" i="17"/>
  <c r="AJ30" i="17"/>
  <c r="Y30" i="17" s="1"/>
  <c r="AA30" i="17" s="1"/>
  <c r="AI30" i="17"/>
  <c r="X30" i="17"/>
  <c r="AB30" i="17" s="1"/>
  <c r="U30" i="17"/>
  <c r="F30" i="17"/>
  <c r="E30" i="17"/>
  <c r="O30" i="17" s="1"/>
  <c r="AP29" i="17"/>
  <c r="AL29" i="17"/>
  <c r="AM29" i="17" s="1"/>
  <c r="AK29" i="17"/>
  <c r="AJ29" i="17"/>
  <c r="Y29" i="17" s="1"/>
  <c r="AA29" i="17" s="1"/>
  <c r="AI29" i="17"/>
  <c r="X29" i="17"/>
  <c r="AB29" i="17" s="1"/>
  <c r="U29" i="17"/>
  <c r="F29" i="17"/>
  <c r="E29" i="17"/>
  <c r="O29" i="17" s="1"/>
  <c r="AP28" i="17"/>
  <c r="AL28" i="17"/>
  <c r="AM28" i="17" s="1"/>
  <c r="AK28" i="17"/>
  <c r="AJ28" i="17"/>
  <c r="Y28" i="17" s="1"/>
  <c r="AA28" i="17" s="1"/>
  <c r="AI28" i="17"/>
  <c r="X28" i="17"/>
  <c r="AB28" i="17" s="1"/>
  <c r="U28" i="17"/>
  <c r="F28" i="17"/>
  <c r="E28" i="17"/>
  <c r="O28" i="17" s="1"/>
  <c r="AP27" i="17"/>
  <c r="AL27" i="17"/>
  <c r="AM27" i="17" s="1"/>
  <c r="AK27" i="17"/>
  <c r="AJ27" i="17"/>
  <c r="Y27" i="17" s="1"/>
  <c r="AA27" i="17" s="1"/>
  <c r="AI27" i="17"/>
  <c r="X27" i="17"/>
  <c r="AB27" i="17" s="1"/>
  <c r="U27" i="17"/>
  <c r="F27" i="17"/>
  <c r="R27" i="17" s="1"/>
  <c r="E27" i="17"/>
  <c r="AP26" i="17"/>
  <c r="AL26" i="17"/>
  <c r="AM26" i="17" s="1"/>
  <c r="AK26" i="17"/>
  <c r="AJ26" i="17"/>
  <c r="Y26" i="17" s="1"/>
  <c r="AA26" i="17" s="1"/>
  <c r="AI26" i="17"/>
  <c r="X26" i="17"/>
  <c r="AB26" i="17" s="1"/>
  <c r="U26" i="17"/>
  <c r="F26" i="17"/>
  <c r="R26" i="17" s="1"/>
  <c r="E26" i="17"/>
  <c r="O26" i="17" s="1"/>
  <c r="AP25" i="17"/>
  <c r="AL25" i="17"/>
  <c r="AM25" i="17" s="1"/>
  <c r="AK25" i="17"/>
  <c r="AJ25" i="17"/>
  <c r="Y25" i="17" s="1"/>
  <c r="AA25" i="17" s="1"/>
  <c r="AI25" i="17"/>
  <c r="X25" i="17"/>
  <c r="AB25" i="17" s="1"/>
  <c r="U25" i="17"/>
  <c r="F25" i="17"/>
  <c r="R25" i="17" s="1"/>
  <c r="E25" i="17"/>
  <c r="O25" i="17" s="1"/>
  <c r="AP24" i="17"/>
  <c r="AL24" i="17"/>
  <c r="AM24" i="17" s="1"/>
  <c r="AK24" i="17"/>
  <c r="AJ24" i="17"/>
  <c r="Y24" i="17" s="1"/>
  <c r="AA24" i="17" s="1"/>
  <c r="AI24" i="17"/>
  <c r="X24" i="17"/>
  <c r="AB24" i="17" s="1"/>
  <c r="U24" i="17"/>
  <c r="F24" i="17"/>
  <c r="E24" i="17"/>
  <c r="O24" i="17" s="1"/>
  <c r="AP23" i="17"/>
  <c r="AL23" i="17"/>
  <c r="AM23" i="17" s="1"/>
  <c r="AK23" i="17"/>
  <c r="AJ23" i="17"/>
  <c r="Y23" i="17" s="1"/>
  <c r="AA23" i="17" s="1"/>
  <c r="AI23" i="17"/>
  <c r="X23" i="17"/>
  <c r="AB23" i="17" s="1"/>
  <c r="U23" i="17"/>
  <c r="F23" i="17"/>
  <c r="E23" i="17"/>
  <c r="O23" i="17" s="1"/>
  <c r="AP22" i="17"/>
  <c r="AL22" i="17"/>
  <c r="AM22" i="17" s="1"/>
  <c r="AK22" i="17"/>
  <c r="AJ22" i="17"/>
  <c r="Y22" i="17" s="1"/>
  <c r="AA22" i="17" s="1"/>
  <c r="AI22" i="17"/>
  <c r="X22" i="17"/>
  <c r="AB22" i="17" s="1"/>
  <c r="U22" i="17"/>
  <c r="F22" i="17"/>
  <c r="R22" i="17" s="1"/>
  <c r="E22" i="17"/>
  <c r="O22" i="17" s="1"/>
  <c r="AP21" i="17"/>
  <c r="AL21" i="17"/>
  <c r="AM21" i="17" s="1"/>
  <c r="AK21" i="17"/>
  <c r="AJ21" i="17"/>
  <c r="Y21" i="17" s="1"/>
  <c r="AA21" i="17" s="1"/>
  <c r="AI21" i="17"/>
  <c r="X21" i="17"/>
  <c r="AB21" i="17" s="1"/>
  <c r="U21" i="17"/>
  <c r="F21" i="17"/>
  <c r="E21" i="17"/>
  <c r="O21" i="17" s="1"/>
  <c r="AP20" i="17"/>
  <c r="AL20" i="17"/>
  <c r="AM20" i="17" s="1"/>
  <c r="AK20" i="17"/>
  <c r="AJ20" i="17"/>
  <c r="Y20" i="17" s="1"/>
  <c r="AA20" i="17" s="1"/>
  <c r="AI20" i="17"/>
  <c r="X20" i="17"/>
  <c r="AB20" i="17" s="1"/>
  <c r="U20" i="17"/>
  <c r="F20" i="17"/>
  <c r="R20" i="17" s="1"/>
  <c r="E20" i="17"/>
  <c r="O20" i="17" s="1"/>
  <c r="AP19" i="17"/>
  <c r="AL19" i="17"/>
  <c r="AM19" i="17" s="1"/>
  <c r="AK19" i="17"/>
  <c r="AJ19" i="17"/>
  <c r="Y19" i="17" s="1"/>
  <c r="AA19" i="17" s="1"/>
  <c r="AI19" i="17"/>
  <c r="X19" i="17"/>
  <c r="AB19" i="17" s="1"/>
  <c r="U19" i="17"/>
  <c r="F19" i="17"/>
  <c r="E19" i="17"/>
  <c r="O19" i="17" s="1"/>
  <c r="AP18" i="17"/>
  <c r="AL18" i="17"/>
  <c r="AM18" i="17" s="1"/>
  <c r="AK18" i="17"/>
  <c r="AJ18" i="17"/>
  <c r="Y18" i="17" s="1"/>
  <c r="AA18" i="17" s="1"/>
  <c r="AI18" i="17"/>
  <c r="X18" i="17"/>
  <c r="AB18" i="17" s="1"/>
  <c r="U18" i="17"/>
  <c r="F18" i="17"/>
  <c r="R18" i="17" s="1"/>
  <c r="E18" i="17"/>
  <c r="O18" i="17" s="1"/>
  <c r="AP17" i="17"/>
  <c r="AL17" i="17"/>
  <c r="AM17" i="17" s="1"/>
  <c r="AK17" i="17"/>
  <c r="AJ17" i="17"/>
  <c r="Y17" i="17" s="1"/>
  <c r="AA17" i="17" s="1"/>
  <c r="AI17" i="17"/>
  <c r="X17" i="17"/>
  <c r="AB17" i="17" s="1"/>
  <c r="AP16" i="17"/>
  <c r="AL16" i="17"/>
  <c r="AM16" i="17" s="1"/>
  <c r="AK16" i="17"/>
  <c r="AJ16" i="17"/>
  <c r="Y16" i="17" s="1"/>
  <c r="AA16" i="17" s="1"/>
  <c r="AI16" i="17"/>
  <c r="X16" i="17"/>
  <c r="AB16" i="17" s="1"/>
  <c r="AP15" i="17"/>
  <c r="AL15" i="17"/>
  <c r="AM15" i="17" s="1"/>
  <c r="AK15" i="17"/>
  <c r="AJ15" i="17"/>
  <c r="Y15" i="17" s="1"/>
  <c r="AA15" i="17" s="1"/>
  <c r="AI15" i="17"/>
  <c r="X15" i="17"/>
  <c r="AB15" i="17" s="1"/>
  <c r="AP14" i="17"/>
  <c r="AL14" i="17"/>
  <c r="AM14" i="17" s="1"/>
  <c r="AK14" i="17"/>
  <c r="AJ14" i="17"/>
  <c r="Y14" i="17" s="1"/>
  <c r="AA14" i="17" s="1"/>
  <c r="AI14" i="17"/>
  <c r="X14" i="17"/>
  <c r="AB14" i="17" s="1"/>
  <c r="AP13" i="17"/>
  <c r="AL13" i="17"/>
  <c r="AM13" i="17" s="1"/>
  <c r="AK13" i="17"/>
  <c r="AJ13" i="17"/>
  <c r="Y13" i="17" s="1"/>
  <c r="AA13" i="17" s="1"/>
  <c r="AI13" i="17"/>
  <c r="X13" i="17"/>
  <c r="AB13" i="17" s="1"/>
  <c r="AP12" i="17"/>
  <c r="AL12" i="17"/>
  <c r="AM12" i="17" s="1"/>
  <c r="AK12" i="17"/>
  <c r="AJ12" i="17"/>
  <c r="Y12" i="17" s="1"/>
  <c r="AA12" i="17" s="1"/>
  <c r="AI12" i="17"/>
  <c r="X12" i="17"/>
  <c r="AB12" i="17" s="1"/>
  <c r="AP11" i="17"/>
  <c r="AL11" i="17"/>
  <c r="AM11" i="17" s="1"/>
  <c r="AK11" i="17"/>
  <c r="AJ11" i="17"/>
  <c r="Y11" i="17" s="1"/>
  <c r="AA11" i="17" s="1"/>
  <c r="AI11" i="17"/>
  <c r="X11" i="17"/>
  <c r="AB11" i="17" s="1"/>
  <c r="AP10" i="17"/>
  <c r="AL10" i="17"/>
  <c r="AM10" i="17" s="1"/>
  <c r="AK10" i="17"/>
  <c r="AJ10" i="17"/>
  <c r="Y10" i="17" s="1"/>
  <c r="AA10" i="17" s="1"/>
  <c r="AI10" i="17"/>
  <c r="X10" i="17"/>
  <c r="AB10" i="17" s="1"/>
  <c r="AP9" i="17"/>
  <c r="AL9" i="17"/>
  <c r="AM9" i="17" s="1"/>
  <c r="AK9" i="17"/>
  <c r="AI9" i="17"/>
  <c r="X9" i="17"/>
  <c r="AB9" i="17" s="1"/>
  <c r="AP8" i="17"/>
  <c r="AL8" i="17"/>
  <c r="AM8" i="17" s="1"/>
  <c r="AK8" i="17"/>
  <c r="AI8" i="17"/>
  <c r="X8" i="17"/>
  <c r="AB8" i="17" s="1"/>
  <c r="AP7" i="17"/>
  <c r="AL7" i="17"/>
  <c r="AM7" i="17" s="1"/>
  <c r="AK7" i="17"/>
  <c r="AI7" i="17"/>
  <c r="X7" i="17"/>
  <c r="AB7" i="17" s="1"/>
  <c r="AP6" i="17"/>
  <c r="AL6" i="17"/>
  <c r="AM6" i="17" s="1"/>
  <c r="AK6" i="17"/>
  <c r="AI6" i="17"/>
  <c r="X6" i="17"/>
  <c r="AB6" i="17" s="1"/>
  <c r="AE5" i="17"/>
  <c r="AJ9" i="17" s="1"/>
  <c r="Y9" i="17" s="1"/>
  <c r="AA9" i="17" s="1"/>
  <c r="AE4" i="17"/>
  <c r="AJ8" i="17" s="1"/>
  <c r="Y8" i="17" s="1"/>
  <c r="AA8" i="17" s="1"/>
  <c r="AE3" i="17"/>
  <c r="AJ7" i="17" s="1"/>
  <c r="Y7" i="17" s="1"/>
  <c r="AA7" i="17" s="1"/>
  <c r="AE2" i="17"/>
  <c r="AJ6" i="17" s="1"/>
  <c r="Y6" i="17" s="1"/>
  <c r="AA6" i="17" s="1"/>
  <c r="AN130" i="11"/>
  <c r="AN133" i="11"/>
  <c r="Z159" i="10"/>
  <c r="W157" i="10" s="1"/>
  <c r="W158" i="10" s="1"/>
  <c r="Z153" i="10"/>
  <c r="M148" i="10"/>
  <c r="M151" i="10"/>
  <c r="M152" i="10" s="1"/>
  <c r="M154" i="10"/>
  <c r="M155" i="10" s="1"/>
  <c r="M157" i="10"/>
  <c r="M158" i="10" s="1"/>
  <c r="AX148" i="10"/>
  <c r="AO124" i="34" s="1"/>
  <c r="BE150" i="10"/>
  <c r="BD151" i="10"/>
  <c r="BE151" i="10" s="1"/>
  <c r="BD150" i="10"/>
  <c r="BD152" i="10"/>
  <c r="BD153" i="10"/>
  <c r="BD154" i="10"/>
  <c r="BD155" i="10"/>
  <c r="BD156" i="10"/>
  <c r="BD157" i="10"/>
  <c r="BD158" i="10"/>
  <c r="BD159" i="10"/>
  <c r="X149" i="10"/>
  <c r="G47" i="17"/>
  <c r="AW61" i="10"/>
  <c r="BB159" i="10" s="1"/>
  <c r="BE159" i="10" s="1"/>
  <c r="AW62" i="10"/>
  <c r="AW52" i="10"/>
  <c r="BB150" i="10" s="1"/>
  <c r="AW53" i="10"/>
  <c r="BB151" i="10" s="1"/>
  <c r="AW54" i="10"/>
  <c r="BB152" i="10" s="1"/>
  <c r="BE152" i="10" s="1"/>
  <c r="AW55" i="10"/>
  <c r="BB153" i="10" s="1"/>
  <c r="BE153" i="10" s="1"/>
  <c r="AW56" i="10"/>
  <c r="BB154" i="10" s="1"/>
  <c r="BE154" i="10" s="1"/>
  <c r="AW57" i="10"/>
  <c r="BB155" i="10" s="1"/>
  <c r="BE155" i="10" s="1"/>
  <c r="AW58" i="10"/>
  <c r="BB156" i="10" s="1"/>
  <c r="BE156" i="10" s="1"/>
  <c r="AW59" i="10"/>
  <c r="BB157" i="10" s="1"/>
  <c r="BE157" i="10" s="1"/>
  <c r="AW60" i="10"/>
  <c r="BB158" i="10" s="1"/>
  <c r="BE158" i="10" s="1"/>
  <c r="AW63" i="10"/>
  <c r="BC149" i="10" s="1"/>
  <c r="AW64" i="10"/>
  <c r="BC150" i="10" s="1"/>
  <c r="AW65" i="10"/>
  <c r="BC151" i="10" s="1"/>
  <c r="AW66" i="10"/>
  <c r="BC152" i="10" s="1"/>
  <c r="AW67" i="10"/>
  <c r="BC153" i="10" s="1"/>
  <c r="AW68" i="10"/>
  <c r="BC154" i="10" s="1"/>
  <c r="AW69" i="10"/>
  <c r="BC155" i="10" s="1"/>
  <c r="AW70" i="10"/>
  <c r="BC156" i="10" s="1"/>
  <c r="AW71" i="10"/>
  <c r="BC157" i="10" s="1"/>
  <c r="AW72" i="10"/>
  <c r="BC158" i="10" s="1"/>
  <c r="AW73" i="10"/>
  <c r="BC159" i="10" s="1"/>
  <c r="AW51" i="10"/>
  <c r="BB149" i="10" s="1"/>
  <c r="AW158" i="10"/>
  <c r="AN134" i="34" s="1"/>
  <c r="AQ134" i="34" s="1"/>
  <c r="AW155" i="10"/>
  <c r="AN131" i="34" s="1"/>
  <c r="AQ131" i="34" s="1"/>
  <c r="AW152" i="10"/>
  <c r="AW149" i="10"/>
  <c r="G48" i="17"/>
  <c r="G49" i="17"/>
  <c r="G46" i="17"/>
  <c r="AO158" i="10"/>
  <c r="AO155" i="10"/>
  <c r="AO152" i="10"/>
  <c r="AO149" i="10"/>
  <c r="AL113" i="16"/>
  <c r="B102" i="16"/>
  <c r="C102" i="16"/>
  <c r="D102" i="16"/>
  <c r="E102" i="16"/>
  <c r="F102" i="16"/>
  <c r="G102" i="16"/>
  <c r="H102" i="16"/>
  <c r="I102" i="16"/>
  <c r="J102" i="16"/>
  <c r="K102" i="16"/>
  <c r="L102" i="16"/>
  <c r="M102" i="16"/>
  <c r="AK125" i="16"/>
  <c r="AK134" i="19" s="1"/>
  <c r="AM179" i="9"/>
  <c r="C85" i="9"/>
  <c r="D85" i="9"/>
  <c r="E85" i="9"/>
  <c r="F85" i="9"/>
  <c r="G85" i="9"/>
  <c r="H85" i="9"/>
  <c r="I85" i="9"/>
  <c r="J85" i="9"/>
  <c r="K85" i="9"/>
  <c r="L85" i="9"/>
  <c r="M85" i="9"/>
  <c r="AD148" i="10"/>
  <c r="AD133" i="10"/>
  <c r="AD132" i="10"/>
  <c r="AD131" i="10"/>
  <c r="AD130" i="10"/>
  <c r="AD129" i="10"/>
  <c r="AD128" i="10"/>
  <c r="AD127" i="10"/>
  <c r="AD126" i="10"/>
  <c r="AD125" i="10"/>
  <c r="AD124" i="10"/>
  <c r="AD123" i="10"/>
  <c r="AD122" i="10"/>
  <c r="AD121" i="10"/>
  <c r="AD120" i="10"/>
  <c r="AD119" i="10"/>
  <c r="AD118" i="10"/>
  <c r="AD117" i="10"/>
  <c r="AD116" i="10"/>
  <c r="AD115" i="10"/>
  <c r="AD114" i="10"/>
  <c r="AD113" i="10"/>
  <c r="AD112" i="10"/>
  <c r="AD111" i="10"/>
  <c r="AD110" i="10"/>
  <c r="AD109" i="10"/>
  <c r="AD108" i="10"/>
  <c r="AD107" i="10"/>
  <c r="AD106" i="10"/>
  <c r="AD105" i="10"/>
  <c r="AD104" i="10"/>
  <c r="AD103" i="10"/>
  <c r="AD102" i="10"/>
  <c r="AD101" i="10"/>
  <c r="AD100" i="10"/>
  <c r="AD99" i="10"/>
  <c r="AD98" i="10"/>
  <c r="AD97" i="10"/>
  <c r="AD96" i="10"/>
  <c r="AD95" i="10"/>
  <c r="AD94" i="10"/>
  <c r="AD93" i="10"/>
  <c r="AD92" i="10"/>
  <c r="AD91" i="10"/>
  <c r="AD90" i="10"/>
  <c r="AD89" i="10"/>
  <c r="AD88" i="10"/>
  <c r="AD87" i="10"/>
  <c r="AD86" i="10"/>
  <c r="AD85" i="10"/>
  <c r="AD84" i="10"/>
  <c r="AD83" i="10"/>
  <c r="AD82" i="10"/>
  <c r="AD81" i="10"/>
  <c r="AD80" i="10"/>
  <c r="AD79" i="10"/>
  <c r="AD78" i="10"/>
  <c r="AD77" i="10"/>
  <c r="AD76" i="10"/>
  <c r="AD75" i="10"/>
  <c r="AD74" i="10"/>
  <c r="AD73" i="10"/>
  <c r="AD72" i="10"/>
  <c r="AD71" i="10"/>
  <c r="AD70" i="10"/>
  <c r="AD69" i="10"/>
  <c r="AD68" i="10"/>
  <c r="AD67" i="10"/>
  <c r="AD66" i="10"/>
  <c r="AD65" i="10"/>
  <c r="AD64" i="10"/>
  <c r="AD63" i="10"/>
  <c r="AD62" i="10"/>
  <c r="AD134" i="10"/>
  <c r="AD135" i="10"/>
  <c r="AD136" i="10"/>
  <c r="AD137" i="10"/>
  <c r="AD138" i="10"/>
  <c r="AD139" i="10"/>
  <c r="AD140" i="10"/>
  <c r="AD141" i="10"/>
  <c r="AD142" i="10"/>
  <c r="AD143" i="10"/>
  <c r="AD144" i="10"/>
  <c r="AF87" i="11"/>
  <c r="AL126" i="16"/>
  <c r="AA126" i="16" s="1"/>
  <c r="AJ125" i="16"/>
  <c r="AI125" i="16"/>
  <c r="AI134" i="19" s="1"/>
  <c r="AH125" i="16"/>
  <c r="AH134" i="19" s="1"/>
  <c r="AG125" i="16"/>
  <c r="AG134" i="19" s="1"/>
  <c r="AF125" i="16"/>
  <c r="AF134" i="19" s="1"/>
  <c r="AE125" i="16"/>
  <c r="AE134" i="19" s="1"/>
  <c r="AD125" i="16"/>
  <c r="AD134" i="19" s="1"/>
  <c r="AC125" i="16"/>
  <c r="AB125" i="16"/>
  <c r="AA125" i="16"/>
  <c r="Z125" i="16"/>
  <c r="Z134" i="19" s="1"/>
  <c r="Y125" i="16"/>
  <c r="Y127" i="16" s="1"/>
  <c r="BI41" i="16" s="1"/>
  <c r="X125" i="16"/>
  <c r="X127" i="16" s="1"/>
  <c r="BH41" i="16" s="1"/>
  <c r="BH45" i="16" s="1"/>
  <c r="W125" i="16"/>
  <c r="W127" i="16" s="1"/>
  <c r="BG41" i="16" s="1"/>
  <c r="BG45" i="16" s="1"/>
  <c r="V125" i="16"/>
  <c r="V127" i="16" s="1"/>
  <c r="U125" i="16"/>
  <c r="U127" i="16" s="1"/>
  <c r="BE41" i="16" s="1"/>
  <c r="BE45" i="16" s="1"/>
  <c r="T125" i="16"/>
  <c r="T127" i="16" s="1"/>
  <c r="BD41" i="16" s="1"/>
  <c r="BD45" i="16" s="1"/>
  <c r="S125" i="16"/>
  <c r="S127" i="16" s="1"/>
  <c r="BC41" i="16" s="1"/>
  <c r="BC45" i="16" s="1"/>
  <c r="R125" i="16"/>
  <c r="R127" i="16" s="1"/>
  <c r="BB41" i="16" s="1"/>
  <c r="BB45" i="16" s="1"/>
  <c r="Q125" i="16"/>
  <c r="Q127" i="16" s="1"/>
  <c r="BA41" i="16" s="1"/>
  <c r="BA45" i="16" s="1"/>
  <c r="P125" i="16"/>
  <c r="P127" i="16" s="1"/>
  <c r="AZ41" i="16" s="1"/>
  <c r="AZ45" i="16" s="1"/>
  <c r="O125" i="16"/>
  <c r="O127" i="16" s="1"/>
  <c r="AY41" i="16" s="1"/>
  <c r="AY45" i="16" s="1"/>
  <c r="N125" i="16"/>
  <c r="N127" i="16" s="1"/>
  <c r="AX41" i="16" s="1"/>
  <c r="AX45" i="16" s="1"/>
  <c r="M125" i="16"/>
  <c r="M126" i="16" s="1"/>
  <c r="L125" i="16"/>
  <c r="K125" i="16"/>
  <c r="K126" i="16" s="1"/>
  <c r="J125" i="16"/>
  <c r="I125" i="16"/>
  <c r="I126" i="16" s="1"/>
  <c r="H125" i="16"/>
  <c r="H126" i="16" s="1"/>
  <c r="G125" i="16"/>
  <c r="G126" i="16" s="1"/>
  <c r="F125" i="16"/>
  <c r="F126" i="16" s="1"/>
  <c r="E125" i="16"/>
  <c r="E126" i="16" s="1"/>
  <c r="D125" i="16"/>
  <c r="C125" i="16"/>
  <c r="B125" i="16"/>
  <c r="B126" i="16" s="1"/>
  <c r="W120" i="16"/>
  <c r="W129" i="16" s="1"/>
  <c r="V120" i="16"/>
  <c r="V135" i="16" s="1"/>
  <c r="U120" i="16"/>
  <c r="U129" i="16" s="1"/>
  <c r="T120" i="16"/>
  <c r="S120" i="16"/>
  <c r="S135" i="16" s="1"/>
  <c r="R120" i="16"/>
  <c r="Q120" i="16"/>
  <c r="P120" i="16"/>
  <c r="P129" i="16" s="1"/>
  <c r="O120" i="16"/>
  <c r="O129" i="16" s="1"/>
  <c r="N120" i="16"/>
  <c r="N135" i="16" s="1"/>
  <c r="M120" i="16"/>
  <c r="M135" i="16" s="1"/>
  <c r="L120" i="16"/>
  <c r="L135" i="16" s="1"/>
  <c r="K120" i="16"/>
  <c r="K129" i="16" s="1"/>
  <c r="J120" i="16"/>
  <c r="J129" i="16" s="1"/>
  <c r="I120" i="16"/>
  <c r="I135" i="16" s="1"/>
  <c r="H120" i="16"/>
  <c r="H129" i="16" s="1"/>
  <c r="G120" i="16"/>
  <c r="F120" i="16"/>
  <c r="E120" i="16"/>
  <c r="E135" i="16" s="1"/>
  <c r="D120" i="16"/>
  <c r="D129" i="16" s="1"/>
  <c r="C120" i="16"/>
  <c r="C135" i="16" s="1"/>
  <c r="B120" i="16"/>
  <c r="B129" i="16" s="1"/>
  <c r="E109" i="16"/>
  <c r="I112" i="16" s="1"/>
  <c r="D109" i="16"/>
  <c r="H112" i="16" s="1"/>
  <c r="C109" i="16"/>
  <c r="G112" i="16" s="1"/>
  <c r="B109" i="16"/>
  <c r="F112" i="16" s="1"/>
  <c r="K99" i="16"/>
  <c r="J99" i="16"/>
  <c r="I99" i="16"/>
  <c r="U121" i="16" s="1"/>
  <c r="H99" i="16"/>
  <c r="T121" i="16" s="1"/>
  <c r="G99" i="16"/>
  <c r="S121" i="16" s="1"/>
  <c r="F99" i="16"/>
  <c r="R121" i="16" s="1"/>
  <c r="E99" i="16"/>
  <c r="Q121" i="16" s="1"/>
  <c r="D99" i="16"/>
  <c r="P121" i="16" s="1"/>
  <c r="C99" i="16"/>
  <c r="O121" i="16" s="1"/>
  <c r="B99" i="16"/>
  <c r="N121" i="16" s="1"/>
  <c r="AA97" i="16"/>
  <c r="Z97" i="16"/>
  <c r="K94" i="16"/>
  <c r="J88" i="16"/>
  <c r="I88" i="16"/>
  <c r="H88" i="16"/>
  <c r="G88" i="16"/>
  <c r="F88" i="16"/>
  <c r="E88" i="16"/>
  <c r="D88" i="16"/>
  <c r="C88" i="16"/>
  <c r="B88" i="16"/>
  <c r="B64" i="16"/>
  <c r="BG52" i="16"/>
  <c r="BF52" i="16"/>
  <c r="BE52" i="16"/>
  <c r="BE53" i="16" s="1"/>
  <c r="BE64" i="16" s="1"/>
  <c r="BD52" i="16"/>
  <c r="BD53" i="16" s="1"/>
  <c r="BD64" i="16" s="1"/>
  <c r="BC52" i="16"/>
  <c r="BC53" i="16" s="1"/>
  <c r="BC64" i="16" s="1"/>
  <c r="BB52" i="16"/>
  <c r="BB53" i="16" s="1"/>
  <c r="BB64" i="16" s="1"/>
  <c r="BA52" i="16"/>
  <c r="BA53" i="16" s="1"/>
  <c r="BA64" i="16" s="1"/>
  <c r="AZ52" i="16"/>
  <c r="AZ53" i="16" s="1"/>
  <c r="AZ64" i="16" s="1"/>
  <c r="AY52" i="16"/>
  <c r="AY53" i="16" s="1"/>
  <c r="AY64" i="16" s="1"/>
  <c r="AX52" i="16"/>
  <c r="AX53" i="16" s="1"/>
  <c r="AX64" i="16" s="1"/>
  <c r="AW52" i="16"/>
  <c r="AW53" i="16" s="1"/>
  <c r="BI63" i="16" s="1"/>
  <c r="AV52" i="16"/>
  <c r="AV53" i="16" s="1"/>
  <c r="BH63" i="16" s="1"/>
  <c r="AU52" i="16"/>
  <c r="AU53" i="16" s="1"/>
  <c r="BG63" i="16" s="1"/>
  <c r="AT52" i="16"/>
  <c r="AT53" i="16" s="1"/>
  <c r="BF63" i="16" s="1"/>
  <c r="AS52" i="16"/>
  <c r="AS53" i="16" s="1"/>
  <c r="BE63" i="16" s="1"/>
  <c r="AR52" i="16"/>
  <c r="AR53" i="16" s="1"/>
  <c r="BD63" i="16" s="1"/>
  <c r="AQ52" i="16"/>
  <c r="AQ53" i="16" s="1"/>
  <c r="BC63" i="16" s="1"/>
  <c r="AP52" i="16"/>
  <c r="AP53" i="16" s="1"/>
  <c r="BB63" i="16" s="1"/>
  <c r="AO52" i="16"/>
  <c r="AO53" i="16" s="1"/>
  <c r="BA63" i="16" s="1"/>
  <c r="AN52" i="16"/>
  <c r="AN53" i="16" s="1"/>
  <c r="AZ63" i="16" s="1"/>
  <c r="AM52" i="16"/>
  <c r="AM53" i="16" s="1"/>
  <c r="AY63" i="16" s="1"/>
  <c r="AL52" i="16"/>
  <c r="AL53" i="16" s="1"/>
  <c r="AX63" i="16" s="1"/>
  <c r="AK52" i="16"/>
  <c r="AK53" i="16" s="1"/>
  <c r="BI62" i="16" s="1"/>
  <c r="AJ52" i="16"/>
  <c r="AJ53" i="16" s="1"/>
  <c r="BH62" i="16" s="1"/>
  <c r="AI52" i="16"/>
  <c r="AI53" i="16" s="1"/>
  <c r="BG62" i="16" s="1"/>
  <c r="AH52" i="16"/>
  <c r="AH53" i="16" s="1"/>
  <c r="BF62" i="16" s="1"/>
  <c r="AG52" i="16"/>
  <c r="AG53" i="16" s="1"/>
  <c r="BE62" i="16" s="1"/>
  <c r="AF52" i="16"/>
  <c r="AF53" i="16" s="1"/>
  <c r="BD62" i="16" s="1"/>
  <c r="AE52" i="16"/>
  <c r="AE53" i="16" s="1"/>
  <c r="BC62" i="16" s="1"/>
  <c r="AD52" i="16"/>
  <c r="AD53" i="16" s="1"/>
  <c r="BB62" i="16" s="1"/>
  <c r="AC52" i="16"/>
  <c r="AC53" i="16" s="1"/>
  <c r="BA62" i="16" s="1"/>
  <c r="AB52" i="16"/>
  <c r="AB53" i="16" s="1"/>
  <c r="AZ62" i="16" s="1"/>
  <c r="AA52" i="16"/>
  <c r="AA53" i="16" s="1"/>
  <c r="AY62" i="16" s="1"/>
  <c r="Z52" i="16"/>
  <c r="Z53" i="16" s="1"/>
  <c r="AX62" i="16" s="1"/>
  <c r="Y52" i="16"/>
  <c r="Y53" i="16" s="1"/>
  <c r="BI61" i="16" s="1"/>
  <c r="X52" i="16"/>
  <c r="X53" i="16" s="1"/>
  <c r="BH61" i="16" s="1"/>
  <c r="W52" i="16"/>
  <c r="W53" i="16" s="1"/>
  <c r="BG61" i="16" s="1"/>
  <c r="V52" i="16"/>
  <c r="V53" i="16" s="1"/>
  <c r="BF61" i="16" s="1"/>
  <c r="U52" i="16"/>
  <c r="U53" i="16" s="1"/>
  <c r="BE61" i="16" s="1"/>
  <c r="T52" i="16"/>
  <c r="T53" i="16" s="1"/>
  <c r="BD61" i="16" s="1"/>
  <c r="S52" i="16"/>
  <c r="S53" i="16" s="1"/>
  <c r="BC61" i="16" s="1"/>
  <c r="R52" i="16"/>
  <c r="R53" i="16" s="1"/>
  <c r="BB61" i="16" s="1"/>
  <c r="Q52" i="16"/>
  <c r="Q53" i="16" s="1"/>
  <c r="BA61" i="16" s="1"/>
  <c r="P52" i="16"/>
  <c r="P53" i="16" s="1"/>
  <c r="AZ61" i="16" s="1"/>
  <c r="O52" i="16"/>
  <c r="O53" i="16" s="1"/>
  <c r="AY61" i="16" s="1"/>
  <c r="N52" i="16"/>
  <c r="N53" i="16" s="1"/>
  <c r="AX61" i="16" s="1"/>
  <c r="M52" i="16"/>
  <c r="M53" i="16" s="1"/>
  <c r="BI60" i="16" s="1"/>
  <c r="L52" i="16"/>
  <c r="L53" i="16" s="1"/>
  <c r="BH60" i="16" s="1"/>
  <c r="K52" i="16"/>
  <c r="K53" i="16" s="1"/>
  <c r="BG60" i="16" s="1"/>
  <c r="J52" i="16"/>
  <c r="J53" i="16" s="1"/>
  <c r="BF60" i="16" s="1"/>
  <c r="I52" i="16"/>
  <c r="I53" i="16" s="1"/>
  <c r="BE60" i="16" s="1"/>
  <c r="H52" i="16"/>
  <c r="H53" i="16" s="1"/>
  <c r="BD60" i="16" s="1"/>
  <c r="G52" i="16"/>
  <c r="G53" i="16" s="1"/>
  <c r="BC60" i="16" s="1"/>
  <c r="F52" i="16"/>
  <c r="F53" i="16" s="1"/>
  <c r="BB60" i="16" s="1"/>
  <c r="E52" i="16"/>
  <c r="E53" i="16" s="1"/>
  <c r="BA60" i="16" s="1"/>
  <c r="D52" i="16"/>
  <c r="D53" i="16" s="1"/>
  <c r="AZ60" i="16" s="1"/>
  <c r="C52" i="16"/>
  <c r="C53" i="16" s="1"/>
  <c r="AY60" i="16" s="1"/>
  <c r="B52" i="16"/>
  <c r="B53" i="16" s="1"/>
  <c r="AX60" i="16" s="1"/>
  <c r="BE50" i="16"/>
  <c r="BD50" i="16"/>
  <c r="BC50" i="16"/>
  <c r="BB50" i="16"/>
  <c r="BA50" i="16"/>
  <c r="AZ50" i="16"/>
  <c r="AY50" i="16"/>
  <c r="AX50" i="16"/>
  <c r="AW50" i="16"/>
  <c r="AV50" i="16"/>
  <c r="AU50" i="16"/>
  <c r="AT50" i="16"/>
  <c r="AS50" i="16"/>
  <c r="AR50" i="16"/>
  <c r="AQ50" i="16"/>
  <c r="AP50" i="16"/>
  <c r="AO50" i="16"/>
  <c r="AN50" i="16"/>
  <c r="AM50" i="16"/>
  <c r="AL50" i="16"/>
  <c r="AK50" i="16"/>
  <c r="AJ50" i="16"/>
  <c r="AI50" i="16"/>
  <c r="AH50" i="16"/>
  <c r="AG50" i="16"/>
  <c r="AF50" i="16"/>
  <c r="AE50" i="16"/>
  <c r="AD50" i="16"/>
  <c r="AC50" i="16"/>
  <c r="AB50" i="16"/>
  <c r="AA50" i="16"/>
  <c r="Z50" i="16"/>
  <c r="Y50" i="16"/>
  <c r="X50" i="16"/>
  <c r="W50" i="16"/>
  <c r="V50" i="16"/>
  <c r="U50" i="16"/>
  <c r="T50" i="16"/>
  <c r="S50" i="16"/>
  <c r="R50" i="16"/>
  <c r="Q50" i="16"/>
  <c r="P50" i="16"/>
  <c r="O50" i="16"/>
  <c r="N50" i="16"/>
  <c r="M50" i="16"/>
  <c r="L50" i="16"/>
  <c r="K50" i="16"/>
  <c r="J50" i="16"/>
  <c r="I50" i="16"/>
  <c r="H50" i="16"/>
  <c r="G50" i="16"/>
  <c r="F50" i="16"/>
  <c r="E50" i="16"/>
  <c r="D50" i="16"/>
  <c r="C50" i="16"/>
  <c r="B50" i="16"/>
  <c r="BE49" i="16"/>
  <c r="BD49" i="16"/>
  <c r="BC49" i="16"/>
  <c r="BB49" i="16"/>
  <c r="BA49" i="16"/>
  <c r="AZ49" i="16"/>
  <c r="AY49" i="16"/>
  <c r="AX49" i="16"/>
  <c r="AW49" i="16"/>
  <c r="AV49" i="16"/>
  <c r="AU49" i="16"/>
  <c r="AT49" i="16"/>
  <c r="AS49" i="16"/>
  <c r="AR49" i="16"/>
  <c r="AQ49" i="16"/>
  <c r="AP49" i="16"/>
  <c r="AO49" i="16"/>
  <c r="AN49" i="16"/>
  <c r="AM49" i="16"/>
  <c r="AL49" i="16"/>
  <c r="AK49" i="16"/>
  <c r="AJ49" i="16"/>
  <c r="AI49" i="16"/>
  <c r="AH49" i="16"/>
  <c r="AG49" i="16"/>
  <c r="AF49" i="16"/>
  <c r="AE49" i="16"/>
  <c r="AD49" i="16"/>
  <c r="AC49" i="16"/>
  <c r="AB49" i="16"/>
  <c r="AA49" i="16"/>
  <c r="Z49" i="16"/>
  <c r="Y49" i="16"/>
  <c r="X49" i="16"/>
  <c r="W49" i="16"/>
  <c r="V49" i="16"/>
  <c r="U49" i="16"/>
  <c r="T49" i="16"/>
  <c r="S49" i="16"/>
  <c r="R49" i="16"/>
  <c r="Q49" i="16"/>
  <c r="P49" i="16"/>
  <c r="O49" i="16"/>
  <c r="N49" i="16"/>
  <c r="M49" i="16"/>
  <c r="L49" i="16"/>
  <c r="K49" i="16"/>
  <c r="J49" i="16"/>
  <c r="I49" i="16"/>
  <c r="H49" i="16"/>
  <c r="G49" i="16"/>
  <c r="F49" i="16"/>
  <c r="E49" i="16"/>
  <c r="D49" i="16"/>
  <c r="C49" i="16"/>
  <c r="B49" i="16"/>
  <c r="BF46" i="16"/>
  <c r="BE46" i="16"/>
  <c r="BD46" i="16"/>
  <c r="T122" i="16" s="1"/>
  <c r="BC46" i="16"/>
  <c r="BB46" i="16"/>
  <c r="BB55" i="16" s="1"/>
  <c r="BA46" i="16"/>
  <c r="Q122" i="16" s="1"/>
  <c r="AZ46" i="16"/>
  <c r="AZ55" i="16" s="1"/>
  <c r="AY46" i="16"/>
  <c r="O122" i="16" s="1"/>
  <c r="AX46" i="16"/>
  <c r="AW46" i="16"/>
  <c r="AW55" i="16" s="1"/>
  <c r="AV46" i="16"/>
  <c r="L122" i="16" s="1"/>
  <c r="AU46" i="16"/>
  <c r="AT46" i="16"/>
  <c r="AS46" i="16"/>
  <c r="AR46" i="16"/>
  <c r="AQ46" i="16"/>
  <c r="G122" i="16" s="1"/>
  <c r="AP46" i="16"/>
  <c r="F122" i="16" s="1"/>
  <c r="AO46" i="16"/>
  <c r="AN46" i="16"/>
  <c r="AM46" i="16"/>
  <c r="AM55" i="16" s="1"/>
  <c r="AL46" i="16"/>
  <c r="B122" i="16" s="1"/>
  <c r="AK46" i="16"/>
  <c r="AK55" i="16" s="1"/>
  <c r="AJ46" i="16"/>
  <c r="AJ55" i="16" s="1"/>
  <c r="AI46" i="16"/>
  <c r="AI55" i="16" s="1"/>
  <c r="AH46" i="16"/>
  <c r="AH55" i="16" s="1"/>
  <c r="AG46" i="16"/>
  <c r="AG55" i="16" s="1"/>
  <c r="AF46" i="16"/>
  <c r="AF55" i="16" s="1"/>
  <c r="AE46" i="16"/>
  <c r="AE55" i="16" s="1"/>
  <c r="AD46" i="16"/>
  <c r="AD55" i="16" s="1"/>
  <c r="AC46" i="16"/>
  <c r="AC55" i="16" s="1"/>
  <c r="AB46" i="16"/>
  <c r="AB55" i="16" s="1"/>
  <c r="AA46" i="16"/>
  <c r="AA55" i="16" s="1"/>
  <c r="Z46" i="16"/>
  <c r="Z55" i="16" s="1"/>
  <c r="Y46" i="16"/>
  <c r="Y55" i="16" s="1"/>
  <c r="X46" i="16"/>
  <c r="X55" i="16" s="1"/>
  <c r="W46" i="16"/>
  <c r="W55" i="16" s="1"/>
  <c r="V46" i="16"/>
  <c r="V55" i="16" s="1"/>
  <c r="U46" i="16"/>
  <c r="U55" i="16" s="1"/>
  <c r="T46" i="16"/>
  <c r="T55" i="16" s="1"/>
  <c r="S46" i="16"/>
  <c r="S55" i="16" s="1"/>
  <c r="R46" i="16"/>
  <c r="R55" i="16" s="1"/>
  <c r="Q46" i="16"/>
  <c r="Q55" i="16" s="1"/>
  <c r="P46" i="16"/>
  <c r="P55" i="16" s="1"/>
  <c r="O46" i="16"/>
  <c r="O55" i="16" s="1"/>
  <c r="N46" i="16"/>
  <c r="N55" i="16" s="1"/>
  <c r="M46" i="16"/>
  <c r="M55" i="16" s="1"/>
  <c r="L46" i="16"/>
  <c r="L55" i="16" s="1"/>
  <c r="K46" i="16"/>
  <c r="K55" i="16" s="1"/>
  <c r="J46" i="16"/>
  <c r="J55" i="16" s="1"/>
  <c r="I46" i="16"/>
  <c r="I55" i="16" s="1"/>
  <c r="H46" i="16"/>
  <c r="H55" i="16" s="1"/>
  <c r="H56" i="16" s="1"/>
  <c r="BD69" i="16" s="1"/>
  <c r="G46" i="16"/>
  <c r="G55" i="16" s="1"/>
  <c r="F46" i="16"/>
  <c r="F55" i="16" s="1"/>
  <c r="E46" i="16"/>
  <c r="E55" i="16" s="1"/>
  <c r="D46" i="16"/>
  <c r="D55" i="16" s="1"/>
  <c r="C46" i="16"/>
  <c r="C55" i="16" s="1"/>
  <c r="B46" i="16"/>
  <c r="B55" i="16" s="1"/>
  <c r="AK45" i="16"/>
  <c r="AJ45" i="16"/>
  <c r="AI45" i="16"/>
  <c r="AH45" i="16"/>
  <c r="AG45" i="16"/>
  <c r="AF45" i="16"/>
  <c r="AE45" i="16"/>
  <c r="AD45" i="16"/>
  <c r="AC45" i="16"/>
  <c r="AB45" i="16"/>
  <c r="AA45" i="16"/>
  <c r="Z45" i="16"/>
  <c r="AW43" i="16"/>
  <c r="AV43" i="16"/>
  <c r="AU43" i="16"/>
  <c r="AT43" i="16"/>
  <c r="AS43" i="16"/>
  <c r="AR43" i="16"/>
  <c r="AQ43" i="16"/>
  <c r="AP43" i="16"/>
  <c r="AO43" i="16"/>
  <c r="AN43" i="16"/>
  <c r="AM43" i="16"/>
  <c r="AL43" i="16"/>
  <c r="AK43" i="16"/>
  <c r="AJ43" i="16"/>
  <c r="AI43" i="16"/>
  <c r="AH43" i="16"/>
  <c r="AG43" i="16"/>
  <c r="AF43" i="16"/>
  <c r="AE43" i="16"/>
  <c r="AD43" i="16"/>
  <c r="AC43" i="16"/>
  <c r="AB43" i="16"/>
  <c r="AA43" i="16"/>
  <c r="Z43" i="16"/>
  <c r="Y43" i="16"/>
  <c r="X43" i="16"/>
  <c r="W43" i="16"/>
  <c r="V43" i="16"/>
  <c r="U43" i="16"/>
  <c r="T43" i="16"/>
  <c r="S43" i="16"/>
  <c r="R43" i="16"/>
  <c r="Q43" i="16"/>
  <c r="P43" i="16"/>
  <c r="O43" i="16"/>
  <c r="N43" i="16"/>
  <c r="BU41" i="16"/>
  <c r="BJ41" i="16"/>
  <c r="BF41" i="16"/>
  <c r="BF45" i="16" s="1"/>
  <c r="AW41" i="16"/>
  <c r="AW45" i="16" s="1"/>
  <c r="M121" i="16" s="1"/>
  <c r="AV41" i="16"/>
  <c r="AV45" i="16" s="1"/>
  <c r="L121" i="16" s="1"/>
  <c r="L136" i="16" s="1"/>
  <c r="AU41" i="16"/>
  <c r="AU45" i="16" s="1"/>
  <c r="K121" i="16" s="1"/>
  <c r="AT41" i="16"/>
  <c r="AT45" i="16" s="1"/>
  <c r="J121" i="16" s="1"/>
  <c r="J136" i="16" s="1"/>
  <c r="AS41" i="16"/>
  <c r="AS45" i="16" s="1"/>
  <c r="I121" i="16" s="1"/>
  <c r="AR41" i="16"/>
  <c r="AR45" i="16" s="1"/>
  <c r="H121" i="16" s="1"/>
  <c r="AQ41" i="16"/>
  <c r="AQ45" i="16" s="1"/>
  <c r="G121" i="16" s="1"/>
  <c r="AP41" i="16"/>
  <c r="AP45" i="16" s="1"/>
  <c r="F121" i="16" s="1"/>
  <c r="AO41" i="16"/>
  <c r="AO45" i="16" s="1"/>
  <c r="AN41" i="16"/>
  <c r="AN45" i="16" s="1"/>
  <c r="D121" i="16" s="1"/>
  <c r="AM41" i="16"/>
  <c r="AM45" i="16" s="1"/>
  <c r="C121" i="16" s="1"/>
  <c r="AL41" i="16"/>
  <c r="AL45" i="16" s="1"/>
  <c r="B121" i="16" s="1"/>
  <c r="B136" i="16" s="1"/>
  <c r="BW39" i="16"/>
  <c r="BK39" i="16" s="1"/>
  <c r="AW37" i="16"/>
  <c r="M80" i="16" s="1"/>
  <c r="AV37" i="16"/>
  <c r="L80" i="16" s="1"/>
  <c r="AU37" i="16"/>
  <c r="K80" i="16" s="1"/>
  <c r="AT37" i="16"/>
  <c r="J80" i="16" s="1"/>
  <c r="AS37" i="16"/>
  <c r="I80" i="16" s="1"/>
  <c r="AR37" i="16"/>
  <c r="H80" i="16" s="1"/>
  <c r="AQ37" i="16"/>
  <c r="G80" i="16" s="1"/>
  <c r="AP37" i="16"/>
  <c r="F80" i="16" s="1"/>
  <c r="AO37" i="16"/>
  <c r="E80" i="16" s="1"/>
  <c r="AN37" i="16"/>
  <c r="D80" i="16" s="1"/>
  <c r="AM37" i="16"/>
  <c r="C80" i="16" s="1"/>
  <c r="AL37" i="16"/>
  <c r="B80" i="16" s="1"/>
  <c r="AK37" i="16"/>
  <c r="M79" i="16" s="1"/>
  <c r="AJ37" i="16"/>
  <c r="L79" i="16" s="1"/>
  <c r="AI37" i="16"/>
  <c r="K79" i="16" s="1"/>
  <c r="AH37" i="16"/>
  <c r="J79" i="16" s="1"/>
  <c r="AG37" i="16"/>
  <c r="I79" i="16" s="1"/>
  <c r="AF37" i="16"/>
  <c r="H79" i="16" s="1"/>
  <c r="AE37" i="16"/>
  <c r="G79" i="16" s="1"/>
  <c r="AD37" i="16"/>
  <c r="F79" i="16" s="1"/>
  <c r="AC37" i="16"/>
  <c r="E79" i="16" s="1"/>
  <c r="AB37" i="16"/>
  <c r="D79" i="16" s="1"/>
  <c r="AA37" i="16"/>
  <c r="C79" i="16" s="1"/>
  <c r="Z37" i="16"/>
  <c r="B79" i="16" s="1"/>
  <c r="Y37" i="16"/>
  <c r="M78" i="16" s="1"/>
  <c r="X37" i="16"/>
  <c r="L78" i="16" s="1"/>
  <c r="W37" i="16"/>
  <c r="K78" i="16" s="1"/>
  <c r="V37" i="16"/>
  <c r="J78" i="16" s="1"/>
  <c r="U37" i="16"/>
  <c r="I78" i="16" s="1"/>
  <c r="T37" i="16"/>
  <c r="H78" i="16" s="1"/>
  <c r="S37" i="16"/>
  <c r="G78" i="16" s="1"/>
  <c r="R37" i="16"/>
  <c r="F78" i="16" s="1"/>
  <c r="Q37" i="16"/>
  <c r="E78" i="16" s="1"/>
  <c r="P37" i="16"/>
  <c r="D78" i="16" s="1"/>
  <c r="O37" i="16"/>
  <c r="C78" i="16" s="1"/>
  <c r="N37" i="16"/>
  <c r="B78" i="16" s="1"/>
  <c r="M37" i="16"/>
  <c r="M77" i="16" s="1"/>
  <c r="L37" i="16"/>
  <c r="L77" i="16" s="1"/>
  <c r="K37" i="16"/>
  <c r="K77" i="16" s="1"/>
  <c r="J37" i="16"/>
  <c r="J77" i="16" s="1"/>
  <c r="I37" i="16"/>
  <c r="I77" i="16" s="1"/>
  <c r="H37" i="16"/>
  <c r="H77" i="16" s="1"/>
  <c r="G37" i="16"/>
  <c r="G77" i="16" s="1"/>
  <c r="F37" i="16"/>
  <c r="F77" i="16" s="1"/>
  <c r="E37" i="16"/>
  <c r="E77" i="16" s="1"/>
  <c r="D37" i="16"/>
  <c r="D77" i="16" s="1"/>
  <c r="C37" i="16"/>
  <c r="C77" i="16" s="1"/>
  <c r="B37" i="16"/>
  <c r="B77" i="16" s="1"/>
  <c r="BF35" i="16"/>
  <c r="BE35" i="16"/>
  <c r="I68" i="16" s="1"/>
  <c r="BD35" i="16"/>
  <c r="H68" i="16" s="1"/>
  <c r="BC35" i="16"/>
  <c r="G68" i="16" s="1"/>
  <c r="BB35" i="16"/>
  <c r="F68" i="16" s="1"/>
  <c r="BA35" i="16"/>
  <c r="E68" i="16" s="1"/>
  <c r="AZ35" i="16"/>
  <c r="D68" i="16" s="1"/>
  <c r="AY35" i="16"/>
  <c r="C68" i="16" s="1"/>
  <c r="AX35" i="16"/>
  <c r="B68" i="16" s="1"/>
  <c r="B71" i="16" s="1"/>
  <c r="B89" i="16" s="1"/>
  <c r="AW35" i="16"/>
  <c r="M67" i="16" s="1"/>
  <c r="AV35" i="16"/>
  <c r="L67" i="16" s="1"/>
  <c r="AU35" i="16"/>
  <c r="K67" i="16" s="1"/>
  <c r="AT35" i="16"/>
  <c r="J67" i="16" s="1"/>
  <c r="AS35" i="16"/>
  <c r="I67" i="16" s="1"/>
  <c r="AR35" i="16"/>
  <c r="H67" i="16" s="1"/>
  <c r="AQ35" i="16"/>
  <c r="G67" i="16" s="1"/>
  <c r="AP35" i="16"/>
  <c r="F67" i="16" s="1"/>
  <c r="AO35" i="16"/>
  <c r="E67" i="16" s="1"/>
  <c r="AN35" i="16"/>
  <c r="D67" i="16" s="1"/>
  <c r="AM35" i="16"/>
  <c r="C67" i="16" s="1"/>
  <c r="AL35" i="16"/>
  <c r="B67" i="16" s="1"/>
  <c r="AK35" i="16"/>
  <c r="M66" i="16" s="1"/>
  <c r="AJ35" i="16"/>
  <c r="L66" i="16" s="1"/>
  <c r="AI35" i="16"/>
  <c r="K66" i="16" s="1"/>
  <c r="AH35" i="16"/>
  <c r="J66" i="16" s="1"/>
  <c r="AG35" i="16"/>
  <c r="I66" i="16" s="1"/>
  <c r="AF35" i="16"/>
  <c r="H66" i="16" s="1"/>
  <c r="H69" i="16" s="1"/>
  <c r="AE35" i="16"/>
  <c r="G66" i="16" s="1"/>
  <c r="AD35" i="16"/>
  <c r="F66" i="16" s="1"/>
  <c r="AC35" i="16"/>
  <c r="E66" i="16" s="1"/>
  <c r="AB35" i="16"/>
  <c r="D66" i="16" s="1"/>
  <c r="AA35" i="16"/>
  <c r="C66" i="16" s="1"/>
  <c r="Z35" i="16"/>
  <c r="B66" i="16" s="1"/>
  <c r="Y35" i="16"/>
  <c r="M65" i="16" s="1"/>
  <c r="X35" i="16"/>
  <c r="L65" i="16" s="1"/>
  <c r="W35" i="16"/>
  <c r="K65" i="16" s="1"/>
  <c r="V35" i="16"/>
  <c r="J65" i="16" s="1"/>
  <c r="U35" i="16"/>
  <c r="I65" i="16" s="1"/>
  <c r="T35" i="16"/>
  <c r="H65" i="16" s="1"/>
  <c r="S35" i="16"/>
  <c r="G65" i="16" s="1"/>
  <c r="R35" i="16"/>
  <c r="F65" i="16" s="1"/>
  <c r="Q35" i="16"/>
  <c r="E65" i="16" s="1"/>
  <c r="P35" i="16"/>
  <c r="D65" i="16" s="1"/>
  <c r="O35" i="16"/>
  <c r="C65" i="16" s="1"/>
  <c r="N35" i="16"/>
  <c r="B65" i="16" s="1"/>
  <c r="M35" i="16"/>
  <c r="M64" i="16" s="1"/>
  <c r="L35" i="16"/>
  <c r="L64" i="16" s="1"/>
  <c r="K35" i="16"/>
  <c r="K64" i="16" s="1"/>
  <c r="J35" i="16"/>
  <c r="J64" i="16" s="1"/>
  <c r="I35" i="16"/>
  <c r="I64" i="16" s="1"/>
  <c r="H35" i="16"/>
  <c r="H64" i="16" s="1"/>
  <c r="G35" i="16"/>
  <c r="G64" i="16" s="1"/>
  <c r="F35" i="16"/>
  <c r="F64" i="16" s="1"/>
  <c r="E35" i="16"/>
  <c r="E64" i="16" s="1"/>
  <c r="D35" i="16"/>
  <c r="D64" i="16" s="1"/>
  <c r="C35" i="16"/>
  <c r="C64" i="16" s="1"/>
  <c r="BW33" i="16"/>
  <c r="BJ33" i="16" s="1"/>
  <c r="BF33" i="16"/>
  <c r="BV33" i="16" s="1"/>
  <c r="BG33" i="16" s="1"/>
  <c r="BE33" i="16"/>
  <c r="BD33" i="16"/>
  <c r="BC33" i="16"/>
  <c r="BB33" i="16"/>
  <c r="BA33" i="16"/>
  <c r="AZ33" i="16"/>
  <c r="AY33" i="16"/>
  <c r="AX33" i="16"/>
  <c r="AW33" i="16"/>
  <c r="AV33" i="16"/>
  <c r="AU33" i="16"/>
  <c r="AT33" i="16"/>
  <c r="AS33" i="16"/>
  <c r="AR33" i="16"/>
  <c r="AQ33" i="16"/>
  <c r="AP33" i="16"/>
  <c r="AO33" i="16"/>
  <c r="AN33" i="16"/>
  <c r="AM33" i="16"/>
  <c r="AL33" i="16"/>
  <c r="AK33" i="16"/>
  <c r="AJ33" i="16"/>
  <c r="AI33" i="16"/>
  <c r="AH33" i="16"/>
  <c r="AG33" i="16"/>
  <c r="AF33" i="16"/>
  <c r="AE33" i="16"/>
  <c r="AD33" i="16"/>
  <c r="AC33" i="16"/>
  <c r="AB33" i="16"/>
  <c r="AA33" i="16"/>
  <c r="Z33" i="16"/>
  <c r="Y33" i="16"/>
  <c r="X33" i="16"/>
  <c r="W33" i="16"/>
  <c r="V33" i="16"/>
  <c r="U33" i="16"/>
  <c r="T33" i="16"/>
  <c r="S33" i="16"/>
  <c r="R33" i="16"/>
  <c r="Q33" i="16"/>
  <c r="P33" i="16"/>
  <c r="O33" i="16"/>
  <c r="N33" i="16"/>
  <c r="BI31" i="16"/>
  <c r="AL27" i="16"/>
  <c r="Z27" i="16"/>
  <c r="V24" i="16"/>
  <c r="U24" i="16"/>
  <c r="T24" i="16"/>
  <c r="T25" i="16" s="1"/>
  <c r="S24" i="16"/>
  <c r="S25" i="16" s="1"/>
  <c r="R24" i="16"/>
  <c r="R25" i="16" s="1"/>
  <c r="Q24" i="16"/>
  <c r="Q25" i="16" s="1"/>
  <c r="P24" i="16"/>
  <c r="P25" i="16" s="1"/>
  <c r="O24" i="16"/>
  <c r="O25" i="16" s="1"/>
  <c r="N24" i="16"/>
  <c r="N25" i="16" s="1"/>
  <c r="M24" i="16"/>
  <c r="M25" i="16"/>
  <c r="L24" i="16"/>
  <c r="L25" i="16" s="1"/>
  <c r="K24" i="16"/>
  <c r="K25" i="16" s="1"/>
  <c r="J24" i="16"/>
  <c r="J25" i="16" s="1"/>
  <c r="I24" i="16"/>
  <c r="I25" i="16" s="1"/>
  <c r="H24" i="16"/>
  <c r="H25" i="16" s="1"/>
  <c r="G24" i="16"/>
  <c r="G25" i="16" s="1"/>
  <c r="F24" i="16"/>
  <c r="F25" i="16" s="1"/>
  <c r="E24" i="16"/>
  <c r="E25" i="16" s="1"/>
  <c r="D24" i="16"/>
  <c r="D25" i="16" s="1"/>
  <c r="C24" i="16"/>
  <c r="V22" i="16"/>
  <c r="U22" i="16"/>
  <c r="T22" i="16"/>
  <c r="S22" i="16"/>
  <c r="R22" i="16"/>
  <c r="Q22" i="16"/>
  <c r="P22" i="16"/>
  <c r="O22" i="16"/>
  <c r="N22" i="16"/>
  <c r="M22" i="16"/>
  <c r="L22" i="16"/>
  <c r="K22" i="16"/>
  <c r="J22" i="16"/>
  <c r="I22" i="16"/>
  <c r="H22" i="16"/>
  <c r="G22" i="16"/>
  <c r="F22" i="16"/>
  <c r="E22" i="16"/>
  <c r="D22" i="16"/>
  <c r="C22" i="16"/>
  <c r="X21" i="16"/>
  <c r="X24" i="16"/>
  <c r="W21" i="16"/>
  <c r="T17" i="16"/>
  <c r="S17" i="16"/>
  <c r="R17" i="16"/>
  <c r="Q17" i="16"/>
  <c r="P17" i="16"/>
  <c r="O17" i="16"/>
  <c r="N17" i="16"/>
  <c r="M17" i="16"/>
  <c r="L17" i="16"/>
  <c r="K17" i="16"/>
  <c r="J17" i="16"/>
  <c r="I17" i="16"/>
  <c r="H17" i="16"/>
  <c r="G17" i="16"/>
  <c r="F17" i="16"/>
  <c r="E17" i="16"/>
  <c r="T15" i="16"/>
  <c r="T16" i="16" s="1"/>
  <c r="S15" i="16"/>
  <c r="R15" i="16"/>
  <c r="R16" i="16" s="1"/>
  <c r="Q15" i="16"/>
  <c r="P15" i="16"/>
  <c r="O15" i="16"/>
  <c r="N15" i="16"/>
  <c r="M15" i="16"/>
  <c r="L15" i="16"/>
  <c r="K15" i="16"/>
  <c r="J15" i="16"/>
  <c r="J16" i="16" s="1"/>
  <c r="I15" i="16"/>
  <c r="H15" i="16"/>
  <c r="G15" i="16"/>
  <c r="F15" i="16"/>
  <c r="E15" i="16"/>
  <c r="D15" i="16"/>
  <c r="T13" i="16"/>
  <c r="S13" i="16"/>
  <c r="S14" i="16" s="1"/>
  <c r="R13" i="16"/>
  <c r="Q13" i="16"/>
  <c r="P13" i="16"/>
  <c r="O13" i="16"/>
  <c r="N13" i="16"/>
  <c r="M13" i="16"/>
  <c r="L13" i="16"/>
  <c r="K13" i="16"/>
  <c r="J13" i="16"/>
  <c r="I13" i="16"/>
  <c r="H13" i="16"/>
  <c r="G13" i="16"/>
  <c r="G14" i="16" s="1"/>
  <c r="F13" i="16"/>
  <c r="E13" i="16"/>
  <c r="F14" i="16" s="1"/>
  <c r="U12" i="16"/>
  <c r="U25" i="16" s="1"/>
  <c r="X11" i="16"/>
  <c r="W11" i="16"/>
  <c r="V11" i="16"/>
  <c r="U11" i="16"/>
  <c r="T11" i="16"/>
  <c r="S11" i="16"/>
  <c r="R11" i="16"/>
  <c r="Q11" i="16"/>
  <c r="P11" i="16"/>
  <c r="O11" i="16"/>
  <c r="N11" i="16"/>
  <c r="M11" i="16"/>
  <c r="L11" i="16"/>
  <c r="K11" i="16"/>
  <c r="J11" i="16"/>
  <c r="I11" i="16"/>
  <c r="H11" i="16"/>
  <c r="G11" i="16"/>
  <c r="F11" i="16"/>
  <c r="E11" i="16"/>
  <c r="D11" i="16"/>
  <c r="C11" i="16"/>
  <c r="O135" i="16"/>
  <c r="H135" i="16"/>
  <c r="P135" i="16"/>
  <c r="P122" i="16"/>
  <c r="AV55" i="16"/>
  <c r="M129" i="16"/>
  <c r="AQ55" i="16"/>
  <c r="AQ56" i="16" s="1"/>
  <c r="BC72" i="16" s="1"/>
  <c r="AY55" i="16"/>
  <c r="V129" i="16"/>
  <c r="D126" i="16"/>
  <c r="L126" i="16"/>
  <c r="L129" i="16"/>
  <c r="L130" i="16" s="1"/>
  <c r="J126" i="16"/>
  <c r="L94" i="16"/>
  <c r="X120" i="16"/>
  <c r="X135" i="16" s="1"/>
  <c r="BH52" i="16"/>
  <c r="L99" i="16"/>
  <c r="BH55" i="16" s="1"/>
  <c r="N84" i="9"/>
  <c r="E47" i="12"/>
  <c r="E48" i="12"/>
  <c r="E46" i="12"/>
  <c r="D47" i="12"/>
  <c r="D48" i="12"/>
  <c r="D46" i="12"/>
  <c r="L136" i="11"/>
  <c r="L125" i="11" s="1"/>
  <c r="L126" i="11" s="1"/>
  <c r="L127" i="11" s="1"/>
  <c r="L128" i="11" s="1"/>
  <c r="L129" i="11" s="1"/>
  <c r="L130" i="11" s="1"/>
  <c r="L131" i="11" s="1"/>
  <c r="L132" i="11" s="1"/>
  <c r="L133" i="11" s="1"/>
  <c r="L134" i="11" s="1"/>
  <c r="X126" i="11"/>
  <c r="Z141" i="11" s="1"/>
  <c r="X127" i="11"/>
  <c r="X128" i="11"/>
  <c r="X129" i="11"/>
  <c r="Z144" i="11" s="1"/>
  <c r="X130" i="11"/>
  <c r="Z145" i="11" s="1"/>
  <c r="X131" i="11"/>
  <c r="Z146" i="11" s="1"/>
  <c r="X132" i="11"/>
  <c r="X133" i="11"/>
  <c r="Z148" i="11" s="1"/>
  <c r="X134" i="11"/>
  <c r="Z149" i="11" s="1"/>
  <c r="X135" i="11"/>
  <c r="Z150" i="11" s="1"/>
  <c r="X125" i="11"/>
  <c r="Z140" i="11" s="1"/>
  <c r="X124" i="11"/>
  <c r="Z139" i="11" s="1"/>
  <c r="X121" i="11"/>
  <c r="Z121" i="11" s="1"/>
  <c r="X120" i="11"/>
  <c r="Z120" i="11" s="1"/>
  <c r="X119" i="11"/>
  <c r="Z119" i="11" s="1"/>
  <c r="X118" i="11"/>
  <c r="Z118" i="11" s="1"/>
  <c r="X117" i="11"/>
  <c r="Z117" i="11" s="1"/>
  <c r="X116" i="11"/>
  <c r="Z116" i="11" s="1"/>
  <c r="X115" i="11"/>
  <c r="Z115" i="11" s="1"/>
  <c r="X114" i="11"/>
  <c r="Z114" i="11" s="1"/>
  <c r="X113" i="11"/>
  <c r="Z113" i="11" s="1"/>
  <c r="X112" i="11"/>
  <c r="Z112" i="11" s="1"/>
  <c r="X111" i="11"/>
  <c r="Z111" i="11" s="1"/>
  <c r="X110" i="11"/>
  <c r="Z110" i="11" s="1"/>
  <c r="AN149" i="10"/>
  <c r="AN150" i="10"/>
  <c r="AN151" i="10"/>
  <c r="AP151" i="10" s="1"/>
  <c r="AQ151" i="10" s="1"/>
  <c r="AN152" i="10"/>
  <c r="AN154" i="10"/>
  <c r="AP154" i="10" s="1"/>
  <c r="AQ154" i="10" s="1"/>
  <c r="AN155" i="10"/>
  <c r="AN156" i="10"/>
  <c r="AN157" i="10"/>
  <c r="AP157" i="10" s="1"/>
  <c r="AQ157" i="10" s="1"/>
  <c r="AN158" i="10"/>
  <c r="AN159" i="10"/>
  <c r="AN148" i="10"/>
  <c r="AP148" i="10" s="1"/>
  <c r="AQ148" i="10" s="1"/>
  <c r="AJ149" i="10"/>
  <c r="AM166" i="10" s="1"/>
  <c r="AJ150" i="10"/>
  <c r="AM167" i="10" s="1"/>
  <c r="AJ151" i="10"/>
  <c r="AM168" i="10" s="1"/>
  <c r="AJ152" i="10"/>
  <c r="AM169" i="10" s="1"/>
  <c r="AJ153" i="10"/>
  <c r="AM170" i="10" s="1"/>
  <c r="AJ155" i="10"/>
  <c r="AJ156" i="10"/>
  <c r="AJ159" i="10"/>
  <c r="AJ148" i="10"/>
  <c r="AM165" i="10" s="1"/>
  <c r="AC135" i="11"/>
  <c r="AD150" i="11" s="1"/>
  <c r="AC132" i="11"/>
  <c r="AC131" i="11"/>
  <c r="AC130" i="11"/>
  <c r="AC129" i="11"/>
  <c r="AD144" i="11" s="1"/>
  <c r="AC128" i="11"/>
  <c r="AD143" i="11" s="1"/>
  <c r="AC127" i="11"/>
  <c r="AD142" i="11" s="1"/>
  <c r="AC126" i="11"/>
  <c r="AC125" i="11"/>
  <c r="AD140" i="11" s="1"/>
  <c r="AC124" i="11"/>
  <c r="AD139" i="11" s="1"/>
  <c r="AP227" i="10"/>
  <c r="AQ227" i="10"/>
  <c r="AR227" i="10"/>
  <c r="AS227" i="10"/>
  <c r="AT227" i="10"/>
  <c r="AU227" i="10"/>
  <c r="AV227" i="10"/>
  <c r="AW227" i="10"/>
  <c r="AX227" i="10"/>
  <c r="AY227" i="10"/>
  <c r="AZ227" i="10"/>
  <c r="AO227" i="10"/>
  <c r="AN226" i="10"/>
  <c r="AA127" i="11"/>
  <c r="AA130" i="11"/>
  <c r="AA133" i="11"/>
  <c r="AA124" i="11"/>
  <c r="AT131" i="10"/>
  <c r="AT132" i="10"/>
  <c r="AT133" i="10"/>
  <c r="AH125" i="11"/>
  <c r="AH126" i="11"/>
  <c r="AH127" i="11"/>
  <c r="AH128" i="11"/>
  <c r="AH129" i="11"/>
  <c r="AH130" i="11"/>
  <c r="AH131" i="11"/>
  <c r="AH132" i="11"/>
  <c r="AH133" i="11"/>
  <c r="AH134" i="11"/>
  <c r="AH135" i="11"/>
  <c r="AH124" i="11"/>
  <c r="D135" i="11"/>
  <c r="D134" i="11"/>
  <c r="D133" i="11"/>
  <c r="D132" i="11"/>
  <c r="D131" i="11"/>
  <c r="D130" i="11"/>
  <c r="D129" i="11"/>
  <c r="D128" i="11"/>
  <c r="D127" i="11"/>
  <c r="D126" i="11"/>
  <c r="D125" i="11"/>
  <c r="D124" i="11"/>
  <c r="I88" i="9"/>
  <c r="J167" i="10"/>
  <c r="AY31" i="9"/>
  <c r="AZ31" i="9"/>
  <c r="BA31" i="9"/>
  <c r="BB31" i="9"/>
  <c r="BC31" i="9"/>
  <c r="BD31" i="9"/>
  <c r="BE31" i="9"/>
  <c r="N91" i="9"/>
  <c r="T32" i="15"/>
  <c r="T12" i="15"/>
  <c r="T31" i="15"/>
  <c r="T30" i="15"/>
  <c r="T29" i="15"/>
  <c r="T28" i="15"/>
  <c r="T27" i="15"/>
  <c r="T26" i="15"/>
  <c r="T25" i="15"/>
  <c r="T24" i="15"/>
  <c r="T23" i="15"/>
  <c r="T22" i="15"/>
  <c r="T21" i="15"/>
  <c r="T20" i="15"/>
  <c r="T19" i="15"/>
  <c r="T18" i="15"/>
  <c r="T17" i="15"/>
  <c r="T16" i="15"/>
  <c r="T15" i="15"/>
  <c r="T14" i="15"/>
  <c r="T13" i="15"/>
  <c r="T11" i="15"/>
  <c r="T10" i="15"/>
  <c r="T9" i="15"/>
  <c r="T8" i="15"/>
  <c r="T7" i="15"/>
  <c r="T6" i="15"/>
  <c r="C115" i="15"/>
  <c r="C114" i="15"/>
  <c r="C113" i="15"/>
  <c r="C112" i="15"/>
  <c r="C111" i="15"/>
  <c r="C110" i="15"/>
  <c r="C109" i="15"/>
  <c r="C108" i="15"/>
  <c r="C107" i="15"/>
  <c r="C106" i="15"/>
  <c r="C105" i="15"/>
  <c r="C104" i="15"/>
  <c r="C103" i="15"/>
  <c r="C102" i="15"/>
  <c r="C101" i="15"/>
  <c r="C100" i="15"/>
  <c r="J100" i="15"/>
  <c r="J101" i="15"/>
  <c r="J102" i="15"/>
  <c r="J103" i="15"/>
  <c r="J104" i="15"/>
  <c r="J105" i="15"/>
  <c r="J106" i="15"/>
  <c r="J107" i="15"/>
  <c r="J108" i="15"/>
  <c r="J109" i="15"/>
  <c r="J110" i="15"/>
  <c r="J111" i="15"/>
  <c r="J112" i="15"/>
  <c r="J113" i="15"/>
  <c r="J114" i="15"/>
  <c r="J115" i="15"/>
  <c r="I112" i="15"/>
  <c r="F38" i="15"/>
  <c r="H38" i="15"/>
  <c r="J38" i="15"/>
  <c r="L38" i="15"/>
  <c r="L39" i="15" s="1"/>
  <c r="N38" i="15"/>
  <c r="N39" i="15" s="1"/>
  <c r="P38" i="15"/>
  <c r="P39" i="15" s="1"/>
  <c r="D43" i="15"/>
  <c r="F43" i="15"/>
  <c r="H43" i="15"/>
  <c r="J43" i="15"/>
  <c r="L43" i="15"/>
  <c r="N43" i="15"/>
  <c r="P43" i="15"/>
  <c r="F45" i="15"/>
  <c r="H45" i="15"/>
  <c r="J45" i="15"/>
  <c r="L45" i="15"/>
  <c r="N45" i="15"/>
  <c r="P45" i="15"/>
  <c r="R45" i="15"/>
  <c r="T45" i="15"/>
  <c r="V45" i="15"/>
  <c r="X45" i="15"/>
  <c r="Z45" i="15"/>
  <c r="O49" i="15"/>
  <c r="C81" i="15"/>
  <c r="D81" i="15"/>
  <c r="E81" i="15"/>
  <c r="F81" i="15"/>
  <c r="G81" i="15"/>
  <c r="H81" i="15"/>
  <c r="I81" i="15"/>
  <c r="J81" i="15"/>
  <c r="K81" i="15"/>
  <c r="L81" i="15"/>
  <c r="M81" i="15"/>
  <c r="N81" i="15"/>
  <c r="C82" i="15"/>
  <c r="C122" i="15" s="1"/>
  <c r="D82" i="15"/>
  <c r="E82" i="15"/>
  <c r="F82" i="15"/>
  <c r="G82" i="15"/>
  <c r="H82" i="15"/>
  <c r="I82" i="15"/>
  <c r="J82" i="15"/>
  <c r="K82" i="15"/>
  <c r="L82" i="15"/>
  <c r="M82" i="15"/>
  <c r="N82" i="15"/>
  <c r="C83" i="15"/>
  <c r="D83" i="15"/>
  <c r="E83" i="15"/>
  <c r="F83" i="15"/>
  <c r="G83" i="15"/>
  <c r="H83" i="15"/>
  <c r="I83" i="15"/>
  <c r="J83" i="15"/>
  <c r="K83" i="15"/>
  <c r="L83" i="15"/>
  <c r="M83" i="15"/>
  <c r="N83" i="15"/>
  <c r="C84" i="15"/>
  <c r="C124" i="15" s="1"/>
  <c r="D84" i="15"/>
  <c r="E84" i="15"/>
  <c r="F84" i="15"/>
  <c r="G84" i="15"/>
  <c r="H84" i="15"/>
  <c r="I84" i="15"/>
  <c r="J84" i="15"/>
  <c r="K84" i="15"/>
  <c r="L84" i="15"/>
  <c r="M84" i="15"/>
  <c r="N84" i="15"/>
  <c r="C85" i="15"/>
  <c r="C125" i="15" s="1"/>
  <c r="D85" i="15"/>
  <c r="E85" i="15"/>
  <c r="F85" i="15"/>
  <c r="G85" i="15"/>
  <c r="H85" i="15"/>
  <c r="I85" i="15"/>
  <c r="J85" i="15"/>
  <c r="K85" i="15"/>
  <c r="L85" i="15"/>
  <c r="M85" i="15"/>
  <c r="N85" i="15"/>
  <c r="C86" i="15"/>
  <c r="D86" i="15"/>
  <c r="E86" i="15"/>
  <c r="F86" i="15"/>
  <c r="G86" i="15"/>
  <c r="H86" i="15"/>
  <c r="I86" i="15"/>
  <c r="J86" i="15"/>
  <c r="K86" i="15"/>
  <c r="L86" i="15"/>
  <c r="M86" i="15"/>
  <c r="N86" i="15"/>
  <c r="C87" i="15"/>
  <c r="D87" i="15"/>
  <c r="E87" i="15"/>
  <c r="F87" i="15"/>
  <c r="G87" i="15"/>
  <c r="H87" i="15"/>
  <c r="I87" i="15"/>
  <c r="J87" i="15"/>
  <c r="K87" i="15"/>
  <c r="L87" i="15"/>
  <c r="M87" i="15"/>
  <c r="N87" i="15"/>
  <c r="C88" i="15"/>
  <c r="D88" i="15"/>
  <c r="E88" i="15"/>
  <c r="F88" i="15"/>
  <c r="G88" i="15"/>
  <c r="H88" i="15"/>
  <c r="I88" i="15"/>
  <c r="J88" i="15"/>
  <c r="K88" i="15"/>
  <c r="L88" i="15"/>
  <c r="M88" i="15"/>
  <c r="N88" i="15"/>
  <c r="C89" i="15"/>
  <c r="D89" i="15"/>
  <c r="E89" i="15"/>
  <c r="F89" i="15"/>
  <c r="G89" i="15"/>
  <c r="H89" i="15"/>
  <c r="I89" i="15"/>
  <c r="J89" i="15"/>
  <c r="K89" i="15"/>
  <c r="L89" i="15"/>
  <c r="M89" i="15"/>
  <c r="N89" i="15"/>
  <c r="C90" i="15"/>
  <c r="D90" i="15"/>
  <c r="E90" i="15"/>
  <c r="F90" i="15"/>
  <c r="G90" i="15"/>
  <c r="H90" i="15"/>
  <c r="I90" i="15"/>
  <c r="J90" i="15"/>
  <c r="K90" i="15"/>
  <c r="L90" i="15"/>
  <c r="M90" i="15"/>
  <c r="N90" i="15"/>
  <c r="C91" i="15"/>
  <c r="D91" i="15"/>
  <c r="E91" i="15"/>
  <c r="F91" i="15"/>
  <c r="G91" i="15"/>
  <c r="H91" i="15"/>
  <c r="I91" i="15"/>
  <c r="J91" i="15"/>
  <c r="K91" i="15"/>
  <c r="L91" i="15"/>
  <c r="M91" i="15"/>
  <c r="N91" i="15"/>
  <c r="C92" i="15"/>
  <c r="C132" i="15" s="1"/>
  <c r="D92" i="15"/>
  <c r="E92" i="15"/>
  <c r="F92" i="15"/>
  <c r="G92" i="15"/>
  <c r="H92" i="15"/>
  <c r="I92" i="15"/>
  <c r="J92" i="15"/>
  <c r="K92" i="15"/>
  <c r="L92" i="15"/>
  <c r="M92" i="15"/>
  <c r="N92" i="15"/>
  <c r="C93" i="15"/>
  <c r="D93" i="15"/>
  <c r="E93" i="15"/>
  <c r="F93" i="15"/>
  <c r="G93" i="15"/>
  <c r="H93" i="15"/>
  <c r="I93" i="15"/>
  <c r="L112" i="15" s="1"/>
  <c r="J93" i="15"/>
  <c r="K93" i="15"/>
  <c r="L93" i="15"/>
  <c r="M93" i="15"/>
  <c r="N93" i="15"/>
  <c r="C94" i="15"/>
  <c r="C133" i="15" s="1"/>
  <c r="D94" i="15"/>
  <c r="E94" i="15"/>
  <c r="F94" i="15"/>
  <c r="G94" i="15"/>
  <c r="H94" i="15"/>
  <c r="I94" i="15"/>
  <c r="J94" i="15"/>
  <c r="K94" i="15"/>
  <c r="L94" i="15"/>
  <c r="M94" i="15"/>
  <c r="N94" i="15"/>
  <c r="C95" i="15"/>
  <c r="D95" i="15"/>
  <c r="E95" i="15"/>
  <c r="F95" i="15"/>
  <c r="G95" i="15"/>
  <c r="H95" i="15"/>
  <c r="I95" i="15"/>
  <c r="J95" i="15"/>
  <c r="K95" i="15"/>
  <c r="L95" i="15"/>
  <c r="M95" i="15"/>
  <c r="N95" i="15"/>
  <c r="C96" i="15"/>
  <c r="D96" i="15"/>
  <c r="E96" i="15"/>
  <c r="F96" i="15"/>
  <c r="G96" i="15"/>
  <c r="H96" i="15"/>
  <c r="I96" i="15"/>
  <c r="J96" i="15"/>
  <c r="K96" i="15"/>
  <c r="L96" i="15"/>
  <c r="M96" i="15"/>
  <c r="N96" i="15"/>
  <c r="D100" i="15"/>
  <c r="D121" i="15" s="1"/>
  <c r="E100" i="15"/>
  <c r="E121" i="15" s="1"/>
  <c r="F100" i="15"/>
  <c r="G100" i="15"/>
  <c r="H100" i="15"/>
  <c r="I100" i="15"/>
  <c r="D101" i="15"/>
  <c r="E101" i="15"/>
  <c r="F101" i="15"/>
  <c r="F122" i="15" s="1"/>
  <c r="G101" i="15"/>
  <c r="H101" i="15"/>
  <c r="H122" i="15" s="1"/>
  <c r="I101" i="15"/>
  <c r="D102" i="15"/>
  <c r="E102" i="15"/>
  <c r="F102" i="15"/>
  <c r="G102" i="15"/>
  <c r="H102" i="15"/>
  <c r="I102" i="15"/>
  <c r="D103" i="15"/>
  <c r="E103" i="15"/>
  <c r="F103" i="15"/>
  <c r="G103" i="15"/>
  <c r="H103" i="15"/>
  <c r="I103" i="15"/>
  <c r="D104" i="15"/>
  <c r="D125" i="15" s="1"/>
  <c r="E104" i="15"/>
  <c r="F104" i="15"/>
  <c r="G104" i="15"/>
  <c r="H104" i="15"/>
  <c r="I104" i="15"/>
  <c r="D105" i="15"/>
  <c r="E105" i="15"/>
  <c r="F105" i="15"/>
  <c r="G105" i="15"/>
  <c r="H105" i="15"/>
  <c r="I105" i="15"/>
  <c r="D106" i="15"/>
  <c r="D127" i="15" s="1"/>
  <c r="E106" i="15"/>
  <c r="F106" i="15"/>
  <c r="G106" i="15"/>
  <c r="H106" i="15"/>
  <c r="I106" i="15"/>
  <c r="D107" i="15"/>
  <c r="E107" i="15"/>
  <c r="F107" i="15"/>
  <c r="F128" i="15" s="1"/>
  <c r="G107" i="15"/>
  <c r="H107" i="15"/>
  <c r="I107" i="15"/>
  <c r="D108" i="15"/>
  <c r="D129" i="15" s="1"/>
  <c r="E108" i="15"/>
  <c r="F108" i="15"/>
  <c r="G108" i="15"/>
  <c r="H108" i="15"/>
  <c r="I108" i="15"/>
  <c r="D109" i="15"/>
  <c r="E109" i="15"/>
  <c r="F109" i="15"/>
  <c r="G109" i="15"/>
  <c r="H109" i="15"/>
  <c r="I109" i="15"/>
  <c r="D110" i="15"/>
  <c r="D131" i="15" s="1"/>
  <c r="E110" i="15"/>
  <c r="E131" i="15" s="1"/>
  <c r="F110" i="15"/>
  <c r="G110" i="15"/>
  <c r="H110" i="15"/>
  <c r="I110" i="15"/>
  <c r="L110" i="15" s="1"/>
  <c r="D111" i="15"/>
  <c r="E111" i="15"/>
  <c r="E132" i="15" s="1"/>
  <c r="F111" i="15"/>
  <c r="G111" i="15"/>
  <c r="H111" i="15"/>
  <c r="I111" i="15"/>
  <c r="D112" i="15"/>
  <c r="E112" i="15"/>
  <c r="F112" i="15"/>
  <c r="G112" i="15"/>
  <c r="H112" i="15"/>
  <c r="D113" i="15"/>
  <c r="E113" i="15"/>
  <c r="F113" i="15"/>
  <c r="G113" i="15"/>
  <c r="H113" i="15"/>
  <c r="I113" i="15"/>
  <c r="D114" i="15"/>
  <c r="E114" i="15"/>
  <c r="F114" i="15"/>
  <c r="G114" i="15"/>
  <c r="H114" i="15"/>
  <c r="I114" i="15"/>
  <c r="D115" i="15"/>
  <c r="E115" i="15"/>
  <c r="F115" i="15"/>
  <c r="G115" i="15"/>
  <c r="H115" i="15"/>
  <c r="H135" i="15" s="1"/>
  <c r="I115" i="15"/>
  <c r="G91" i="9"/>
  <c r="H91" i="9"/>
  <c r="I91" i="9"/>
  <c r="AC118" i="11"/>
  <c r="Q206" i="11" s="1"/>
  <c r="AY49" i="9"/>
  <c r="AZ49" i="9"/>
  <c r="BA49" i="9"/>
  <c r="BB49" i="9"/>
  <c r="BC49" i="9"/>
  <c r="BD49" i="9"/>
  <c r="AX48" i="9"/>
  <c r="H89" i="9"/>
  <c r="AE146" i="10"/>
  <c r="BC35" i="14"/>
  <c r="BC36" i="14"/>
  <c r="BC37" i="14"/>
  <c r="BC38" i="14"/>
  <c r="BC39" i="14"/>
  <c r="BC40" i="14"/>
  <c r="BC41" i="14"/>
  <c r="BC42" i="14"/>
  <c r="BC43" i="14"/>
  <c r="N110" i="9"/>
  <c r="B203" i="9" s="1"/>
  <c r="O110" i="9"/>
  <c r="P110" i="9"/>
  <c r="Q110" i="9"/>
  <c r="R110" i="9"/>
  <c r="S110" i="9"/>
  <c r="G203" i="9" s="1"/>
  <c r="C86" i="9"/>
  <c r="D86" i="9"/>
  <c r="E86" i="9"/>
  <c r="Q111" i="9" s="1"/>
  <c r="F86" i="9"/>
  <c r="G86" i="9"/>
  <c r="AT130" i="10"/>
  <c r="AT129" i="10"/>
  <c r="AT128" i="10"/>
  <c r="AT127" i="10"/>
  <c r="AT126" i="10"/>
  <c r="F42" i="12"/>
  <c r="F230" i="11"/>
  <c r="F231" i="11" s="1"/>
  <c r="F232" i="11" s="1"/>
  <c r="F233" i="11" s="1"/>
  <c r="F234" i="11" s="1"/>
  <c r="F235" i="11" s="1"/>
  <c r="F236" i="11" s="1"/>
  <c r="F237" i="11" s="1"/>
  <c r="I133" i="10"/>
  <c r="I145" i="10" s="1"/>
  <c r="I123" i="10"/>
  <c r="I135" i="10" s="1"/>
  <c r="I124" i="10"/>
  <c r="I136" i="10" s="1"/>
  <c r="I125" i="10"/>
  <c r="I137" i="10" s="1"/>
  <c r="I126" i="10"/>
  <c r="I138" i="10" s="1"/>
  <c r="I127" i="10"/>
  <c r="I139" i="10" s="1"/>
  <c r="I128" i="10"/>
  <c r="I140" i="10" s="1"/>
  <c r="I129" i="10"/>
  <c r="I141" i="10" s="1"/>
  <c r="I130" i="10"/>
  <c r="I142" i="10" s="1"/>
  <c r="I131" i="10"/>
  <c r="I143" i="10" s="1"/>
  <c r="I132" i="10"/>
  <c r="I144" i="10" s="1"/>
  <c r="I122" i="10"/>
  <c r="I134" i="10" s="1"/>
  <c r="J217" i="10"/>
  <c r="J216" i="10"/>
  <c r="J215" i="10"/>
  <c r="J214" i="10"/>
  <c r="E214" i="10"/>
  <c r="E215" i="10"/>
  <c r="E216" i="10"/>
  <c r="E217" i="10"/>
  <c r="E213" i="10"/>
  <c r="J213" i="10"/>
  <c r="E35" i="14"/>
  <c r="F35" i="14"/>
  <c r="G35" i="14"/>
  <c r="H35" i="14"/>
  <c r="I35" i="14"/>
  <c r="J35" i="14"/>
  <c r="K35" i="14"/>
  <c r="L35" i="14"/>
  <c r="M35" i="14"/>
  <c r="N35" i="14"/>
  <c r="O35" i="14"/>
  <c r="P35" i="14"/>
  <c r="Q35" i="14"/>
  <c r="R35" i="14"/>
  <c r="S35" i="14"/>
  <c r="T35" i="14"/>
  <c r="U35" i="14"/>
  <c r="V35" i="14"/>
  <c r="W35" i="14"/>
  <c r="X35" i="14"/>
  <c r="Y35" i="14"/>
  <c r="Z35" i="14"/>
  <c r="AA35" i="14"/>
  <c r="AB35" i="14"/>
  <c r="AC35" i="14"/>
  <c r="AD35" i="14"/>
  <c r="AE35" i="14"/>
  <c r="AF35" i="14"/>
  <c r="AG35" i="14"/>
  <c r="AH35" i="14"/>
  <c r="AI35" i="14"/>
  <c r="AJ35" i="14"/>
  <c r="AK35" i="14"/>
  <c r="AL35" i="14"/>
  <c r="AM35" i="14"/>
  <c r="AN35" i="14"/>
  <c r="AO35" i="14"/>
  <c r="AP35" i="14"/>
  <c r="AQ35" i="14"/>
  <c r="AR35" i="14"/>
  <c r="AS35" i="14"/>
  <c r="AT35" i="14"/>
  <c r="AU35" i="14"/>
  <c r="AV35" i="14"/>
  <c r="AW35" i="14"/>
  <c r="AX35" i="14"/>
  <c r="AY35" i="14"/>
  <c r="AZ35" i="14"/>
  <c r="BA35" i="14"/>
  <c r="BB35" i="14"/>
  <c r="E36" i="14"/>
  <c r="F36" i="14"/>
  <c r="G36" i="14"/>
  <c r="H36" i="14"/>
  <c r="I36" i="14"/>
  <c r="J36" i="14"/>
  <c r="K36" i="14"/>
  <c r="L36" i="14"/>
  <c r="M36" i="14"/>
  <c r="N36" i="14"/>
  <c r="O36" i="14"/>
  <c r="P36" i="14"/>
  <c r="Q36" i="14"/>
  <c r="R36" i="14"/>
  <c r="S36" i="14"/>
  <c r="T36" i="14"/>
  <c r="U36" i="14"/>
  <c r="V36" i="14"/>
  <c r="W36" i="14"/>
  <c r="X36" i="14"/>
  <c r="Y36" i="14"/>
  <c r="Z36" i="14"/>
  <c r="AA36" i="14"/>
  <c r="AB36" i="14"/>
  <c r="AC36" i="14"/>
  <c r="AD36" i="14"/>
  <c r="AE36" i="14"/>
  <c r="AF36" i="14"/>
  <c r="AG36" i="14"/>
  <c r="AH36" i="14"/>
  <c r="AI36" i="14"/>
  <c r="AJ36" i="14"/>
  <c r="AK36" i="14"/>
  <c r="AL36" i="14"/>
  <c r="AM36" i="14"/>
  <c r="AN36" i="14"/>
  <c r="AO36" i="14"/>
  <c r="AP36" i="14"/>
  <c r="AQ36" i="14"/>
  <c r="AR36" i="14"/>
  <c r="AS36" i="14"/>
  <c r="AT36" i="14"/>
  <c r="AU36" i="14"/>
  <c r="AV36" i="14"/>
  <c r="AW36" i="14"/>
  <c r="AX36" i="14"/>
  <c r="AY36" i="14"/>
  <c r="AZ36" i="14"/>
  <c r="BA36" i="14"/>
  <c r="BB36" i="14"/>
  <c r="E37" i="14"/>
  <c r="F37" i="14"/>
  <c r="G37" i="14"/>
  <c r="H37" i="14"/>
  <c r="I37" i="14"/>
  <c r="J37" i="14"/>
  <c r="K37" i="14"/>
  <c r="L37" i="14"/>
  <c r="M37" i="14"/>
  <c r="N37" i="14"/>
  <c r="O37" i="14"/>
  <c r="P37" i="14"/>
  <c r="Q37" i="14"/>
  <c r="R37" i="14"/>
  <c r="S37" i="14"/>
  <c r="T37" i="14"/>
  <c r="U37" i="14"/>
  <c r="V37" i="14"/>
  <c r="W37" i="14"/>
  <c r="X37" i="14"/>
  <c r="Y37" i="14"/>
  <c r="Z37" i="14"/>
  <c r="AA37" i="14"/>
  <c r="AB37" i="14"/>
  <c r="AC37" i="14"/>
  <c r="AD37" i="14"/>
  <c r="AE37" i="14"/>
  <c r="AF37" i="14"/>
  <c r="AG37" i="14"/>
  <c r="AH37" i="14"/>
  <c r="AI37" i="14"/>
  <c r="AJ37" i="14"/>
  <c r="AK37" i="14"/>
  <c r="AL37" i="14"/>
  <c r="AM37" i="14"/>
  <c r="AN37" i="14"/>
  <c r="AO37" i="14"/>
  <c r="AP37" i="14"/>
  <c r="AQ37" i="14"/>
  <c r="AR37" i="14"/>
  <c r="AS37" i="14"/>
  <c r="AT37" i="14"/>
  <c r="AU37" i="14"/>
  <c r="AV37" i="14"/>
  <c r="AW37" i="14"/>
  <c r="AX37" i="14"/>
  <c r="AY37" i="14"/>
  <c r="AZ37" i="14"/>
  <c r="BA37" i="14"/>
  <c r="BB37" i="14"/>
  <c r="E38" i="14"/>
  <c r="F38" i="14"/>
  <c r="G38" i="14"/>
  <c r="H38" i="14"/>
  <c r="I38" i="14"/>
  <c r="J38" i="14"/>
  <c r="K38" i="14"/>
  <c r="L38" i="14"/>
  <c r="M38" i="14"/>
  <c r="N38" i="14"/>
  <c r="O38" i="14"/>
  <c r="P38" i="14"/>
  <c r="Q38" i="14"/>
  <c r="R38" i="14"/>
  <c r="S38" i="14"/>
  <c r="T38" i="14"/>
  <c r="U38" i="14"/>
  <c r="V38" i="14"/>
  <c r="W38" i="14"/>
  <c r="X38" i="14"/>
  <c r="Y38" i="14"/>
  <c r="Z38" i="14"/>
  <c r="AA38" i="14"/>
  <c r="AB38" i="14"/>
  <c r="AC38" i="14"/>
  <c r="AD38" i="14"/>
  <c r="AE38" i="14"/>
  <c r="AF38" i="14"/>
  <c r="AG38" i="14"/>
  <c r="AH38" i="14"/>
  <c r="AI38" i="14"/>
  <c r="AJ38" i="14"/>
  <c r="AK38" i="14"/>
  <c r="AL38" i="14"/>
  <c r="AM38" i="14"/>
  <c r="AN38" i="14"/>
  <c r="AO38" i="14"/>
  <c r="AP38" i="14"/>
  <c r="AQ38" i="14"/>
  <c r="AR38" i="14"/>
  <c r="AS38" i="14"/>
  <c r="AT38" i="14"/>
  <c r="AU38" i="14"/>
  <c r="AV38" i="14"/>
  <c r="AW38" i="14"/>
  <c r="AX38" i="14"/>
  <c r="AY38" i="14"/>
  <c r="AZ38" i="14"/>
  <c r="BA38" i="14"/>
  <c r="BB38" i="14"/>
  <c r="E39" i="14"/>
  <c r="F39" i="14"/>
  <c r="G39" i="14"/>
  <c r="H39" i="14"/>
  <c r="I39" i="14"/>
  <c r="J39" i="14"/>
  <c r="K39" i="14"/>
  <c r="L39" i="14"/>
  <c r="M39" i="14"/>
  <c r="N39" i="14"/>
  <c r="O39" i="14"/>
  <c r="P39" i="14"/>
  <c r="Q39" i="14"/>
  <c r="R39" i="14"/>
  <c r="S39" i="14"/>
  <c r="T39" i="14"/>
  <c r="U39" i="14"/>
  <c r="V39" i="14"/>
  <c r="W39" i="14"/>
  <c r="X39" i="14"/>
  <c r="Y39" i="14"/>
  <c r="Z39" i="14"/>
  <c r="AA39" i="14"/>
  <c r="AB39" i="14"/>
  <c r="AC39" i="14"/>
  <c r="AD39" i="14"/>
  <c r="AE39" i="14"/>
  <c r="AF39" i="14"/>
  <c r="AG39" i="14"/>
  <c r="AH39" i="14"/>
  <c r="AI39" i="14"/>
  <c r="AJ39" i="14"/>
  <c r="AK39" i="14"/>
  <c r="AL39" i="14"/>
  <c r="AM39" i="14"/>
  <c r="AN39" i="14"/>
  <c r="AO39" i="14"/>
  <c r="AP39" i="14"/>
  <c r="AQ39" i="14"/>
  <c r="AR39" i="14"/>
  <c r="AS39" i="14"/>
  <c r="AT39" i="14"/>
  <c r="AU39" i="14"/>
  <c r="AV39" i="14"/>
  <c r="AW39" i="14"/>
  <c r="AX39" i="14"/>
  <c r="AY39" i="14"/>
  <c r="AZ39" i="14"/>
  <c r="BA39" i="14"/>
  <c r="BB39" i="14"/>
  <c r="E40" i="14"/>
  <c r="F40" i="14"/>
  <c r="G40" i="14"/>
  <c r="H40" i="14"/>
  <c r="I40" i="14"/>
  <c r="J40" i="14"/>
  <c r="K40" i="14"/>
  <c r="L40" i="14"/>
  <c r="M40" i="14"/>
  <c r="N40" i="14"/>
  <c r="O40" i="14"/>
  <c r="P40" i="14"/>
  <c r="Q40" i="14"/>
  <c r="R40" i="14"/>
  <c r="S40" i="14"/>
  <c r="T40" i="14"/>
  <c r="U40" i="14"/>
  <c r="V40" i="14"/>
  <c r="W40" i="14"/>
  <c r="X40" i="14"/>
  <c r="Y40" i="14"/>
  <c r="Z40" i="14"/>
  <c r="AA40" i="14"/>
  <c r="AB40" i="14"/>
  <c r="AC40" i="14"/>
  <c r="AD40" i="14"/>
  <c r="AE40" i="14"/>
  <c r="AF40" i="14"/>
  <c r="AG40" i="14"/>
  <c r="AH40" i="14"/>
  <c r="AI40" i="14"/>
  <c r="AJ40" i="14"/>
  <c r="AK40" i="14"/>
  <c r="AL40" i="14"/>
  <c r="AM40" i="14"/>
  <c r="AN40" i="14"/>
  <c r="AO40" i="14"/>
  <c r="AP40" i="14"/>
  <c r="AQ40" i="14"/>
  <c r="AR40" i="14"/>
  <c r="AS40" i="14"/>
  <c r="AT40" i="14"/>
  <c r="AU40" i="14"/>
  <c r="AV40" i="14"/>
  <c r="AW40" i="14"/>
  <c r="AX40" i="14"/>
  <c r="AY40" i="14"/>
  <c r="AZ40" i="14"/>
  <c r="BA40" i="14"/>
  <c r="BB40" i="14"/>
  <c r="E41" i="14"/>
  <c r="F41" i="14"/>
  <c r="G41" i="14"/>
  <c r="H41" i="14"/>
  <c r="I41" i="14"/>
  <c r="J41" i="14"/>
  <c r="K41" i="14"/>
  <c r="L41" i="14"/>
  <c r="M41" i="14"/>
  <c r="N41" i="14"/>
  <c r="O41" i="14"/>
  <c r="P41" i="14"/>
  <c r="Q41" i="14"/>
  <c r="R41" i="14"/>
  <c r="S41" i="14"/>
  <c r="T41" i="14"/>
  <c r="U41" i="14"/>
  <c r="V41" i="14"/>
  <c r="W41" i="14"/>
  <c r="X41" i="14"/>
  <c r="Y41" i="14"/>
  <c r="Z41" i="14"/>
  <c r="AA41" i="14"/>
  <c r="AB41" i="14"/>
  <c r="AC41" i="14"/>
  <c r="AD41" i="14"/>
  <c r="AE41" i="14"/>
  <c r="AF41" i="14"/>
  <c r="AG41" i="14"/>
  <c r="AH41" i="14"/>
  <c r="AI41" i="14"/>
  <c r="AJ41" i="14"/>
  <c r="AK41" i="14"/>
  <c r="AL41" i="14"/>
  <c r="AM41" i="14"/>
  <c r="AN41" i="14"/>
  <c r="AO41" i="14"/>
  <c r="AP41" i="14"/>
  <c r="AQ41" i="14"/>
  <c r="AR41" i="14"/>
  <c r="AS41" i="14"/>
  <c r="AT41" i="14"/>
  <c r="AU41" i="14"/>
  <c r="AV41" i="14"/>
  <c r="AW41" i="14"/>
  <c r="AX41" i="14"/>
  <c r="AY41" i="14"/>
  <c r="AZ41" i="14"/>
  <c r="BA41" i="14"/>
  <c r="BB41" i="14"/>
  <c r="E42" i="14"/>
  <c r="F42" i="14"/>
  <c r="G42" i="14"/>
  <c r="H42" i="14"/>
  <c r="I42" i="14"/>
  <c r="J42" i="14"/>
  <c r="K42" i="14"/>
  <c r="L42" i="14"/>
  <c r="M42" i="14"/>
  <c r="N42" i="14"/>
  <c r="O42" i="14"/>
  <c r="P42" i="14"/>
  <c r="Q42" i="14"/>
  <c r="R42" i="14"/>
  <c r="S42" i="14"/>
  <c r="T42" i="14"/>
  <c r="U42" i="14"/>
  <c r="V42" i="14"/>
  <c r="W42" i="14"/>
  <c r="X42" i="14"/>
  <c r="Y42" i="14"/>
  <c r="Z42" i="14"/>
  <c r="AA42" i="14"/>
  <c r="AB42" i="14"/>
  <c r="AC42" i="14"/>
  <c r="AD42" i="14"/>
  <c r="AE42" i="14"/>
  <c r="AF42" i="14"/>
  <c r="AG42" i="14"/>
  <c r="AH42" i="14"/>
  <c r="AI42" i="14"/>
  <c r="AJ42" i="14"/>
  <c r="AK42" i="14"/>
  <c r="AL42" i="14"/>
  <c r="AM42" i="14"/>
  <c r="AN42" i="14"/>
  <c r="AO42" i="14"/>
  <c r="AP42" i="14"/>
  <c r="AQ42" i="14"/>
  <c r="AR42" i="14"/>
  <c r="AS42" i="14"/>
  <c r="AT42" i="14"/>
  <c r="AU42" i="14"/>
  <c r="AV42" i="14"/>
  <c r="AW42" i="14"/>
  <c r="AX42" i="14"/>
  <c r="AY42" i="14"/>
  <c r="AZ42" i="14"/>
  <c r="BA42" i="14"/>
  <c r="BB42" i="14"/>
  <c r="E43" i="14"/>
  <c r="F43" i="14"/>
  <c r="G43" i="14"/>
  <c r="H43" i="14"/>
  <c r="I43" i="14"/>
  <c r="J43" i="14"/>
  <c r="K43" i="14"/>
  <c r="L43" i="14"/>
  <c r="M43" i="14"/>
  <c r="N43" i="14"/>
  <c r="O43" i="14"/>
  <c r="P43" i="14"/>
  <c r="Q43" i="14"/>
  <c r="R43" i="14"/>
  <c r="S43" i="14"/>
  <c r="T43" i="14"/>
  <c r="U43" i="14"/>
  <c r="V43" i="14"/>
  <c r="W43" i="14"/>
  <c r="X43" i="14"/>
  <c r="Y43" i="14"/>
  <c r="Z43" i="14"/>
  <c r="AA43" i="14"/>
  <c r="AB43" i="14"/>
  <c r="AC43" i="14"/>
  <c r="AD43" i="14"/>
  <c r="AE43" i="14"/>
  <c r="AF43" i="14"/>
  <c r="AF45" i="14" s="1"/>
  <c r="AG43" i="14"/>
  <c r="AH43" i="14"/>
  <c r="AI43" i="14"/>
  <c r="AJ43" i="14"/>
  <c r="AK43" i="14"/>
  <c r="AL43" i="14"/>
  <c r="AM43" i="14"/>
  <c r="AN43" i="14"/>
  <c r="AO43" i="14"/>
  <c r="AP43" i="14"/>
  <c r="AQ43" i="14"/>
  <c r="AR43" i="14"/>
  <c r="AS43" i="14"/>
  <c r="AT43" i="14"/>
  <c r="AU43" i="14"/>
  <c r="AV43" i="14"/>
  <c r="AW43" i="14"/>
  <c r="AX43" i="14"/>
  <c r="AY43" i="14"/>
  <c r="AZ43" i="14"/>
  <c r="BA43" i="14"/>
  <c r="BB43" i="14"/>
  <c r="D35" i="14"/>
  <c r="D36" i="14"/>
  <c r="D37" i="14"/>
  <c r="D38" i="14"/>
  <c r="D39" i="14"/>
  <c r="D40" i="14"/>
  <c r="D41" i="14"/>
  <c r="D42" i="14"/>
  <c r="D43" i="14"/>
  <c r="C38" i="14"/>
  <c r="C43" i="14"/>
  <c r="C36" i="14"/>
  <c r="C37" i="14"/>
  <c r="C39" i="14"/>
  <c r="C40" i="14"/>
  <c r="C41" i="14"/>
  <c r="C42" i="14"/>
  <c r="C35" i="14"/>
  <c r="AZ2" i="14"/>
  <c r="BA2" i="14" s="1"/>
  <c r="BB2" i="14" s="1"/>
  <c r="BC2" i="14" s="1"/>
  <c r="BD2" i="14" s="1"/>
  <c r="BE2" i="14" s="1"/>
  <c r="BF2" i="14" s="1"/>
  <c r="BG2" i="14" s="1"/>
  <c r="BH2" i="14" s="1"/>
  <c r="BI2" i="14" s="1"/>
  <c r="BJ2" i="14" s="1"/>
  <c r="AN2" i="14"/>
  <c r="AO2" i="14" s="1"/>
  <c r="AP2" i="14" s="1"/>
  <c r="AQ2" i="14" s="1"/>
  <c r="AR2" i="14" s="1"/>
  <c r="AS2" i="14" s="1"/>
  <c r="AT2" i="14" s="1"/>
  <c r="AU2" i="14" s="1"/>
  <c r="AV2" i="14" s="1"/>
  <c r="AW2" i="14" s="1"/>
  <c r="AX2" i="14" s="1"/>
  <c r="AB2" i="14"/>
  <c r="AC2" i="14" s="1"/>
  <c r="AD2" i="14" s="1"/>
  <c r="AE2" i="14" s="1"/>
  <c r="AF2" i="14" s="1"/>
  <c r="AG2" i="14" s="1"/>
  <c r="AH2" i="14" s="1"/>
  <c r="AI2" i="14" s="1"/>
  <c r="AJ2" i="14" s="1"/>
  <c r="AK2" i="14" s="1"/>
  <c r="AL2" i="14" s="1"/>
  <c r="P2" i="14"/>
  <c r="Q2" i="14" s="1"/>
  <c r="R2" i="14" s="1"/>
  <c r="S2" i="14" s="1"/>
  <c r="T2" i="14" s="1"/>
  <c r="U2" i="14" s="1"/>
  <c r="V2" i="14" s="1"/>
  <c r="W2" i="14" s="1"/>
  <c r="X2" i="14" s="1"/>
  <c r="Y2" i="14" s="1"/>
  <c r="Z2" i="14" s="1"/>
  <c r="N44" i="9"/>
  <c r="B86" i="9"/>
  <c r="AH89" i="11"/>
  <c r="AI89" i="11" s="1"/>
  <c r="AJ89" i="11" s="1"/>
  <c r="AH90" i="11"/>
  <c r="AI90" i="11" s="1"/>
  <c r="AH91" i="11"/>
  <c r="AI91" i="11" s="1"/>
  <c r="AJ91" i="11" s="1"/>
  <c r="AH92" i="11"/>
  <c r="AI92" i="11" s="1"/>
  <c r="AH93" i="11"/>
  <c r="AI93" i="11" s="1"/>
  <c r="AJ93" i="11" s="1"/>
  <c r="AH94" i="11"/>
  <c r="AI94" i="11" s="1"/>
  <c r="AJ94" i="11" s="1"/>
  <c r="AH95" i="11"/>
  <c r="AI95" i="11" s="1"/>
  <c r="AH96" i="11"/>
  <c r="AI96" i="11" s="1"/>
  <c r="AH97" i="11"/>
  <c r="AI97" i="11" s="1"/>
  <c r="AJ97" i="11" s="1"/>
  <c r="AH98" i="11"/>
  <c r="AH99" i="11"/>
  <c r="AH100" i="11"/>
  <c r="AH101" i="11"/>
  <c r="AH102" i="11"/>
  <c r="AI102" i="11" s="1"/>
  <c r="AJ102" i="11" s="1"/>
  <c r="AH103" i="11"/>
  <c r="AI103" i="11" s="1"/>
  <c r="AJ103" i="11" s="1"/>
  <c r="AH104" i="11"/>
  <c r="AI104" i="11" s="1"/>
  <c r="AH105" i="11"/>
  <c r="AI105" i="11" s="1"/>
  <c r="AJ105" i="11" s="1"/>
  <c r="AH106" i="11"/>
  <c r="AH107" i="11"/>
  <c r="AI107" i="11" s="1"/>
  <c r="AJ107" i="11" s="1"/>
  <c r="AH108" i="11"/>
  <c r="AH109" i="11"/>
  <c r="AH87" i="11"/>
  <c r="AH88" i="11"/>
  <c r="AI88" i="11" s="1"/>
  <c r="AH86" i="11"/>
  <c r="AI86" i="11" s="1"/>
  <c r="T110" i="9"/>
  <c r="H203" i="9" s="1"/>
  <c r="H86" i="9"/>
  <c r="P199" i="11"/>
  <c r="Y218" i="10"/>
  <c r="Y222" i="10"/>
  <c r="Y213" i="10"/>
  <c r="Z214" i="10"/>
  <c r="Z215" i="10"/>
  <c r="Z216" i="10"/>
  <c r="Z217" i="10"/>
  <c r="Z218" i="10"/>
  <c r="Z219" i="10"/>
  <c r="Z220" i="10"/>
  <c r="Z221" i="10"/>
  <c r="Z222" i="10"/>
  <c r="Z223" i="10"/>
  <c r="Z224" i="10"/>
  <c r="Z213" i="10"/>
  <c r="M214" i="10"/>
  <c r="AC111" i="11"/>
  <c r="AF111" i="11" s="1"/>
  <c r="AC112" i="11"/>
  <c r="AC113" i="11"/>
  <c r="AC114" i="11"/>
  <c r="AD114" i="11" s="1"/>
  <c r="AC115" i="11"/>
  <c r="AF115" i="11" s="1"/>
  <c r="AC116" i="11"/>
  <c r="Q204" i="11" s="1"/>
  <c r="AC117" i="11"/>
  <c r="Q205" i="11" s="1"/>
  <c r="AC119" i="11"/>
  <c r="AC120" i="11"/>
  <c r="AD120" i="11" s="1"/>
  <c r="AC121" i="11"/>
  <c r="Q209" i="11" s="1"/>
  <c r="AC110" i="11"/>
  <c r="P203" i="11"/>
  <c r="Y214" i="10"/>
  <c r="P207" i="11"/>
  <c r="Y215" i="10"/>
  <c r="Y223" i="10"/>
  <c r="Y221" i="10"/>
  <c r="Y217" i="10"/>
  <c r="Y219" i="10"/>
  <c r="Y224" i="10"/>
  <c r="Y220" i="10"/>
  <c r="Y216" i="10"/>
  <c r="P208" i="11"/>
  <c r="P204" i="11"/>
  <c r="P200" i="11"/>
  <c r="P206" i="11"/>
  <c r="P202" i="11"/>
  <c r="P209" i="11"/>
  <c r="P205" i="11"/>
  <c r="P201" i="11"/>
  <c r="H50" i="12"/>
  <c r="H47" i="12" s="1"/>
  <c r="H48" i="12" s="1"/>
  <c r="P198" i="11"/>
  <c r="B51" i="9"/>
  <c r="B52" i="9" s="1"/>
  <c r="AX59" i="9" s="1"/>
  <c r="C51" i="9"/>
  <c r="C52" i="9" s="1"/>
  <c r="AY59" i="9" s="1"/>
  <c r="D51" i="9"/>
  <c r="D52" i="9" s="1"/>
  <c r="AZ59" i="9" s="1"/>
  <c r="E51" i="9"/>
  <c r="E52" i="9" s="1"/>
  <c r="BA59" i="9" s="1"/>
  <c r="F51" i="9"/>
  <c r="F52" i="9" s="1"/>
  <c r="BB59" i="9" s="1"/>
  <c r="G51" i="9"/>
  <c r="G52" i="9" s="1"/>
  <c r="BC59" i="9" s="1"/>
  <c r="H51" i="9"/>
  <c r="H52" i="9" s="1"/>
  <c r="BD59" i="9" s="1"/>
  <c r="I51" i="9"/>
  <c r="I52" i="9" s="1"/>
  <c r="BE59" i="9" s="1"/>
  <c r="J51" i="9"/>
  <c r="J52" i="9" s="1"/>
  <c r="BF59" i="9" s="1"/>
  <c r="K51" i="9"/>
  <c r="K52" i="9" s="1"/>
  <c r="BG59" i="9" s="1"/>
  <c r="L51" i="9"/>
  <c r="L52" i="9" s="1"/>
  <c r="BH59" i="9" s="1"/>
  <c r="M51" i="9"/>
  <c r="M52" i="9" s="1"/>
  <c r="BI59" i="9" s="1"/>
  <c r="N51" i="9"/>
  <c r="N52" i="9" s="1"/>
  <c r="AX60" i="9" s="1"/>
  <c r="O51" i="9"/>
  <c r="O52" i="9" s="1"/>
  <c r="AY60" i="9" s="1"/>
  <c r="P51" i="9"/>
  <c r="P52" i="9" s="1"/>
  <c r="AZ60" i="9" s="1"/>
  <c r="Q51" i="9"/>
  <c r="Q52" i="9" s="1"/>
  <c r="BA60" i="9" s="1"/>
  <c r="R51" i="9"/>
  <c r="R52" i="9" s="1"/>
  <c r="BB60" i="9" s="1"/>
  <c r="S51" i="9"/>
  <c r="S52" i="9" s="1"/>
  <c r="BC60" i="9" s="1"/>
  <c r="T51" i="9"/>
  <c r="T52" i="9" s="1"/>
  <c r="BD60" i="9" s="1"/>
  <c r="U51" i="9"/>
  <c r="U52" i="9" s="1"/>
  <c r="BE60" i="9" s="1"/>
  <c r="V51" i="9"/>
  <c r="V52" i="9" s="1"/>
  <c r="BF60" i="9" s="1"/>
  <c r="W51" i="9"/>
  <c r="W52" i="9" s="1"/>
  <c r="BG60" i="9" s="1"/>
  <c r="X51" i="9"/>
  <c r="X52" i="9" s="1"/>
  <c r="BH60" i="9" s="1"/>
  <c r="Y51" i="9"/>
  <c r="Y52" i="9" s="1"/>
  <c r="BI60" i="9" s="1"/>
  <c r="Z51" i="9"/>
  <c r="Z52" i="9" s="1"/>
  <c r="AX61" i="9" s="1"/>
  <c r="AA51" i="9"/>
  <c r="AA52" i="9" s="1"/>
  <c r="AY61" i="9" s="1"/>
  <c r="AB51" i="9"/>
  <c r="AB52" i="9" s="1"/>
  <c r="AZ61" i="9" s="1"/>
  <c r="AC51" i="9"/>
  <c r="AC52" i="9" s="1"/>
  <c r="BA61" i="9" s="1"/>
  <c r="AD51" i="9"/>
  <c r="AD52" i="9" s="1"/>
  <c r="BB61" i="9" s="1"/>
  <c r="AE51" i="9"/>
  <c r="AE52" i="9" s="1"/>
  <c r="BC61" i="9" s="1"/>
  <c r="AF51" i="9"/>
  <c r="AF52" i="9" s="1"/>
  <c r="BD61" i="9" s="1"/>
  <c r="AG51" i="9"/>
  <c r="AG52" i="9" s="1"/>
  <c r="BE61" i="9" s="1"/>
  <c r="AH51" i="9"/>
  <c r="AH52" i="9" s="1"/>
  <c r="BF61" i="9" s="1"/>
  <c r="AI51" i="9"/>
  <c r="AI52" i="9"/>
  <c r="BG61" i="9" s="1"/>
  <c r="AJ51" i="9"/>
  <c r="AJ52" i="9" s="1"/>
  <c r="BH61" i="9" s="1"/>
  <c r="AK51" i="9"/>
  <c r="AK52" i="9" s="1"/>
  <c r="BI61" i="9" s="1"/>
  <c r="AL51" i="9"/>
  <c r="AL52" i="9" s="1"/>
  <c r="AX62" i="9" s="1"/>
  <c r="AM51" i="9"/>
  <c r="AM52" i="9" s="1"/>
  <c r="AY62" i="9" s="1"/>
  <c r="AN51" i="9"/>
  <c r="AN52" i="9" s="1"/>
  <c r="AZ62" i="9" s="1"/>
  <c r="AO51" i="9"/>
  <c r="AO52" i="9"/>
  <c r="BA62" i="9" s="1"/>
  <c r="AP51" i="9"/>
  <c r="AP52" i="9" s="1"/>
  <c r="BB62" i="9" s="1"/>
  <c r="AQ51" i="9"/>
  <c r="AQ52" i="9" s="1"/>
  <c r="BC62" i="9" s="1"/>
  <c r="AR51" i="9"/>
  <c r="AR52" i="9" s="1"/>
  <c r="BD62" i="9" s="1"/>
  <c r="AS51" i="9"/>
  <c r="AS52" i="9" s="1"/>
  <c r="BE62" i="9" s="1"/>
  <c r="AT51" i="9"/>
  <c r="AT52" i="9" s="1"/>
  <c r="BF62" i="9" s="1"/>
  <c r="AU51" i="9"/>
  <c r="AU52" i="9" s="1"/>
  <c r="BG62" i="9" s="1"/>
  <c r="AV51" i="9"/>
  <c r="AV52" i="9" s="1"/>
  <c r="BH62" i="9" s="1"/>
  <c r="AW51" i="9"/>
  <c r="AW52" i="9" s="1"/>
  <c r="BI62" i="9" s="1"/>
  <c r="AX51" i="9"/>
  <c r="AX52" i="9" s="1"/>
  <c r="AX63" i="9" s="1"/>
  <c r="AX41" i="9"/>
  <c r="AX54" i="9" s="1"/>
  <c r="B49" i="9"/>
  <c r="C49" i="9"/>
  <c r="D49" i="9"/>
  <c r="E49" i="9"/>
  <c r="F49" i="9"/>
  <c r="G49" i="9"/>
  <c r="H49" i="9"/>
  <c r="I49" i="9"/>
  <c r="J49" i="9"/>
  <c r="K49" i="9"/>
  <c r="L49" i="9"/>
  <c r="M49" i="9"/>
  <c r="N49" i="9"/>
  <c r="O49" i="9"/>
  <c r="P49" i="9"/>
  <c r="Q49" i="9"/>
  <c r="R49" i="9"/>
  <c r="S49" i="9"/>
  <c r="T49" i="9"/>
  <c r="U49" i="9"/>
  <c r="V49" i="9"/>
  <c r="W49" i="9"/>
  <c r="X49" i="9"/>
  <c r="Y49" i="9"/>
  <c r="Z49" i="9"/>
  <c r="AA49" i="9"/>
  <c r="AB49" i="9"/>
  <c r="AC49" i="9"/>
  <c r="AD49" i="9"/>
  <c r="AE49" i="9"/>
  <c r="AF49" i="9"/>
  <c r="AG49" i="9"/>
  <c r="AH49" i="9"/>
  <c r="AI49" i="9"/>
  <c r="AJ49" i="9"/>
  <c r="AK49" i="9"/>
  <c r="AL49" i="9"/>
  <c r="AM49" i="9"/>
  <c r="AN49" i="9"/>
  <c r="AO49" i="9"/>
  <c r="AP49" i="9"/>
  <c r="AQ49" i="9"/>
  <c r="AR49" i="9"/>
  <c r="AS49" i="9"/>
  <c r="AT49" i="9"/>
  <c r="AU49" i="9"/>
  <c r="AV49" i="9"/>
  <c r="AX49" i="9"/>
  <c r="AW49" i="9"/>
  <c r="AW41" i="9"/>
  <c r="AW54" i="9" s="1"/>
  <c r="B48" i="9"/>
  <c r="C48" i="9"/>
  <c r="D48" i="9"/>
  <c r="E48" i="9"/>
  <c r="F48" i="9"/>
  <c r="G48" i="9"/>
  <c r="H48" i="9"/>
  <c r="I48" i="9"/>
  <c r="J48" i="9"/>
  <c r="K48" i="9"/>
  <c r="L48" i="9"/>
  <c r="M48" i="9"/>
  <c r="N48" i="9"/>
  <c r="O48" i="9"/>
  <c r="P48" i="9"/>
  <c r="Q48" i="9"/>
  <c r="R48" i="9"/>
  <c r="S48" i="9"/>
  <c r="T48" i="9"/>
  <c r="U48" i="9"/>
  <c r="V48" i="9"/>
  <c r="W48" i="9"/>
  <c r="X48" i="9"/>
  <c r="Y48" i="9"/>
  <c r="Z48" i="9"/>
  <c r="AA48" i="9"/>
  <c r="AB48" i="9"/>
  <c r="AC48" i="9"/>
  <c r="AD48" i="9"/>
  <c r="AE48" i="9"/>
  <c r="AF48" i="9"/>
  <c r="AG48" i="9"/>
  <c r="AH48" i="9"/>
  <c r="AI48" i="9"/>
  <c r="AJ48" i="9"/>
  <c r="AK48" i="9"/>
  <c r="AL48" i="9"/>
  <c r="AM48" i="9"/>
  <c r="AN48" i="9"/>
  <c r="AO48" i="9"/>
  <c r="AP48" i="9"/>
  <c r="AQ48" i="9"/>
  <c r="AR48" i="9"/>
  <c r="AS48" i="9"/>
  <c r="AT48" i="9"/>
  <c r="AU48" i="9"/>
  <c r="AV48" i="9"/>
  <c r="AW48" i="9"/>
  <c r="AX31" i="9"/>
  <c r="AU31" i="9"/>
  <c r="AV31" i="9"/>
  <c r="AW31" i="9"/>
  <c r="F45" i="12"/>
  <c r="E45" i="12"/>
  <c r="E43" i="12"/>
  <c r="E63" i="12" s="1"/>
  <c r="E44" i="12"/>
  <c r="D43" i="12"/>
  <c r="D63" i="12" s="1"/>
  <c r="D44" i="12"/>
  <c r="K44" i="12" s="1"/>
  <c r="D45" i="12"/>
  <c r="K45" i="12" s="1"/>
  <c r="D42" i="12"/>
  <c r="D62" i="12" s="1"/>
  <c r="C55" i="12"/>
  <c r="AA46" i="12"/>
  <c r="AA42" i="12" s="1"/>
  <c r="AF42" i="12" s="1"/>
  <c r="AJ45" i="12"/>
  <c r="AF45" i="12"/>
  <c r="AC45" i="12"/>
  <c r="AB45" i="12"/>
  <c r="AG45" i="12" s="1"/>
  <c r="Y45" i="12"/>
  <c r="AK45" i="12" s="1"/>
  <c r="X45" i="12"/>
  <c r="AD45" i="12" s="1"/>
  <c r="Q45" i="12"/>
  <c r="AJ44" i="12"/>
  <c r="AC44" i="12"/>
  <c r="AB44" i="12"/>
  <c r="AG44" i="12" s="1"/>
  <c r="Y44" i="12"/>
  <c r="AK44" i="12" s="1"/>
  <c r="X44" i="12"/>
  <c r="AD44" i="12" s="1"/>
  <c r="Q44" i="12"/>
  <c r="F44" i="12"/>
  <c r="AJ43" i="12"/>
  <c r="AC43" i="12"/>
  <c r="AB43" i="12"/>
  <c r="AG43" i="12" s="1"/>
  <c r="Y43" i="12"/>
  <c r="AK43" i="12" s="1"/>
  <c r="X43" i="12"/>
  <c r="AD43" i="12" s="1"/>
  <c r="Q43" i="12"/>
  <c r="F43" i="12"/>
  <c r="AJ42" i="12"/>
  <c r="AC42" i="12"/>
  <c r="AB42" i="12"/>
  <c r="AG42" i="12" s="1"/>
  <c r="Y42" i="12"/>
  <c r="X42" i="12"/>
  <c r="AD42" i="12" s="1"/>
  <c r="Q42" i="12"/>
  <c r="E42" i="12"/>
  <c r="N42" i="12" s="1"/>
  <c r="AK41" i="12"/>
  <c r="AG41" i="12"/>
  <c r="AH41" i="12" s="1"/>
  <c r="AF41" i="12"/>
  <c r="AD41" i="12"/>
  <c r="Z41" i="12"/>
  <c r="AE41" i="12" s="1"/>
  <c r="T41" i="12" s="1"/>
  <c r="V41" i="12" s="1"/>
  <c r="S41" i="12"/>
  <c r="W41" i="12" s="1"/>
  <c r="Q41" i="12"/>
  <c r="E41" i="12"/>
  <c r="D41" i="12"/>
  <c r="D61" i="12" s="1"/>
  <c r="AK40" i="12"/>
  <c r="AG40" i="12"/>
  <c r="AH40" i="12" s="1"/>
  <c r="AF40" i="12"/>
  <c r="AD40" i="12"/>
  <c r="Z40" i="12"/>
  <c r="AE40" i="12" s="1"/>
  <c r="T40" i="12" s="1"/>
  <c r="V40" i="12" s="1"/>
  <c r="S40" i="12"/>
  <c r="W40" i="12" s="1"/>
  <c r="P40" i="12"/>
  <c r="Q40" i="12" s="1"/>
  <c r="E40" i="12"/>
  <c r="E60" i="12" s="1"/>
  <c r="D40" i="12"/>
  <c r="AK39" i="12"/>
  <c r="AG39" i="12"/>
  <c r="AH39" i="12" s="1"/>
  <c r="AF39" i="12"/>
  <c r="AE39" i="12"/>
  <c r="T39" i="12" s="1"/>
  <c r="V39" i="12" s="1"/>
  <c r="AD39" i="12"/>
  <c r="S39" i="12"/>
  <c r="W39" i="12" s="1"/>
  <c r="P39" i="12"/>
  <c r="E39" i="12"/>
  <c r="M39" i="12" s="1"/>
  <c r="D39" i="12"/>
  <c r="D59" i="12" s="1"/>
  <c r="AK38" i="12"/>
  <c r="AG38" i="12"/>
  <c r="AH38" i="12" s="1"/>
  <c r="AF38" i="12"/>
  <c r="AE38" i="12"/>
  <c r="T38" i="12" s="1"/>
  <c r="V38" i="12" s="1"/>
  <c r="AD38" i="12"/>
  <c r="S38" i="12"/>
  <c r="W38" i="12" s="1"/>
  <c r="P38" i="12"/>
  <c r="E38" i="12"/>
  <c r="M38" i="12" s="1"/>
  <c r="D38" i="12"/>
  <c r="J38" i="12" s="1"/>
  <c r="AK37" i="12"/>
  <c r="AG37" i="12"/>
  <c r="AH37" i="12" s="1"/>
  <c r="AF37" i="12"/>
  <c r="AE37" i="12"/>
  <c r="T37" i="12" s="1"/>
  <c r="V37" i="12" s="1"/>
  <c r="AD37" i="12"/>
  <c r="S37" i="12"/>
  <c r="W37" i="12" s="1"/>
  <c r="P37" i="12"/>
  <c r="E37" i="12"/>
  <c r="M37" i="12" s="1"/>
  <c r="D37" i="12"/>
  <c r="J37" i="12" s="1"/>
  <c r="AK36" i="12"/>
  <c r="AG36" i="12"/>
  <c r="AH36" i="12" s="1"/>
  <c r="AF36" i="12"/>
  <c r="AE36" i="12"/>
  <c r="T36" i="12" s="1"/>
  <c r="V36" i="12" s="1"/>
  <c r="AD36" i="12"/>
  <c r="S36" i="12"/>
  <c r="W36" i="12"/>
  <c r="P36" i="12"/>
  <c r="E36" i="12"/>
  <c r="D36" i="12"/>
  <c r="J36" i="12" s="1"/>
  <c r="AK35" i="12"/>
  <c r="AG35" i="12"/>
  <c r="AH35" i="12" s="1"/>
  <c r="AF35" i="12"/>
  <c r="AE35" i="12"/>
  <c r="T35" i="12" s="1"/>
  <c r="V35" i="12" s="1"/>
  <c r="AD35" i="12"/>
  <c r="S35" i="12"/>
  <c r="W35" i="12" s="1"/>
  <c r="P35" i="12"/>
  <c r="E35" i="12"/>
  <c r="D35" i="12"/>
  <c r="J35" i="12" s="1"/>
  <c r="AK34" i="12"/>
  <c r="AG34" i="12"/>
  <c r="AH34" i="12" s="1"/>
  <c r="AF34" i="12"/>
  <c r="AE34" i="12"/>
  <c r="T34" i="12" s="1"/>
  <c r="V34" i="12" s="1"/>
  <c r="AD34" i="12"/>
  <c r="S34" i="12"/>
  <c r="W34" i="12" s="1"/>
  <c r="P34" i="12"/>
  <c r="E34" i="12"/>
  <c r="D34" i="12"/>
  <c r="J34" i="12" s="1"/>
  <c r="AK33" i="12"/>
  <c r="AG33" i="12"/>
  <c r="AH33" i="12" s="1"/>
  <c r="AF33" i="12"/>
  <c r="AE33" i="12"/>
  <c r="T33" i="12" s="1"/>
  <c r="V33" i="12" s="1"/>
  <c r="AD33" i="12"/>
  <c r="S33" i="12"/>
  <c r="W33" i="12" s="1"/>
  <c r="P33" i="12"/>
  <c r="E33" i="12"/>
  <c r="D33" i="12"/>
  <c r="J33" i="12" s="1"/>
  <c r="AK32" i="12"/>
  <c r="AG32" i="12"/>
  <c r="AH32" i="12" s="1"/>
  <c r="AF32" i="12"/>
  <c r="AE32" i="12"/>
  <c r="T32" i="12" s="1"/>
  <c r="V32" i="12" s="1"/>
  <c r="AD32" i="12"/>
  <c r="S32" i="12"/>
  <c r="W32" i="12" s="1"/>
  <c r="P32" i="12"/>
  <c r="E32" i="12"/>
  <c r="D32" i="12"/>
  <c r="J32" i="12" s="1"/>
  <c r="AK31" i="12"/>
  <c r="AG31" i="12"/>
  <c r="AH31" i="12" s="1"/>
  <c r="AF31" i="12"/>
  <c r="AE31" i="12"/>
  <c r="T31" i="12" s="1"/>
  <c r="V31" i="12" s="1"/>
  <c r="AD31" i="12"/>
  <c r="S31" i="12"/>
  <c r="W31" i="12" s="1"/>
  <c r="P31" i="12"/>
  <c r="E31" i="12"/>
  <c r="M31" i="12" s="1"/>
  <c r="D31" i="12"/>
  <c r="J31" i="12" s="1"/>
  <c r="AK30" i="12"/>
  <c r="AG30" i="12"/>
  <c r="AH30" i="12" s="1"/>
  <c r="AF30" i="12"/>
  <c r="AE30" i="12"/>
  <c r="T30" i="12" s="1"/>
  <c r="V30" i="12" s="1"/>
  <c r="AD30" i="12"/>
  <c r="S30" i="12"/>
  <c r="W30" i="12"/>
  <c r="P30" i="12"/>
  <c r="E30" i="12"/>
  <c r="D30" i="12"/>
  <c r="J30" i="12" s="1"/>
  <c r="AK29" i="12"/>
  <c r="AG29" i="12"/>
  <c r="AH29" i="12" s="1"/>
  <c r="AF29" i="12"/>
  <c r="AE29" i="12"/>
  <c r="T29" i="12" s="1"/>
  <c r="V29" i="12" s="1"/>
  <c r="AD29" i="12"/>
  <c r="S29" i="12"/>
  <c r="W29" i="12" s="1"/>
  <c r="P29" i="12"/>
  <c r="E29" i="12"/>
  <c r="M29" i="12" s="1"/>
  <c r="D29" i="12"/>
  <c r="J29" i="12" s="1"/>
  <c r="AK28" i="12"/>
  <c r="AG28" i="12"/>
  <c r="AH28" i="12" s="1"/>
  <c r="AF28" i="12"/>
  <c r="AE28" i="12"/>
  <c r="T28" i="12" s="1"/>
  <c r="V28" i="12" s="1"/>
  <c r="AD28" i="12"/>
  <c r="S28" i="12"/>
  <c r="W28" i="12" s="1"/>
  <c r="P28" i="12"/>
  <c r="E28" i="12"/>
  <c r="D28" i="12"/>
  <c r="J28" i="12" s="1"/>
  <c r="AK27" i="12"/>
  <c r="AG27" i="12"/>
  <c r="AH27" i="12" s="1"/>
  <c r="AF27" i="12"/>
  <c r="AE27" i="12"/>
  <c r="T27" i="12" s="1"/>
  <c r="V27" i="12" s="1"/>
  <c r="AD27" i="12"/>
  <c r="S27" i="12"/>
  <c r="W27" i="12" s="1"/>
  <c r="P27" i="12"/>
  <c r="E27" i="12"/>
  <c r="D27" i="12"/>
  <c r="J27" i="12" s="1"/>
  <c r="AK26" i="12"/>
  <c r="AG26" i="12"/>
  <c r="AH26" i="12" s="1"/>
  <c r="AF26" i="12"/>
  <c r="AE26" i="12"/>
  <c r="T26" i="12" s="1"/>
  <c r="V26" i="12" s="1"/>
  <c r="AD26" i="12"/>
  <c r="S26" i="12"/>
  <c r="W26" i="12" s="1"/>
  <c r="P26" i="12"/>
  <c r="E26" i="12"/>
  <c r="D26" i="12"/>
  <c r="J26" i="12" s="1"/>
  <c r="AK25" i="12"/>
  <c r="AG25" i="12"/>
  <c r="AH25" i="12" s="1"/>
  <c r="AF25" i="12"/>
  <c r="AE25" i="12"/>
  <c r="T25" i="12" s="1"/>
  <c r="V25" i="12" s="1"/>
  <c r="AD25" i="12"/>
  <c r="S25" i="12"/>
  <c r="W25" i="12" s="1"/>
  <c r="P25" i="12"/>
  <c r="E25" i="12"/>
  <c r="M25" i="12" s="1"/>
  <c r="D25" i="12"/>
  <c r="J25" i="12" s="1"/>
  <c r="AK24" i="12"/>
  <c r="AG24" i="12"/>
  <c r="AH24" i="12" s="1"/>
  <c r="AF24" i="12"/>
  <c r="AE24" i="12"/>
  <c r="T24" i="12" s="1"/>
  <c r="V24" i="12" s="1"/>
  <c r="AD24" i="12"/>
  <c r="S24" i="12"/>
  <c r="W24" i="12" s="1"/>
  <c r="P24" i="12"/>
  <c r="E24" i="12"/>
  <c r="M24" i="12" s="1"/>
  <c r="D24" i="12"/>
  <c r="J24" i="12" s="1"/>
  <c r="AK23" i="12"/>
  <c r="AG23" i="12"/>
  <c r="AH23" i="12" s="1"/>
  <c r="AF23" i="12"/>
  <c r="AE23" i="12"/>
  <c r="T23" i="12" s="1"/>
  <c r="V23" i="12" s="1"/>
  <c r="AD23" i="12"/>
  <c r="S23" i="12"/>
  <c r="W23" i="12" s="1"/>
  <c r="P23" i="12"/>
  <c r="E23" i="12"/>
  <c r="D23" i="12"/>
  <c r="J23" i="12" s="1"/>
  <c r="AK22" i="12"/>
  <c r="AG22" i="12"/>
  <c r="AH22" i="12" s="1"/>
  <c r="AF22" i="12"/>
  <c r="AE22" i="12"/>
  <c r="T22" i="12" s="1"/>
  <c r="V22" i="12" s="1"/>
  <c r="AD22" i="12"/>
  <c r="S22" i="12"/>
  <c r="W22" i="12" s="1"/>
  <c r="P22" i="12"/>
  <c r="E22" i="12"/>
  <c r="M22" i="12" s="1"/>
  <c r="D22" i="12"/>
  <c r="J22" i="12" s="1"/>
  <c r="AK21" i="12"/>
  <c r="AG21" i="12"/>
  <c r="AH21" i="12" s="1"/>
  <c r="AF21" i="12"/>
  <c r="AE21" i="12"/>
  <c r="T21" i="12" s="1"/>
  <c r="V21" i="12" s="1"/>
  <c r="AD21" i="12"/>
  <c r="S21" i="12"/>
  <c r="W21" i="12" s="1"/>
  <c r="P21" i="12"/>
  <c r="E21" i="12"/>
  <c r="D21" i="12"/>
  <c r="J21" i="12" s="1"/>
  <c r="AK20" i="12"/>
  <c r="AG20" i="12"/>
  <c r="AH20" i="12" s="1"/>
  <c r="AF20" i="12"/>
  <c r="AE20" i="12"/>
  <c r="T20" i="12" s="1"/>
  <c r="V20" i="12" s="1"/>
  <c r="AD20" i="12"/>
  <c r="S20" i="12"/>
  <c r="W20" i="12" s="1"/>
  <c r="P20" i="12"/>
  <c r="E20" i="12"/>
  <c r="D20" i="12"/>
  <c r="J20" i="12" s="1"/>
  <c r="AK19" i="12"/>
  <c r="AG19" i="12"/>
  <c r="AH19" i="12" s="1"/>
  <c r="AF19" i="12"/>
  <c r="AE19" i="12"/>
  <c r="T19" i="12" s="1"/>
  <c r="V19" i="12" s="1"/>
  <c r="AD19" i="12"/>
  <c r="S19" i="12"/>
  <c r="W19" i="12" s="1"/>
  <c r="P19" i="12"/>
  <c r="E19" i="12"/>
  <c r="D19" i="12"/>
  <c r="J19" i="12" s="1"/>
  <c r="AK18" i="12"/>
  <c r="AG18" i="12"/>
  <c r="AH18" i="12" s="1"/>
  <c r="AF18" i="12"/>
  <c r="AE18" i="12"/>
  <c r="T18" i="12" s="1"/>
  <c r="V18" i="12" s="1"/>
  <c r="AD18" i="12"/>
  <c r="S18" i="12"/>
  <c r="W18" i="12" s="1"/>
  <c r="P18" i="12"/>
  <c r="E18" i="12"/>
  <c r="D18" i="12"/>
  <c r="J18" i="12" s="1"/>
  <c r="AK17" i="12"/>
  <c r="AG17" i="12"/>
  <c r="AH17" i="12" s="1"/>
  <c r="AF17" i="12"/>
  <c r="AE17" i="12"/>
  <c r="T17" i="12" s="1"/>
  <c r="V17" i="12" s="1"/>
  <c r="AD17" i="12"/>
  <c r="S17" i="12"/>
  <c r="W17" i="12" s="1"/>
  <c r="AK16" i="12"/>
  <c r="AG16" i="12"/>
  <c r="AH16" i="12" s="1"/>
  <c r="AF16" i="12"/>
  <c r="AE16" i="12"/>
  <c r="T16" i="12" s="1"/>
  <c r="V16" i="12" s="1"/>
  <c r="AD16" i="12"/>
  <c r="S16" i="12"/>
  <c r="W16" i="12" s="1"/>
  <c r="AK15" i="12"/>
  <c r="AG15" i="12"/>
  <c r="AH15" i="12" s="1"/>
  <c r="AF15" i="12"/>
  <c r="AE15" i="12"/>
  <c r="T15" i="12" s="1"/>
  <c r="V15" i="12" s="1"/>
  <c r="AD15" i="12"/>
  <c r="S15" i="12"/>
  <c r="W15" i="12" s="1"/>
  <c r="AK14" i="12"/>
  <c r="AG14" i="12"/>
  <c r="AH14" i="12" s="1"/>
  <c r="AF14" i="12"/>
  <c r="AE14" i="12"/>
  <c r="T14" i="12" s="1"/>
  <c r="V14" i="12" s="1"/>
  <c r="AD14" i="12"/>
  <c r="S14" i="12"/>
  <c r="W14" i="12" s="1"/>
  <c r="AK13" i="12"/>
  <c r="AG13" i="12"/>
  <c r="AH13" i="12" s="1"/>
  <c r="AF13" i="12"/>
  <c r="AE13" i="12"/>
  <c r="T13" i="12" s="1"/>
  <c r="V13" i="12" s="1"/>
  <c r="AD13" i="12"/>
  <c r="S13" i="12"/>
  <c r="W13" i="12" s="1"/>
  <c r="AK12" i="12"/>
  <c r="AG12" i="12"/>
  <c r="AH12" i="12" s="1"/>
  <c r="AF12" i="12"/>
  <c r="AE12" i="12"/>
  <c r="T12" i="12" s="1"/>
  <c r="V12" i="12" s="1"/>
  <c r="AD12" i="12"/>
  <c r="S12" i="12"/>
  <c r="W12" i="12" s="1"/>
  <c r="AK11" i="12"/>
  <c r="AG11" i="12"/>
  <c r="AH11" i="12" s="1"/>
  <c r="AF11" i="12"/>
  <c r="AE11" i="12"/>
  <c r="T11" i="12" s="1"/>
  <c r="V11" i="12" s="1"/>
  <c r="AD11" i="12"/>
  <c r="S11" i="12"/>
  <c r="W11" i="12" s="1"/>
  <c r="AK10" i="12"/>
  <c r="AG10" i="12"/>
  <c r="AH10" i="12" s="1"/>
  <c r="AF10" i="12"/>
  <c r="AE10" i="12"/>
  <c r="T10" i="12" s="1"/>
  <c r="V10" i="12" s="1"/>
  <c r="AD10" i="12"/>
  <c r="S10" i="12"/>
  <c r="W10" i="12" s="1"/>
  <c r="AK9" i="12"/>
  <c r="AG9" i="12"/>
  <c r="AH9" i="12" s="1"/>
  <c r="AF9" i="12"/>
  <c r="AD9" i="12"/>
  <c r="S9" i="12"/>
  <c r="W9" i="12" s="1"/>
  <c r="AK8" i="12"/>
  <c r="AG8" i="12"/>
  <c r="AH8" i="12" s="1"/>
  <c r="AF8" i="12"/>
  <c r="AD8" i="12"/>
  <c r="S8" i="12"/>
  <c r="W8" i="12" s="1"/>
  <c r="AK7" i="12"/>
  <c r="AG7" i="12"/>
  <c r="AH7" i="12" s="1"/>
  <c r="AF7" i="12"/>
  <c r="AD7" i="12"/>
  <c r="S7" i="12"/>
  <c r="W7" i="12" s="1"/>
  <c r="AK6" i="12"/>
  <c r="AG6" i="12"/>
  <c r="AH6" i="12" s="1"/>
  <c r="AF6" i="12"/>
  <c r="AD6" i="12"/>
  <c r="S6" i="12"/>
  <c r="W6" i="12" s="1"/>
  <c r="Z5" i="12"/>
  <c r="AE9" i="12" s="1"/>
  <c r="T9" i="12" s="1"/>
  <c r="V9" i="12" s="1"/>
  <c r="Z4" i="12"/>
  <c r="AE8" i="12" s="1"/>
  <c r="T8" i="12" s="1"/>
  <c r="V8" i="12" s="1"/>
  <c r="Z3" i="12"/>
  <c r="AE7" i="12" s="1"/>
  <c r="T7" i="12" s="1"/>
  <c r="V7" i="12" s="1"/>
  <c r="Z2" i="12"/>
  <c r="AE6" i="12" s="1"/>
  <c r="T6" i="12" s="1"/>
  <c r="V6" i="12" s="1"/>
  <c r="AA121" i="11"/>
  <c r="D121" i="11"/>
  <c r="AA120" i="11"/>
  <c r="D120" i="11"/>
  <c r="AA119" i="11"/>
  <c r="D119" i="11"/>
  <c r="AA118" i="11"/>
  <c r="D118" i="11"/>
  <c r="AA117" i="11"/>
  <c r="D117" i="11"/>
  <c r="AA116" i="11"/>
  <c r="D116" i="11"/>
  <c r="AA115" i="11"/>
  <c r="D115" i="11"/>
  <c r="AA114" i="11"/>
  <c r="D114" i="11"/>
  <c r="AA113" i="11"/>
  <c r="D113" i="11"/>
  <c r="AA112" i="11"/>
  <c r="D112" i="11"/>
  <c r="AA111" i="11"/>
  <c r="D111" i="11"/>
  <c r="AA110" i="11"/>
  <c r="D110" i="11"/>
  <c r="AG109" i="11"/>
  <c r="AF109" i="11"/>
  <c r="AD109" i="11"/>
  <c r="Z109" i="11"/>
  <c r="AB109" i="11" s="1"/>
  <c r="D109" i="11"/>
  <c r="AG108" i="11"/>
  <c r="AF108" i="11"/>
  <c r="AD108" i="11"/>
  <c r="Z108" i="11"/>
  <c r="AB108" i="11" s="1"/>
  <c r="D108" i="11"/>
  <c r="AG107" i="11"/>
  <c r="AF107" i="11"/>
  <c r="AD107" i="11"/>
  <c r="Z107" i="11"/>
  <c r="AB107" i="11" s="1"/>
  <c r="D107" i="11"/>
  <c r="AG106" i="11"/>
  <c r="AF106" i="11"/>
  <c r="AD106" i="11"/>
  <c r="Z106" i="11"/>
  <c r="AB106" i="11" s="1"/>
  <c r="D106" i="11"/>
  <c r="AG105" i="11"/>
  <c r="AF105" i="11"/>
  <c r="AD105" i="11"/>
  <c r="Z105" i="11"/>
  <c r="AB105" i="11" s="1"/>
  <c r="D105" i="11"/>
  <c r="AG104" i="11"/>
  <c r="AF104" i="11"/>
  <c r="AD104" i="11"/>
  <c r="Z104" i="11"/>
  <c r="AB104" i="11" s="1"/>
  <c r="D104" i="11"/>
  <c r="AG103" i="11"/>
  <c r="AF103" i="11"/>
  <c r="AD103" i="11"/>
  <c r="Z103" i="11"/>
  <c r="AB103" i="11" s="1"/>
  <c r="D103" i="11"/>
  <c r="AG102" i="11"/>
  <c r="AF102" i="11"/>
  <c r="AD102" i="11"/>
  <c r="Z102" i="11"/>
  <c r="AB102" i="11" s="1"/>
  <c r="D102" i="11"/>
  <c r="AG101" i="11"/>
  <c r="AF101" i="11"/>
  <c r="AD101" i="11"/>
  <c r="Z101" i="11"/>
  <c r="AB101" i="11" s="1"/>
  <c r="D101" i="11"/>
  <c r="AG100" i="11"/>
  <c r="AF100" i="11"/>
  <c r="AD100" i="11"/>
  <c r="Z100" i="11"/>
  <c r="AB100" i="11" s="1"/>
  <c r="D100" i="11"/>
  <c r="AG99" i="11"/>
  <c r="AF99" i="11"/>
  <c r="AD99" i="11"/>
  <c r="Z99" i="11"/>
  <c r="AB99" i="11" s="1"/>
  <c r="D99" i="11"/>
  <c r="AG98" i="11"/>
  <c r="AF98" i="11"/>
  <c r="AD98" i="11"/>
  <c r="Z98" i="11"/>
  <c r="AB98" i="11" s="1"/>
  <c r="Y98" i="11"/>
  <c r="Y111" i="11" s="1"/>
  <c r="D98" i="11"/>
  <c r="AG97" i="11"/>
  <c r="AF97" i="11"/>
  <c r="AD97" i="11"/>
  <c r="Z97" i="11"/>
  <c r="AB97" i="11" s="1"/>
  <c r="D97" i="11"/>
  <c r="AG96" i="11"/>
  <c r="AF96" i="11"/>
  <c r="AD96" i="11"/>
  <c r="Z96" i="11"/>
  <c r="AB96" i="11" s="1"/>
  <c r="D96" i="11"/>
  <c r="AG95" i="11"/>
  <c r="AF95" i="11"/>
  <c r="AD95" i="11"/>
  <c r="Z95" i="11"/>
  <c r="AB95" i="11" s="1"/>
  <c r="D95" i="11"/>
  <c r="AG94" i="11"/>
  <c r="AF94" i="11"/>
  <c r="AD94" i="11"/>
  <c r="Z94" i="11"/>
  <c r="AB94" i="11" s="1"/>
  <c r="D94" i="11"/>
  <c r="AG93" i="11"/>
  <c r="AF93" i="11"/>
  <c r="AD93" i="11"/>
  <c r="Z93" i="11"/>
  <c r="AB93" i="11" s="1"/>
  <c r="D93" i="11"/>
  <c r="AG92" i="11"/>
  <c r="AF92" i="11"/>
  <c r="AD92" i="11"/>
  <c r="Z92" i="11"/>
  <c r="AB92" i="11" s="1"/>
  <c r="D92" i="11"/>
  <c r="AG91" i="11"/>
  <c r="AF91" i="11"/>
  <c r="AD91" i="11"/>
  <c r="Z91" i="11"/>
  <c r="AB91" i="11" s="1"/>
  <c r="D91" i="11"/>
  <c r="AG90" i="11"/>
  <c r="AF90" i="11"/>
  <c r="AD90" i="11"/>
  <c r="Z90" i="11"/>
  <c r="AB90" i="11" s="1"/>
  <c r="D90" i="11"/>
  <c r="AG89" i="11"/>
  <c r="AF89" i="11"/>
  <c r="AD89" i="11"/>
  <c r="Z89" i="11"/>
  <c r="AB89" i="11" s="1"/>
  <c r="D89" i="11"/>
  <c r="AG88" i="11"/>
  <c r="AF88" i="11"/>
  <c r="AD88" i="11"/>
  <c r="Z88" i="11"/>
  <c r="AB88" i="11" s="1"/>
  <c r="D88" i="11"/>
  <c r="AG87" i="11"/>
  <c r="AD87" i="11"/>
  <c r="Z87" i="11"/>
  <c r="AB87" i="11" s="1"/>
  <c r="D87" i="11"/>
  <c r="AG86" i="11"/>
  <c r="AF86" i="11"/>
  <c r="AD86" i="11"/>
  <c r="Z86" i="11"/>
  <c r="AB86" i="11" s="1"/>
  <c r="D86" i="11"/>
  <c r="AI85" i="11"/>
  <c r="AJ85" i="11" s="1"/>
  <c r="AG85" i="11"/>
  <c r="AF85" i="11"/>
  <c r="AD85" i="11"/>
  <c r="Z85" i="11"/>
  <c r="AB85" i="11" s="1"/>
  <c r="D85" i="11"/>
  <c r="AI84" i="11"/>
  <c r="AJ84" i="11" s="1"/>
  <c r="AG84" i="11"/>
  <c r="AF84" i="11"/>
  <c r="AD84" i="11"/>
  <c r="Z84" i="11"/>
  <c r="AB84" i="11" s="1"/>
  <c r="D84" i="11"/>
  <c r="AI83" i="11"/>
  <c r="AJ83" i="11" s="1"/>
  <c r="AG83" i="11"/>
  <c r="AF83" i="11"/>
  <c r="AD83" i="11"/>
  <c r="Z83" i="11"/>
  <c r="AB83" i="11" s="1"/>
  <c r="D83" i="11"/>
  <c r="AI82" i="11"/>
  <c r="AJ82" i="11" s="1"/>
  <c r="AG82" i="11"/>
  <c r="AF82" i="11"/>
  <c r="AD82" i="11"/>
  <c r="Z82" i="11"/>
  <c r="AB82" i="11" s="1"/>
  <c r="D82" i="11"/>
  <c r="AI81" i="11"/>
  <c r="AJ81" i="11" s="1"/>
  <c r="AG81" i="11"/>
  <c r="AF81" i="11"/>
  <c r="AD81" i="11"/>
  <c r="Z81" i="11"/>
  <c r="AB81" i="11" s="1"/>
  <c r="D81" i="11"/>
  <c r="AI80" i="11"/>
  <c r="AJ80" i="11" s="1"/>
  <c r="AG80" i="11"/>
  <c r="AF80" i="11"/>
  <c r="AD80" i="11"/>
  <c r="Z80" i="11"/>
  <c r="AB80" i="11" s="1"/>
  <c r="D80" i="11"/>
  <c r="AI79" i="11"/>
  <c r="AJ79" i="11" s="1"/>
  <c r="AG79" i="11"/>
  <c r="AF79" i="11"/>
  <c r="AD79" i="11"/>
  <c r="Z79" i="11"/>
  <c r="AB79" i="11" s="1"/>
  <c r="D79" i="11"/>
  <c r="AI78" i="11"/>
  <c r="AJ78" i="11" s="1"/>
  <c r="AG78" i="11"/>
  <c r="AF78" i="11"/>
  <c r="AD78" i="11"/>
  <c r="Z78" i="11"/>
  <c r="AB78" i="11" s="1"/>
  <c r="D78" i="11"/>
  <c r="AI77" i="11"/>
  <c r="AJ77" i="11" s="1"/>
  <c r="AG77" i="11"/>
  <c r="AF77" i="11"/>
  <c r="AD77" i="11"/>
  <c r="Z77" i="11"/>
  <c r="AB77" i="11" s="1"/>
  <c r="D77" i="11"/>
  <c r="AI76" i="11"/>
  <c r="AJ76" i="11" s="1"/>
  <c r="AG76" i="11"/>
  <c r="AF76" i="11"/>
  <c r="AD76" i="11"/>
  <c r="Z76" i="11"/>
  <c r="AB76" i="11" s="1"/>
  <c r="D76" i="11"/>
  <c r="AI75" i="11"/>
  <c r="AJ75" i="11" s="1"/>
  <c r="AG75" i="11"/>
  <c r="AF75" i="11"/>
  <c r="AD75" i="11"/>
  <c r="Z75" i="11"/>
  <c r="AB75" i="11" s="1"/>
  <c r="D75" i="11"/>
  <c r="AI74" i="11"/>
  <c r="AJ74" i="11" s="1"/>
  <c r="AG74" i="11"/>
  <c r="AF74" i="11"/>
  <c r="AD74" i="11"/>
  <c r="Z74" i="11"/>
  <c r="AB74" i="11" s="1"/>
  <c r="D74" i="11"/>
  <c r="AI73" i="11"/>
  <c r="AJ73" i="11" s="1"/>
  <c r="AG73" i="11"/>
  <c r="AF73" i="11"/>
  <c r="AK85" i="11" s="1"/>
  <c r="AD73" i="11"/>
  <c r="Z73" i="11"/>
  <c r="AB73" i="11" s="1"/>
  <c r="D73" i="11"/>
  <c r="AI72" i="11"/>
  <c r="AJ72" i="11" s="1"/>
  <c r="AG72" i="11"/>
  <c r="AF72" i="11"/>
  <c r="AD72" i="11"/>
  <c r="Z72" i="11"/>
  <c r="AB72" i="11" s="1"/>
  <c r="D72" i="11"/>
  <c r="AI71" i="11"/>
  <c r="AJ71" i="11" s="1"/>
  <c r="AG71" i="11"/>
  <c r="AF71" i="11"/>
  <c r="AD71" i="11"/>
  <c r="Z71" i="11"/>
  <c r="AB71" i="11" s="1"/>
  <c r="D71" i="11"/>
  <c r="AI70" i="11"/>
  <c r="AJ70" i="11" s="1"/>
  <c r="AG70" i="11"/>
  <c r="AF70" i="11"/>
  <c r="AD70" i="11"/>
  <c r="Z70" i="11"/>
  <c r="AB70" i="11" s="1"/>
  <c r="D70" i="11"/>
  <c r="AI69" i="11"/>
  <c r="AJ69" i="11" s="1"/>
  <c r="AG69" i="11"/>
  <c r="AF69" i="11"/>
  <c r="AD69" i="11"/>
  <c r="Z69" i="11"/>
  <c r="AB69" i="11" s="1"/>
  <c r="D69" i="11"/>
  <c r="AI68" i="11"/>
  <c r="AJ68" i="11" s="1"/>
  <c r="AG68" i="11"/>
  <c r="AF68" i="11"/>
  <c r="AD68" i="11"/>
  <c r="Z68" i="11"/>
  <c r="AB68" i="11" s="1"/>
  <c r="D68" i="11"/>
  <c r="AI67" i="11"/>
  <c r="AJ67" i="11" s="1"/>
  <c r="AG67" i="11"/>
  <c r="AF67" i="11"/>
  <c r="AD67" i="11"/>
  <c r="Z67" i="11"/>
  <c r="AB67" i="11" s="1"/>
  <c r="D67" i="11"/>
  <c r="AI66" i="11"/>
  <c r="AJ66" i="11" s="1"/>
  <c r="AG66" i="11"/>
  <c r="AF66" i="11"/>
  <c r="AD66" i="11"/>
  <c r="Z66" i="11"/>
  <c r="AB66" i="11" s="1"/>
  <c r="D66" i="11"/>
  <c r="AI65" i="11"/>
  <c r="AG65" i="11"/>
  <c r="AF65" i="11"/>
  <c r="AD65" i="11"/>
  <c r="Z65" i="11"/>
  <c r="AB65" i="11" s="1"/>
  <c r="D65" i="11"/>
  <c r="AI64" i="11"/>
  <c r="AJ64" i="11" s="1"/>
  <c r="AG64" i="11"/>
  <c r="AF64" i="11"/>
  <c r="AD64" i="11"/>
  <c r="Z64" i="11"/>
  <c r="AB64" i="11" s="1"/>
  <c r="D64" i="11"/>
  <c r="AI63" i="11"/>
  <c r="AJ63" i="11" s="1"/>
  <c r="AG63" i="11"/>
  <c r="AF63" i="11"/>
  <c r="AD63" i="11"/>
  <c r="Z63" i="11"/>
  <c r="AB63" i="11" s="1"/>
  <c r="D63" i="11"/>
  <c r="AI62" i="11"/>
  <c r="AJ62" i="11" s="1"/>
  <c r="AG62" i="11"/>
  <c r="AF62" i="11"/>
  <c r="AD62" i="11"/>
  <c r="Z62" i="11"/>
  <c r="AB62" i="11" s="1"/>
  <c r="D62" i="11"/>
  <c r="AI61" i="11"/>
  <c r="AJ61" i="11" s="1"/>
  <c r="AG61" i="11"/>
  <c r="AF61" i="11"/>
  <c r="AD61" i="11"/>
  <c r="Z61" i="11"/>
  <c r="AB61" i="11" s="1"/>
  <c r="D61" i="11"/>
  <c r="AI60" i="11"/>
  <c r="AJ60" i="11" s="1"/>
  <c r="AG60" i="11"/>
  <c r="AF60" i="11"/>
  <c r="AD60" i="11"/>
  <c r="Z60" i="11"/>
  <c r="AB60" i="11" s="1"/>
  <c r="D60" i="11"/>
  <c r="AI59" i="11"/>
  <c r="AJ59" i="11" s="1"/>
  <c r="AG59" i="11"/>
  <c r="AF59" i="11"/>
  <c r="AD59" i="11"/>
  <c r="Z59" i="11"/>
  <c r="AB59" i="11" s="1"/>
  <c r="D59" i="11"/>
  <c r="AI58" i="11"/>
  <c r="AJ58" i="11" s="1"/>
  <c r="AG58" i="11"/>
  <c r="AF58" i="11"/>
  <c r="AD58" i="11"/>
  <c r="Z58" i="11"/>
  <c r="AB58" i="11" s="1"/>
  <c r="D58" i="11"/>
  <c r="AI57" i="11"/>
  <c r="AJ57" i="11" s="1"/>
  <c r="AG57" i="11"/>
  <c r="AF57" i="11"/>
  <c r="AD57" i="11"/>
  <c r="Z57" i="11"/>
  <c r="AB57" i="11" s="1"/>
  <c r="D57" i="11"/>
  <c r="AI56" i="11"/>
  <c r="AJ56" i="11" s="1"/>
  <c r="AG56" i="11"/>
  <c r="AF56" i="11"/>
  <c r="AD56" i="11"/>
  <c r="Z56" i="11"/>
  <c r="AB56" i="11" s="1"/>
  <c r="D56" i="11"/>
  <c r="AI55" i="11"/>
  <c r="AJ55" i="11" s="1"/>
  <c r="AG55" i="11"/>
  <c r="AF55" i="11"/>
  <c r="AD55" i="11"/>
  <c r="Z55" i="11"/>
  <c r="AB55" i="11" s="1"/>
  <c r="D55" i="11"/>
  <c r="AI54" i="11"/>
  <c r="AJ54" i="11" s="1"/>
  <c r="AG54" i="11"/>
  <c r="AF54" i="11"/>
  <c r="AD54" i="11"/>
  <c r="Z54" i="11"/>
  <c r="AB54" i="11" s="1"/>
  <c r="D54" i="11"/>
  <c r="AI53" i="11"/>
  <c r="AJ53" i="11" s="1"/>
  <c r="AG53" i="11"/>
  <c r="AF53" i="11"/>
  <c r="AD53" i="11"/>
  <c r="Z53" i="11"/>
  <c r="AB53" i="11" s="1"/>
  <c r="D53" i="11"/>
  <c r="AI52" i="11"/>
  <c r="AJ52" i="11" s="1"/>
  <c r="AG52" i="11"/>
  <c r="AF52" i="11"/>
  <c r="AD52" i="11"/>
  <c r="Z52" i="11"/>
  <c r="AB52" i="11" s="1"/>
  <c r="D52" i="11"/>
  <c r="AI51" i="11"/>
  <c r="AJ51" i="11" s="1"/>
  <c r="AG51" i="11"/>
  <c r="AF51" i="11"/>
  <c r="AD51" i="11"/>
  <c r="Z51" i="11"/>
  <c r="AB51" i="11" s="1"/>
  <c r="D51" i="11"/>
  <c r="AI50" i="11"/>
  <c r="AJ50" i="11" s="1"/>
  <c r="AG50" i="11"/>
  <c r="AF50" i="11"/>
  <c r="AD50" i="11"/>
  <c r="Z50" i="11"/>
  <c r="AB50" i="11" s="1"/>
  <c r="D50" i="11"/>
  <c r="AI49" i="11"/>
  <c r="AJ49" i="11" s="1"/>
  <c r="AG49" i="11"/>
  <c r="AF49" i="11"/>
  <c r="AD49" i="11"/>
  <c r="Z49" i="11"/>
  <c r="AB49" i="11" s="1"/>
  <c r="D49" i="11"/>
  <c r="AI48" i="11"/>
  <c r="AJ48" i="11" s="1"/>
  <c r="AG48" i="11"/>
  <c r="AF48" i="11"/>
  <c r="AD48" i="11"/>
  <c r="Z48" i="11"/>
  <c r="AB48" i="11" s="1"/>
  <c r="D48" i="11"/>
  <c r="AI47" i="11"/>
  <c r="AJ47" i="11" s="1"/>
  <c r="AG47" i="11"/>
  <c r="AF47" i="11"/>
  <c r="AD47" i="11"/>
  <c r="Z47" i="11"/>
  <c r="AB47" i="11" s="1"/>
  <c r="D47" i="11"/>
  <c r="AI46" i="11"/>
  <c r="AJ46" i="11" s="1"/>
  <c r="AG46" i="11"/>
  <c r="AF46" i="11"/>
  <c r="AD46" i="11"/>
  <c r="Z46" i="11"/>
  <c r="AB46" i="11" s="1"/>
  <c r="D46" i="11"/>
  <c r="AI45" i="11"/>
  <c r="AJ45" i="11" s="1"/>
  <c r="AG45" i="11"/>
  <c r="AF45" i="11"/>
  <c r="AD45" i="11"/>
  <c r="Z45" i="11"/>
  <c r="AB45" i="11" s="1"/>
  <c r="D45" i="11"/>
  <c r="AI44" i="11"/>
  <c r="AJ44" i="11" s="1"/>
  <c r="AG44" i="11"/>
  <c r="AF44" i="11"/>
  <c r="AD44" i="11"/>
  <c r="Z44" i="11"/>
  <c r="AB44" i="11" s="1"/>
  <c r="D44" i="11"/>
  <c r="AI43" i="11"/>
  <c r="AJ43" i="11" s="1"/>
  <c r="AG43" i="11"/>
  <c r="AF43" i="11"/>
  <c r="AK55" i="11" s="1"/>
  <c r="AD43" i="11"/>
  <c r="Z43" i="11"/>
  <c r="AB43" i="11" s="1"/>
  <c r="D43" i="11"/>
  <c r="AI42" i="11"/>
  <c r="AJ42" i="11" s="1"/>
  <c r="AG42" i="11"/>
  <c r="AF42" i="11"/>
  <c r="AD42" i="11"/>
  <c r="Z42" i="11"/>
  <c r="AB42" i="11" s="1"/>
  <c r="D42" i="11"/>
  <c r="AI41" i="11"/>
  <c r="AJ41" i="11" s="1"/>
  <c r="AG41" i="11"/>
  <c r="AF41" i="11"/>
  <c r="AD41" i="11"/>
  <c r="Z41" i="11"/>
  <c r="AB41" i="11" s="1"/>
  <c r="D41" i="11"/>
  <c r="AI40" i="11"/>
  <c r="AJ40" i="11" s="1"/>
  <c r="AG40" i="11"/>
  <c r="AF40" i="11"/>
  <c r="AD40" i="11"/>
  <c r="Z40" i="11"/>
  <c r="AB40" i="11" s="1"/>
  <c r="D40" i="11"/>
  <c r="AI39" i="11"/>
  <c r="AJ39" i="11" s="1"/>
  <c r="AG39" i="11"/>
  <c r="AF39" i="11"/>
  <c r="AD39" i="11"/>
  <c r="Z39" i="11"/>
  <c r="AB39" i="11" s="1"/>
  <c r="D39" i="11"/>
  <c r="AI38" i="11"/>
  <c r="AJ38" i="11" s="1"/>
  <c r="AG38" i="11"/>
  <c r="AF38" i="11"/>
  <c r="AD38" i="11"/>
  <c r="Z38" i="11"/>
  <c r="AB38" i="11" s="1"/>
  <c r="D38" i="11"/>
  <c r="AI37" i="11"/>
  <c r="AJ37" i="11" s="1"/>
  <c r="AG37" i="11"/>
  <c r="AF37" i="11"/>
  <c r="AD37" i="11"/>
  <c r="Z37" i="11"/>
  <c r="AB37" i="11" s="1"/>
  <c r="D37" i="11"/>
  <c r="AI36" i="11"/>
  <c r="AJ36" i="11" s="1"/>
  <c r="AG36" i="11"/>
  <c r="AF36" i="11"/>
  <c r="AD36" i="11"/>
  <c r="Z36" i="11"/>
  <c r="AB36" i="11" s="1"/>
  <c r="D36" i="11"/>
  <c r="AI35" i="11"/>
  <c r="AJ35" i="11" s="1"/>
  <c r="AG35" i="11"/>
  <c r="AF35" i="11"/>
  <c r="AD35" i="11"/>
  <c r="Z35" i="11"/>
  <c r="AB35" i="11" s="1"/>
  <c r="D35" i="11"/>
  <c r="AI34" i="11"/>
  <c r="AJ34" i="11" s="1"/>
  <c r="AG34" i="11"/>
  <c r="AF34" i="11"/>
  <c r="AD34" i="11"/>
  <c r="Z34" i="11"/>
  <c r="AB34" i="11" s="1"/>
  <c r="D34" i="11"/>
  <c r="AI33" i="11"/>
  <c r="AJ33" i="11" s="1"/>
  <c r="AG33" i="11"/>
  <c r="AF33" i="11"/>
  <c r="AD33" i="11"/>
  <c r="Z33" i="11"/>
  <c r="AB33" i="11" s="1"/>
  <c r="D33" i="11"/>
  <c r="AI32" i="11"/>
  <c r="AJ32" i="11" s="1"/>
  <c r="AG32" i="11"/>
  <c r="AF32" i="11"/>
  <c r="AD32" i="11"/>
  <c r="Z32" i="11"/>
  <c r="AB32" i="11" s="1"/>
  <c r="D32" i="11"/>
  <c r="AI31" i="11"/>
  <c r="AJ31" i="11" s="1"/>
  <c r="AG31" i="11"/>
  <c r="AF31" i="11"/>
  <c r="AD31" i="11"/>
  <c r="Z31" i="11"/>
  <c r="AB31" i="11" s="1"/>
  <c r="D31" i="11"/>
  <c r="AI30" i="11"/>
  <c r="AJ30" i="11" s="1"/>
  <c r="AG30" i="11"/>
  <c r="AF30" i="11"/>
  <c r="AD30" i="11"/>
  <c r="Z30" i="11"/>
  <c r="AB30" i="11" s="1"/>
  <c r="D30" i="11"/>
  <c r="AI29" i="11"/>
  <c r="AJ29" i="11" s="1"/>
  <c r="AG29" i="11"/>
  <c r="AF29" i="11"/>
  <c r="AD29" i="11"/>
  <c r="Z29" i="11"/>
  <c r="AB29" i="11" s="1"/>
  <c r="D29" i="11"/>
  <c r="AI28" i="11"/>
  <c r="AJ28" i="11" s="1"/>
  <c r="AG28" i="11"/>
  <c r="AF28" i="11"/>
  <c r="AD28" i="11"/>
  <c r="Z28" i="11"/>
  <c r="AB28" i="11" s="1"/>
  <c r="D28" i="11"/>
  <c r="AI27" i="11"/>
  <c r="AJ27" i="11" s="1"/>
  <c r="AG27" i="11"/>
  <c r="AF27" i="11"/>
  <c r="AD27" i="11"/>
  <c r="Z27" i="11"/>
  <c r="AB27" i="11" s="1"/>
  <c r="D27" i="11"/>
  <c r="AI26" i="11"/>
  <c r="AJ26" i="11" s="1"/>
  <c r="AG26" i="11"/>
  <c r="AF26" i="11"/>
  <c r="AD26" i="11"/>
  <c r="Z26" i="11"/>
  <c r="D26" i="11"/>
  <c r="AI25" i="11"/>
  <c r="AJ25" i="11" s="1"/>
  <c r="AG25" i="11"/>
  <c r="AF25" i="11"/>
  <c r="AD25" i="11"/>
  <c r="Z25" i="11"/>
  <c r="AI24" i="11"/>
  <c r="AJ24" i="11" s="1"/>
  <c r="AG24" i="11"/>
  <c r="AF24" i="11"/>
  <c r="AD24" i="11"/>
  <c r="Z24" i="11"/>
  <c r="AI23" i="11"/>
  <c r="AJ23" i="11" s="1"/>
  <c r="AG23" i="11"/>
  <c r="AF23" i="11"/>
  <c r="AD23" i="11"/>
  <c r="Z23" i="11"/>
  <c r="AB26" i="11" s="1"/>
  <c r="AI22" i="11"/>
  <c r="AJ22" i="11" s="1"/>
  <c r="AG22" i="11"/>
  <c r="AF22" i="11"/>
  <c r="AD22" i="11"/>
  <c r="Z22" i="11"/>
  <c r="AB25" i="11" s="1"/>
  <c r="AI21" i="11"/>
  <c r="AJ21" i="11" s="1"/>
  <c r="AG21" i="11"/>
  <c r="AF21" i="11"/>
  <c r="AD21" i="11"/>
  <c r="Z21" i="11"/>
  <c r="AB24" i="11" s="1"/>
  <c r="AI20" i="11"/>
  <c r="AJ20" i="11" s="1"/>
  <c r="AG20" i="11"/>
  <c r="AF20" i="11"/>
  <c r="AD20" i="11"/>
  <c r="Z20" i="11"/>
  <c r="AB23" i="11" s="1"/>
  <c r="AI19" i="11"/>
  <c r="AJ19" i="11" s="1"/>
  <c r="AG19" i="11"/>
  <c r="AF19" i="11"/>
  <c r="AD19" i="11"/>
  <c r="Z19" i="11"/>
  <c r="AB22" i="11" s="1"/>
  <c r="AI18" i="11"/>
  <c r="AJ18" i="11" s="1"/>
  <c r="AG18" i="11"/>
  <c r="AF18" i="11"/>
  <c r="AD18" i="11"/>
  <c r="Z18" i="11"/>
  <c r="AB21" i="11" s="1"/>
  <c r="AI17" i="11"/>
  <c r="AJ17" i="11" s="1"/>
  <c r="AG17" i="11"/>
  <c r="AF17" i="11"/>
  <c r="AD17" i="11"/>
  <c r="Z17" i="11"/>
  <c r="AB20" i="11" s="1"/>
  <c r="AI16" i="11"/>
  <c r="AJ16" i="11" s="1"/>
  <c r="AG16" i="11"/>
  <c r="AF16" i="11"/>
  <c r="AD16" i="11"/>
  <c r="AB16" i="11"/>
  <c r="Z16" i="11"/>
  <c r="AB19" i="11" s="1"/>
  <c r="AI15" i="11"/>
  <c r="AJ15" i="11" s="1"/>
  <c r="AG15" i="11"/>
  <c r="AF15" i="11"/>
  <c r="Z15" i="11"/>
  <c r="AB18" i="11" s="1"/>
  <c r="AI14" i="11"/>
  <c r="AJ14" i="11" s="1"/>
  <c r="AG14" i="11"/>
  <c r="AF14" i="11"/>
  <c r="Z14" i="11"/>
  <c r="AB17" i="11" s="1"/>
  <c r="AF13" i="11"/>
  <c r="AF12" i="11"/>
  <c r="AF11" i="11"/>
  <c r="AF10" i="11"/>
  <c r="AF9" i="11"/>
  <c r="AF8" i="11"/>
  <c r="AF7" i="11"/>
  <c r="AF6" i="11"/>
  <c r="AF5" i="11"/>
  <c r="AF4" i="11"/>
  <c r="AF3" i="11"/>
  <c r="AF2" i="11"/>
  <c r="D215" i="10"/>
  <c r="D214" i="10"/>
  <c r="D213" i="10"/>
  <c r="D212" i="10"/>
  <c r="AK146" i="10"/>
  <c r="AH146" i="10"/>
  <c r="AN145" i="10"/>
  <c r="AP145" i="10" s="1"/>
  <c r="AQ145" i="10" s="1"/>
  <c r="AJ145" i="10"/>
  <c r="AN144" i="10"/>
  <c r="AP144" i="10" s="1"/>
  <c r="AQ144" i="10" s="1"/>
  <c r="AN143" i="10"/>
  <c r="AP143" i="10" s="1"/>
  <c r="AQ143" i="10" s="1"/>
  <c r="AJ143" i="10"/>
  <c r="AN142" i="10"/>
  <c r="AQ142" i="10" s="1"/>
  <c r="AJ142" i="10"/>
  <c r="AN141" i="10"/>
  <c r="AP141" i="10" s="1"/>
  <c r="AQ141" i="10" s="1"/>
  <c r="AJ141" i="10"/>
  <c r="AN140" i="10"/>
  <c r="AP140" i="10" s="1"/>
  <c r="AQ140" i="10" s="1"/>
  <c r="AJ140" i="10"/>
  <c r="AN139" i="10"/>
  <c r="AP139" i="10" s="1"/>
  <c r="AQ139" i="10" s="1"/>
  <c r="AJ139" i="10"/>
  <c r="AN138" i="10"/>
  <c r="AP138" i="10" s="1"/>
  <c r="AQ138" i="10" s="1"/>
  <c r="AJ138" i="10"/>
  <c r="AN137" i="10"/>
  <c r="AP137" i="10" s="1"/>
  <c r="AQ137" i="10" s="1"/>
  <c r="AJ137" i="10"/>
  <c r="AN136" i="10"/>
  <c r="AP136" i="10" s="1"/>
  <c r="AQ136" i="10" s="1"/>
  <c r="AJ136" i="10"/>
  <c r="AN135" i="10"/>
  <c r="AP135" i="10" s="1"/>
  <c r="AJ135" i="10"/>
  <c r="AN134" i="10"/>
  <c r="AQ134" i="10" s="1"/>
  <c r="AJ134" i="10"/>
  <c r="AN133" i="10"/>
  <c r="AJ133" i="10"/>
  <c r="AI133" i="10"/>
  <c r="AG133" i="10"/>
  <c r="AN132" i="10"/>
  <c r="AP132" i="10" s="1"/>
  <c r="AQ132" i="10" s="1"/>
  <c r="AJ132" i="10"/>
  <c r="AI132" i="10"/>
  <c r="AG132" i="10"/>
  <c r="AU131" i="10"/>
  <c r="AN131" i="10"/>
  <c r="AP131" i="10" s="1"/>
  <c r="AJ131" i="10"/>
  <c r="AI131" i="10"/>
  <c r="AG131" i="10"/>
  <c r="AU130" i="10"/>
  <c r="AN130" i="10"/>
  <c r="AQ130" i="10" s="1"/>
  <c r="AJ130" i="10"/>
  <c r="AI130" i="10"/>
  <c r="AG130" i="10"/>
  <c r="AU129" i="10"/>
  <c r="AN129" i="10"/>
  <c r="AQ129" i="10" s="1"/>
  <c r="AJ129" i="10"/>
  <c r="AI129" i="10"/>
  <c r="AG129" i="10"/>
  <c r="AU128" i="10"/>
  <c r="AN128" i="10"/>
  <c r="AQ128" i="10" s="1"/>
  <c r="AJ128" i="10"/>
  <c r="AI128" i="10"/>
  <c r="AG128" i="10"/>
  <c r="AU127" i="10"/>
  <c r="AN127" i="10"/>
  <c r="AQ127" i="10" s="1"/>
  <c r="AJ127" i="10"/>
  <c r="AI127" i="10"/>
  <c r="AG127" i="10"/>
  <c r="AU126" i="10"/>
  <c r="AN126" i="10"/>
  <c r="AQ126" i="10" s="1"/>
  <c r="AJ126" i="10"/>
  <c r="AI126" i="10"/>
  <c r="AG126" i="10"/>
  <c r="AU125" i="10"/>
  <c r="AT125" i="10"/>
  <c r="AN125" i="10"/>
  <c r="AP125" i="10" s="1"/>
  <c r="AJ125" i="10"/>
  <c r="AI125" i="10"/>
  <c r="AG125" i="10"/>
  <c r="AU124" i="10"/>
  <c r="AT124" i="10"/>
  <c r="AN124" i="10"/>
  <c r="AQ124" i="10" s="1"/>
  <c r="AJ124" i="10"/>
  <c r="AI124" i="10"/>
  <c r="AG124" i="10"/>
  <c r="AU123" i="10"/>
  <c r="AT123" i="10"/>
  <c r="AN123" i="10"/>
  <c r="AP123" i="10" s="1"/>
  <c r="AQ123" i="10" s="1"/>
  <c r="AJ123" i="10"/>
  <c r="AI123" i="10"/>
  <c r="AG123" i="10"/>
  <c r="AU122" i="10"/>
  <c r="AT122" i="10"/>
  <c r="AN122" i="10"/>
  <c r="AQ122" i="10" s="1"/>
  <c r="AJ122" i="10"/>
  <c r="AI122" i="10"/>
  <c r="AG122" i="10"/>
  <c r="AU121" i="10"/>
  <c r="AT121" i="10"/>
  <c r="AN121" i="10"/>
  <c r="AP121" i="10" s="1"/>
  <c r="AQ121" i="10" s="1"/>
  <c r="AJ121" i="10"/>
  <c r="AI121" i="10"/>
  <c r="AG121" i="10"/>
  <c r="AU120" i="10"/>
  <c r="AT120" i="10"/>
  <c r="AN120" i="10"/>
  <c r="AP120" i="10" s="1"/>
  <c r="AQ120" i="10" s="1"/>
  <c r="AJ120" i="10"/>
  <c r="AI120" i="10"/>
  <c r="AG120" i="10"/>
  <c r="AU119" i="10"/>
  <c r="AT119" i="10"/>
  <c r="AN119" i="10"/>
  <c r="AP119" i="10" s="1"/>
  <c r="AQ119" i="10" s="1"/>
  <c r="AJ119" i="10"/>
  <c r="AI119" i="10"/>
  <c r="AG119" i="10"/>
  <c r="AT118" i="10"/>
  <c r="AN118" i="10"/>
  <c r="AP118" i="10" s="1"/>
  <c r="AQ118" i="10" s="1"/>
  <c r="AJ118" i="10"/>
  <c r="AI118" i="10"/>
  <c r="AG118" i="10"/>
  <c r="AT117" i="10"/>
  <c r="AN117" i="10"/>
  <c r="AP117" i="10" s="1"/>
  <c r="AQ117" i="10" s="1"/>
  <c r="AJ117" i="10"/>
  <c r="AI117" i="10"/>
  <c r="AG117" i="10"/>
  <c r="AT116" i="10"/>
  <c r="AN116" i="10"/>
  <c r="AJ116" i="10"/>
  <c r="AI116" i="10"/>
  <c r="AG116" i="10"/>
  <c r="AT115" i="10"/>
  <c r="AP115" i="10"/>
  <c r="AQ115" i="10" s="1"/>
  <c r="AJ115" i="10"/>
  <c r="AI115" i="10"/>
  <c r="AG115" i="10"/>
  <c r="AT114" i="10"/>
  <c r="AP114" i="10"/>
  <c r="AQ114" i="10" s="1"/>
  <c r="AJ114" i="10"/>
  <c r="AI114" i="10"/>
  <c r="AG114" i="10"/>
  <c r="AT113" i="10"/>
  <c r="AP113" i="10"/>
  <c r="AQ113" i="10" s="1"/>
  <c r="AJ113" i="10"/>
  <c r="AI113" i="10"/>
  <c r="AG113" i="10"/>
  <c r="AT112" i="10"/>
  <c r="AP112" i="10"/>
  <c r="AQ112" i="10" s="1"/>
  <c r="AJ112" i="10"/>
  <c r="AI112" i="10"/>
  <c r="AG112" i="10"/>
  <c r="AT111" i="10"/>
  <c r="AP111" i="10"/>
  <c r="AQ111" i="10" s="1"/>
  <c r="AJ111" i="10"/>
  <c r="AI111" i="10"/>
  <c r="AG111" i="10"/>
  <c r="AT110" i="10"/>
  <c r="AP110" i="10"/>
  <c r="AQ110" i="10" s="1"/>
  <c r="AJ110" i="10"/>
  <c r="AI110" i="10"/>
  <c r="AG110" i="10"/>
  <c r="AT109" i="10"/>
  <c r="AP109" i="10"/>
  <c r="AQ109" i="10" s="1"/>
  <c r="AJ109" i="10"/>
  <c r="AI109" i="10"/>
  <c r="AG109" i="10"/>
  <c r="AT108" i="10"/>
  <c r="AP108" i="10"/>
  <c r="AQ108" i="10" s="1"/>
  <c r="AJ108" i="10"/>
  <c r="AI108" i="10"/>
  <c r="AG108" i="10"/>
  <c r="AT107" i="10"/>
  <c r="AP107" i="10"/>
  <c r="AQ107" i="10" s="1"/>
  <c r="AJ107" i="10"/>
  <c r="AI107" i="10"/>
  <c r="AG107" i="10"/>
  <c r="AY106" i="10"/>
  <c r="AX106" i="10"/>
  <c r="AW106" i="10"/>
  <c r="AT106" i="10"/>
  <c r="AP106" i="10"/>
  <c r="AQ106" i="10" s="1"/>
  <c r="AJ106" i="10"/>
  <c r="AI106" i="10"/>
  <c r="AG106" i="10"/>
  <c r="AT105" i="10"/>
  <c r="AP105" i="10"/>
  <c r="AQ105" i="10" s="1"/>
  <c r="AJ105" i="10"/>
  <c r="AI105" i="10"/>
  <c r="AG105" i="10"/>
  <c r="AT104" i="10"/>
  <c r="AP104" i="10"/>
  <c r="AQ104" i="10" s="1"/>
  <c r="AJ104" i="10"/>
  <c r="AI104" i="10"/>
  <c r="AG104" i="10"/>
  <c r="AT103" i="10"/>
  <c r="AP103" i="10"/>
  <c r="AQ103" i="10" s="1"/>
  <c r="AJ103" i="10"/>
  <c r="AI103" i="10"/>
  <c r="AG103" i="10"/>
  <c r="AT102" i="10"/>
  <c r="AP102" i="10"/>
  <c r="AQ102" i="10" s="1"/>
  <c r="AJ102" i="10"/>
  <c r="AI102" i="10"/>
  <c r="AG102" i="10"/>
  <c r="AT101" i="10"/>
  <c r="AP101" i="10"/>
  <c r="AQ101" i="10" s="1"/>
  <c r="AJ101" i="10"/>
  <c r="AI101" i="10"/>
  <c r="AG101" i="10"/>
  <c r="AT100" i="10"/>
  <c r="AP100" i="10"/>
  <c r="AQ100" i="10" s="1"/>
  <c r="AJ100" i="10"/>
  <c r="AI100" i="10"/>
  <c r="AG100" i="10"/>
  <c r="AT99" i="10"/>
  <c r="AP99" i="10"/>
  <c r="AQ99" i="10" s="1"/>
  <c r="AJ99" i="10"/>
  <c r="AI99" i="10"/>
  <c r="AG99" i="10"/>
  <c r="AT98" i="10"/>
  <c r="AP98" i="10"/>
  <c r="AQ98" i="10" s="1"/>
  <c r="AJ98" i="10"/>
  <c r="AI98" i="10"/>
  <c r="AG98" i="10"/>
  <c r="AB98" i="10"/>
  <c r="AT97" i="10"/>
  <c r="AP97" i="10"/>
  <c r="AQ97" i="10" s="1"/>
  <c r="AJ97" i="10"/>
  <c r="AI97" i="10"/>
  <c r="AG97" i="10"/>
  <c r="AB97" i="10"/>
  <c r="AT96" i="10"/>
  <c r="AP96" i="10"/>
  <c r="AQ96" i="10" s="1"/>
  <c r="AJ96" i="10"/>
  <c r="AI96" i="10"/>
  <c r="AG96" i="10"/>
  <c r="AB96" i="10"/>
  <c r="AT95" i="10"/>
  <c r="AP95" i="10"/>
  <c r="AQ95" i="10" s="1"/>
  <c r="AJ95" i="10"/>
  <c r="AI95" i="10"/>
  <c r="AG95" i="10"/>
  <c r="AB95" i="10"/>
  <c r="AT94" i="10"/>
  <c r="AP94" i="10"/>
  <c r="AQ94" i="10" s="1"/>
  <c r="AJ94" i="10"/>
  <c r="AI94" i="10"/>
  <c r="AG94" i="10"/>
  <c r="AB94" i="10"/>
  <c r="AT93" i="10"/>
  <c r="AP93" i="10"/>
  <c r="AQ93" i="10" s="1"/>
  <c r="AJ93" i="10"/>
  <c r="AI93" i="10"/>
  <c r="AG93" i="10"/>
  <c r="AB93" i="10"/>
  <c r="AT92" i="10"/>
  <c r="AP92" i="10"/>
  <c r="AQ92" i="10" s="1"/>
  <c r="AJ92" i="10"/>
  <c r="AI92" i="10"/>
  <c r="AG92" i="10"/>
  <c r="AB92" i="10"/>
  <c r="AT91" i="10"/>
  <c r="AP91" i="10"/>
  <c r="AQ91" i="10" s="1"/>
  <c r="AJ91" i="10"/>
  <c r="AI91" i="10"/>
  <c r="AG91" i="10"/>
  <c r="AB91" i="10"/>
  <c r="AT90" i="10"/>
  <c r="AP90" i="10"/>
  <c r="AQ90" i="10" s="1"/>
  <c r="AJ90" i="10"/>
  <c r="AI90" i="10"/>
  <c r="AG90" i="10"/>
  <c r="AB90" i="10"/>
  <c r="AT89" i="10"/>
  <c r="AP89" i="10"/>
  <c r="AQ89" i="10" s="1"/>
  <c r="AJ89" i="10"/>
  <c r="AI89" i="10"/>
  <c r="AG89" i="10"/>
  <c r="AB89" i="10"/>
  <c r="AT88" i="10"/>
  <c r="AP88" i="10"/>
  <c r="AQ88" i="10" s="1"/>
  <c r="AJ88" i="10"/>
  <c r="AI88" i="10"/>
  <c r="AG88" i="10"/>
  <c r="AB88" i="10"/>
  <c r="AT87" i="10"/>
  <c r="AP87" i="10"/>
  <c r="AQ87" i="10" s="1"/>
  <c r="AJ87" i="10"/>
  <c r="AI87" i="10"/>
  <c r="AG87" i="10"/>
  <c r="AB87" i="10"/>
  <c r="AU86" i="10"/>
  <c r="AT86" i="10"/>
  <c r="AP86" i="10"/>
  <c r="AQ86" i="10" s="1"/>
  <c r="AJ86" i="10"/>
  <c r="AI86" i="10"/>
  <c r="AG86" i="10"/>
  <c r="AB86" i="10"/>
  <c r="AT85" i="10"/>
  <c r="AP85" i="10"/>
  <c r="AQ85" i="10" s="1"/>
  <c r="AJ85" i="10"/>
  <c r="AI85" i="10"/>
  <c r="AG85" i="10"/>
  <c r="AB85" i="10"/>
  <c r="AT84" i="10"/>
  <c r="AP84" i="10"/>
  <c r="AQ84" i="10" s="1"/>
  <c r="AJ84" i="10"/>
  <c r="AI84" i="10"/>
  <c r="AG84" i="10"/>
  <c r="AB84" i="10"/>
  <c r="AT83" i="10"/>
  <c r="AP83" i="10"/>
  <c r="AQ83" i="10" s="1"/>
  <c r="AJ83" i="10"/>
  <c r="AI83" i="10"/>
  <c r="AG83" i="10"/>
  <c r="AB83" i="10"/>
  <c r="AT82" i="10"/>
  <c r="AP82" i="10"/>
  <c r="AQ82" i="10" s="1"/>
  <c r="AJ82" i="10"/>
  <c r="AI82" i="10"/>
  <c r="AG82" i="10"/>
  <c r="AB82" i="10"/>
  <c r="AT81" i="10"/>
  <c r="AP81" i="10"/>
  <c r="AQ81" i="10" s="1"/>
  <c r="AJ81" i="10"/>
  <c r="AI81" i="10"/>
  <c r="AG81" i="10"/>
  <c r="AB81" i="10"/>
  <c r="AT80" i="10"/>
  <c r="AP80" i="10"/>
  <c r="AQ80" i="10" s="1"/>
  <c r="AJ80" i="10"/>
  <c r="AI80" i="10"/>
  <c r="AG80" i="10"/>
  <c r="AB80" i="10"/>
  <c r="AT79" i="10"/>
  <c r="AP79" i="10"/>
  <c r="AQ79" i="10" s="1"/>
  <c r="AJ79" i="10"/>
  <c r="AI79" i="10"/>
  <c r="AG79" i="10"/>
  <c r="AB79" i="10"/>
  <c r="AT78" i="10"/>
  <c r="AP78" i="10"/>
  <c r="AQ78" i="10" s="1"/>
  <c r="AJ78" i="10"/>
  <c r="AI78" i="10"/>
  <c r="AG78" i="10"/>
  <c r="AB78" i="10"/>
  <c r="AT77" i="10"/>
  <c r="AP77" i="10"/>
  <c r="AQ77" i="10" s="1"/>
  <c r="AJ77" i="10"/>
  <c r="AI77" i="10"/>
  <c r="AG77" i="10"/>
  <c r="AB77" i="10"/>
  <c r="AT76" i="10"/>
  <c r="AP76" i="10"/>
  <c r="AQ76" i="10" s="1"/>
  <c r="AJ76" i="10"/>
  <c r="AI76" i="10"/>
  <c r="AG76" i="10"/>
  <c r="AB76" i="10"/>
  <c r="AT75" i="10"/>
  <c r="AP75" i="10"/>
  <c r="AQ75" i="10" s="1"/>
  <c r="AJ75" i="10"/>
  <c r="AI75" i="10"/>
  <c r="AG75" i="10"/>
  <c r="AB75" i="10"/>
  <c r="AT74" i="10"/>
  <c r="AP74" i="10"/>
  <c r="AQ74" i="10" s="1"/>
  <c r="AJ74" i="10"/>
  <c r="AI74" i="10"/>
  <c r="AG74" i="10"/>
  <c r="AB74" i="10"/>
  <c r="AT73" i="10"/>
  <c r="AQ73" i="10"/>
  <c r="AP73" i="10"/>
  <c r="AJ73" i="10"/>
  <c r="AI73" i="10"/>
  <c r="AG73" i="10"/>
  <c r="AB73" i="10"/>
  <c r="AT72" i="10"/>
  <c r="AQ72" i="10"/>
  <c r="AP72" i="10"/>
  <c r="AJ72" i="10"/>
  <c r="AI72" i="10"/>
  <c r="AG72" i="10"/>
  <c r="AB72" i="10"/>
  <c r="AT71" i="10"/>
  <c r="AQ71" i="10"/>
  <c r="AP71" i="10"/>
  <c r="AJ71" i="10"/>
  <c r="AI71" i="10"/>
  <c r="AG71" i="10"/>
  <c r="AB71" i="10"/>
  <c r="AT70" i="10"/>
  <c r="AQ70" i="10"/>
  <c r="AP70" i="10"/>
  <c r="AJ70" i="10"/>
  <c r="AI70" i="10"/>
  <c r="AG70" i="10"/>
  <c r="AB70" i="10"/>
  <c r="AT69" i="10"/>
  <c r="AQ69" i="10"/>
  <c r="AP69" i="10"/>
  <c r="AJ69" i="10"/>
  <c r="AI69" i="10"/>
  <c r="AG69" i="10"/>
  <c r="AB69" i="10"/>
  <c r="AT68" i="10"/>
  <c r="AQ68" i="10"/>
  <c r="AP68" i="10"/>
  <c r="AJ68" i="10"/>
  <c r="AI68" i="10"/>
  <c r="AG68" i="10"/>
  <c r="AB68" i="10"/>
  <c r="AT67" i="10"/>
  <c r="AQ67" i="10"/>
  <c r="AP67" i="10"/>
  <c r="AJ67" i="10"/>
  <c r="AI67" i="10"/>
  <c r="AG67" i="10"/>
  <c r="AB67" i="10"/>
  <c r="AT66" i="10"/>
  <c r="AQ66" i="10"/>
  <c r="AP66" i="10"/>
  <c r="AJ66" i="10"/>
  <c r="AI66" i="10"/>
  <c r="AG66" i="10"/>
  <c r="AB66" i="10"/>
  <c r="AT65" i="10"/>
  <c r="AQ65" i="10"/>
  <c r="AP65" i="10"/>
  <c r="AJ65" i="10"/>
  <c r="AI65" i="10"/>
  <c r="AG65" i="10"/>
  <c r="AB65" i="10"/>
  <c r="AT64" i="10"/>
  <c r="AQ64" i="10"/>
  <c r="AP64" i="10"/>
  <c r="AJ64" i="10"/>
  <c r="AI64" i="10"/>
  <c r="AG64" i="10"/>
  <c r="AB64" i="10"/>
  <c r="AT63" i="10"/>
  <c r="AQ63" i="10"/>
  <c r="AP63" i="10"/>
  <c r="AJ63" i="10"/>
  <c r="AI63" i="10"/>
  <c r="AG63" i="10"/>
  <c r="AB63" i="10"/>
  <c r="AT62" i="10"/>
  <c r="AQ62" i="10"/>
  <c r="AP62" i="10"/>
  <c r="AJ62" i="10"/>
  <c r="AI62" i="10"/>
  <c r="AB62" i="10"/>
  <c r="AT61" i="10"/>
  <c r="AQ61" i="10"/>
  <c r="AP61" i="10"/>
  <c r="AJ61" i="10"/>
  <c r="AI61" i="10"/>
  <c r="AB61" i="10"/>
  <c r="AT60" i="10"/>
  <c r="AQ60" i="10"/>
  <c r="AP60" i="10"/>
  <c r="AJ60" i="10"/>
  <c r="AI60" i="10"/>
  <c r="AB60" i="10"/>
  <c r="AT59" i="10"/>
  <c r="AQ59" i="10"/>
  <c r="AP59" i="10"/>
  <c r="AJ59" i="10"/>
  <c r="AI59" i="10"/>
  <c r="AB59" i="10"/>
  <c r="AT58" i="10"/>
  <c r="AQ58" i="10"/>
  <c r="AP58" i="10"/>
  <c r="AJ58" i="10"/>
  <c r="AI58" i="10"/>
  <c r="AB58" i="10"/>
  <c r="AT57" i="10"/>
  <c r="AQ57" i="10"/>
  <c r="AP57" i="10"/>
  <c r="AJ57" i="10"/>
  <c r="AI57" i="10"/>
  <c r="AB57" i="10"/>
  <c r="AT56" i="10"/>
  <c r="AQ56" i="10"/>
  <c r="AP56" i="10"/>
  <c r="AJ56" i="10"/>
  <c r="AI56" i="10"/>
  <c r="AB56" i="10"/>
  <c r="AT55" i="10"/>
  <c r="AQ55" i="10"/>
  <c r="AP55" i="10"/>
  <c r="AJ55" i="10"/>
  <c r="AI55" i="10"/>
  <c r="AB55" i="10"/>
  <c r="AT54" i="10"/>
  <c r="AQ54" i="10"/>
  <c r="AP54" i="10"/>
  <c r="AJ54" i="10"/>
  <c r="AI54" i="10"/>
  <c r="AB54" i="10"/>
  <c r="AT53" i="10"/>
  <c r="AQ53" i="10"/>
  <c r="AP53" i="10"/>
  <c r="AJ53" i="10"/>
  <c r="AI53" i="10"/>
  <c r="AB53" i="10"/>
  <c r="AT52" i="10"/>
  <c r="AQ52" i="10"/>
  <c r="AP52" i="10"/>
  <c r="AJ52" i="10"/>
  <c r="AI52" i="10"/>
  <c r="AB52" i="10"/>
  <c r="AT51" i="10"/>
  <c r="AQ51" i="10"/>
  <c r="AP51" i="10"/>
  <c r="AJ51" i="10"/>
  <c r="AI51" i="10"/>
  <c r="AB51" i="10"/>
  <c r="AT50" i="10"/>
  <c r="AQ50" i="10"/>
  <c r="AP50" i="10"/>
  <c r="AJ50" i="10"/>
  <c r="AI50" i="10"/>
  <c r="AB50" i="10"/>
  <c r="AT49" i="10"/>
  <c r="AP49" i="10"/>
  <c r="AQ49" i="10" s="1"/>
  <c r="AJ49" i="10"/>
  <c r="AB49" i="10"/>
  <c r="AT48" i="10"/>
  <c r="AP48" i="10"/>
  <c r="AQ48" i="10" s="1"/>
  <c r="AJ48" i="10"/>
  <c r="AB48" i="10"/>
  <c r="AT47" i="10"/>
  <c r="AP47" i="10"/>
  <c r="AQ47" i="10" s="1"/>
  <c r="AJ47" i="10"/>
  <c r="AB47" i="10"/>
  <c r="AT46" i="10"/>
  <c r="AQ46" i="10"/>
  <c r="AP46" i="10"/>
  <c r="AJ46" i="10"/>
  <c r="AB46" i="10"/>
  <c r="AT45" i="10"/>
  <c r="AQ45" i="10"/>
  <c r="AP45" i="10"/>
  <c r="AJ45" i="10"/>
  <c r="AB45" i="10"/>
  <c r="AT44" i="10"/>
  <c r="AQ44" i="10"/>
  <c r="AP44" i="10"/>
  <c r="AJ44" i="10"/>
  <c r="AB44" i="10"/>
  <c r="AT43" i="10"/>
  <c r="AQ43" i="10"/>
  <c r="AP43" i="10"/>
  <c r="AJ43" i="10"/>
  <c r="AB43" i="10"/>
  <c r="AT42" i="10"/>
  <c r="AQ42" i="10"/>
  <c r="AP42" i="10"/>
  <c r="AJ42" i="10"/>
  <c r="AB42" i="10"/>
  <c r="AT41" i="10"/>
  <c r="AQ41" i="10"/>
  <c r="AP41" i="10"/>
  <c r="AJ41" i="10"/>
  <c r="AB41" i="10"/>
  <c r="AT40" i="10"/>
  <c r="AQ40" i="10"/>
  <c r="AP40" i="10"/>
  <c r="AJ40" i="10"/>
  <c r="AB40" i="10"/>
  <c r="AT39" i="10"/>
  <c r="AQ39" i="10"/>
  <c r="AP39" i="10"/>
  <c r="AJ39" i="10"/>
  <c r="AB39" i="10"/>
  <c r="AT38" i="10"/>
  <c r="AQ38" i="10"/>
  <c r="AP38" i="10"/>
  <c r="AJ38" i="10"/>
  <c r="AB38" i="10"/>
  <c r="AT37" i="10"/>
  <c r="AQ37" i="10"/>
  <c r="AP37" i="10"/>
  <c r="AJ37" i="10"/>
  <c r="AB37" i="10"/>
  <c r="AT36" i="10"/>
  <c r="AQ36" i="10"/>
  <c r="AP36" i="10"/>
  <c r="AJ36" i="10"/>
  <c r="AB36" i="10"/>
  <c r="AT35" i="10"/>
  <c r="AQ35" i="10"/>
  <c r="AP35" i="10"/>
  <c r="AJ35" i="10"/>
  <c r="AB35" i="10"/>
  <c r="AT34" i="10"/>
  <c r="AQ34" i="10"/>
  <c r="AP34" i="10"/>
  <c r="AJ34" i="10"/>
  <c r="AB34" i="10"/>
  <c r="AT33" i="10"/>
  <c r="AQ33" i="10"/>
  <c r="AP33" i="10"/>
  <c r="AJ33" i="10"/>
  <c r="AB33" i="10"/>
  <c r="AT32" i="10"/>
  <c r="AQ32" i="10"/>
  <c r="AP32" i="10"/>
  <c r="AJ32" i="10"/>
  <c r="AB32" i="10"/>
  <c r="AT31" i="10"/>
  <c r="AP31" i="10"/>
  <c r="AQ31" i="10" s="1"/>
  <c r="AJ31" i="10"/>
  <c r="AB31" i="10"/>
  <c r="AT30" i="10"/>
  <c r="AP30" i="10"/>
  <c r="AQ30" i="10" s="1"/>
  <c r="AJ30" i="10"/>
  <c r="AB30" i="10"/>
  <c r="AT29" i="10"/>
  <c r="AP29" i="10"/>
  <c r="AQ29" i="10" s="1"/>
  <c r="AJ29" i="10"/>
  <c r="AB29" i="10"/>
  <c r="AT28" i="10"/>
  <c r="AP28" i="10"/>
  <c r="AQ28" i="10" s="1"/>
  <c r="AJ28" i="10"/>
  <c r="AB28" i="10"/>
  <c r="AT27" i="10"/>
  <c r="AP27" i="10"/>
  <c r="AQ27" i="10" s="1"/>
  <c r="AJ27" i="10"/>
  <c r="AB27" i="10"/>
  <c r="AT26" i="10"/>
  <c r="AP26" i="10"/>
  <c r="AQ26" i="10" s="1"/>
  <c r="AJ26" i="10"/>
  <c r="AB26" i="10"/>
  <c r="AT25" i="10"/>
  <c r="AP25" i="10"/>
  <c r="AQ25" i="10" s="1"/>
  <c r="AJ25" i="10"/>
  <c r="AB25" i="10"/>
  <c r="AT24" i="10"/>
  <c r="AP24" i="10"/>
  <c r="AQ24" i="10" s="1"/>
  <c r="AJ24" i="10"/>
  <c r="AB24" i="10"/>
  <c r="AT23" i="10"/>
  <c r="AP23" i="10"/>
  <c r="AQ23" i="10" s="1"/>
  <c r="AJ23" i="10"/>
  <c r="AB23" i="10"/>
  <c r="AT22" i="10"/>
  <c r="AP22" i="10"/>
  <c r="AQ22" i="10" s="1"/>
  <c r="AJ22" i="10"/>
  <c r="AB22" i="10"/>
  <c r="AT21" i="10"/>
  <c r="AP21" i="10"/>
  <c r="AQ21" i="10" s="1"/>
  <c r="AJ21" i="10"/>
  <c r="AB21" i="10"/>
  <c r="AT20" i="10"/>
  <c r="AP20" i="10"/>
  <c r="AQ20" i="10" s="1"/>
  <c r="AJ20" i="10"/>
  <c r="AB20" i="10"/>
  <c r="AT19" i="10"/>
  <c r="AP19" i="10"/>
  <c r="AQ19" i="10" s="1"/>
  <c r="AJ19" i="10"/>
  <c r="AB19" i="10"/>
  <c r="AT18" i="10"/>
  <c r="AP18" i="10"/>
  <c r="AQ18" i="10" s="1"/>
  <c r="AJ18" i="10"/>
  <c r="AB18" i="10"/>
  <c r="AT17" i="10"/>
  <c r="AP17" i="10"/>
  <c r="AQ17" i="10" s="1"/>
  <c r="AJ17" i="10"/>
  <c r="AB17" i="10"/>
  <c r="AT16" i="10"/>
  <c r="AP16" i="10"/>
  <c r="AQ16" i="10" s="1"/>
  <c r="AJ16" i="10"/>
  <c r="AB16" i="10"/>
  <c r="AT15" i="10"/>
  <c r="AP15" i="10"/>
  <c r="AQ15" i="10" s="1"/>
  <c r="AJ15" i="10"/>
  <c r="AB15" i="10"/>
  <c r="AT14" i="10"/>
  <c r="AP14" i="10"/>
  <c r="AQ14" i="10" s="1"/>
  <c r="AJ14" i="10"/>
  <c r="AB14" i="10"/>
  <c r="AJ13" i="10"/>
  <c r="AJ12" i="10"/>
  <c r="AJ11" i="10"/>
  <c r="AJ10" i="10"/>
  <c r="AJ9" i="10"/>
  <c r="AJ8" i="10"/>
  <c r="AJ7" i="10"/>
  <c r="AJ6" i="10"/>
  <c r="AJ5" i="10"/>
  <c r="AJ4" i="10"/>
  <c r="AJ3" i="10"/>
  <c r="AJ2" i="10"/>
  <c r="AK50" i="11"/>
  <c r="AU132" i="10"/>
  <c r="AU133" i="10"/>
  <c r="AU44" i="9"/>
  <c r="B44" i="9"/>
  <c r="C44" i="9"/>
  <c r="D44" i="9"/>
  <c r="E44" i="9"/>
  <c r="F44" i="9"/>
  <c r="G44" i="9"/>
  <c r="H44" i="9"/>
  <c r="I44" i="9"/>
  <c r="J44" i="9"/>
  <c r="K44" i="9"/>
  <c r="L44" i="9"/>
  <c r="M44" i="9"/>
  <c r="O44" i="9"/>
  <c r="P44" i="9"/>
  <c r="Q44" i="9"/>
  <c r="R44" i="9"/>
  <c r="S44" i="9"/>
  <c r="T44" i="9"/>
  <c r="U44" i="9"/>
  <c r="V44" i="9"/>
  <c r="W44" i="9"/>
  <c r="X44" i="9"/>
  <c r="Y44" i="9"/>
  <c r="Z44" i="9"/>
  <c r="AA44" i="9"/>
  <c r="AB44" i="9"/>
  <c r="AC44" i="9"/>
  <c r="AD44" i="9"/>
  <c r="AE44" i="9"/>
  <c r="AF44" i="9"/>
  <c r="AG44" i="9"/>
  <c r="AH44" i="9"/>
  <c r="AI44" i="9"/>
  <c r="AJ44" i="9"/>
  <c r="AK44" i="9"/>
  <c r="AL44" i="9"/>
  <c r="AM44" i="9"/>
  <c r="AN44" i="9"/>
  <c r="AN45" i="9" s="1"/>
  <c r="AO44" i="9"/>
  <c r="AP44" i="9"/>
  <c r="AP45" i="9" s="1"/>
  <c r="AQ44" i="9"/>
  <c r="AQ45" i="9" s="1"/>
  <c r="AR44" i="9"/>
  <c r="AS44" i="9"/>
  <c r="AS45" i="9" s="1"/>
  <c r="AT44" i="9"/>
  <c r="AV44" i="9"/>
  <c r="AI41" i="9"/>
  <c r="AI54" i="9" s="1"/>
  <c r="K110" i="9"/>
  <c r="K202" i="9" s="1"/>
  <c r="C114" i="9"/>
  <c r="D114" i="9"/>
  <c r="E114" i="9"/>
  <c r="F114" i="9"/>
  <c r="G114" i="9"/>
  <c r="H114" i="9"/>
  <c r="I114" i="9"/>
  <c r="J114" i="9"/>
  <c r="K114" i="9"/>
  <c r="L114" i="9"/>
  <c r="M114" i="9"/>
  <c r="B114" i="9"/>
  <c r="C110" i="9"/>
  <c r="D110" i="9"/>
  <c r="E110" i="9"/>
  <c r="Q119" i="9" s="1"/>
  <c r="F110" i="9"/>
  <c r="G110" i="9"/>
  <c r="S119" i="9" s="1"/>
  <c r="H110" i="9"/>
  <c r="I110" i="9"/>
  <c r="I116" i="9" s="1"/>
  <c r="I117" i="9" s="1"/>
  <c r="J110" i="9"/>
  <c r="B110" i="9"/>
  <c r="L110" i="9"/>
  <c r="C41" i="9"/>
  <c r="C54" i="9" s="1"/>
  <c r="D41" i="9"/>
  <c r="D54" i="9" s="1"/>
  <c r="D55" i="9" s="1"/>
  <c r="AZ67" i="9" s="1"/>
  <c r="E41" i="9"/>
  <c r="E54" i="9" s="1"/>
  <c r="E55" i="9" s="1"/>
  <c r="BA67" i="9" s="1"/>
  <c r="F41" i="9"/>
  <c r="F54" i="9" s="1"/>
  <c r="F55" i="9" s="1"/>
  <c r="BB67" i="9" s="1"/>
  <c r="G41" i="9"/>
  <c r="G54" i="9" s="1"/>
  <c r="H41" i="9"/>
  <c r="H54" i="9" s="1"/>
  <c r="H55" i="9" s="1"/>
  <c r="BD67" i="9" s="1"/>
  <c r="I41" i="9"/>
  <c r="I54" i="9" s="1"/>
  <c r="I55" i="9" s="1"/>
  <c r="BE67" i="9" s="1"/>
  <c r="J41" i="9"/>
  <c r="J54" i="9" s="1"/>
  <c r="J55" i="9" s="1"/>
  <c r="BF67" i="9" s="1"/>
  <c r="K41" i="9"/>
  <c r="K54" i="9" s="1"/>
  <c r="L41" i="9"/>
  <c r="L54" i="9" s="1"/>
  <c r="L55" i="9" s="1"/>
  <c r="BH67" i="9" s="1"/>
  <c r="M41" i="9"/>
  <c r="M54" i="9" s="1"/>
  <c r="M55" i="9" s="1"/>
  <c r="BI67" i="9" s="1"/>
  <c r="N41" i="9"/>
  <c r="N54" i="9" s="1"/>
  <c r="N55" i="9" s="1"/>
  <c r="AX68" i="9" s="1"/>
  <c r="O41" i="9"/>
  <c r="O54" i="9" s="1"/>
  <c r="P41" i="9"/>
  <c r="P54" i="9" s="1"/>
  <c r="P55" i="9" s="1"/>
  <c r="AZ68" i="9" s="1"/>
  <c r="Q41" i="9"/>
  <c r="Q54" i="9" s="1"/>
  <c r="Q55" i="9" s="1"/>
  <c r="BA68" i="9" s="1"/>
  <c r="R41" i="9"/>
  <c r="R54" i="9" s="1"/>
  <c r="R55" i="9" s="1"/>
  <c r="BB68" i="9" s="1"/>
  <c r="S41" i="9"/>
  <c r="S54" i="9" s="1"/>
  <c r="T41" i="9"/>
  <c r="T54" i="9"/>
  <c r="T55" i="9" s="1"/>
  <c r="BD68" i="9" s="1"/>
  <c r="U41" i="9"/>
  <c r="U54" i="9" s="1"/>
  <c r="V41" i="9"/>
  <c r="V54" i="9" s="1"/>
  <c r="V55" i="9" s="1"/>
  <c r="BF68" i="9" s="1"/>
  <c r="W41" i="9"/>
  <c r="W54" i="9" s="1"/>
  <c r="X41" i="9"/>
  <c r="X54" i="9" s="1"/>
  <c r="X55" i="9" s="1"/>
  <c r="BH68" i="9" s="1"/>
  <c r="Y41" i="9"/>
  <c r="Y54" i="9" s="1"/>
  <c r="Z41" i="9"/>
  <c r="Z54" i="9" s="1"/>
  <c r="Z55" i="9" s="1"/>
  <c r="AX69" i="9" s="1"/>
  <c r="AA41" i="9"/>
  <c r="AA54" i="9" s="1"/>
  <c r="AB41" i="9"/>
  <c r="AB54" i="9" s="1"/>
  <c r="AB55" i="9" s="1"/>
  <c r="AZ69" i="9" s="1"/>
  <c r="AC41" i="9"/>
  <c r="AC54" i="9"/>
  <c r="AC55" i="9" s="1"/>
  <c r="BA69" i="9" s="1"/>
  <c r="AD41" i="9"/>
  <c r="AD54" i="9" s="1"/>
  <c r="AD55" i="9" s="1"/>
  <c r="BB69" i="9" s="1"/>
  <c r="AE41" i="9"/>
  <c r="AE54" i="9" s="1"/>
  <c r="AF41" i="9"/>
  <c r="AF54" i="9" s="1"/>
  <c r="AF55" i="9" s="1"/>
  <c r="BD69" i="9" s="1"/>
  <c r="AG41" i="9"/>
  <c r="AG54" i="9" s="1"/>
  <c r="AG55" i="9" s="1"/>
  <c r="BE69" i="9" s="1"/>
  <c r="AH41" i="9"/>
  <c r="AH54" i="9" s="1"/>
  <c r="AH55" i="9" s="1"/>
  <c r="BF69" i="9" s="1"/>
  <c r="AJ41" i="9"/>
  <c r="AJ54" i="9" s="1"/>
  <c r="AJ55" i="9" s="1"/>
  <c r="BH69" i="9" s="1"/>
  <c r="AK41" i="9"/>
  <c r="AK54" i="9" s="1"/>
  <c r="AL41" i="9"/>
  <c r="AL54" i="9" s="1"/>
  <c r="AL55" i="9" s="1"/>
  <c r="AX70" i="9" s="1"/>
  <c r="AM41" i="9"/>
  <c r="AN41" i="9"/>
  <c r="D111" i="9" s="1"/>
  <c r="AO41" i="9"/>
  <c r="AP41" i="9"/>
  <c r="AP54" i="9" s="1"/>
  <c r="AP55" i="9" s="1"/>
  <c r="BB70" i="9" s="1"/>
  <c r="AQ41" i="9"/>
  <c r="AR41" i="9"/>
  <c r="AR54" i="9" s="1"/>
  <c r="AR55" i="9" s="1"/>
  <c r="BD70" i="9" s="1"/>
  <c r="AS41" i="9"/>
  <c r="AT41" i="9"/>
  <c r="AT54" i="9" s="1"/>
  <c r="AT55" i="9" s="1"/>
  <c r="BF70" i="9" s="1"/>
  <c r="AU41" i="9"/>
  <c r="AU54" i="9" s="1"/>
  <c r="B41" i="9"/>
  <c r="B54" i="9" s="1"/>
  <c r="B55" i="9" s="1"/>
  <c r="AX67" i="9" s="1"/>
  <c r="B89" i="9"/>
  <c r="AA35" i="9"/>
  <c r="C70" i="9" s="1"/>
  <c r="AB35" i="9"/>
  <c r="D70" i="9" s="1"/>
  <c r="AC35" i="9"/>
  <c r="E70" i="9" s="1"/>
  <c r="AD35" i="9"/>
  <c r="F70" i="9" s="1"/>
  <c r="AE35" i="9"/>
  <c r="G70" i="9" s="1"/>
  <c r="AF35" i="9"/>
  <c r="H70" i="9" s="1"/>
  <c r="AG35" i="9"/>
  <c r="I70" i="9" s="1"/>
  <c r="AH35" i="9"/>
  <c r="J70" i="9" s="1"/>
  <c r="AI35" i="9"/>
  <c r="K70" i="9" s="1"/>
  <c r="AJ35" i="9"/>
  <c r="L70" i="9" s="1"/>
  <c r="AK35" i="9"/>
  <c r="M70" i="9" s="1"/>
  <c r="Z35" i="9"/>
  <c r="B70" i="9" s="1"/>
  <c r="O35" i="9"/>
  <c r="C69" i="9" s="1"/>
  <c r="P35" i="9"/>
  <c r="D69" i="9" s="1"/>
  <c r="Q35" i="9"/>
  <c r="E69" i="9" s="1"/>
  <c r="R35" i="9"/>
  <c r="F69" i="9" s="1"/>
  <c r="F72" i="9" s="1"/>
  <c r="S35" i="9"/>
  <c r="G69" i="9" s="1"/>
  <c r="T35" i="9"/>
  <c r="H69" i="9" s="1"/>
  <c r="U35" i="9"/>
  <c r="I69" i="9" s="1"/>
  <c r="V35" i="9"/>
  <c r="J69" i="9" s="1"/>
  <c r="W35" i="9"/>
  <c r="K69" i="9" s="1"/>
  <c r="X35" i="9"/>
  <c r="L69" i="9" s="1"/>
  <c r="Y35" i="9"/>
  <c r="M69" i="9" s="1"/>
  <c r="N35" i="9"/>
  <c r="B69" i="9" s="1"/>
  <c r="C35" i="9"/>
  <c r="C68" i="9" s="1"/>
  <c r="D35" i="9"/>
  <c r="D68" i="9" s="1"/>
  <c r="E35" i="9"/>
  <c r="E68" i="9" s="1"/>
  <c r="F35" i="9"/>
  <c r="F68" i="9" s="1"/>
  <c r="G35" i="9"/>
  <c r="G68" i="9" s="1"/>
  <c r="H35" i="9"/>
  <c r="H68" i="9" s="1"/>
  <c r="I35" i="9"/>
  <c r="I68" i="9" s="1"/>
  <c r="J35" i="9"/>
  <c r="J68" i="9" s="1"/>
  <c r="K35" i="9"/>
  <c r="K68" i="9" s="1"/>
  <c r="L35" i="9"/>
  <c r="L68" i="9" s="1"/>
  <c r="M35" i="9"/>
  <c r="M68" i="9" s="1"/>
  <c r="B35" i="9"/>
  <c r="B68" i="9" s="1"/>
  <c r="B58" i="9"/>
  <c r="AU33" i="9"/>
  <c r="K61" i="9" s="1"/>
  <c r="C22" i="9"/>
  <c r="D22" i="9"/>
  <c r="D23" i="9" s="1"/>
  <c r="E22" i="9"/>
  <c r="E23" i="9" s="1"/>
  <c r="F22" i="9"/>
  <c r="F23" i="9" s="1"/>
  <c r="G22" i="9"/>
  <c r="G23" i="9" s="1"/>
  <c r="H22" i="9"/>
  <c r="H23" i="9" s="1"/>
  <c r="I22" i="9"/>
  <c r="I23" i="9" s="1"/>
  <c r="J22" i="9"/>
  <c r="J23" i="9" s="1"/>
  <c r="K22" i="9"/>
  <c r="K23" i="9" s="1"/>
  <c r="L22" i="9"/>
  <c r="L23" i="9" s="1"/>
  <c r="M22" i="9"/>
  <c r="M23" i="9" s="1"/>
  <c r="N22" i="9"/>
  <c r="N23" i="9" s="1"/>
  <c r="O22" i="9"/>
  <c r="O23" i="9" s="1"/>
  <c r="P22" i="9"/>
  <c r="P23" i="9" s="1"/>
  <c r="Q22" i="9"/>
  <c r="Q23" i="9" s="1"/>
  <c r="R22" i="9"/>
  <c r="R23" i="9" s="1"/>
  <c r="S22" i="9"/>
  <c r="S23" i="9" s="1"/>
  <c r="T22" i="9"/>
  <c r="T23" i="9" s="1"/>
  <c r="U22" i="9"/>
  <c r="V22" i="9"/>
  <c r="W22" i="9"/>
  <c r="V10" i="9"/>
  <c r="V13" i="9" s="1"/>
  <c r="E99" i="9"/>
  <c r="I102" i="9" s="1"/>
  <c r="D99" i="9"/>
  <c r="H102" i="9" s="1"/>
  <c r="C99" i="9"/>
  <c r="G102" i="9" s="1"/>
  <c r="B99" i="9"/>
  <c r="F102" i="9" s="1"/>
  <c r="AL25" i="9"/>
  <c r="Z25" i="9"/>
  <c r="AV41" i="9"/>
  <c r="O39" i="9"/>
  <c r="P39" i="9"/>
  <c r="Q39" i="9"/>
  <c r="R39" i="9"/>
  <c r="S39" i="9"/>
  <c r="T39" i="9"/>
  <c r="U39" i="9"/>
  <c r="V39" i="9"/>
  <c r="W39" i="9"/>
  <c r="X39" i="9"/>
  <c r="Y39" i="9"/>
  <c r="Z39" i="9"/>
  <c r="AA39" i="9"/>
  <c r="AB39" i="9"/>
  <c r="AC39" i="9"/>
  <c r="AD39" i="9"/>
  <c r="AE39" i="9"/>
  <c r="AF39" i="9"/>
  <c r="AG39" i="9"/>
  <c r="AH39" i="9"/>
  <c r="AI39" i="9"/>
  <c r="AJ39" i="9"/>
  <c r="AK39" i="9"/>
  <c r="AL39" i="9"/>
  <c r="AM39" i="9"/>
  <c r="AN39" i="9"/>
  <c r="AO39" i="9"/>
  <c r="AP39" i="9"/>
  <c r="AQ39" i="9"/>
  <c r="AR39" i="9"/>
  <c r="AS39" i="9"/>
  <c r="AT39" i="9"/>
  <c r="AU39" i="9"/>
  <c r="AV39" i="9"/>
  <c r="AW39" i="9"/>
  <c r="N39" i="9"/>
  <c r="C33" i="9"/>
  <c r="C58" i="9" s="1"/>
  <c r="D33" i="9"/>
  <c r="D58" i="9" s="1"/>
  <c r="E33" i="9"/>
  <c r="E58" i="9" s="1"/>
  <c r="F33" i="9"/>
  <c r="F58" i="9" s="1"/>
  <c r="G33" i="9"/>
  <c r="G58" i="9" s="1"/>
  <c r="H33" i="9"/>
  <c r="H58" i="9" s="1"/>
  <c r="I33" i="9"/>
  <c r="I58" i="9" s="1"/>
  <c r="J33" i="9"/>
  <c r="J58" i="9" s="1"/>
  <c r="K33" i="9"/>
  <c r="K58" i="9" s="1"/>
  <c r="L33" i="9"/>
  <c r="L58" i="9" s="1"/>
  <c r="M33" i="9"/>
  <c r="M58" i="9" s="1"/>
  <c r="N33" i="9"/>
  <c r="B59" i="9" s="1"/>
  <c r="O33" i="9"/>
  <c r="C59" i="9" s="1"/>
  <c r="P33" i="9"/>
  <c r="D59" i="9" s="1"/>
  <c r="Q33" i="9"/>
  <c r="E59" i="9" s="1"/>
  <c r="R33" i="9"/>
  <c r="F59" i="9" s="1"/>
  <c r="S33" i="9"/>
  <c r="G59" i="9" s="1"/>
  <c r="T33" i="9"/>
  <c r="H59" i="9" s="1"/>
  <c r="U33" i="9"/>
  <c r="I59" i="9" s="1"/>
  <c r="V33" i="9"/>
  <c r="J59" i="9" s="1"/>
  <c r="W33" i="9"/>
  <c r="K59" i="9" s="1"/>
  <c r="X33" i="9"/>
  <c r="L59" i="9" s="1"/>
  <c r="Y33" i="9"/>
  <c r="M59" i="9" s="1"/>
  <c r="Z33" i="9"/>
  <c r="B60" i="9" s="1"/>
  <c r="AA33" i="9"/>
  <c r="C60" i="9" s="1"/>
  <c r="AB33" i="9"/>
  <c r="D60" i="9" s="1"/>
  <c r="AC33" i="9"/>
  <c r="E60" i="9" s="1"/>
  <c r="AD33" i="9"/>
  <c r="F60" i="9" s="1"/>
  <c r="AE33" i="9"/>
  <c r="G60" i="9" s="1"/>
  <c r="AF33" i="9"/>
  <c r="H60" i="9" s="1"/>
  <c r="AG33" i="9"/>
  <c r="I60" i="9" s="1"/>
  <c r="AH33" i="9"/>
  <c r="J60" i="9" s="1"/>
  <c r="AI33" i="9"/>
  <c r="K60" i="9" s="1"/>
  <c r="AJ33" i="9"/>
  <c r="L60" i="9" s="1"/>
  <c r="AK33" i="9"/>
  <c r="M60" i="9" s="1"/>
  <c r="AL33" i="9"/>
  <c r="B61" i="9" s="1"/>
  <c r="AM33" i="9"/>
  <c r="C61" i="9" s="1"/>
  <c r="AN33" i="9"/>
  <c r="D61" i="9" s="1"/>
  <c r="AO33" i="9"/>
  <c r="E61" i="9" s="1"/>
  <c r="AP33" i="9"/>
  <c r="F61" i="9" s="1"/>
  <c r="AQ33" i="9"/>
  <c r="G61" i="9" s="1"/>
  <c r="AR33" i="9"/>
  <c r="H61" i="9" s="1"/>
  <c r="AS33" i="9"/>
  <c r="I61" i="9" s="1"/>
  <c r="AT33" i="9"/>
  <c r="J61" i="9" s="1"/>
  <c r="O31" i="9"/>
  <c r="P31" i="9"/>
  <c r="Q31" i="9"/>
  <c r="R31" i="9"/>
  <c r="S31" i="9"/>
  <c r="T31" i="9"/>
  <c r="U31" i="9"/>
  <c r="V31" i="9"/>
  <c r="W31" i="9"/>
  <c r="X31" i="9"/>
  <c r="Y31" i="9"/>
  <c r="Z31" i="9"/>
  <c r="AA31" i="9"/>
  <c r="AB31" i="9"/>
  <c r="AC31" i="9"/>
  <c r="AD31" i="9"/>
  <c r="AE31" i="9"/>
  <c r="AF31" i="9"/>
  <c r="AG31" i="9"/>
  <c r="AH31" i="9"/>
  <c r="AI31" i="9"/>
  <c r="AJ31" i="9"/>
  <c r="AK31" i="9"/>
  <c r="AL31" i="9"/>
  <c r="AM31" i="9"/>
  <c r="AN31" i="9"/>
  <c r="AO31" i="9"/>
  <c r="AP31" i="9"/>
  <c r="AQ31" i="9"/>
  <c r="AR31" i="9"/>
  <c r="AS31" i="9"/>
  <c r="AT31" i="9"/>
  <c r="N31" i="9"/>
  <c r="W20" i="9"/>
  <c r="V20" i="9"/>
  <c r="U20" i="9"/>
  <c r="T20" i="9"/>
  <c r="S20" i="9"/>
  <c r="R20" i="9"/>
  <c r="Q20" i="9"/>
  <c r="P20" i="9"/>
  <c r="O20" i="9"/>
  <c r="N20" i="9"/>
  <c r="M20" i="9"/>
  <c r="L20" i="9"/>
  <c r="K20" i="9"/>
  <c r="J20" i="9"/>
  <c r="I20" i="9"/>
  <c r="H20" i="9"/>
  <c r="G20" i="9"/>
  <c r="F20" i="9"/>
  <c r="E20" i="9"/>
  <c r="D20" i="9"/>
  <c r="C20" i="9"/>
  <c r="T15" i="9"/>
  <c r="S15" i="9"/>
  <c r="R15" i="9"/>
  <c r="Q15" i="9"/>
  <c r="P15" i="9"/>
  <c r="O15" i="9"/>
  <c r="N15" i="9"/>
  <c r="M15" i="9"/>
  <c r="L15" i="9"/>
  <c r="K15" i="9"/>
  <c r="J15" i="9"/>
  <c r="I15" i="9"/>
  <c r="H15" i="9"/>
  <c r="G15" i="9"/>
  <c r="F15" i="9"/>
  <c r="E15" i="9"/>
  <c r="T13" i="9"/>
  <c r="S13" i="9"/>
  <c r="R13" i="9"/>
  <c r="Q13" i="9"/>
  <c r="P13" i="9"/>
  <c r="Q14" i="9" s="1"/>
  <c r="O13" i="9"/>
  <c r="N13" i="9"/>
  <c r="M13" i="9"/>
  <c r="L13" i="9"/>
  <c r="M14" i="9" s="1"/>
  <c r="K13" i="9"/>
  <c r="J13" i="9"/>
  <c r="I13" i="9"/>
  <c r="H13" i="9"/>
  <c r="I14" i="9" s="1"/>
  <c r="G13" i="9"/>
  <c r="F13" i="9"/>
  <c r="E13" i="9"/>
  <c r="D13" i="9"/>
  <c r="E14" i="9" s="1"/>
  <c r="T11" i="9"/>
  <c r="S11" i="9"/>
  <c r="R11" i="9"/>
  <c r="Q11" i="9"/>
  <c r="R12" i="9" s="1"/>
  <c r="P11" i="9"/>
  <c r="O11" i="9"/>
  <c r="N11" i="9"/>
  <c r="M11" i="9"/>
  <c r="M16" i="9" s="1"/>
  <c r="L11" i="9"/>
  <c r="K11" i="9"/>
  <c r="J11" i="9"/>
  <c r="I11" i="9"/>
  <c r="I12" i="9" s="1"/>
  <c r="H11" i="9"/>
  <c r="G11" i="9"/>
  <c r="F11" i="9"/>
  <c r="E11" i="9"/>
  <c r="F12" i="9" s="1"/>
  <c r="W9" i="9"/>
  <c r="V9" i="9"/>
  <c r="U9" i="9"/>
  <c r="T9" i="9"/>
  <c r="T16" i="9" s="1"/>
  <c r="S9" i="9"/>
  <c r="R9" i="9"/>
  <c r="R16" i="9" s="1"/>
  <c r="Q9" i="9"/>
  <c r="P9" i="9"/>
  <c r="O9" i="9"/>
  <c r="N9" i="9"/>
  <c r="M9" i="9"/>
  <c r="L9" i="9"/>
  <c r="L16" i="9" s="1"/>
  <c r="K9" i="9"/>
  <c r="J9" i="9"/>
  <c r="J16" i="9" s="1"/>
  <c r="I9" i="9"/>
  <c r="H9" i="9"/>
  <c r="G9" i="9"/>
  <c r="F9" i="9"/>
  <c r="F16" i="9" s="1"/>
  <c r="E9" i="9"/>
  <c r="D9" i="9"/>
  <c r="C9" i="9"/>
  <c r="O122" i="3"/>
  <c r="Q122" i="3" s="1"/>
  <c r="O123" i="3"/>
  <c r="Q123" i="3" s="1"/>
  <c r="O124" i="3"/>
  <c r="Q124" i="3" s="1"/>
  <c r="O125" i="3"/>
  <c r="Q125" i="3" s="1"/>
  <c r="O126" i="3"/>
  <c r="Q126" i="3" s="1"/>
  <c r="O127" i="3"/>
  <c r="Q127" i="3" s="1"/>
  <c r="O128" i="3"/>
  <c r="Q128" i="3" s="1"/>
  <c r="O129" i="3"/>
  <c r="Q129" i="3" s="1"/>
  <c r="O130" i="3"/>
  <c r="Q130" i="3" s="1"/>
  <c r="O131" i="3"/>
  <c r="Q131" i="3" s="1"/>
  <c r="O132" i="3"/>
  <c r="Q132" i="3" s="1"/>
  <c r="O133" i="3"/>
  <c r="Q133" i="3" s="1"/>
  <c r="N122" i="3"/>
  <c r="N123" i="3"/>
  <c r="N124" i="3"/>
  <c r="N125" i="3"/>
  <c r="N126" i="3"/>
  <c r="N127" i="3"/>
  <c r="N128" i="3"/>
  <c r="N129" i="3"/>
  <c r="N130" i="3"/>
  <c r="N131" i="3"/>
  <c r="N132" i="3"/>
  <c r="N133" i="3"/>
  <c r="L123" i="3"/>
  <c r="L124" i="3"/>
  <c r="L125" i="3"/>
  <c r="L126" i="3"/>
  <c r="L127" i="3"/>
  <c r="L128" i="3"/>
  <c r="L129" i="3"/>
  <c r="L130" i="3"/>
  <c r="L131" i="3"/>
  <c r="L132" i="3"/>
  <c r="L133" i="3"/>
  <c r="L122" i="3"/>
  <c r="I122" i="3"/>
  <c r="M122" i="3" s="1"/>
  <c r="I123" i="3"/>
  <c r="M123" i="3" s="1"/>
  <c r="I124" i="3"/>
  <c r="M124" i="3" s="1"/>
  <c r="I125" i="3"/>
  <c r="M125" i="3" s="1"/>
  <c r="I126" i="3"/>
  <c r="M126" i="3" s="1"/>
  <c r="I127" i="3"/>
  <c r="M127" i="3" s="1"/>
  <c r="I128" i="3"/>
  <c r="I129" i="3"/>
  <c r="I130" i="3"/>
  <c r="I131" i="3"/>
  <c r="I132" i="3"/>
  <c r="I133" i="3"/>
  <c r="T14" i="7"/>
  <c r="W14" i="7" s="1"/>
  <c r="G2" i="4"/>
  <c r="G3" i="4"/>
  <c r="G4" i="4"/>
  <c r="G5" i="4"/>
  <c r="K40" i="4"/>
  <c r="K41"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6" i="4"/>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4" i="3"/>
  <c r="I2" i="3"/>
  <c r="I3" i="3"/>
  <c r="I4" i="3"/>
  <c r="I5" i="3"/>
  <c r="I6" i="3"/>
  <c r="I7" i="3"/>
  <c r="I8" i="3"/>
  <c r="I9" i="3"/>
  <c r="I10" i="3"/>
  <c r="I11" i="3"/>
  <c r="I12" i="3"/>
  <c r="I13" i="3"/>
  <c r="I14" i="3"/>
  <c r="G41" i="4"/>
  <c r="D39" i="4"/>
  <c r="D38" i="4"/>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4" i="3"/>
  <c r="N121" i="3"/>
  <c r="N111" i="3"/>
  <c r="N112" i="3"/>
  <c r="N113" i="3"/>
  <c r="N114" i="3"/>
  <c r="N115" i="3"/>
  <c r="N116" i="3"/>
  <c r="N117" i="3"/>
  <c r="N118" i="3"/>
  <c r="N119" i="3"/>
  <c r="N120" i="3"/>
  <c r="N110" i="3"/>
  <c r="O119" i="3"/>
  <c r="Q119" i="3" s="1"/>
  <c r="O120" i="3"/>
  <c r="Q120" i="3" s="1"/>
  <c r="O121" i="3"/>
  <c r="Q121" i="3" s="1"/>
  <c r="I119" i="3"/>
  <c r="M131" i="3" s="1"/>
  <c r="E131" i="3" s="1"/>
  <c r="I120" i="3"/>
  <c r="I121" i="3"/>
  <c r="M121" i="3" s="1"/>
  <c r="I118" i="3"/>
  <c r="W15" i="7"/>
  <c r="AB13" i="7" s="1"/>
  <c r="AB11" i="7"/>
  <c r="AB10" i="7"/>
  <c r="AB9" i="7"/>
  <c r="M2" i="7"/>
  <c r="N11" i="7" s="1"/>
  <c r="H2" i="7"/>
  <c r="I7" i="7" s="1"/>
  <c r="C2" i="7"/>
  <c r="D12" i="7" s="1"/>
  <c r="Q114" i="3"/>
  <c r="G40" i="4"/>
  <c r="L40" i="4" s="1"/>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O118" i="3"/>
  <c r="Q118" i="3" s="1"/>
  <c r="O117" i="3"/>
  <c r="Q117" i="3" s="1"/>
  <c r="I117" i="3"/>
  <c r="O116" i="3"/>
  <c r="Q116" i="3" s="1"/>
  <c r="I116" i="3"/>
  <c r="M116" i="3" s="1"/>
  <c r="Q115" i="3"/>
  <c r="Q113" i="3"/>
  <c r="Q112" i="3"/>
  <c r="Q111" i="3"/>
  <c r="Q110" i="3"/>
  <c r="Q109" i="3"/>
  <c r="E109" i="3" s="1"/>
  <c r="F109" i="3" s="1"/>
  <c r="Q108" i="3"/>
  <c r="E108" i="3" s="1"/>
  <c r="F108" i="3" s="1"/>
  <c r="Q107" i="3"/>
  <c r="E107" i="3" s="1"/>
  <c r="F107" i="3" s="1"/>
  <c r="Q106" i="3"/>
  <c r="E106" i="3" s="1"/>
  <c r="F106" i="3" s="1"/>
  <c r="Q105" i="3"/>
  <c r="E105" i="3" s="1"/>
  <c r="F105" i="3" s="1"/>
  <c r="Q104" i="3"/>
  <c r="E104" i="3" s="1"/>
  <c r="F104" i="3" s="1"/>
  <c r="Q103" i="3"/>
  <c r="E103" i="3" s="1"/>
  <c r="F103" i="3" s="1"/>
  <c r="Q102" i="3"/>
  <c r="E102" i="3" s="1"/>
  <c r="F102" i="3" s="1"/>
  <c r="Q101" i="3"/>
  <c r="E101" i="3" s="1"/>
  <c r="F101" i="3" s="1"/>
  <c r="Q100" i="3"/>
  <c r="E100" i="3" s="1"/>
  <c r="F100" i="3" s="1"/>
  <c r="Q99" i="3"/>
  <c r="E99" i="3" s="1"/>
  <c r="F99" i="3" s="1"/>
  <c r="Q98" i="3"/>
  <c r="E98" i="3" s="1"/>
  <c r="F98" i="3" s="1"/>
  <c r="Q97" i="3"/>
  <c r="E97" i="3" s="1"/>
  <c r="F97" i="3" s="1"/>
  <c r="Q96" i="3"/>
  <c r="E96" i="3" s="1"/>
  <c r="F96" i="3" s="1"/>
  <c r="Q95" i="3"/>
  <c r="E95" i="3" s="1"/>
  <c r="F95" i="3" s="1"/>
  <c r="Q94" i="3"/>
  <c r="E94" i="3" s="1"/>
  <c r="F94" i="3" s="1"/>
  <c r="Q93" i="3"/>
  <c r="E93" i="3" s="1"/>
  <c r="F93" i="3" s="1"/>
  <c r="Q92" i="3"/>
  <c r="E92" i="3" s="1"/>
  <c r="F92" i="3" s="1"/>
  <c r="Q91" i="3"/>
  <c r="E91" i="3" s="1"/>
  <c r="F91" i="3" s="1"/>
  <c r="Q90" i="3"/>
  <c r="E90" i="3" s="1"/>
  <c r="F90" i="3" s="1"/>
  <c r="Q89" i="3"/>
  <c r="E89" i="3" s="1"/>
  <c r="F89" i="3" s="1"/>
  <c r="Q88" i="3"/>
  <c r="E88" i="3" s="1"/>
  <c r="F88" i="3" s="1"/>
  <c r="Q87" i="3"/>
  <c r="E87" i="3" s="1"/>
  <c r="F87" i="3" s="1"/>
  <c r="Q86" i="3"/>
  <c r="E86" i="3" s="1"/>
  <c r="F86" i="3" s="1"/>
  <c r="Q85" i="3"/>
  <c r="E85" i="3" s="1"/>
  <c r="F85" i="3" s="1"/>
  <c r="Q84" i="3"/>
  <c r="E84" i="3" s="1"/>
  <c r="F84" i="3" s="1"/>
  <c r="Q83" i="3"/>
  <c r="E83" i="3" s="1"/>
  <c r="F83" i="3" s="1"/>
  <c r="Q82" i="3"/>
  <c r="E82" i="3" s="1"/>
  <c r="F82" i="3" s="1"/>
  <c r="Q81" i="3"/>
  <c r="E81" i="3" s="1"/>
  <c r="F81" i="3" s="1"/>
  <c r="Q80" i="3"/>
  <c r="E80" i="3" s="1"/>
  <c r="F80" i="3" s="1"/>
  <c r="Q79" i="3"/>
  <c r="E79" i="3" s="1"/>
  <c r="F79" i="3" s="1"/>
  <c r="Q78" i="3"/>
  <c r="E78" i="3" s="1"/>
  <c r="F78" i="3" s="1"/>
  <c r="Q77" i="3"/>
  <c r="E77" i="3" s="1"/>
  <c r="F77" i="3" s="1"/>
  <c r="Q76" i="3"/>
  <c r="E76" i="3" s="1"/>
  <c r="F76" i="3" s="1"/>
  <c r="Q75" i="3"/>
  <c r="E75" i="3" s="1"/>
  <c r="F75" i="3" s="1"/>
  <c r="Q74" i="3"/>
  <c r="E74" i="3" s="1"/>
  <c r="F74" i="3" s="1"/>
  <c r="Q73" i="3"/>
  <c r="E73" i="3" s="1"/>
  <c r="F73" i="3" s="1"/>
  <c r="Q72" i="3"/>
  <c r="E72" i="3" s="1"/>
  <c r="F72" i="3" s="1"/>
  <c r="Q71" i="3"/>
  <c r="E71" i="3" s="1"/>
  <c r="F71" i="3" s="1"/>
  <c r="Q70" i="3"/>
  <c r="E70" i="3" s="1"/>
  <c r="F70" i="3" s="1"/>
  <c r="Q69" i="3"/>
  <c r="E69" i="3" s="1"/>
  <c r="F69" i="3" s="1"/>
  <c r="Q68" i="3"/>
  <c r="E68" i="3" s="1"/>
  <c r="F68" i="3" s="1"/>
  <c r="Q67" i="3"/>
  <c r="E67" i="3" s="1"/>
  <c r="F67" i="3" s="1"/>
  <c r="Q66" i="3"/>
  <c r="E66" i="3" s="1"/>
  <c r="F66" i="3" s="1"/>
  <c r="Q65" i="3"/>
  <c r="E65" i="3" s="1"/>
  <c r="F65" i="3" s="1"/>
  <c r="Q64" i="3"/>
  <c r="E64" i="3" s="1"/>
  <c r="F64" i="3" s="1"/>
  <c r="Q63" i="3"/>
  <c r="E63" i="3" s="1"/>
  <c r="F63" i="3" s="1"/>
  <c r="Q62" i="3"/>
  <c r="E62" i="3" s="1"/>
  <c r="F62" i="3" s="1"/>
  <c r="Q61" i="3"/>
  <c r="E61" i="3" s="1"/>
  <c r="F61" i="3" s="1"/>
  <c r="Q60" i="3"/>
  <c r="E60" i="3" s="1"/>
  <c r="F60" i="3" s="1"/>
  <c r="Q59" i="3"/>
  <c r="E59" i="3" s="1"/>
  <c r="F59" i="3" s="1"/>
  <c r="Q58" i="3"/>
  <c r="E58" i="3" s="1"/>
  <c r="F58" i="3" s="1"/>
  <c r="Q57" i="3"/>
  <c r="E57" i="3"/>
  <c r="F57" i="3" s="1"/>
  <c r="Q56" i="3"/>
  <c r="E56" i="3" s="1"/>
  <c r="F56" i="3" s="1"/>
  <c r="Q55" i="3"/>
  <c r="E55" i="3" s="1"/>
  <c r="F55" i="3" s="1"/>
  <c r="Q54" i="3"/>
  <c r="E54" i="3" s="1"/>
  <c r="F54" i="3" s="1"/>
  <c r="Q53" i="3"/>
  <c r="E53" i="3" s="1"/>
  <c r="F53" i="3" s="1"/>
  <c r="Q52" i="3"/>
  <c r="E52" i="3" s="1"/>
  <c r="F52" i="3" s="1"/>
  <c r="Q51" i="3"/>
  <c r="E51" i="3" s="1"/>
  <c r="F51" i="3" s="1"/>
  <c r="Q50" i="3"/>
  <c r="E50" i="3" s="1"/>
  <c r="F50" i="3" s="1"/>
  <c r="Q49" i="3"/>
  <c r="E49" i="3" s="1"/>
  <c r="F49" i="3" s="1"/>
  <c r="Q48" i="3"/>
  <c r="E48" i="3" s="1"/>
  <c r="F48" i="3" s="1"/>
  <c r="Q47" i="3"/>
  <c r="E47" i="3" s="1"/>
  <c r="F47" i="3" s="1"/>
  <c r="Q46" i="3"/>
  <c r="E46" i="3" s="1"/>
  <c r="F46" i="3" s="1"/>
  <c r="Q45" i="3"/>
  <c r="E45" i="3" s="1"/>
  <c r="F45" i="3" s="1"/>
  <c r="Q44" i="3"/>
  <c r="E44" i="3" s="1"/>
  <c r="F44" i="3" s="1"/>
  <c r="Q43" i="3"/>
  <c r="E43" i="3" s="1"/>
  <c r="F43" i="3" s="1"/>
  <c r="Q42" i="3"/>
  <c r="E42" i="3" s="1"/>
  <c r="F42" i="3" s="1"/>
  <c r="Q41" i="3"/>
  <c r="E41" i="3" s="1"/>
  <c r="F41" i="3" s="1"/>
  <c r="Q40" i="3"/>
  <c r="E40" i="3" s="1"/>
  <c r="F40" i="3" s="1"/>
  <c r="Q39" i="3"/>
  <c r="E39" i="3" s="1"/>
  <c r="F39" i="3" s="1"/>
  <c r="Q38" i="3"/>
  <c r="E38" i="3" s="1"/>
  <c r="F38" i="3" s="1"/>
  <c r="Q37" i="3"/>
  <c r="E37" i="3" s="1"/>
  <c r="F37" i="3" s="1"/>
  <c r="Q36" i="3"/>
  <c r="E36" i="3" s="1"/>
  <c r="F36" i="3" s="1"/>
  <c r="Q35" i="3"/>
  <c r="E35" i="3" s="1"/>
  <c r="F35" i="3" s="1"/>
  <c r="Q34" i="3"/>
  <c r="E34" i="3" s="1"/>
  <c r="F34" i="3" s="1"/>
  <c r="Q33" i="3"/>
  <c r="E33" i="3" s="1"/>
  <c r="F33" i="3" s="1"/>
  <c r="Q32" i="3"/>
  <c r="E32" i="3" s="1"/>
  <c r="F32" i="3" s="1"/>
  <c r="Q31" i="3"/>
  <c r="E31" i="3" s="1"/>
  <c r="F31" i="3" s="1"/>
  <c r="Q30" i="3"/>
  <c r="E30" i="3" s="1"/>
  <c r="F30" i="3" s="1"/>
  <c r="Q29" i="3"/>
  <c r="E29" i="3" s="1"/>
  <c r="F29" i="3" s="1"/>
  <c r="Q28" i="3"/>
  <c r="E28" i="3" s="1"/>
  <c r="F28" i="3" s="1"/>
  <c r="Q27" i="3"/>
  <c r="E27" i="3" s="1"/>
  <c r="F27" i="3" s="1"/>
  <c r="Q26" i="3"/>
  <c r="E26" i="3" s="1"/>
  <c r="F26" i="3" s="1"/>
  <c r="Q25" i="3"/>
  <c r="E25" i="3" s="1"/>
  <c r="F25" i="3" s="1"/>
  <c r="Q24" i="3"/>
  <c r="E24" i="3" s="1"/>
  <c r="F24" i="3" s="1"/>
  <c r="Q23" i="3"/>
  <c r="E23" i="3" s="1"/>
  <c r="F23" i="3" s="1"/>
  <c r="Q22" i="3"/>
  <c r="E22" i="3" s="1"/>
  <c r="F22" i="3" s="1"/>
  <c r="Q21" i="3"/>
  <c r="E21" i="3" s="1"/>
  <c r="F21" i="3" s="1"/>
  <c r="Q20" i="3"/>
  <c r="E20" i="3" s="1"/>
  <c r="F20" i="3" s="1"/>
  <c r="Q19" i="3"/>
  <c r="E19" i="3" s="1"/>
  <c r="F19" i="3" s="1"/>
  <c r="Q18" i="3"/>
  <c r="E18" i="3" s="1"/>
  <c r="F18" i="3" s="1"/>
  <c r="Q17" i="3"/>
  <c r="E17" i="3" s="1"/>
  <c r="F17" i="3" s="1"/>
  <c r="Q16" i="3"/>
  <c r="E16" i="3" s="1"/>
  <c r="F16" i="3" s="1"/>
  <c r="Q15" i="3"/>
  <c r="E15" i="3" s="1"/>
  <c r="F15" i="3" s="1"/>
  <c r="Q14" i="3"/>
  <c r="E14" i="3" s="1"/>
  <c r="F14" i="3" s="1"/>
  <c r="E114" i="3"/>
  <c r="F114" i="3" s="1"/>
  <c r="I13" i="7"/>
  <c r="M119" i="3"/>
  <c r="I8" i="7"/>
  <c r="I9" i="7"/>
  <c r="I14" i="7"/>
  <c r="I5" i="7"/>
  <c r="I6" i="7"/>
  <c r="E123" i="3"/>
  <c r="I3" i="7"/>
  <c r="I10" i="7"/>
  <c r="G116" i="9"/>
  <c r="G117" i="9" s="1"/>
  <c r="G202" i="9"/>
  <c r="F116" i="9"/>
  <c r="R119" i="9"/>
  <c r="F202" i="9"/>
  <c r="E116" i="9"/>
  <c r="E117" i="9" s="1"/>
  <c r="E202" i="9"/>
  <c r="D116" i="9"/>
  <c r="P119" i="9"/>
  <c r="D202" i="9"/>
  <c r="P102" i="9"/>
  <c r="N119" i="9"/>
  <c r="N102" i="9"/>
  <c r="O119" i="9"/>
  <c r="J116" i="9"/>
  <c r="J202" i="9"/>
  <c r="I202" i="9"/>
  <c r="K111" i="9"/>
  <c r="C111" i="9"/>
  <c r="C123" i="9" s="1"/>
  <c r="AM54" i="9"/>
  <c r="L111" i="9"/>
  <c r="L123" i="9" s="1"/>
  <c r="AV54" i="9"/>
  <c r="AV55" i="9" s="1"/>
  <c r="BH70" i="9" s="1"/>
  <c r="J111" i="9"/>
  <c r="J123" i="9" s="1"/>
  <c r="F111" i="9"/>
  <c r="F123" i="9" s="1"/>
  <c r="B111" i="9"/>
  <c r="B123" i="9" s="1"/>
  <c r="I111" i="9"/>
  <c r="I123" i="9" s="1"/>
  <c r="AS54" i="9"/>
  <c r="E111" i="9"/>
  <c r="E123" i="9" s="1"/>
  <c r="AO54" i="9"/>
  <c r="K12" i="9"/>
  <c r="D117" i="9"/>
  <c r="M118" i="3"/>
  <c r="I4" i="7"/>
  <c r="I11" i="7"/>
  <c r="I12" i="7"/>
  <c r="AO35" i="9"/>
  <c r="E71" i="9" s="1"/>
  <c r="AW44" i="9"/>
  <c r="S12" i="9"/>
  <c r="J12" i="9"/>
  <c r="AR35" i="9"/>
  <c r="H71" i="9" s="1"/>
  <c r="AM35" i="9"/>
  <c r="C71" i="9" s="1"/>
  <c r="AU35" i="9"/>
  <c r="K71" i="9" s="1"/>
  <c r="F117" i="9"/>
  <c r="AW33" i="9"/>
  <c r="M61" i="9" s="1"/>
  <c r="AS35" i="9"/>
  <c r="I71" i="9" s="1"/>
  <c r="AV33" i="9"/>
  <c r="L61" i="9" s="1"/>
  <c r="I16" i="9"/>
  <c r="B72" i="9"/>
  <c r="E62" i="9"/>
  <c r="J117" i="9"/>
  <c r="U10" i="9"/>
  <c r="N16" i="9"/>
  <c r="N14" i="9"/>
  <c r="M110" i="9"/>
  <c r="M116" i="9" s="1"/>
  <c r="M117" i="9" s="1"/>
  <c r="AP35" i="9"/>
  <c r="F71" i="9" s="1"/>
  <c r="AW35" i="9"/>
  <c r="M71" i="9" s="1"/>
  <c r="AQ35" i="9"/>
  <c r="G71" i="9" s="1"/>
  <c r="AV35" i="9"/>
  <c r="L71" i="9" s="1"/>
  <c r="AL35" i="9"/>
  <c r="B71" i="9" s="1"/>
  <c r="AT35" i="9"/>
  <c r="J71" i="9" s="1"/>
  <c r="M111" i="9"/>
  <c r="M123" i="9" s="1"/>
  <c r="AN35" i="9"/>
  <c r="D71" i="9" s="1"/>
  <c r="B77" i="9"/>
  <c r="C77" i="9"/>
  <c r="AY48" i="9"/>
  <c r="D77" i="9"/>
  <c r="E77" i="9"/>
  <c r="L198" i="11"/>
  <c r="L210" i="11" s="1"/>
  <c r="F77" i="9"/>
  <c r="Q102" i="9"/>
  <c r="P111" i="9"/>
  <c r="O111" i="9"/>
  <c r="G77" i="9"/>
  <c r="BB51" i="9"/>
  <c r="BB52" i="9" s="1"/>
  <c r="BB63" i="9" s="1"/>
  <c r="R102" i="9"/>
  <c r="L209" i="11"/>
  <c r="AZ51" i="9"/>
  <c r="AZ52" i="9" s="1"/>
  <c r="AZ63" i="9" s="1"/>
  <c r="AZ64" i="9" s="1"/>
  <c r="BA51" i="9"/>
  <c r="BA52" i="9" s="1"/>
  <c r="BA63" i="9" s="1"/>
  <c r="AZ54" i="9"/>
  <c r="AZ55" i="9" s="1"/>
  <c r="AZ71" i="9" s="1"/>
  <c r="AY51" i="9"/>
  <c r="AY52" i="9" s="1"/>
  <c r="AY63" i="9" s="1"/>
  <c r="H77" i="9"/>
  <c r="R111" i="9"/>
  <c r="BB54" i="9" s="1"/>
  <c r="BB55" i="9" s="1"/>
  <c r="BB71" i="9" s="1"/>
  <c r="AZ48" i="9"/>
  <c r="BA48" i="9"/>
  <c r="BB48" i="9"/>
  <c r="L201" i="11"/>
  <c r="L199" i="11"/>
  <c r="L200" i="11"/>
  <c r="BA54" i="9"/>
  <c r="BA55" i="9" s="1"/>
  <c r="BA71" i="9" s="1"/>
  <c r="N111" i="9"/>
  <c r="B90" i="9"/>
  <c r="I77" i="9"/>
  <c r="S102" i="9"/>
  <c r="BC51" i="9"/>
  <c r="BC52" i="9" s="1"/>
  <c r="BC63" i="9" s="1"/>
  <c r="T111" i="9"/>
  <c r="BC48" i="9"/>
  <c r="BD51" i="9"/>
  <c r="BD52" i="9" s="1"/>
  <c r="BD63" i="9" s="1"/>
  <c r="J88" i="9"/>
  <c r="J91" i="9"/>
  <c r="BD48" i="9"/>
  <c r="V110" i="9"/>
  <c r="BF51" i="9" s="1"/>
  <c r="J86" i="9"/>
  <c r="I86" i="9"/>
  <c r="U111" i="9" s="1"/>
  <c r="U110" i="9"/>
  <c r="L202" i="11"/>
  <c r="L203" i="11"/>
  <c r="L205" i="11"/>
  <c r="L204" i="11"/>
  <c r="L207" i="11"/>
  <c r="L206" i="11"/>
  <c r="M216" i="10"/>
  <c r="L208" i="11"/>
  <c r="M224" i="10"/>
  <c r="M213" i="10"/>
  <c r="M225" i="10" s="1"/>
  <c r="M215" i="10"/>
  <c r="M217" i="10"/>
  <c r="M218" i="10"/>
  <c r="M219" i="10"/>
  <c r="M220" i="10"/>
  <c r="M223" i="10"/>
  <c r="M221" i="10"/>
  <c r="M222" i="10"/>
  <c r="J218" i="10"/>
  <c r="E218" i="10"/>
  <c r="J219" i="10"/>
  <c r="E219" i="10"/>
  <c r="E221" i="10"/>
  <c r="J221" i="10"/>
  <c r="E220" i="10"/>
  <c r="J220" i="10"/>
  <c r="J223" i="10"/>
  <c r="E223" i="10"/>
  <c r="J222" i="10"/>
  <c r="E222" i="10"/>
  <c r="BE48" i="9"/>
  <c r="BI29" i="9"/>
  <c r="M77" i="9" s="1"/>
  <c r="K88" i="9"/>
  <c r="K86" i="9"/>
  <c r="W111" i="9" s="1"/>
  <c r="BG54" i="9" s="1"/>
  <c r="W110" i="9"/>
  <c r="BG51" i="9" s="1"/>
  <c r="E151" i="17"/>
  <c r="E149" i="17"/>
  <c r="E148" i="17"/>
  <c r="E51" i="17"/>
  <c r="E150" i="17"/>
  <c r="E49" i="12"/>
  <c r="E224" i="10"/>
  <c r="J224" i="10"/>
  <c r="V102" i="9" l="1"/>
  <c r="N45" i="14"/>
  <c r="AB45" i="14"/>
  <c r="M130" i="3"/>
  <c r="E130" i="3" s="1"/>
  <c r="H12" i="9"/>
  <c r="O16" i="9"/>
  <c r="F14" i="9"/>
  <c r="J14" i="9"/>
  <c r="R14" i="9"/>
  <c r="K62" i="9"/>
  <c r="AW45" i="9"/>
  <c r="D134" i="15"/>
  <c r="I62" i="9"/>
  <c r="M45" i="14"/>
  <c r="H128" i="15"/>
  <c r="I136" i="16"/>
  <c r="B130" i="16"/>
  <c r="J130" i="16"/>
  <c r="M72" i="18"/>
  <c r="N72" i="18" s="1"/>
  <c r="O72" i="18" s="1"/>
  <c r="P72" i="18" s="1"/>
  <c r="Q72" i="18" s="1"/>
  <c r="R72" i="18" s="1"/>
  <c r="S72" i="18" s="1"/>
  <c r="T72" i="18" s="1"/>
  <c r="AP124" i="10"/>
  <c r="AO153" i="10"/>
  <c r="AA128" i="34"/>
  <c r="AB128" i="34" s="1"/>
  <c r="AO150" i="10"/>
  <c r="AP150" i="10" s="1"/>
  <c r="AQ150" i="10" s="1"/>
  <c r="AA125" i="34"/>
  <c r="AB125" i="34" s="1"/>
  <c r="AW153" i="10"/>
  <c r="AN128" i="34"/>
  <c r="AQ128" i="34" s="1"/>
  <c r="AO156" i="10"/>
  <c r="AP156" i="10" s="1"/>
  <c r="AQ156" i="10" s="1"/>
  <c r="AA131" i="34"/>
  <c r="AB131" i="34" s="1"/>
  <c r="AO159" i="10"/>
  <c r="AA134" i="34"/>
  <c r="AB134" i="34" s="1"/>
  <c r="AN125" i="11"/>
  <c r="AN125" i="34"/>
  <c r="AQ125" i="34" s="1"/>
  <c r="AK44" i="11"/>
  <c r="N106" i="11"/>
  <c r="P106" i="11" s="1"/>
  <c r="AK42" i="11"/>
  <c r="AK54" i="11"/>
  <c r="AK99" i="11"/>
  <c r="H135" i="20"/>
  <c r="H115" i="20"/>
  <c r="H127" i="20"/>
  <c r="AK20" i="11"/>
  <c r="H119" i="20"/>
  <c r="N95" i="11"/>
  <c r="P95" i="11" s="1"/>
  <c r="F238" i="11"/>
  <c r="F239" i="11" s="1"/>
  <c r="F240" i="11" s="1"/>
  <c r="F241" i="11" s="1"/>
  <c r="G230" i="11" s="1"/>
  <c r="G231" i="11" s="1"/>
  <c r="G232" i="11" s="1"/>
  <c r="G233" i="11" s="1"/>
  <c r="G234" i="11" s="1"/>
  <c r="G235" i="11" s="1"/>
  <c r="G236" i="11" s="1"/>
  <c r="G237" i="11" s="1"/>
  <c r="G238" i="11" s="1"/>
  <c r="G239" i="11" s="1"/>
  <c r="G240" i="11" s="1"/>
  <c r="G241" i="11" s="1"/>
  <c r="H230" i="11" s="1"/>
  <c r="H231" i="11" s="1"/>
  <c r="H232" i="11" s="1"/>
  <c r="H233" i="11" s="1"/>
  <c r="H234" i="11" s="1"/>
  <c r="H235" i="11" s="1"/>
  <c r="H236" i="11" s="1"/>
  <c r="H237" i="11" s="1"/>
  <c r="H238" i="11" s="1"/>
  <c r="H239" i="11" s="1"/>
  <c r="H240" i="11" s="1"/>
  <c r="H241" i="11" s="1"/>
  <c r="I230" i="11" s="1"/>
  <c r="I231" i="11" s="1"/>
  <c r="I232" i="11" s="1"/>
  <c r="I233" i="11" s="1"/>
  <c r="I234" i="11" s="1"/>
  <c r="I235" i="11" s="1"/>
  <c r="I236" i="11" s="1"/>
  <c r="I237" i="11" s="1"/>
  <c r="I238" i="11" s="1"/>
  <c r="I239" i="11" s="1"/>
  <c r="I240" i="11" s="1"/>
  <c r="I241" i="11" s="1"/>
  <c r="J230" i="11" s="1"/>
  <c r="J231" i="11" s="1"/>
  <c r="J232" i="11" s="1"/>
  <c r="J233" i="11" s="1"/>
  <c r="J234" i="11" s="1"/>
  <c r="J235" i="11" s="1"/>
  <c r="J236" i="11" s="1"/>
  <c r="J237" i="11" s="1"/>
  <c r="J238" i="11" s="1"/>
  <c r="J239" i="11" s="1"/>
  <c r="J240" i="11" s="1"/>
  <c r="J241" i="11" s="1"/>
  <c r="K230" i="11" s="1"/>
  <c r="K231" i="11" s="1"/>
  <c r="K232" i="11" s="1"/>
  <c r="K233" i="11" s="1"/>
  <c r="K234" i="11" s="1"/>
  <c r="K235" i="11" s="1"/>
  <c r="K236" i="11" s="1"/>
  <c r="K237" i="11" s="1"/>
  <c r="K238" i="11" s="1"/>
  <c r="K239" i="11" s="1"/>
  <c r="K240" i="11" s="1"/>
  <c r="K241" i="11" s="1"/>
  <c r="L230" i="11" s="1"/>
  <c r="L231" i="11" s="1"/>
  <c r="L232" i="11" s="1"/>
  <c r="L233" i="11" s="1"/>
  <c r="L234" i="11" s="1"/>
  <c r="L235" i="11" s="1"/>
  <c r="L236" i="11" s="1"/>
  <c r="L237" i="11" s="1"/>
  <c r="L238" i="11" s="1"/>
  <c r="L239" i="11" s="1"/>
  <c r="L240" i="11" s="1"/>
  <c r="L241" i="11" s="1"/>
  <c r="M230" i="11" s="1"/>
  <c r="M231" i="11" s="1"/>
  <c r="M232" i="11" s="1"/>
  <c r="M233" i="11" s="1"/>
  <c r="M234" i="11" s="1"/>
  <c r="M235" i="11" s="1"/>
  <c r="M236" i="11" s="1"/>
  <c r="M237" i="11" s="1"/>
  <c r="M238" i="11" s="1"/>
  <c r="M239" i="11" s="1"/>
  <c r="M240" i="11" s="1"/>
  <c r="M241" i="11" s="1"/>
  <c r="N230" i="11" s="1"/>
  <c r="N231" i="11" s="1"/>
  <c r="N232" i="11" s="1"/>
  <c r="N233" i="11" s="1"/>
  <c r="N234" i="11" s="1"/>
  <c r="H99" i="11"/>
  <c r="G14" i="19"/>
  <c r="R16" i="19"/>
  <c r="X22" i="19"/>
  <c r="X24" i="19"/>
  <c r="AG56" i="19"/>
  <c r="BE72" i="19" s="1"/>
  <c r="V15" i="19"/>
  <c r="V16" i="19" s="1"/>
  <c r="V25" i="19"/>
  <c r="C56" i="19"/>
  <c r="AY70" i="19" s="1"/>
  <c r="N124" i="19"/>
  <c r="BL129" i="19"/>
  <c r="J77" i="21" s="1"/>
  <c r="BP129" i="19"/>
  <c r="AN138" i="19"/>
  <c r="AB206" i="11"/>
  <c r="AM86" i="10"/>
  <c r="AP126" i="10"/>
  <c r="AM116" i="10"/>
  <c r="X116" i="10" s="1"/>
  <c r="AM76" i="10"/>
  <c r="AM80" i="10"/>
  <c r="AM87" i="10"/>
  <c r="AM89" i="10"/>
  <c r="AM91" i="10"/>
  <c r="AM93" i="10"/>
  <c r="AM84" i="10"/>
  <c r="AM129" i="10"/>
  <c r="AM95" i="10"/>
  <c r="AM97" i="10"/>
  <c r="AM102" i="10"/>
  <c r="X102" i="10" s="1"/>
  <c r="AM106" i="10"/>
  <c r="Y106" i="10" s="1"/>
  <c r="AB106" i="10" s="1"/>
  <c r="AM107" i="10"/>
  <c r="X107" i="10" s="1"/>
  <c r="AM111" i="10"/>
  <c r="K111" i="10" s="1"/>
  <c r="M111" i="10" s="1"/>
  <c r="AM115" i="10"/>
  <c r="D115" i="10" s="1"/>
  <c r="E116" i="10" s="1"/>
  <c r="AM121" i="10"/>
  <c r="W121" i="10" s="1"/>
  <c r="AM125" i="10"/>
  <c r="W125" i="10" s="1"/>
  <c r="AM128" i="10"/>
  <c r="W128" i="10" s="1"/>
  <c r="AM139" i="10"/>
  <c r="X139" i="10" s="1"/>
  <c r="AM141" i="10"/>
  <c r="AM143" i="10"/>
  <c r="Y143" i="10" s="1"/>
  <c r="D97" i="10"/>
  <c r="E98" i="10" s="1"/>
  <c r="AM75" i="10"/>
  <c r="AM79" i="10"/>
  <c r="AM100" i="10"/>
  <c r="D100" i="10" s="1"/>
  <c r="E101" i="10" s="1"/>
  <c r="AM77" i="10"/>
  <c r="AM81" i="10"/>
  <c r="AM88" i="10"/>
  <c r="AM90" i="10"/>
  <c r="AM92" i="10"/>
  <c r="AM94" i="10"/>
  <c r="AM96" i="10"/>
  <c r="K100" i="10"/>
  <c r="M100" i="10" s="1"/>
  <c r="AM103" i="10"/>
  <c r="D103" i="10" s="1"/>
  <c r="E104" i="10" s="1"/>
  <c r="AM108" i="10"/>
  <c r="D108" i="10" s="1"/>
  <c r="E109" i="10" s="1"/>
  <c r="AM112" i="10"/>
  <c r="AM176" i="10"/>
  <c r="AM159" i="10"/>
  <c r="AM83" i="10"/>
  <c r="AM85" i="10"/>
  <c r="AM104" i="10"/>
  <c r="D104" i="10" s="1"/>
  <c r="E105" i="10" s="1"/>
  <c r="AM109" i="10"/>
  <c r="K109" i="10" s="1"/>
  <c r="M109" i="10" s="1"/>
  <c r="AM113" i="10"/>
  <c r="W113" i="10" s="1"/>
  <c r="AM117" i="10"/>
  <c r="D117" i="10" s="1"/>
  <c r="E118" i="10" s="1"/>
  <c r="AM120" i="10"/>
  <c r="AM122" i="10"/>
  <c r="Y122" i="10" s="1"/>
  <c r="Z122" i="10" s="1"/>
  <c r="AM124" i="10"/>
  <c r="AM126" i="10"/>
  <c r="AM130" i="10"/>
  <c r="Y130" i="10" s="1"/>
  <c r="AM134" i="10"/>
  <c r="AM136" i="10"/>
  <c r="AM152" i="10"/>
  <c r="AM138" i="10"/>
  <c r="Y138" i="10" s="1"/>
  <c r="AM140" i="10"/>
  <c r="D140" i="10" s="1"/>
  <c r="AM142" i="10"/>
  <c r="X142" i="10" s="1"/>
  <c r="AA131" i="11"/>
  <c r="AM74" i="10"/>
  <c r="AM78" i="10"/>
  <c r="AM82" i="10"/>
  <c r="AM98" i="10"/>
  <c r="D98" i="10" s="1"/>
  <c r="E99" i="10" s="1"/>
  <c r="AM99" i="10"/>
  <c r="K99" i="10" s="1"/>
  <c r="M99" i="10" s="1"/>
  <c r="AM101" i="10"/>
  <c r="K101" i="10" s="1"/>
  <c r="M101" i="10" s="1"/>
  <c r="AM105" i="10"/>
  <c r="K105" i="10" s="1"/>
  <c r="M105" i="10" s="1"/>
  <c r="AM110" i="10"/>
  <c r="X110" i="10" s="1"/>
  <c r="AM114" i="10"/>
  <c r="Y114" i="10" s="1"/>
  <c r="AM118" i="10"/>
  <c r="X118" i="10" s="1"/>
  <c r="AM127" i="10"/>
  <c r="AM131" i="10"/>
  <c r="X131" i="10" s="1"/>
  <c r="AM145" i="10"/>
  <c r="AP158" i="10"/>
  <c r="AQ158" i="10" s="1"/>
  <c r="AM119" i="10"/>
  <c r="K119" i="10" s="1"/>
  <c r="M119" i="10" s="1"/>
  <c r="AM123" i="10"/>
  <c r="AM132" i="10"/>
  <c r="X132" i="10" s="1"/>
  <c r="AM144" i="10"/>
  <c r="D144" i="10" s="1"/>
  <c r="AM133" i="10"/>
  <c r="Y133" i="10" s="1"/>
  <c r="AM135" i="10"/>
  <c r="Y135" i="10" s="1"/>
  <c r="AM137" i="10"/>
  <c r="AA134" i="11"/>
  <c r="Y139" i="10"/>
  <c r="J203" i="9"/>
  <c r="N123" i="9"/>
  <c r="V11" i="9"/>
  <c r="E16" i="9"/>
  <c r="G12" i="9"/>
  <c r="E111" i="3"/>
  <c r="F111" i="3" s="1"/>
  <c r="AE55" i="9"/>
  <c r="BC69" i="9" s="1"/>
  <c r="B116" i="9"/>
  <c r="B117" i="9" s="1"/>
  <c r="B202" i="9"/>
  <c r="C116" i="9"/>
  <c r="C117" i="9" s="1"/>
  <c r="O102" i="9"/>
  <c r="N5" i="7"/>
  <c r="N12" i="7"/>
  <c r="N6" i="7"/>
  <c r="N13" i="7"/>
  <c r="Q207" i="11"/>
  <c r="AF119" i="11"/>
  <c r="AK119" i="11" s="1"/>
  <c r="AP45" i="14"/>
  <c r="R45" i="14"/>
  <c r="V119" i="9"/>
  <c r="N12" i="9"/>
  <c r="Q16" i="9"/>
  <c r="Q123" i="9"/>
  <c r="O12" i="9"/>
  <c r="V23" i="9"/>
  <c r="H111" i="9"/>
  <c r="H123" i="9" s="1"/>
  <c r="C202" i="9"/>
  <c r="M133" i="3"/>
  <c r="E133" i="3" s="1"/>
  <c r="M117" i="3"/>
  <c r="M129" i="3"/>
  <c r="E129" i="3" s="1"/>
  <c r="S55" i="9"/>
  <c r="BC68" i="9" s="1"/>
  <c r="O55" i="9"/>
  <c r="AY68" i="9" s="1"/>
  <c r="K55" i="9"/>
  <c r="BG67" i="9" s="1"/>
  <c r="G55" i="9"/>
  <c r="BC67" i="9" s="1"/>
  <c r="C55" i="9"/>
  <c r="AY67" i="9" s="1"/>
  <c r="AI55" i="9"/>
  <c r="BG69" i="9" s="1"/>
  <c r="BU31" i="16"/>
  <c r="BU46" i="16" s="1"/>
  <c r="M88" i="16"/>
  <c r="BI46" i="16"/>
  <c r="H72" i="16"/>
  <c r="T89" i="16" s="1"/>
  <c r="B137" i="16"/>
  <c r="AX55" i="16"/>
  <c r="N122" i="16"/>
  <c r="N137" i="16" s="1"/>
  <c r="AS55" i="9"/>
  <c r="BE70" i="9" s="1"/>
  <c r="AM55" i="9"/>
  <c r="AY70" i="9" s="1"/>
  <c r="AU55" i="9"/>
  <c r="BG70" i="9" s="1"/>
  <c r="AA55" i="9"/>
  <c r="AY69" i="9" s="1"/>
  <c r="W55" i="9"/>
  <c r="BG68" i="9" s="1"/>
  <c r="BG72" i="9" s="1"/>
  <c r="BG55" i="9" s="1"/>
  <c r="BG49" i="9" s="1"/>
  <c r="K66" i="11"/>
  <c r="L66" i="11" s="1"/>
  <c r="AK87" i="11"/>
  <c r="BF31" i="9"/>
  <c r="G56" i="14"/>
  <c r="F51" i="14"/>
  <c r="D51" i="14"/>
  <c r="E135" i="15"/>
  <c r="G134" i="15"/>
  <c r="E130" i="15"/>
  <c r="I128" i="15"/>
  <c r="E128" i="15"/>
  <c r="G127" i="15"/>
  <c r="E126" i="15"/>
  <c r="L103" i="15"/>
  <c r="G123" i="15"/>
  <c r="I122" i="15"/>
  <c r="G121" i="15"/>
  <c r="J134" i="15"/>
  <c r="F133" i="15"/>
  <c r="J131" i="15"/>
  <c r="F129" i="15"/>
  <c r="F121" i="15"/>
  <c r="C129" i="16"/>
  <c r="C130" i="16" s="1"/>
  <c r="W135" i="16"/>
  <c r="T26" i="16"/>
  <c r="J68" i="16"/>
  <c r="F69" i="16"/>
  <c r="F72" i="16" s="1"/>
  <c r="R89" i="16" s="1"/>
  <c r="T136" i="16"/>
  <c r="W146" i="19"/>
  <c r="H140" i="19"/>
  <c r="H141" i="19" s="1"/>
  <c r="B147" i="19"/>
  <c r="F147" i="19"/>
  <c r="D56" i="19"/>
  <c r="AZ70" i="19" s="1"/>
  <c r="K56" i="19"/>
  <c r="BG70" i="19" s="1"/>
  <c r="W56" i="19"/>
  <c r="BG71" i="19" s="1"/>
  <c r="AI56" i="19"/>
  <c r="BG72" i="19" s="1"/>
  <c r="C141" i="19"/>
  <c r="G81" i="20"/>
  <c r="G132" i="15"/>
  <c r="I56" i="16"/>
  <c r="BE69" i="16" s="1"/>
  <c r="K130" i="16"/>
  <c r="AO55" i="9"/>
  <c r="BA70" i="9" s="1"/>
  <c r="K123" i="9"/>
  <c r="M132" i="3"/>
  <c r="E132" i="3" s="1"/>
  <c r="AK55" i="9"/>
  <c r="BI69" i="9" s="1"/>
  <c r="Y55" i="9"/>
  <c r="BI68" i="9" s="1"/>
  <c r="U55" i="9"/>
  <c r="BE68" i="9" s="1"/>
  <c r="T119" i="9"/>
  <c r="AK46" i="11"/>
  <c r="AK62" i="11"/>
  <c r="E134" i="15"/>
  <c r="G133" i="15"/>
  <c r="I129" i="15"/>
  <c r="E129" i="15"/>
  <c r="E127" i="15"/>
  <c r="E125" i="15"/>
  <c r="E123" i="15"/>
  <c r="I121" i="15"/>
  <c r="D126" i="15"/>
  <c r="AP149" i="10"/>
  <c r="AQ149" i="10" s="1"/>
  <c r="G18" i="16"/>
  <c r="R18" i="16"/>
  <c r="M136" i="16"/>
  <c r="AG56" i="16"/>
  <c r="BE71" i="16" s="1"/>
  <c r="D130" i="16"/>
  <c r="H130" i="16"/>
  <c r="H120" i="17"/>
  <c r="O123" i="9"/>
  <c r="N7" i="7"/>
  <c r="H62" i="9"/>
  <c r="AM45" i="9"/>
  <c r="H121" i="15"/>
  <c r="L14" i="16"/>
  <c r="K203" i="9"/>
  <c r="BC64" i="9"/>
  <c r="AT45" i="9"/>
  <c r="AL45" i="9"/>
  <c r="AK97" i="11"/>
  <c r="AI109" i="11"/>
  <c r="K109" i="11" s="1"/>
  <c r="L109" i="11" s="1"/>
  <c r="M109" i="11" s="1"/>
  <c r="AI101" i="11"/>
  <c r="AJ101" i="11" s="1"/>
  <c r="D132" i="15"/>
  <c r="M115" i="15"/>
  <c r="J128" i="15"/>
  <c r="J126" i="15"/>
  <c r="F136" i="16"/>
  <c r="K146" i="19"/>
  <c r="H18" i="19"/>
  <c r="R14" i="19"/>
  <c r="BA64" i="9"/>
  <c r="E110" i="3"/>
  <c r="F110" i="3" s="1"/>
  <c r="AR45" i="14"/>
  <c r="AJ45" i="14"/>
  <c r="L100" i="15"/>
  <c r="D135" i="15"/>
  <c r="D128" i="15"/>
  <c r="D124" i="15"/>
  <c r="X129" i="16"/>
  <c r="X130" i="16" s="1"/>
  <c r="AL55" i="16"/>
  <c r="AL56" i="16" s="1"/>
  <c r="AX72" i="16" s="1"/>
  <c r="W56" i="16"/>
  <c r="BG70" i="16" s="1"/>
  <c r="C146" i="19"/>
  <c r="BG67" i="19"/>
  <c r="CE53" i="19" s="1"/>
  <c r="M128" i="3"/>
  <c r="E128" i="3" s="1"/>
  <c r="AR45" i="9"/>
  <c r="G55" i="14"/>
  <c r="G50" i="14"/>
  <c r="C122" i="16"/>
  <c r="C137" i="16" s="1"/>
  <c r="AK127" i="16"/>
  <c r="AK136" i="19" s="1"/>
  <c r="M68" i="19"/>
  <c r="M69" i="19" s="1"/>
  <c r="M72" i="19" s="1"/>
  <c r="Y94" i="19" s="1"/>
  <c r="BH67" i="19"/>
  <c r="CF53" i="19" s="1"/>
  <c r="K87" i="9"/>
  <c r="AP128" i="10"/>
  <c r="AI106" i="11"/>
  <c r="AJ106" i="11" s="1"/>
  <c r="H127" i="15"/>
  <c r="G135" i="15"/>
  <c r="G124" i="15"/>
  <c r="C121" i="15"/>
  <c r="K135" i="16"/>
  <c r="Y88" i="16"/>
  <c r="H14" i="16"/>
  <c r="G16" i="16"/>
  <c r="G69" i="16"/>
  <c r="G72" i="16" s="1"/>
  <c r="S89" i="16" s="1"/>
  <c r="U56" i="16"/>
  <c r="BE70" i="16" s="1"/>
  <c r="W130" i="16"/>
  <c r="BJ41" i="19"/>
  <c r="AQ125" i="10"/>
  <c r="F130" i="15"/>
  <c r="F126" i="15"/>
  <c r="J56" i="16"/>
  <c r="BF69" i="16" s="1"/>
  <c r="R56" i="16"/>
  <c r="BB70" i="16" s="1"/>
  <c r="Q130" i="19"/>
  <c r="Q147" i="19" s="1"/>
  <c r="BB64" i="9"/>
  <c r="D7" i="7"/>
  <c r="AO45" i="9"/>
  <c r="AT45" i="14"/>
  <c r="D133" i="15"/>
  <c r="D130" i="15"/>
  <c r="D122" i="15"/>
  <c r="P137" i="16"/>
  <c r="R14" i="16"/>
  <c r="I16" i="16"/>
  <c r="BA55" i="16"/>
  <c r="BA56" i="16" s="1"/>
  <c r="BA73" i="16" s="1"/>
  <c r="K56" i="16"/>
  <c r="BG69" i="16" s="1"/>
  <c r="AL55" i="19"/>
  <c r="AL56" i="19" s="1"/>
  <c r="AX73" i="19" s="1"/>
  <c r="BW25" i="19"/>
  <c r="K147" i="19"/>
  <c r="S140" i="19"/>
  <c r="S141" i="19" s="1"/>
  <c r="H14" i="19"/>
  <c r="L147" i="19"/>
  <c r="I56" i="19"/>
  <c r="BE70" i="19" s="1"/>
  <c r="O130" i="19"/>
  <c r="O147" i="19" s="1"/>
  <c r="O131" i="19"/>
  <c r="AY46" i="19" s="1"/>
  <c r="AY55" i="19" s="1"/>
  <c r="AY56" i="19" s="1"/>
  <c r="AY74" i="19" s="1"/>
  <c r="R130" i="19"/>
  <c r="R131" i="19"/>
  <c r="BB46" i="19" s="1"/>
  <c r="BB55" i="19" s="1"/>
  <c r="BF55" i="19"/>
  <c r="V131" i="19"/>
  <c r="BF46" i="19" s="1"/>
  <c r="N140" i="19"/>
  <c r="AX52" i="19"/>
  <c r="AX53" i="19" s="1"/>
  <c r="AX64" i="19" s="1"/>
  <c r="Q146" i="19"/>
  <c r="BA52" i="19"/>
  <c r="BA53" i="19" s="1"/>
  <c r="BA64" i="19" s="1"/>
  <c r="E16" i="19"/>
  <c r="L16" i="19"/>
  <c r="BG33" i="19"/>
  <c r="BH33" i="19" s="1"/>
  <c r="BH31" i="19" s="1"/>
  <c r="BI35" i="19" s="1"/>
  <c r="AK56" i="19"/>
  <c r="BI72" i="19" s="1"/>
  <c r="P130" i="19"/>
  <c r="P147" i="19" s="1"/>
  <c r="P131" i="19"/>
  <c r="AZ46" i="19" s="1"/>
  <c r="AZ55" i="19" s="1"/>
  <c r="AZ56" i="19" s="1"/>
  <c r="AZ74" i="19" s="1"/>
  <c r="S130" i="19"/>
  <c r="S147" i="19" s="1"/>
  <c r="S131" i="19"/>
  <c r="BC46" i="19" s="1"/>
  <c r="BC55" i="19" s="1"/>
  <c r="BC56" i="19" s="1"/>
  <c r="BC74" i="19" s="1"/>
  <c r="O140" i="19"/>
  <c r="O141" i="19" s="1"/>
  <c r="AY52" i="19"/>
  <c r="AY53" i="19" s="1"/>
  <c r="AY64" i="19" s="1"/>
  <c r="AY67" i="19" s="1"/>
  <c r="R140" i="19"/>
  <c r="R141" i="19" s="1"/>
  <c r="BB52" i="19"/>
  <c r="BB53" i="19" s="1"/>
  <c r="BB64" i="19" s="1"/>
  <c r="R18" i="19"/>
  <c r="I69" i="19"/>
  <c r="I72" i="19" s="1"/>
  <c r="U94" i="19" s="1"/>
  <c r="J56" i="19"/>
  <c r="BF70" i="19" s="1"/>
  <c r="AD56" i="19"/>
  <c r="BB72" i="19" s="1"/>
  <c r="AH56" i="19"/>
  <c r="BF72" i="19" s="1"/>
  <c r="T130" i="19"/>
  <c r="T147" i="19" s="1"/>
  <c r="T131" i="19"/>
  <c r="BD46" i="19" s="1"/>
  <c r="BD55" i="19" s="1"/>
  <c r="BD56" i="19" s="1"/>
  <c r="BD74" i="19" s="1"/>
  <c r="X131" i="19"/>
  <c r="BH55" i="19"/>
  <c r="AA56" i="19"/>
  <c r="AY72" i="19" s="1"/>
  <c r="N130" i="19"/>
  <c r="N147" i="19" s="1"/>
  <c r="N131" i="19"/>
  <c r="U130" i="19"/>
  <c r="U147" i="19" s="1"/>
  <c r="BE46" i="19"/>
  <c r="BE55" i="19" s="1"/>
  <c r="BE56" i="19" s="1"/>
  <c r="BE74" i="19" s="1"/>
  <c r="P140" i="19"/>
  <c r="P141" i="19" s="1"/>
  <c r="AZ52" i="19"/>
  <c r="AZ53" i="19" s="1"/>
  <c r="AZ64" i="19" s="1"/>
  <c r="AZ67" i="19" s="1"/>
  <c r="W140" i="19"/>
  <c r="W141" i="19" s="1"/>
  <c r="N84" i="11"/>
  <c r="AK17" i="11"/>
  <c r="AK21" i="11"/>
  <c r="AK78" i="11"/>
  <c r="AK104" i="11"/>
  <c r="N100" i="11"/>
  <c r="P100" i="11" s="1"/>
  <c r="N103" i="11"/>
  <c r="O103" i="11" s="1"/>
  <c r="AF114" i="11"/>
  <c r="AK114" i="11" s="1"/>
  <c r="AD119" i="11"/>
  <c r="AF118" i="11"/>
  <c r="AK118" i="11" s="1"/>
  <c r="AK14" i="11"/>
  <c r="AK91" i="11"/>
  <c r="AK19" i="11"/>
  <c r="AK23" i="11"/>
  <c r="AK30" i="11"/>
  <c r="AK34" i="11"/>
  <c r="AD116" i="11"/>
  <c r="AD121" i="11"/>
  <c r="AD118" i="11"/>
  <c r="AK32" i="11"/>
  <c r="K70" i="11"/>
  <c r="L70" i="11" s="1"/>
  <c r="AK96" i="11"/>
  <c r="AK98" i="11"/>
  <c r="N88" i="11"/>
  <c r="P88" i="11" s="1"/>
  <c r="N90" i="11"/>
  <c r="P90" i="11" s="1"/>
  <c r="N93" i="11"/>
  <c r="P93" i="11" s="1"/>
  <c r="AK107" i="11"/>
  <c r="AK33" i="11"/>
  <c r="AK35" i="11"/>
  <c r="AK41" i="11"/>
  <c r="AK45" i="11"/>
  <c r="AK47" i="11"/>
  <c r="AK51" i="11"/>
  <c r="K62" i="11"/>
  <c r="L62" i="11" s="1"/>
  <c r="AK63" i="11"/>
  <c r="K64" i="11"/>
  <c r="L64" i="11" s="1"/>
  <c r="AK65" i="11"/>
  <c r="N66" i="11"/>
  <c r="AK67" i="11"/>
  <c r="N70" i="11"/>
  <c r="AK71" i="11"/>
  <c r="N72" i="11"/>
  <c r="AK75" i="11"/>
  <c r="N76" i="11"/>
  <c r="AK89" i="11"/>
  <c r="AK79" i="11"/>
  <c r="N82" i="11"/>
  <c r="N89" i="11"/>
  <c r="P89" i="11" s="1"/>
  <c r="AK102" i="11"/>
  <c r="N99" i="11"/>
  <c r="O99" i="11" s="1"/>
  <c r="AK101" i="11"/>
  <c r="N108" i="11"/>
  <c r="P108" i="11" s="1"/>
  <c r="N109" i="11"/>
  <c r="P109" i="11" s="1"/>
  <c r="AK15" i="11"/>
  <c r="AK48" i="11"/>
  <c r="AK56" i="11"/>
  <c r="AK70" i="11"/>
  <c r="AK86" i="11"/>
  <c r="K77" i="11"/>
  <c r="L77" i="11" s="1"/>
  <c r="K79" i="11"/>
  <c r="L79" i="11" s="1"/>
  <c r="N81" i="11"/>
  <c r="K84" i="11"/>
  <c r="L84" i="11" s="1"/>
  <c r="N107" i="11"/>
  <c r="P107" i="11" s="1"/>
  <c r="AK93" i="11"/>
  <c r="AI108" i="11"/>
  <c r="AJ108" i="11" s="1"/>
  <c r="P99" i="11"/>
  <c r="AK22" i="11"/>
  <c r="AK105" i="11"/>
  <c r="AK24" i="11"/>
  <c r="AK106" i="11"/>
  <c r="AK77" i="11"/>
  <c r="K82" i="11"/>
  <c r="L82" i="11" s="1"/>
  <c r="AK83" i="11"/>
  <c r="K76" i="11"/>
  <c r="L76" i="11" s="1"/>
  <c r="AK90" i="11"/>
  <c r="AK80" i="11"/>
  <c r="K83" i="11"/>
  <c r="L83" i="11" s="1"/>
  <c r="AK109" i="11"/>
  <c r="K72" i="11"/>
  <c r="L72" i="11" s="1"/>
  <c r="AK25" i="11"/>
  <c r="AK39" i="11"/>
  <c r="N65" i="11"/>
  <c r="N67" i="11"/>
  <c r="K73" i="11"/>
  <c r="L73" i="11" s="1"/>
  <c r="N94" i="11"/>
  <c r="O94" i="11" s="1"/>
  <c r="N98" i="11"/>
  <c r="O98" i="11" s="1"/>
  <c r="AK100" i="11"/>
  <c r="N101" i="11"/>
  <c r="O101" i="11" s="1"/>
  <c r="H48" i="20"/>
  <c r="I48" i="20" s="1"/>
  <c r="I134" i="20" s="1"/>
  <c r="G145" i="10"/>
  <c r="AP129" i="10"/>
  <c r="AP134" i="10"/>
  <c r="Q202" i="11"/>
  <c r="AD125" i="11"/>
  <c r="AP152" i="10"/>
  <c r="AQ152" i="10" s="1"/>
  <c r="G144" i="10"/>
  <c r="AP122" i="10"/>
  <c r="AA125" i="11"/>
  <c r="AP127" i="10"/>
  <c r="AD117" i="11"/>
  <c r="AQ135" i="10"/>
  <c r="AD110" i="11"/>
  <c r="AF116" i="11"/>
  <c r="AK116" i="11" s="1"/>
  <c r="AF121" i="11"/>
  <c r="AK121" i="11" s="1"/>
  <c r="AA128" i="11"/>
  <c r="N77" i="11"/>
  <c r="AK27" i="11"/>
  <c r="N79" i="11"/>
  <c r="AK37" i="11"/>
  <c r="AK49" i="11"/>
  <c r="AK53" i="11"/>
  <c r="AF110" i="11"/>
  <c r="AK110" i="11" s="1"/>
  <c r="AF117" i="11"/>
  <c r="AK117" i="11" s="1"/>
  <c r="N73" i="11"/>
  <c r="N83" i="11"/>
  <c r="AK95" i="11"/>
  <c r="K105" i="11"/>
  <c r="L105" i="11" s="1"/>
  <c r="M105" i="11" s="1"/>
  <c r="H100" i="11"/>
  <c r="H101" i="11" s="1"/>
  <c r="H102" i="11" s="1"/>
  <c r="H103" i="11" s="1"/>
  <c r="H104" i="11" s="1"/>
  <c r="H105" i="11" s="1"/>
  <c r="H106" i="11" s="1"/>
  <c r="H107" i="11" s="1"/>
  <c r="H108" i="11" s="1"/>
  <c r="AK18" i="11"/>
  <c r="AK29" i="11"/>
  <c r="AK36" i="11"/>
  <c r="AK74" i="11"/>
  <c r="AK66" i="11"/>
  <c r="AK68" i="11"/>
  <c r="K69" i="11"/>
  <c r="L69" i="11" s="1"/>
  <c r="N71" i="11"/>
  <c r="AK84" i="11"/>
  <c r="AD129" i="11"/>
  <c r="H145" i="17"/>
  <c r="O145" i="17" s="1"/>
  <c r="J92" i="9"/>
  <c r="U13" i="9"/>
  <c r="U14" i="9" s="1"/>
  <c r="R7" i="7"/>
  <c r="S7" i="7" s="1"/>
  <c r="L72" i="9"/>
  <c r="V111" i="9"/>
  <c r="BF54" i="9" s="1"/>
  <c r="U11" i="9"/>
  <c r="U16" i="9" s="1"/>
  <c r="N8" i="7"/>
  <c r="N10" i="7"/>
  <c r="E113" i="3"/>
  <c r="F113" i="3" s="1"/>
  <c r="E126" i="3"/>
  <c r="E125" i="3"/>
  <c r="G16" i="9"/>
  <c r="K16" i="9"/>
  <c r="S16" i="9"/>
  <c r="H16" i="9"/>
  <c r="M12" i="9"/>
  <c r="Q12" i="9"/>
  <c r="G14" i="9"/>
  <c r="K14" i="9"/>
  <c r="T14" i="9"/>
  <c r="G62" i="9"/>
  <c r="C62" i="9"/>
  <c r="K72" i="9"/>
  <c r="AK26" i="11"/>
  <c r="AK38" i="11"/>
  <c r="J112" i="16"/>
  <c r="J62" i="9"/>
  <c r="BL39" i="16"/>
  <c r="BM39" i="16" s="1"/>
  <c r="BN39" i="16" s="1"/>
  <c r="BK41" i="16"/>
  <c r="E112" i="3"/>
  <c r="F112" i="3" s="1"/>
  <c r="E124" i="3"/>
  <c r="M62" i="9"/>
  <c r="AK94" i="11"/>
  <c r="AK82" i="11"/>
  <c r="N86" i="11"/>
  <c r="P86" i="11" s="1"/>
  <c r="N91" i="11"/>
  <c r="N104" i="11"/>
  <c r="P104" i="11" s="1"/>
  <c r="G53" i="14"/>
  <c r="F124" i="15"/>
  <c r="C127" i="15"/>
  <c r="C123" i="15"/>
  <c r="B135" i="16"/>
  <c r="BD55" i="16"/>
  <c r="BD56" i="16" s="1"/>
  <c r="BD73" i="16" s="1"/>
  <c r="G87" i="17"/>
  <c r="AK42" i="17"/>
  <c r="AF43" i="17"/>
  <c r="AK43" i="17" s="1"/>
  <c r="H124" i="17"/>
  <c r="AM55" i="19"/>
  <c r="AM56" i="19" s="1"/>
  <c r="AY73" i="19" s="1"/>
  <c r="Q14" i="19"/>
  <c r="Q18" i="19"/>
  <c r="F140" i="19"/>
  <c r="F141" i="19" s="1"/>
  <c r="F146" i="19"/>
  <c r="F54" i="14"/>
  <c r="E54" i="14"/>
  <c r="D54" i="14"/>
  <c r="F52" i="14"/>
  <c r="F49" i="14"/>
  <c r="F132" i="15"/>
  <c r="AA56" i="16"/>
  <c r="AY71" i="16" s="1"/>
  <c r="AY66" i="16"/>
  <c r="BK53" i="16" s="1"/>
  <c r="BH66" i="16"/>
  <c r="BH53" i="16" s="1"/>
  <c r="BH48" i="16" s="1"/>
  <c r="F56" i="19"/>
  <c r="BB70" i="19" s="1"/>
  <c r="AX109" i="10"/>
  <c r="AK40" i="11"/>
  <c r="AK58" i="11"/>
  <c r="N85" i="11"/>
  <c r="AK103" i="11"/>
  <c r="N92" i="11"/>
  <c r="P92" i="11" s="1"/>
  <c r="N96" i="11"/>
  <c r="P96" i="11" s="1"/>
  <c r="AB114" i="11"/>
  <c r="N114" i="11" s="1"/>
  <c r="E87" i="9"/>
  <c r="G131" i="15"/>
  <c r="G128" i="15"/>
  <c r="F125" i="15"/>
  <c r="J135" i="16"/>
  <c r="N129" i="16"/>
  <c r="N130" i="16" s="1"/>
  <c r="H136" i="16"/>
  <c r="E18" i="16"/>
  <c r="Q14" i="16"/>
  <c r="K16" i="16"/>
  <c r="L68" i="16"/>
  <c r="L69" i="16" s="1"/>
  <c r="L72" i="16" s="1"/>
  <c r="X89" i="16" s="1"/>
  <c r="F56" i="16"/>
  <c r="BB69" i="16" s="1"/>
  <c r="AD56" i="16"/>
  <c r="BB71" i="16" s="1"/>
  <c r="AH56" i="16"/>
  <c r="BF71" i="16" s="1"/>
  <c r="F137" i="16"/>
  <c r="L56" i="16"/>
  <c r="BH69" i="16" s="1"/>
  <c r="AV56" i="16"/>
  <c r="BH72" i="16" s="1"/>
  <c r="O130" i="16"/>
  <c r="AW150" i="10"/>
  <c r="AW159" i="10"/>
  <c r="AN134" i="11"/>
  <c r="AK57" i="11"/>
  <c r="AK59" i="11"/>
  <c r="N64" i="11"/>
  <c r="AK108" i="11"/>
  <c r="D87" i="9"/>
  <c r="F131" i="15"/>
  <c r="G126" i="15"/>
  <c r="H131" i="15"/>
  <c r="H130" i="15"/>
  <c r="H129" i="15"/>
  <c r="H123" i="15"/>
  <c r="AP155" i="10"/>
  <c r="AQ155" i="10" s="1"/>
  <c r="U135" i="16"/>
  <c r="H18" i="16"/>
  <c r="P18" i="16"/>
  <c r="J18" i="16"/>
  <c r="D136" i="16"/>
  <c r="S56" i="16"/>
  <c r="BC70" i="16" s="1"/>
  <c r="AE56" i="16"/>
  <c r="BC71" i="16" s="1"/>
  <c r="N136" i="16"/>
  <c r="P130" i="16"/>
  <c r="M93" i="19"/>
  <c r="AQ55" i="19"/>
  <c r="AQ56" i="19" s="1"/>
  <c r="BC73" i="19" s="1"/>
  <c r="G131" i="19"/>
  <c r="AU55" i="19"/>
  <c r="AU56" i="19" s="1"/>
  <c r="BG73" i="19" s="1"/>
  <c r="K131" i="19"/>
  <c r="L146" i="19"/>
  <c r="L140" i="19"/>
  <c r="L141" i="19" s="1"/>
  <c r="V140" i="19"/>
  <c r="V141" i="19" s="1"/>
  <c r="V146" i="19"/>
  <c r="C136" i="16"/>
  <c r="G136" i="16"/>
  <c r="AF56" i="16"/>
  <c r="BD71" i="16" s="1"/>
  <c r="AM56" i="16"/>
  <c r="AY72" i="16" s="1"/>
  <c r="O137" i="16"/>
  <c r="BB56" i="16"/>
  <c r="BB73" i="16" s="1"/>
  <c r="E56" i="16"/>
  <c r="BA69" i="16" s="1"/>
  <c r="Q56" i="16"/>
  <c r="BA70" i="16" s="1"/>
  <c r="AC56" i="16"/>
  <c r="BA71" i="16" s="1"/>
  <c r="BF66" i="16"/>
  <c r="BG66" i="16"/>
  <c r="AN128" i="11"/>
  <c r="H122" i="17"/>
  <c r="O146" i="19"/>
  <c r="U16" i="19"/>
  <c r="M18" i="19"/>
  <c r="U25" i="19"/>
  <c r="F16" i="19"/>
  <c r="O16" i="19"/>
  <c r="D147" i="19"/>
  <c r="I147" i="19"/>
  <c r="U56" i="19"/>
  <c r="BE71" i="19" s="1"/>
  <c r="N141" i="19"/>
  <c r="H141" i="17"/>
  <c r="H129" i="17"/>
  <c r="X147" i="19"/>
  <c r="AV55" i="19"/>
  <c r="AV56" i="19" s="1"/>
  <c r="BH73" i="19" s="1"/>
  <c r="J18" i="19"/>
  <c r="P18" i="19"/>
  <c r="T18" i="19"/>
  <c r="BL41" i="19"/>
  <c r="E147" i="19"/>
  <c r="H147" i="19"/>
  <c r="R56" i="19"/>
  <c r="BB71" i="19" s="1"/>
  <c r="V56" i="19"/>
  <c r="BF71" i="19" s="1"/>
  <c r="E56" i="19"/>
  <c r="BA70" i="19" s="1"/>
  <c r="M56" i="19"/>
  <c r="BI70" i="19" s="1"/>
  <c r="Y56" i="19"/>
  <c r="BI71" i="19" s="1"/>
  <c r="R147" i="19"/>
  <c r="AO138" i="19"/>
  <c r="H116" i="20"/>
  <c r="H120" i="20"/>
  <c r="H124" i="20"/>
  <c r="H126" i="20"/>
  <c r="H136" i="20"/>
  <c r="H139" i="20"/>
  <c r="K139" i="20" s="1"/>
  <c r="H131" i="17"/>
  <c r="N14" i="19"/>
  <c r="I16" i="19"/>
  <c r="K68" i="19"/>
  <c r="K69" i="19" s="1"/>
  <c r="K72" i="19" s="1"/>
  <c r="W94" i="19" s="1"/>
  <c r="S56" i="19"/>
  <c r="BC71" i="19" s="1"/>
  <c r="L62" i="9"/>
  <c r="P123" i="9"/>
  <c r="D123" i="9"/>
  <c r="BD64" i="9"/>
  <c r="F62" i="9"/>
  <c r="AP116" i="10"/>
  <c r="AQ116" i="10" s="1"/>
  <c r="C126" i="15"/>
  <c r="H14" i="9"/>
  <c r="H202" i="9"/>
  <c r="R12" i="7"/>
  <c r="S12" i="7" s="1"/>
  <c r="T24" i="7" s="1"/>
  <c r="M120" i="3"/>
  <c r="E120" i="3" s="1"/>
  <c r="F120" i="3" s="1"/>
  <c r="K123" i="10"/>
  <c r="M123" i="10" s="1"/>
  <c r="O123" i="10" s="1"/>
  <c r="K71" i="11"/>
  <c r="L71" i="11" s="1"/>
  <c r="AP130" i="10"/>
  <c r="Y119" i="10"/>
  <c r="AB119" i="10" s="1"/>
  <c r="D119" i="10"/>
  <c r="E120" i="10" s="1"/>
  <c r="AJ88" i="11"/>
  <c r="K88" i="11"/>
  <c r="L88" i="11" s="1"/>
  <c r="AJ90" i="11"/>
  <c r="K90" i="11"/>
  <c r="L90" i="11" s="1"/>
  <c r="E121" i="3"/>
  <c r="F121" i="3" s="1"/>
  <c r="W102" i="9"/>
  <c r="P16" i="9"/>
  <c r="AN54" i="9"/>
  <c r="AN55" i="9" s="1"/>
  <c r="AZ70" i="9" s="1"/>
  <c r="AZ72" i="9" s="1"/>
  <c r="H116" i="9"/>
  <c r="H117" i="9" s="1"/>
  <c r="E117" i="3"/>
  <c r="F117" i="3" s="1"/>
  <c r="E115" i="3"/>
  <c r="F115" i="3" s="1"/>
  <c r="AK69" i="11"/>
  <c r="AK81" i="11"/>
  <c r="BF64" i="9"/>
  <c r="BF52" i="9" s="1"/>
  <c r="BF47" i="9" s="1"/>
  <c r="G129" i="16"/>
  <c r="G130" i="16" s="1"/>
  <c r="G135" i="16"/>
  <c r="R135" i="16"/>
  <c r="R129" i="16"/>
  <c r="R130" i="16" s="1"/>
  <c r="E82" i="17"/>
  <c r="P42" i="17"/>
  <c r="S14" i="9"/>
  <c r="AK92" i="11"/>
  <c r="K86" i="11"/>
  <c r="L86" i="11" s="1"/>
  <c r="C129" i="15"/>
  <c r="K65" i="11"/>
  <c r="L65" i="11" s="1"/>
  <c r="AJ65" i="11"/>
  <c r="W119" i="9"/>
  <c r="T102" i="9"/>
  <c r="L14" i="9"/>
  <c r="E118" i="3"/>
  <c r="F118" i="3" s="1"/>
  <c r="D5" i="7"/>
  <c r="X106" i="10"/>
  <c r="K85" i="11"/>
  <c r="L85" i="11" s="1"/>
  <c r="N4" i="7"/>
  <c r="N105" i="11"/>
  <c r="AM150" i="10"/>
  <c r="K68" i="11"/>
  <c r="L68" i="11" s="1"/>
  <c r="N68" i="11"/>
  <c r="AY54" i="9"/>
  <c r="AY55" i="9" s="1"/>
  <c r="AY71" i="9" s="1"/>
  <c r="P12" i="9"/>
  <c r="N14" i="7"/>
  <c r="AB12" i="7"/>
  <c r="J102" i="9"/>
  <c r="E72" i="9"/>
  <c r="AK28" i="11"/>
  <c r="AK16" i="11"/>
  <c r="N74" i="11"/>
  <c r="K74" i="11"/>
  <c r="L74" i="11" s="1"/>
  <c r="K102" i="11"/>
  <c r="L102" i="11" s="1"/>
  <c r="N102" i="11"/>
  <c r="P102" i="11" s="1"/>
  <c r="AF113" i="11"/>
  <c r="AK113" i="11" s="1"/>
  <c r="AD113" i="11"/>
  <c r="AI99" i="11"/>
  <c r="AJ99" i="11" s="1"/>
  <c r="AI87" i="11"/>
  <c r="AJ87" i="11" s="1"/>
  <c r="V14" i="9"/>
  <c r="D13" i="7"/>
  <c r="R13" i="7" s="1"/>
  <c r="S13" i="7" s="1"/>
  <c r="T25" i="7" s="1"/>
  <c r="T12" i="9"/>
  <c r="AV45" i="9"/>
  <c r="AM151" i="10"/>
  <c r="AK72" i="11"/>
  <c r="AK60" i="11"/>
  <c r="B62" i="9"/>
  <c r="B63" i="9" s="1"/>
  <c r="D62" i="9"/>
  <c r="M72" i="9"/>
  <c r="C72" i="9"/>
  <c r="AK76" i="11"/>
  <c r="AK88" i="11"/>
  <c r="N80" i="11"/>
  <c r="K80" i="11"/>
  <c r="L80" i="11" s="1"/>
  <c r="AA45" i="14"/>
  <c r="O45" i="14"/>
  <c r="BB66" i="16"/>
  <c r="BN53" i="16" s="1"/>
  <c r="M202" i="9"/>
  <c r="U23" i="9"/>
  <c r="U24" i="9" s="1"/>
  <c r="L12" i="9"/>
  <c r="BA72" i="9"/>
  <c r="D10" i="7"/>
  <c r="K116" i="9"/>
  <c r="K117" i="9" s="1"/>
  <c r="AQ131" i="10"/>
  <c r="K67" i="11"/>
  <c r="L67" i="11" s="1"/>
  <c r="AP133" i="10"/>
  <c r="AQ133" i="10"/>
  <c r="I18" i="19"/>
  <c r="I14" i="19"/>
  <c r="J14" i="19"/>
  <c r="Q16" i="19"/>
  <c r="P16" i="19"/>
  <c r="E127" i="3"/>
  <c r="BH64" i="9"/>
  <c r="BH52" i="9" s="1"/>
  <c r="N38" i="18"/>
  <c r="O26" i="18"/>
  <c r="P26" i="18" s="1"/>
  <c r="AX55" i="9"/>
  <c r="AX71" i="9" s="1"/>
  <c r="AX72" i="9" s="1"/>
  <c r="AI100" i="11"/>
  <c r="AJ100" i="11" s="1"/>
  <c r="M114" i="15"/>
  <c r="G129" i="15"/>
  <c r="E98" i="15"/>
  <c r="C134" i="15"/>
  <c r="BF55" i="16"/>
  <c r="V121" i="16"/>
  <c r="G18" i="19"/>
  <c r="T14" i="19"/>
  <c r="S18" i="19"/>
  <c r="I140" i="19"/>
  <c r="I141" i="19" s="1"/>
  <c r="I146" i="19"/>
  <c r="N97" i="11"/>
  <c r="O97" i="11" s="1"/>
  <c r="AV45" i="14"/>
  <c r="F135" i="15"/>
  <c r="H133" i="15"/>
  <c r="H132" i="15"/>
  <c r="D98" i="15"/>
  <c r="AB110" i="11"/>
  <c r="O56" i="16"/>
  <c r="AY70" i="16" s="1"/>
  <c r="AY56" i="16"/>
  <c r="AY73" i="16" s="1"/>
  <c r="C71" i="19"/>
  <c r="C94" i="19" s="1"/>
  <c r="AB118" i="11"/>
  <c r="E124" i="15"/>
  <c r="AP159" i="10"/>
  <c r="AQ159" i="10" s="1"/>
  <c r="AP55" i="16"/>
  <c r="AP56" i="16" s="1"/>
  <c r="BB72" i="16" s="1"/>
  <c r="BB75" i="16" s="1"/>
  <c r="BN56" i="16" s="1"/>
  <c r="U26" i="16"/>
  <c r="M68" i="16"/>
  <c r="O136" i="16"/>
  <c r="G69" i="19"/>
  <c r="G72" i="19" s="1"/>
  <c r="S94" i="19" s="1"/>
  <c r="AW45" i="14"/>
  <c r="AK45" i="14"/>
  <c r="G130" i="15"/>
  <c r="G122" i="15"/>
  <c r="AE56" i="19"/>
  <c r="BC72" i="19" s="1"/>
  <c r="AP55" i="19"/>
  <c r="AP56" i="19" s="1"/>
  <c r="BB73" i="19" s="1"/>
  <c r="F131" i="19"/>
  <c r="BI67" i="19"/>
  <c r="AR138" i="19"/>
  <c r="AB116" i="11"/>
  <c r="C54" i="14"/>
  <c r="D56" i="14"/>
  <c r="D55" i="14"/>
  <c r="AL45" i="14"/>
  <c r="F53" i="14"/>
  <c r="E53" i="14"/>
  <c r="D53" i="14"/>
  <c r="G52" i="14"/>
  <c r="M107" i="15"/>
  <c r="H134" i="15"/>
  <c r="E133" i="15"/>
  <c r="H125" i="15"/>
  <c r="J135" i="15"/>
  <c r="X121" i="16"/>
  <c r="X136" i="16" s="1"/>
  <c r="X122" i="16"/>
  <c r="X137" i="16" s="1"/>
  <c r="D135" i="16"/>
  <c r="T26" i="19"/>
  <c r="U140" i="19"/>
  <c r="U141" i="19" s="1"/>
  <c r="U146" i="19"/>
  <c r="K81" i="11"/>
  <c r="L81" i="11" s="1"/>
  <c r="K95" i="11"/>
  <c r="L95" i="11" s="1"/>
  <c r="F127" i="15"/>
  <c r="G118" i="15"/>
  <c r="E122" i="15"/>
  <c r="V122" i="16"/>
  <c r="V137" i="16" s="1"/>
  <c r="F18" i="16"/>
  <c r="L16" i="16"/>
  <c r="K136" i="16"/>
  <c r="BE66" i="16"/>
  <c r="BQ53" i="16" s="1"/>
  <c r="BI66" i="16"/>
  <c r="BU53" i="16" s="1"/>
  <c r="X56" i="19"/>
  <c r="BH71" i="19" s="1"/>
  <c r="O56" i="19"/>
  <c r="AY71" i="19" s="1"/>
  <c r="C52" i="14"/>
  <c r="F87" i="9"/>
  <c r="J98" i="15"/>
  <c r="C130" i="15"/>
  <c r="D69" i="16"/>
  <c r="D72" i="16" s="1"/>
  <c r="P89" i="16" s="1"/>
  <c r="U18" i="19"/>
  <c r="U14" i="19"/>
  <c r="D140" i="19"/>
  <c r="D141" i="19" s="1"/>
  <c r="D146" i="19"/>
  <c r="AW109" i="10"/>
  <c r="N62" i="11"/>
  <c r="AB119" i="11"/>
  <c r="D45" i="14"/>
  <c r="E52" i="14"/>
  <c r="F50" i="14"/>
  <c r="AS45" i="14"/>
  <c r="E49" i="14"/>
  <c r="C49" i="14"/>
  <c r="AI45" i="14"/>
  <c r="W45" i="14"/>
  <c r="K45" i="14"/>
  <c r="F134" i="15"/>
  <c r="F123" i="15"/>
  <c r="I134" i="15"/>
  <c r="L109" i="15"/>
  <c r="L104" i="15"/>
  <c r="I124" i="15"/>
  <c r="C131" i="15"/>
  <c r="T14" i="16"/>
  <c r="T18" i="16"/>
  <c r="N16" i="16"/>
  <c r="D122" i="16"/>
  <c r="D137" i="16" s="1"/>
  <c r="AN55" i="16"/>
  <c r="AN56" i="16" s="1"/>
  <c r="AZ72" i="16" s="1"/>
  <c r="V56" i="16"/>
  <c r="BF70" i="16" s="1"/>
  <c r="S136" i="16"/>
  <c r="BM41" i="19"/>
  <c r="O14" i="19"/>
  <c r="J16" i="19"/>
  <c r="AC56" i="19"/>
  <c r="BA72" i="19" s="1"/>
  <c r="AO56" i="19"/>
  <c r="BA73" i="19" s="1"/>
  <c r="E146" i="19"/>
  <c r="E140" i="19"/>
  <c r="E141" i="19" s="1"/>
  <c r="H98" i="15"/>
  <c r="N16" i="19"/>
  <c r="X146" i="19"/>
  <c r="X140" i="19"/>
  <c r="X141" i="19" s="1"/>
  <c r="AZ142" i="10"/>
  <c r="C56" i="14"/>
  <c r="H118" i="15"/>
  <c r="G98" i="15"/>
  <c r="G137" i="15" s="1"/>
  <c r="Q16" i="16"/>
  <c r="P16" i="16"/>
  <c r="Q137" i="16"/>
  <c r="E18" i="19"/>
  <c r="B69" i="19"/>
  <c r="B72" i="19" s="1"/>
  <c r="N94" i="19" s="1"/>
  <c r="AJ56" i="19"/>
  <c r="BH72" i="19" s="1"/>
  <c r="AU45" i="9"/>
  <c r="K78" i="11"/>
  <c r="L78" i="11" s="1"/>
  <c r="AW55" i="9"/>
  <c r="BI70" i="9" s="1"/>
  <c r="BI72" i="9" s="1"/>
  <c r="BI55" i="9" s="1"/>
  <c r="L45" i="14"/>
  <c r="H126" i="15"/>
  <c r="H124" i="15"/>
  <c r="F98" i="15"/>
  <c r="G137" i="16"/>
  <c r="X56" i="16"/>
  <c r="BH70" i="16" s="1"/>
  <c r="AZ66" i="16"/>
  <c r="BL53" i="16" s="1"/>
  <c r="AP153" i="10"/>
  <c r="AQ153" i="10" s="1"/>
  <c r="W24" i="19"/>
  <c r="W25" i="19" s="1"/>
  <c r="W22" i="19"/>
  <c r="BU31" i="19"/>
  <c r="L18" i="16"/>
  <c r="E69" i="16"/>
  <c r="E72" i="16" s="1"/>
  <c r="Q89" i="16" s="1"/>
  <c r="C71" i="16"/>
  <c r="D71" i="16" s="1"/>
  <c r="B56" i="16"/>
  <c r="AX69" i="16" s="1"/>
  <c r="Z56" i="16"/>
  <c r="AX71" i="16" s="1"/>
  <c r="AX56" i="16"/>
  <c r="AX73" i="16" s="1"/>
  <c r="I106" i="17"/>
  <c r="H137" i="17"/>
  <c r="F14" i="19"/>
  <c r="S14" i="19"/>
  <c r="M16" i="19"/>
  <c r="H16" i="16"/>
  <c r="AI56" i="16"/>
  <c r="BG71" i="16" s="1"/>
  <c r="D56" i="16"/>
  <c r="AZ69" i="16" s="1"/>
  <c r="P56" i="16"/>
  <c r="AZ70" i="16" s="1"/>
  <c r="AB56" i="16"/>
  <c r="AZ71" i="16" s="1"/>
  <c r="AZ56" i="16"/>
  <c r="AZ73" i="16" s="1"/>
  <c r="C147" i="19"/>
  <c r="J147" i="19"/>
  <c r="H125" i="20"/>
  <c r="C135" i="15"/>
  <c r="S16" i="16"/>
  <c r="T56" i="16"/>
  <c r="BD70" i="16" s="1"/>
  <c r="BD66" i="16"/>
  <c r="BP53" i="16" s="1"/>
  <c r="Z127" i="16"/>
  <c r="Z136" i="19" s="1"/>
  <c r="AW56" i="19"/>
  <c r="BI73" i="19" s="1"/>
  <c r="BC67" i="19"/>
  <c r="AM138" i="19"/>
  <c r="H138" i="20"/>
  <c r="K138" i="20" s="1"/>
  <c r="V130" i="16"/>
  <c r="M56" i="16"/>
  <c r="BI69" i="16" s="1"/>
  <c r="AK56" i="16"/>
  <c r="BI71" i="16" s="1"/>
  <c r="H132" i="17"/>
  <c r="H144" i="17"/>
  <c r="O144" i="17" s="1"/>
  <c r="L56" i="19"/>
  <c r="BH70" i="19" s="1"/>
  <c r="BD67" i="19"/>
  <c r="H132" i="20"/>
  <c r="BE67" i="19"/>
  <c r="C128" i="15"/>
  <c r="Q18" i="16"/>
  <c r="S18" i="16"/>
  <c r="C69" i="19"/>
  <c r="C72" i="19" s="1"/>
  <c r="O94" i="19" s="1"/>
  <c r="M147" i="19"/>
  <c r="N56" i="19"/>
  <c r="AX71" i="19" s="1"/>
  <c r="J119" i="19"/>
  <c r="H133" i="20"/>
  <c r="G56" i="19"/>
  <c r="BC70" i="19" s="1"/>
  <c r="F69" i="19"/>
  <c r="F72" i="19" s="1"/>
  <c r="R94" i="19" s="1"/>
  <c r="AM149" i="10"/>
  <c r="AM153" i="10"/>
  <c r="AM154" i="10"/>
  <c r="AY64" i="9"/>
  <c r="U123" i="9"/>
  <c r="BE54" i="9"/>
  <c r="BB72" i="9"/>
  <c r="B78" i="9"/>
  <c r="C63" i="9"/>
  <c r="U12" i="9"/>
  <c r="E119" i="3"/>
  <c r="F119" i="3" s="1"/>
  <c r="AK61" i="11"/>
  <c r="AK73" i="11"/>
  <c r="N63" i="11"/>
  <c r="K63" i="11"/>
  <c r="L63" i="11" s="1"/>
  <c r="W108" i="10"/>
  <c r="AK52" i="11"/>
  <c r="AK64" i="11"/>
  <c r="W123" i="9"/>
  <c r="I92" i="9"/>
  <c r="I87" i="9"/>
  <c r="O14" i="9"/>
  <c r="P14" i="9"/>
  <c r="D72" i="9"/>
  <c r="AQ54" i="9"/>
  <c r="AQ55" i="9" s="1"/>
  <c r="BC70" i="9" s="1"/>
  <c r="G111" i="9"/>
  <c r="G123" i="9" s="1"/>
  <c r="I203" i="9"/>
  <c r="J87" i="9"/>
  <c r="R123" i="9"/>
  <c r="U102" i="9"/>
  <c r="E116" i="3"/>
  <c r="F116" i="3" s="1"/>
  <c r="BH72" i="9"/>
  <c r="BH55" i="9" s="1"/>
  <c r="BE51" i="9"/>
  <c r="AK43" i="11"/>
  <c r="AK31" i="11"/>
  <c r="U119" i="9"/>
  <c r="BD54" i="9"/>
  <c r="BD55" i="9" s="1"/>
  <c r="BD71" i="9" s="1"/>
  <c r="BD72" i="9" s="1"/>
  <c r="J72" i="9"/>
  <c r="X7" i="7"/>
  <c r="W19" i="7" s="1"/>
  <c r="AB17" i="7" s="1"/>
  <c r="T19" i="7"/>
  <c r="I72" i="9"/>
  <c r="L202" i="9"/>
  <c r="L116" i="9"/>
  <c r="L117" i="9" s="1"/>
  <c r="AM155" i="10"/>
  <c r="H92" i="9"/>
  <c r="G92" i="9"/>
  <c r="G87" i="9"/>
  <c r="E122" i="3"/>
  <c r="H72" i="9"/>
  <c r="BF72" i="9"/>
  <c r="BF55" i="9" s="1"/>
  <c r="N87" i="11"/>
  <c r="S111" i="9"/>
  <c r="T24" i="9"/>
  <c r="G72" i="9"/>
  <c r="X105" i="10"/>
  <c r="D105" i="10"/>
  <c r="E106" i="10" s="1"/>
  <c r="K75" i="11"/>
  <c r="L75" i="11" s="1"/>
  <c r="N75" i="11"/>
  <c r="N3" i="7"/>
  <c r="D9" i="7"/>
  <c r="N69" i="11"/>
  <c r="N78" i="11"/>
  <c r="M102" i="15"/>
  <c r="J123" i="15"/>
  <c r="AF112" i="11"/>
  <c r="AK112" i="11" s="1"/>
  <c r="Q200" i="11"/>
  <c r="AD112" i="11"/>
  <c r="L115" i="15"/>
  <c r="I135" i="15"/>
  <c r="J122" i="15"/>
  <c r="M101" i="15"/>
  <c r="D11" i="7"/>
  <c r="R11" i="7" s="1"/>
  <c r="S11" i="7" s="1"/>
  <c r="BE64" i="9"/>
  <c r="BE52" i="9" s="1"/>
  <c r="D8" i="7"/>
  <c r="R8" i="7" s="1"/>
  <c r="S8" i="7" s="1"/>
  <c r="C45" i="14"/>
  <c r="H137" i="15"/>
  <c r="N9" i="7"/>
  <c r="D123" i="15"/>
  <c r="D118" i="15"/>
  <c r="D137" i="15" s="1"/>
  <c r="E121" i="16"/>
  <c r="E136" i="16" s="1"/>
  <c r="Q136" i="16"/>
  <c r="D6" i="7"/>
  <c r="R6" i="7" s="1"/>
  <c r="S6" i="7" s="1"/>
  <c r="BI64" i="9"/>
  <c r="BI52" i="9" s="1"/>
  <c r="AX64" i="9"/>
  <c r="D3" i="7"/>
  <c r="D4" i="7"/>
  <c r="R4" i="7" s="1"/>
  <c r="S4" i="7" s="1"/>
  <c r="L106" i="15"/>
  <c r="I127" i="15"/>
  <c r="D14" i="7"/>
  <c r="R14" i="7" s="1"/>
  <c r="S14" i="7" s="1"/>
  <c r="T26" i="7" s="1"/>
  <c r="AU45" i="14"/>
  <c r="F48" i="14"/>
  <c r="BG64" i="9"/>
  <c r="BG52" i="9" s="1"/>
  <c r="BG47" i="9" s="1"/>
  <c r="BC66" i="16"/>
  <c r="BO53" i="16" s="1"/>
  <c r="AK111" i="11"/>
  <c r="V45" i="14"/>
  <c r="AH45" i="14"/>
  <c r="J45" i="14"/>
  <c r="J121" i="15"/>
  <c r="I131" i="15"/>
  <c r="L107" i="15"/>
  <c r="F118" i="15"/>
  <c r="L101" i="15"/>
  <c r="M112" i="15"/>
  <c r="M100" i="15"/>
  <c r="AB111" i="11"/>
  <c r="X45" i="14"/>
  <c r="E56" i="14"/>
  <c r="G51" i="14"/>
  <c r="AY45" i="14"/>
  <c r="AM45" i="14"/>
  <c r="E51" i="14"/>
  <c r="BA45" i="14"/>
  <c r="AO45" i="14"/>
  <c r="AC45" i="14"/>
  <c r="Q45" i="14"/>
  <c r="E45" i="14"/>
  <c r="AQ45" i="14"/>
  <c r="AE45" i="14"/>
  <c r="S45" i="14"/>
  <c r="G45" i="14"/>
  <c r="AG45" i="14"/>
  <c r="U45" i="14"/>
  <c r="I45" i="14"/>
  <c r="I125" i="15"/>
  <c r="J132" i="15"/>
  <c r="M111" i="15"/>
  <c r="I69" i="16"/>
  <c r="I72" i="16" s="1"/>
  <c r="U89" i="16" s="1"/>
  <c r="C51" i="14"/>
  <c r="F56" i="14"/>
  <c r="AX45" i="14"/>
  <c r="Z45" i="14"/>
  <c r="AZ45" i="14"/>
  <c r="AN45" i="14"/>
  <c r="E50" i="14"/>
  <c r="D50" i="14"/>
  <c r="P45" i="14"/>
  <c r="G49" i="14"/>
  <c r="BB45" i="14"/>
  <c r="AD45" i="14"/>
  <c r="D49" i="14"/>
  <c r="F45" i="14"/>
  <c r="E48" i="14"/>
  <c r="T45" i="14"/>
  <c r="D48" i="14"/>
  <c r="H45" i="14"/>
  <c r="I118" i="15"/>
  <c r="E118" i="15"/>
  <c r="E137" i="15" s="1"/>
  <c r="M110" i="15"/>
  <c r="C69" i="16"/>
  <c r="C72" i="16" s="1"/>
  <c r="O89" i="16" s="1"/>
  <c r="AB112" i="11"/>
  <c r="AB120" i="11"/>
  <c r="N120" i="11" s="1"/>
  <c r="Y45" i="14"/>
  <c r="L113" i="15"/>
  <c r="I133" i="15"/>
  <c r="G125" i="15"/>
  <c r="C98" i="15"/>
  <c r="J130" i="15"/>
  <c r="J69" i="16"/>
  <c r="J72" i="16" s="1"/>
  <c r="V89" i="16" s="1"/>
  <c r="F135" i="16"/>
  <c r="F129" i="16"/>
  <c r="F130" i="16" s="1"/>
  <c r="O29" i="18"/>
  <c r="N41" i="18"/>
  <c r="I130" i="15"/>
  <c r="L108" i="15"/>
  <c r="BG55" i="16"/>
  <c r="W122" i="16"/>
  <c r="W137" i="16" s="1"/>
  <c r="W121" i="16"/>
  <c r="W136" i="16" s="1"/>
  <c r="AC134" i="19"/>
  <c r="AB115" i="11"/>
  <c r="F55" i="14"/>
  <c r="E55" i="14"/>
  <c r="BG53" i="16"/>
  <c r="BG48" i="16" s="1"/>
  <c r="BS53" i="16"/>
  <c r="C48" i="14"/>
  <c r="D52" i="14"/>
  <c r="L105" i="15"/>
  <c r="I126" i="15"/>
  <c r="C118" i="15"/>
  <c r="BF53" i="16"/>
  <c r="BF48" i="16" s="1"/>
  <c r="BF49" i="16" s="1"/>
  <c r="BR53" i="16"/>
  <c r="U15" i="16"/>
  <c r="U16" i="16" s="1"/>
  <c r="U13" i="16"/>
  <c r="P14" i="16"/>
  <c r="O14" i="16"/>
  <c r="O18" i="16"/>
  <c r="BJ31" i="16"/>
  <c r="BK33" i="16"/>
  <c r="AR55" i="16"/>
  <c r="AR56" i="16" s="1"/>
  <c r="BD72" i="16" s="1"/>
  <c r="H122" i="16"/>
  <c r="H137" i="16" s="1"/>
  <c r="BC55" i="16"/>
  <c r="BC56" i="16" s="1"/>
  <c r="BC73" i="16" s="1"/>
  <c r="S122" i="16"/>
  <c r="S137" i="16" s="1"/>
  <c r="N56" i="16"/>
  <c r="AX70" i="16" s="1"/>
  <c r="H87" i="9"/>
  <c r="C55" i="14"/>
  <c r="G54" i="14"/>
  <c r="BC45" i="14"/>
  <c r="G48" i="14"/>
  <c r="L114" i="15"/>
  <c r="M113" i="15"/>
  <c r="J133" i="15"/>
  <c r="J129" i="15"/>
  <c r="M108" i="15"/>
  <c r="M106" i="15"/>
  <c r="J127" i="15"/>
  <c r="M104" i="15"/>
  <c r="J125" i="15"/>
  <c r="M105" i="15"/>
  <c r="V15" i="16"/>
  <c r="V13" i="16"/>
  <c r="V25" i="16"/>
  <c r="I122" i="16"/>
  <c r="I137" i="16" s="1"/>
  <c r="AS55" i="16"/>
  <c r="AS56" i="16" s="1"/>
  <c r="BE72" i="16" s="1"/>
  <c r="T137" i="16"/>
  <c r="C56" i="16"/>
  <c r="AY69" i="16" s="1"/>
  <c r="I132" i="15"/>
  <c r="L111" i="15"/>
  <c r="I123" i="15"/>
  <c r="L102" i="15"/>
  <c r="I98" i="15"/>
  <c r="AT55" i="16"/>
  <c r="AT56" i="16" s="1"/>
  <c r="BF72" i="16" s="1"/>
  <c r="J122" i="16"/>
  <c r="J137" i="16" s="1"/>
  <c r="U122" i="16"/>
  <c r="U137" i="16" s="1"/>
  <c r="BE55" i="16"/>
  <c r="BE56" i="16" s="1"/>
  <c r="BE73" i="16" s="1"/>
  <c r="C53" i="14"/>
  <c r="C50" i="14"/>
  <c r="J124" i="15"/>
  <c r="M103" i="15"/>
  <c r="BG31" i="16"/>
  <c r="BH33" i="16"/>
  <c r="BH31" i="16" s="1"/>
  <c r="AB121" i="11"/>
  <c r="N18" i="16"/>
  <c r="C126" i="16"/>
  <c r="AN227" i="10"/>
  <c r="AB113" i="11"/>
  <c r="K68" i="16"/>
  <c r="K69" i="16" s="1"/>
  <c r="K72" i="16" s="1"/>
  <c r="W89" i="16" s="1"/>
  <c r="AU55" i="16"/>
  <c r="AU56" i="16" s="1"/>
  <c r="BG72" i="16" s="1"/>
  <c r="K122" i="16"/>
  <c r="K137" i="16" s="1"/>
  <c r="V136" i="16"/>
  <c r="U130" i="16"/>
  <c r="L137" i="16"/>
  <c r="T135" i="16"/>
  <c r="T129" i="16"/>
  <c r="T130" i="16" s="1"/>
  <c r="N45" i="18"/>
  <c r="O33" i="18"/>
  <c r="AK115" i="11"/>
  <c r="K92" i="11"/>
  <c r="L92" i="11" s="1"/>
  <c r="M109" i="15"/>
  <c r="N14" i="16"/>
  <c r="R136" i="16"/>
  <c r="J118" i="15"/>
  <c r="J137" i="15" s="1"/>
  <c r="M130" i="16"/>
  <c r="R122" i="16"/>
  <c r="R137" i="16" s="1"/>
  <c r="I14" i="16"/>
  <c r="J14" i="16"/>
  <c r="AB117" i="11"/>
  <c r="E16" i="16"/>
  <c r="F16" i="16"/>
  <c r="W22" i="16"/>
  <c r="W24" i="16"/>
  <c r="X22" i="16"/>
  <c r="BA66" i="16"/>
  <c r="BM53" i="16" s="1"/>
  <c r="E129" i="16"/>
  <c r="E130" i="16" s="1"/>
  <c r="I18" i="16"/>
  <c r="M14" i="16"/>
  <c r="K14" i="16"/>
  <c r="K18" i="16"/>
  <c r="O16" i="16"/>
  <c r="AX66" i="16"/>
  <c r="BJ53" i="16" s="1"/>
  <c r="AI98" i="11"/>
  <c r="K98" i="11" s="1"/>
  <c r="L98" i="11" s="1"/>
  <c r="S129" i="16"/>
  <c r="S130" i="16" s="1"/>
  <c r="B69" i="16"/>
  <c r="B72" i="16" s="1"/>
  <c r="AO55" i="16"/>
  <c r="AO56" i="16" s="1"/>
  <c r="BA72" i="16" s="1"/>
  <c r="E122" i="16"/>
  <c r="E137" i="16" s="1"/>
  <c r="AA135" i="19"/>
  <c r="AB126" i="16"/>
  <c r="AB127" i="16" s="1"/>
  <c r="AB136" i="19" s="1"/>
  <c r="P136" i="16"/>
  <c r="M18" i="16"/>
  <c r="AJ56" i="16"/>
  <c r="BH71" i="16" s="1"/>
  <c r="U136" i="16"/>
  <c r="M122" i="16"/>
  <c r="M137" i="16" s="1"/>
  <c r="M16" i="16"/>
  <c r="K14" i="19"/>
  <c r="K18" i="19"/>
  <c r="G140" i="19"/>
  <c r="G141" i="19" s="1"/>
  <c r="G146" i="19"/>
  <c r="I129" i="16"/>
  <c r="I130" i="16" s="1"/>
  <c r="M69" i="16"/>
  <c r="M72" i="16" s="1"/>
  <c r="Y89" i="16" s="1"/>
  <c r="Y56" i="16"/>
  <c r="BI70" i="16" s="1"/>
  <c r="AW56" i="16"/>
  <c r="BI72" i="16" s="1"/>
  <c r="O38" i="18"/>
  <c r="O31" i="18"/>
  <c r="N43" i="18"/>
  <c r="G26" i="11"/>
  <c r="G38" i="11"/>
  <c r="G50" i="11"/>
  <c r="G62" i="11"/>
  <c r="G74" i="11"/>
  <c r="AJ134" i="19"/>
  <c r="L14" i="19"/>
  <c r="Q129" i="16"/>
  <c r="Q130" i="16" s="1"/>
  <c r="Q135" i="16"/>
  <c r="G56" i="16"/>
  <c r="BC69" i="16" s="1"/>
  <c r="AA134" i="19"/>
  <c r="AA127" i="16"/>
  <c r="AA136" i="19" s="1"/>
  <c r="O27" i="18"/>
  <c r="N39" i="18"/>
  <c r="AB134" i="19"/>
  <c r="F82" i="17"/>
  <c r="M65" i="18"/>
  <c r="N65" i="18" s="1"/>
  <c r="O65" i="18" s="1"/>
  <c r="P65" i="18" s="1"/>
  <c r="Q65" i="18" s="1"/>
  <c r="R65" i="18" s="1"/>
  <c r="S65" i="18" s="1"/>
  <c r="T65" i="18" s="1"/>
  <c r="BF67" i="19"/>
  <c r="CD53" i="19" s="1"/>
  <c r="AS138" i="19"/>
  <c r="N44" i="18"/>
  <c r="O32" i="18"/>
  <c r="O30" i="18"/>
  <c r="H125" i="17"/>
  <c r="O28" i="18"/>
  <c r="J68" i="19"/>
  <c r="J69" i="19" s="1"/>
  <c r="J72" i="19" s="1"/>
  <c r="V94" i="19" s="1"/>
  <c r="BA67" i="19"/>
  <c r="H136" i="17"/>
  <c r="F103" i="17"/>
  <c r="H103" i="17" s="1"/>
  <c r="H135" i="17"/>
  <c r="H123" i="17"/>
  <c r="N146" i="19"/>
  <c r="M140" i="19"/>
  <c r="M141" i="19" s="1"/>
  <c r="M146" i="19"/>
  <c r="H133" i="17"/>
  <c r="H121" i="17"/>
  <c r="H142" i="17"/>
  <c r="H130" i="17"/>
  <c r="M14" i="19"/>
  <c r="L18" i="19"/>
  <c r="H16" i="19"/>
  <c r="G16" i="19"/>
  <c r="S16" i="19"/>
  <c r="T16" i="19"/>
  <c r="E3" i="18"/>
  <c r="B140" i="19"/>
  <c r="B141" i="19" s="1"/>
  <c r="B146" i="19"/>
  <c r="H140" i="17"/>
  <c r="H128" i="17"/>
  <c r="N18" i="19"/>
  <c r="BK33" i="19"/>
  <c r="H139" i="17"/>
  <c r="H127" i="17"/>
  <c r="P14" i="19"/>
  <c r="O18" i="19"/>
  <c r="H138" i="17"/>
  <c r="H126" i="17"/>
  <c r="V13" i="19"/>
  <c r="H69" i="19"/>
  <c r="H72" i="19" s="1"/>
  <c r="T94" i="19" s="1"/>
  <c r="BB67" i="19"/>
  <c r="U26" i="19"/>
  <c r="K16" i="19"/>
  <c r="D69" i="19"/>
  <c r="D72" i="19" s="1"/>
  <c r="P94" i="19" s="1"/>
  <c r="AQ138" i="19"/>
  <c r="F18" i="19"/>
  <c r="E69" i="19"/>
  <c r="E72" i="19" s="1"/>
  <c r="Q94" i="19" s="1"/>
  <c r="B56" i="19"/>
  <c r="AX70" i="19" s="1"/>
  <c r="Z56" i="19"/>
  <c r="AX72" i="19" s="1"/>
  <c r="W130" i="19"/>
  <c r="W147" i="19" s="1"/>
  <c r="BG55" i="19"/>
  <c r="L68" i="19"/>
  <c r="L69" i="19" s="1"/>
  <c r="L72" i="19" s="1"/>
  <c r="X94" i="19" s="1"/>
  <c r="H131" i="19"/>
  <c r="AR55" i="19"/>
  <c r="AR56" i="19" s="1"/>
  <c r="BD73" i="19" s="1"/>
  <c r="V147" i="19"/>
  <c r="AP138" i="19"/>
  <c r="BK41" i="19"/>
  <c r="G147" i="19"/>
  <c r="J131" i="19"/>
  <c r="AT55" i="19"/>
  <c r="AT56" i="19" s="1"/>
  <c r="BF73" i="19" s="1"/>
  <c r="Q56" i="19"/>
  <c r="BA71" i="19" s="1"/>
  <c r="BA56" i="19"/>
  <c r="BA74" i="19" s="1"/>
  <c r="BB56" i="19"/>
  <c r="BB74" i="19" s="1"/>
  <c r="T140" i="19"/>
  <c r="T141" i="19" s="1"/>
  <c r="T146" i="19"/>
  <c r="H122" i="20"/>
  <c r="AB43" i="20"/>
  <c r="AG43" i="20" s="1"/>
  <c r="H117" i="20"/>
  <c r="H128" i="20"/>
  <c r="H134" i="20"/>
  <c r="H123" i="20"/>
  <c r="H118" i="20"/>
  <c r="H129" i="20"/>
  <c r="H130" i="20"/>
  <c r="H114" i="20"/>
  <c r="H131" i="20"/>
  <c r="AM171" i="10"/>
  <c r="AJ172" i="10"/>
  <c r="AC146" i="11"/>
  <c r="H121" i="20"/>
  <c r="AJ104" i="11"/>
  <c r="K104" i="11"/>
  <c r="L104" i="11" s="1"/>
  <c r="AJ96" i="11"/>
  <c r="K96" i="11"/>
  <c r="L96" i="11" s="1"/>
  <c r="Z44" i="12"/>
  <c r="AE44" i="12" s="1"/>
  <c r="AJ86" i="11"/>
  <c r="AF120" i="11"/>
  <c r="AK120" i="11" s="1"/>
  <c r="Q203" i="11"/>
  <c r="Z126" i="11"/>
  <c r="Z130" i="11"/>
  <c r="AQ130" i="11" s="1"/>
  <c r="Z134" i="11"/>
  <c r="Z135" i="11"/>
  <c r="AB146" i="11"/>
  <c r="Z127" i="11"/>
  <c r="AQ127" i="11" s="1"/>
  <c r="Z142" i="11"/>
  <c r="AB149" i="11"/>
  <c r="AB145" i="11"/>
  <c r="AB141" i="11"/>
  <c r="K94" i="11"/>
  <c r="L94" i="11" s="1"/>
  <c r="AD111" i="11"/>
  <c r="AD115" i="11"/>
  <c r="Q208" i="11"/>
  <c r="Q199" i="11"/>
  <c r="AB139" i="11"/>
  <c r="AB148" i="11"/>
  <c r="AB144" i="11"/>
  <c r="K89" i="11"/>
  <c r="L89" i="11" s="1"/>
  <c r="AA43" i="12"/>
  <c r="AD127" i="11"/>
  <c r="AD128" i="11"/>
  <c r="Z129" i="11"/>
  <c r="AD126" i="11"/>
  <c r="AD141" i="11"/>
  <c r="AD130" i="11"/>
  <c r="AD145" i="11"/>
  <c r="Z133" i="11"/>
  <c r="AQ133" i="11" s="1"/>
  <c r="AB140" i="11"/>
  <c r="Z132" i="11"/>
  <c r="Z147" i="11"/>
  <c r="Z128" i="11"/>
  <c r="Z143" i="11"/>
  <c r="D86" i="20"/>
  <c r="K103" i="11"/>
  <c r="K93" i="11"/>
  <c r="L93" i="11" s="1"/>
  <c r="K97" i="11"/>
  <c r="L97" i="11" s="1"/>
  <c r="K91" i="11"/>
  <c r="L91" i="11" s="1"/>
  <c r="AJ92" i="11"/>
  <c r="AJ95" i="11"/>
  <c r="AI42" i="20"/>
  <c r="Q198" i="11"/>
  <c r="K107" i="11"/>
  <c r="Q201" i="11"/>
  <c r="G148" i="10"/>
  <c r="F134" i="10"/>
  <c r="G135" i="10"/>
  <c r="AP142" i="10"/>
  <c r="AD131" i="11"/>
  <c r="Z125" i="11"/>
  <c r="AN131" i="11"/>
  <c r="AW156" i="10"/>
  <c r="AO124" i="11"/>
  <c r="AV148" i="10"/>
  <c r="AD124" i="11"/>
  <c r="AD132" i="11"/>
  <c r="AM156" i="10"/>
  <c r="AX149" i="10"/>
  <c r="AO125" i="34" s="1"/>
  <c r="AD135" i="11"/>
  <c r="Z124" i="11"/>
  <c r="AM45" i="17"/>
  <c r="AM43" i="17"/>
  <c r="AH44" i="12"/>
  <c r="AI43" i="20"/>
  <c r="AI44" i="20"/>
  <c r="AI45" i="20"/>
  <c r="AH42" i="12"/>
  <c r="AH45" i="12"/>
  <c r="AE45" i="17"/>
  <c r="AJ45" i="17" s="1"/>
  <c r="AH43" i="12"/>
  <c r="AM44" i="17"/>
  <c r="AM42" i="17"/>
  <c r="Z42" i="12"/>
  <c r="AE42" i="12" s="1"/>
  <c r="G31" i="12"/>
  <c r="H31" i="12" s="1"/>
  <c r="I98" i="20"/>
  <c r="Z137" i="11"/>
  <c r="Z131" i="11"/>
  <c r="H34" i="17"/>
  <c r="I34" i="17" s="1"/>
  <c r="H33" i="17"/>
  <c r="I33" i="17" s="1"/>
  <c r="O39" i="17"/>
  <c r="AK42" i="12"/>
  <c r="P40" i="17"/>
  <c r="K41" i="12"/>
  <c r="G41" i="12"/>
  <c r="H41" i="12" s="1"/>
  <c r="R34" i="17"/>
  <c r="AE44" i="17"/>
  <c r="AJ44" i="17" s="1"/>
  <c r="K43" i="12"/>
  <c r="J39" i="12"/>
  <c r="G45" i="12"/>
  <c r="H45" i="12" s="1"/>
  <c r="P43" i="17"/>
  <c r="C70" i="12"/>
  <c r="H31" i="17"/>
  <c r="I31" i="17" s="1"/>
  <c r="H35" i="17"/>
  <c r="I35" i="17" s="1"/>
  <c r="M71" i="18"/>
  <c r="N71" i="18" s="1"/>
  <c r="O71" i="18" s="1"/>
  <c r="P71" i="18" s="1"/>
  <c r="Q71" i="18" s="1"/>
  <c r="H47" i="20"/>
  <c r="I47" i="20" s="1"/>
  <c r="I130" i="20" s="1"/>
  <c r="E76" i="20"/>
  <c r="G43" i="12"/>
  <c r="H43" i="12" s="1"/>
  <c r="E62" i="12"/>
  <c r="H26" i="17"/>
  <c r="I26" i="17" s="1"/>
  <c r="E81" i="17"/>
  <c r="AA43" i="20"/>
  <c r="AF43" i="20" s="1"/>
  <c r="D85" i="20"/>
  <c r="L40" i="20"/>
  <c r="Z43" i="12"/>
  <c r="AE43" i="12" s="1"/>
  <c r="D58" i="12"/>
  <c r="AE42" i="17"/>
  <c r="AJ42" i="17" s="1"/>
  <c r="AA42" i="20"/>
  <c r="AF42" i="20" s="1"/>
  <c r="E74" i="20"/>
  <c r="G19" i="12"/>
  <c r="H19" i="12" s="1"/>
  <c r="AA44" i="20"/>
  <c r="AF44" i="20" s="1"/>
  <c r="G40" i="12"/>
  <c r="H40" i="12" s="1"/>
  <c r="H25" i="17"/>
  <c r="I25" i="17" s="1"/>
  <c r="H37" i="17"/>
  <c r="I37" i="17" s="1"/>
  <c r="H40" i="17"/>
  <c r="I40" i="17" s="1"/>
  <c r="H43" i="17"/>
  <c r="I43" i="17" s="1"/>
  <c r="I125" i="17" s="1"/>
  <c r="L43" i="20"/>
  <c r="N66" i="18"/>
  <c r="O66" i="18" s="1"/>
  <c r="P66" i="18" s="1"/>
  <c r="Q66" i="18" s="1"/>
  <c r="R66" i="18" s="1"/>
  <c r="S66" i="18" s="1"/>
  <c r="T66" i="18" s="1"/>
  <c r="G46" i="12"/>
  <c r="C46" i="12" s="1"/>
  <c r="F46" i="12" s="1"/>
  <c r="N45" i="12"/>
  <c r="G42" i="12"/>
  <c r="H42" i="12" s="1"/>
  <c r="C72" i="12"/>
  <c r="O37" i="17"/>
  <c r="E72" i="20"/>
  <c r="O41" i="20"/>
  <c r="K42" i="12"/>
  <c r="G21" i="12"/>
  <c r="H21" i="12" s="1"/>
  <c r="G23" i="12"/>
  <c r="H23" i="12" s="1"/>
  <c r="G27" i="12"/>
  <c r="H27" i="12" s="1"/>
  <c r="G33" i="12"/>
  <c r="H33" i="12" s="1"/>
  <c r="G35" i="12"/>
  <c r="H35" i="12" s="1"/>
  <c r="D60" i="12"/>
  <c r="H20" i="17"/>
  <c r="I20" i="17" s="1"/>
  <c r="M33" i="12"/>
  <c r="M27" i="12"/>
  <c r="H46" i="17"/>
  <c r="I46" i="17" s="1"/>
  <c r="I132" i="17" s="1"/>
  <c r="D91" i="17"/>
  <c r="F79" i="17"/>
  <c r="H40" i="20"/>
  <c r="I40" i="20" s="1"/>
  <c r="H20" i="20"/>
  <c r="I20" i="20" s="1"/>
  <c r="H21" i="20"/>
  <c r="I21" i="20" s="1"/>
  <c r="F87" i="17"/>
  <c r="H45" i="17"/>
  <c r="I45" i="17" s="1"/>
  <c r="I129" i="17" s="1"/>
  <c r="D90" i="17"/>
  <c r="H39" i="17"/>
  <c r="I39" i="17" s="1"/>
  <c r="H47" i="17"/>
  <c r="I47" i="17" s="1"/>
  <c r="I137" i="17" s="1"/>
  <c r="F105" i="17"/>
  <c r="H105" i="17" s="1"/>
  <c r="E80" i="17"/>
  <c r="E59" i="12"/>
  <c r="K40" i="12"/>
  <c r="N43" i="12"/>
  <c r="M19" i="12"/>
  <c r="G39" i="12"/>
  <c r="H39" i="12" s="1"/>
  <c r="G18" i="12"/>
  <c r="H18" i="12" s="1"/>
  <c r="G20" i="12"/>
  <c r="H20" i="12" s="1"/>
  <c r="G26" i="12"/>
  <c r="H26" i="12" s="1"/>
  <c r="G36" i="12"/>
  <c r="H36" i="12" s="1"/>
  <c r="S45" i="17"/>
  <c r="H42" i="17"/>
  <c r="I42" i="17" s="1"/>
  <c r="F102" i="17"/>
  <c r="H102" i="17" s="1"/>
  <c r="H22" i="17"/>
  <c r="I22" i="17" s="1"/>
  <c r="I54" i="17" s="1"/>
  <c r="L41" i="20"/>
  <c r="H35" i="20"/>
  <c r="I35" i="20" s="1"/>
  <c r="G48" i="12"/>
  <c r="C48" i="12" s="1"/>
  <c r="F48" i="12" s="1"/>
  <c r="E67" i="12"/>
  <c r="Z45" i="12"/>
  <c r="AE45" i="12" s="1"/>
  <c r="J40" i="12"/>
  <c r="G37" i="12"/>
  <c r="H37" i="12" s="1"/>
  <c r="M35" i="12"/>
  <c r="S44" i="17"/>
  <c r="S42" i="17"/>
  <c r="H18" i="20"/>
  <c r="I18" i="20" s="1"/>
  <c r="H41" i="20"/>
  <c r="I41" i="20" s="1"/>
  <c r="H30" i="17"/>
  <c r="I30" i="17" s="1"/>
  <c r="R30" i="17"/>
  <c r="H27" i="20"/>
  <c r="I27" i="20" s="1"/>
  <c r="N27" i="20"/>
  <c r="N37" i="20"/>
  <c r="H37" i="20"/>
  <c r="I37" i="20" s="1"/>
  <c r="E146" i="20"/>
  <c r="M36" i="12"/>
  <c r="AC133" i="11"/>
  <c r="O27" i="17"/>
  <c r="H27" i="17"/>
  <c r="I27" i="17" s="1"/>
  <c r="O36" i="17"/>
  <c r="H36" i="17"/>
  <c r="I36" i="17" s="1"/>
  <c r="P44" i="17"/>
  <c r="H44" i="17"/>
  <c r="I44" i="17" s="1"/>
  <c r="I126" i="17" s="1"/>
  <c r="N19" i="20"/>
  <c r="H19" i="20"/>
  <c r="I19" i="20" s="1"/>
  <c r="AL45" i="20"/>
  <c r="AA45" i="20"/>
  <c r="AF45" i="20" s="1"/>
  <c r="G44" i="12"/>
  <c r="H44" i="12" s="1"/>
  <c r="N44" i="12"/>
  <c r="E78" i="17"/>
  <c r="H38" i="17"/>
  <c r="I38" i="17" s="1"/>
  <c r="O38" i="17"/>
  <c r="M30" i="12"/>
  <c r="G30" i="12"/>
  <c r="H30" i="12" s="1"/>
  <c r="M34" i="12"/>
  <c r="G34" i="12"/>
  <c r="H34" i="12" s="1"/>
  <c r="G38" i="12"/>
  <c r="H38" i="12" s="1"/>
  <c r="E58" i="12"/>
  <c r="M40" i="12"/>
  <c r="N40" i="12"/>
  <c r="E61" i="12"/>
  <c r="N41" i="12"/>
  <c r="C71" i="12"/>
  <c r="G47" i="12"/>
  <c r="C47" i="12" s="1"/>
  <c r="F47" i="12" s="1"/>
  <c r="R23" i="17"/>
  <c r="H23" i="17"/>
  <c r="I23" i="17" s="1"/>
  <c r="F81" i="17"/>
  <c r="H41" i="17"/>
  <c r="I41" i="17" s="1"/>
  <c r="N29" i="20"/>
  <c r="H29" i="20"/>
  <c r="I29" i="20" s="1"/>
  <c r="E73" i="20"/>
  <c r="K39" i="20"/>
  <c r="F76" i="20"/>
  <c r="H42" i="20"/>
  <c r="I42" i="20" s="1"/>
  <c r="F99" i="20"/>
  <c r="H99" i="20" s="1"/>
  <c r="R28" i="17"/>
  <c r="H28" i="17"/>
  <c r="I28" i="17" s="1"/>
  <c r="I104" i="17"/>
  <c r="D92" i="17"/>
  <c r="H48" i="17"/>
  <c r="I48" i="17" s="1"/>
  <c r="G28" i="12"/>
  <c r="H28" i="12" s="1"/>
  <c r="M28" i="12"/>
  <c r="M32" i="12"/>
  <c r="G32" i="12"/>
  <c r="H32" i="12" s="1"/>
  <c r="O32" i="17"/>
  <c r="H32" i="17"/>
  <c r="I32" i="17" s="1"/>
  <c r="F80" i="17"/>
  <c r="S40" i="17"/>
  <c r="R40" i="17"/>
  <c r="K23" i="20"/>
  <c r="H23" i="20"/>
  <c r="I23" i="20" s="1"/>
  <c r="K31" i="20"/>
  <c r="H31" i="20"/>
  <c r="I31" i="20" s="1"/>
  <c r="H34" i="20"/>
  <c r="I34" i="20" s="1"/>
  <c r="H39" i="20"/>
  <c r="I39" i="20" s="1"/>
  <c r="N40" i="20"/>
  <c r="H44" i="20"/>
  <c r="I44" i="20" s="1"/>
  <c r="I122" i="20" s="1"/>
  <c r="H24" i="17"/>
  <c r="I24" i="17" s="1"/>
  <c r="H25" i="20"/>
  <c r="I25" i="20" s="1"/>
  <c r="H33" i="20"/>
  <c r="I33" i="20" s="1"/>
  <c r="F74" i="20"/>
  <c r="R38" i="17"/>
  <c r="R24" i="17"/>
  <c r="H21" i="17"/>
  <c r="I21" i="17" s="1"/>
  <c r="H22" i="20"/>
  <c r="I22" i="20" s="1"/>
  <c r="I54" i="20" s="1"/>
  <c r="H36" i="20"/>
  <c r="I36" i="20" s="1"/>
  <c r="O70" i="18"/>
  <c r="P70" i="18" s="1"/>
  <c r="Q70" i="18" s="1"/>
  <c r="R70" i="18" s="1"/>
  <c r="S70" i="18" s="1"/>
  <c r="T70" i="18" s="1"/>
  <c r="Q68" i="18"/>
  <c r="R68" i="18" s="1"/>
  <c r="S68" i="18" s="1"/>
  <c r="T68" i="18" s="1"/>
  <c r="M26" i="12"/>
  <c r="M18" i="12"/>
  <c r="M23" i="12"/>
  <c r="G24" i="12"/>
  <c r="H24" i="12" s="1"/>
  <c r="R19" i="17"/>
  <c r="H19" i="17"/>
  <c r="I19" i="17" s="1"/>
  <c r="N24" i="20"/>
  <c r="H24" i="20"/>
  <c r="I24" i="20" s="1"/>
  <c r="G22" i="12"/>
  <c r="H22" i="12" s="1"/>
  <c r="M20" i="12"/>
  <c r="Q69" i="18"/>
  <c r="R69" i="18" s="1"/>
  <c r="S69" i="18" s="1"/>
  <c r="T69" i="18" s="1"/>
  <c r="G29" i="12"/>
  <c r="H29" i="12" s="1"/>
  <c r="G25" i="12"/>
  <c r="H25" i="12" s="1"/>
  <c r="M21" i="12"/>
  <c r="AM148" i="10"/>
  <c r="H18" i="17"/>
  <c r="I18" i="17" s="1"/>
  <c r="AI43" i="17"/>
  <c r="AE43" i="17"/>
  <c r="AJ43" i="17" s="1"/>
  <c r="H46" i="20"/>
  <c r="I46" i="20" s="1"/>
  <c r="F81" i="20"/>
  <c r="F96" i="20"/>
  <c r="H96" i="20" s="1"/>
  <c r="F83" i="17"/>
  <c r="S43" i="17"/>
  <c r="H32" i="20"/>
  <c r="I32" i="20" s="1"/>
  <c r="N32" i="20"/>
  <c r="D84" i="20"/>
  <c r="R29" i="17"/>
  <c r="H29" i="17"/>
  <c r="I29" i="17" s="1"/>
  <c r="H26" i="20"/>
  <c r="I26" i="20" s="1"/>
  <c r="N26" i="20"/>
  <c r="N28" i="20"/>
  <c r="H28" i="20"/>
  <c r="I28" i="20" s="1"/>
  <c r="R21" i="17"/>
  <c r="F73" i="20"/>
  <c r="H30" i="20"/>
  <c r="I30" i="20" s="1"/>
  <c r="H45" i="20"/>
  <c r="I45" i="20" s="1"/>
  <c r="O45" i="20"/>
  <c r="N38" i="20"/>
  <c r="H38" i="20"/>
  <c r="I38" i="20" s="1"/>
  <c r="F77" i="20"/>
  <c r="H43" i="20"/>
  <c r="I43" i="20" s="1"/>
  <c r="I107" i="17"/>
  <c r="I101" i="20"/>
  <c r="BG75" i="16" l="1"/>
  <c r="BI53" i="16"/>
  <c r="BT53" i="16"/>
  <c r="BF49" i="9"/>
  <c r="F137" i="15"/>
  <c r="BD75" i="16"/>
  <c r="BP56" i="16" s="1"/>
  <c r="V123" i="9"/>
  <c r="O100" i="11"/>
  <c r="BE72" i="9"/>
  <c r="BE55" i="9" s="1"/>
  <c r="X122" i="10"/>
  <c r="Y111" i="10"/>
  <c r="K122" i="10"/>
  <c r="Y144" i="10"/>
  <c r="X111" i="10"/>
  <c r="W109" i="10"/>
  <c r="X144" i="10"/>
  <c r="W144" i="10"/>
  <c r="Y105" i="10"/>
  <c r="AB105" i="10" s="1"/>
  <c r="W119" i="10"/>
  <c r="W105" i="10"/>
  <c r="X119" i="10"/>
  <c r="X133" i="10"/>
  <c r="AN126" i="11"/>
  <c r="AN126" i="34"/>
  <c r="AQ126" i="34" s="1"/>
  <c r="AN132" i="11"/>
  <c r="AQ132" i="11" s="1"/>
  <c r="AN132" i="34"/>
  <c r="AQ132" i="34" s="1"/>
  <c r="W110" i="10"/>
  <c r="W135" i="10"/>
  <c r="AJ109" i="11"/>
  <c r="D106" i="10"/>
  <c r="E107" i="10" s="1"/>
  <c r="H148" i="10"/>
  <c r="AA135" i="11"/>
  <c r="AB135" i="11" s="1"/>
  <c r="AA135" i="34"/>
  <c r="AB135" i="34" s="1"/>
  <c r="W116" i="10"/>
  <c r="K106" i="10"/>
  <c r="M106" i="10" s="1"/>
  <c r="AN129" i="11"/>
  <c r="AQ129" i="11" s="1"/>
  <c r="AN129" i="34"/>
  <c r="AQ129" i="34" s="1"/>
  <c r="AA129" i="11"/>
  <c r="AA129" i="34"/>
  <c r="AB129" i="34" s="1"/>
  <c r="AA132" i="11"/>
  <c r="AB132" i="11" s="1"/>
  <c r="AA132" i="34"/>
  <c r="AB132" i="34" s="1"/>
  <c r="AA126" i="11"/>
  <c r="AB126" i="11" s="1"/>
  <c r="AA126" i="34"/>
  <c r="AB126" i="34" s="1"/>
  <c r="AM172" i="10"/>
  <c r="AM187" i="10"/>
  <c r="X121" i="10"/>
  <c r="AN135" i="11"/>
  <c r="AN135" i="34"/>
  <c r="AQ135" i="34" s="1"/>
  <c r="AD146" i="11"/>
  <c r="AD161" i="11"/>
  <c r="O89" i="11"/>
  <c r="O108" i="11"/>
  <c r="AB134" i="11"/>
  <c r="O88" i="11"/>
  <c r="O106" i="11"/>
  <c r="O95" i="11"/>
  <c r="O90" i="11"/>
  <c r="O86" i="11"/>
  <c r="O109" i="11"/>
  <c r="AZ77" i="19"/>
  <c r="BL56" i="19" s="1"/>
  <c r="L93" i="19"/>
  <c r="V26" i="19"/>
  <c r="W26" i="19"/>
  <c r="W131" i="10"/>
  <c r="D116" i="10"/>
  <c r="E117" i="10" s="1"/>
  <c r="W106" i="10"/>
  <c r="K108" i="11"/>
  <c r="L108" i="11" s="1"/>
  <c r="M108" i="11" s="1"/>
  <c r="N119" i="11"/>
  <c r="N116" i="11"/>
  <c r="D130" i="10"/>
  <c r="K104" i="10"/>
  <c r="M104" i="10" s="1"/>
  <c r="D139" i="10"/>
  <c r="W133" i="10"/>
  <c r="K132" i="10"/>
  <c r="M132" i="10" s="1"/>
  <c r="O132" i="10" s="1"/>
  <c r="Y121" i="10"/>
  <c r="AB121" i="10" s="1"/>
  <c r="K125" i="10"/>
  <c r="M125" i="10" s="1"/>
  <c r="O125" i="10" s="1"/>
  <c r="X125" i="10"/>
  <c r="D121" i="10"/>
  <c r="E122" i="10" s="1"/>
  <c r="W114" i="10"/>
  <c r="Y116" i="10"/>
  <c r="Z116" i="10" s="1"/>
  <c r="Y107" i="10"/>
  <c r="AB107" i="10" s="1"/>
  <c r="W143" i="10"/>
  <c r="D125" i="10"/>
  <c r="E126" i="10" s="1"/>
  <c r="K121" i="10"/>
  <c r="M121" i="10" s="1"/>
  <c r="Y110" i="10"/>
  <c r="AB110" i="10" s="1"/>
  <c r="D132" i="10"/>
  <c r="D143" i="10"/>
  <c r="Y125" i="10"/>
  <c r="Z125" i="10" s="1"/>
  <c r="K101" i="11"/>
  <c r="L101" i="11" s="1"/>
  <c r="D135" i="10"/>
  <c r="X143" i="10"/>
  <c r="X135" i="10"/>
  <c r="Y104" i="10"/>
  <c r="AB104" i="10" s="1"/>
  <c r="X114" i="10"/>
  <c r="W139" i="10"/>
  <c r="K98" i="10"/>
  <c r="M98" i="10" s="1"/>
  <c r="K114" i="10"/>
  <c r="M114" i="10" s="1"/>
  <c r="W130" i="10"/>
  <c r="X138" i="10"/>
  <c r="D131" i="10"/>
  <c r="W104" i="10"/>
  <c r="D114" i="10"/>
  <c r="E115" i="10" s="1"/>
  <c r="Y102" i="10"/>
  <c r="AB102" i="10" s="1"/>
  <c r="D133" i="10"/>
  <c r="D111" i="10"/>
  <c r="E112" i="10" s="1"/>
  <c r="K110" i="10"/>
  <c r="M110" i="10" s="1"/>
  <c r="K133" i="10"/>
  <c r="M133" i="10" s="1"/>
  <c r="O133" i="10" s="1"/>
  <c r="W100" i="10"/>
  <c r="X100" i="10"/>
  <c r="Y100" i="10"/>
  <c r="AB100" i="10" s="1"/>
  <c r="D110" i="10"/>
  <c r="E111" i="10" s="1"/>
  <c r="K130" i="10"/>
  <c r="M130" i="10" s="1"/>
  <c r="X104" i="10"/>
  <c r="X130" i="10"/>
  <c r="D99" i="10"/>
  <c r="E100" i="10" s="1"/>
  <c r="X98" i="10"/>
  <c r="W98" i="10"/>
  <c r="Y101" i="10"/>
  <c r="AB101" i="10" s="1"/>
  <c r="X101" i="10"/>
  <c r="W101" i="10"/>
  <c r="D101" i="10"/>
  <c r="E102" i="10" s="1"/>
  <c r="Y99" i="10"/>
  <c r="AB99" i="10" s="1"/>
  <c r="X99" i="10"/>
  <c r="W99" i="10"/>
  <c r="AF44" i="17"/>
  <c r="AK44" i="17" s="1"/>
  <c r="BH75" i="16"/>
  <c r="C89" i="16"/>
  <c r="Z119" i="10"/>
  <c r="D113" i="10"/>
  <c r="E114" i="10" s="1"/>
  <c r="W102" i="10"/>
  <c r="D138" i="10"/>
  <c r="Y128" i="10"/>
  <c r="Z128" i="10" s="1"/>
  <c r="AY72" i="9"/>
  <c r="Y118" i="10"/>
  <c r="Z118" i="10" s="1"/>
  <c r="D122" i="10"/>
  <c r="E123" i="10" s="1"/>
  <c r="Y142" i="10"/>
  <c r="BJ31" i="9"/>
  <c r="BG31" i="9" s="1"/>
  <c r="BF29" i="9"/>
  <c r="J77" i="9" s="1"/>
  <c r="T123" i="9"/>
  <c r="BF48" i="9"/>
  <c r="D71" i="19"/>
  <c r="BS53" i="19"/>
  <c r="BF75" i="16"/>
  <c r="BE75" i="16"/>
  <c r="BQ56" i="16" s="1"/>
  <c r="AX75" i="16"/>
  <c r="BJ56" i="16" s="1"/>
  <c r="K113" i="10"/>
  <c r="M113" i="10" s="1"/>
  <c r="W138" i="10"/>
  <c r="K106" i="11"/>
  <c r="L106" i="11" s="1"/>
  <c r="M106" i="11" s="1"/>
  <c r="D118" i="10"/>
  <c r="E119" i="10" s="1"/>
  <c r="D102" i="10"/>
  <c r="E103" i="10" s="1"/>
  <c r="K128" i="10"/>
  <c r="M128" i="10" s="1"/>
  <c r="X109" i="10"/>
  <c r="Y109" i="10"/>
  <c r="AB109" i="10" s="1"/>
  <c r="W118" i="10"/>
  <c r="D142" i="10"/>
  <c r="BG31" i="19"/>
  <c r="BA75" i="16"/>
  <c r="BM56" i="16" s="1"/>
  <c r="D109" i="10"/>
  <c r="E110" i="10" s="1"/>
  <c r="K102" i="10"/>
  <c r="M102" i="10" s="1"/>
  <c r="D128" i="10"/>
  <c r="E129" i="10" s="1"/>
  <c r="N118" i="11"/>
  <c r="R10" i="7"/>
  <c r="S10" i="7" s="1"/>
  <c r="X128" i="10"/>
  <c r="R5" i="7"/>
  <c r="S5" i="7" s="1"/>
  <c r="K118" i="10"/>
  <c r="M118" i="10" s="1"/>
  <c r="W142" i="10"/>
  <c r="W115" i="10"/>
  <c r="K115" i="10"/>
  <c r="M115" i="10" s="1"/>
  <c r="V16" i="16"/>
  <c r="AX46" i="19"/>
  <c r="BE77" i="19"/>
  <c r="BQ56" i="19" s="1"/>
  <c r="BK53" i="19"/>
  <c r="BW53" i="19"/>
  <c r="BX53" i="19"/>
  <c r="BL53" i="19"/>
  <c r="BM53" i="19"/>
  <c r="BY53" i="19"/>
  <c r="BQ53" i="19"/>
  <c r="CC53" i="19"/>
  <c r="BN53" i="19"/>
  <c r="BZ53" i="19"/>
  <c r="BP53" i="19"/>
  <c r="CB53" i="19"/>
  <c r="BO53" i="19"/>
  <c r="CA53" i="19"/>
  <c r="BU53" i="19"/>
  <c r="CG53" i="19"/>
  <c r="BH46" i="19"/>
  <c r="X148" i="19"/>
  <c r="O107" i="11"/>
  <c r="P103" i="11"/>
  <c r="I132" i="20"/>
  <c r="K132" i="20" s="1"/>
  <c r="N113" i="11"/>
  <c r="O93" i="11"/>
  <c r="P94" i="11"/>
  <c r="I133" i="20"/>
  <c r="K133" i="20" s="1"/>
  <c r="AJ98" i="11"/>
  <c r="N121" i="11"/>
  <c r="AQ128" i="11"/>
  <c r="O92" i="11"/>
  <c r="O104" i="11"/>
  <c r="P98" i="11"/>
  <c r="O96" i="11"/>
  <c r="P101" i="11"/>
  <c r="N117" i="11"/>
  <c r="O102" i="11"/>
  <c r="W140" i="10"/>
  <c r="X140" i="10"/>
  <c r="AQ126" i="11"/>
  <c r="Y140" i="10"/>
  <c r="D107" i="10"/>
  <c r="E108" i="10" s="1"/>
  <c r="Y132" i="10"/>
  <c r="K116" i="10"/>
  <c r="M116" i="10" s="1"/>
  <c r="O126" i="17"/>
  <c r="P126" i="17" s="1"/>
  <c r="O137" i="17"/>
  <c r="N110" i="11"/>
  <c r="W107" i="10"/>
  <c r="W132" i="10"/>
  <c r="K107" i="10"/>
  <c r="M107" i="10" s="1"/>
  <c r="M122" i="10"/>
  <c r="O122" i="10" s="1"/>
  <c r="X134" i="10"/>
  <c r="D134" i="10"/>
  <c r="O125" i="17"/>
  <c r="P125" i="17" s="1"/>
  <c r="X103" i="10"/>
  <c r="Y115" i="10"/>
  <c r="Z115" i="10" s="1"/>
  <c r="X115" i="10"/>
  <c r="K117" i="10"/>
  <c r="M117" i="10" s="1"/>
  <c r="W122" i="10"/>
  <c r="AB128" i="11"/>
  <c r="W134" i="10"/>
  <c r="Y145" i="10"/>
  <c r="D145" i="10"/>
  <c r="X145" i="10"/>
  <c r="W145" i="10"/>
  <c r="Y134" i="10"/>
  <c r="X113" i="10"/>
  <c r="Y113" i="10"/>
  <c r="K122" i="20"/>
  <c r="L122" i="20" s="1"/>
  <c r="K100" i="11"/>
  <c r="L100" i="11" s="1"/>
  <c r="K87" i="11"/>
  <c r="L87" i="11" s="1"/>
  <c r="O132" i="17"/>
  <c r="K130" i="20"/>
  <c r="K99" i="11"/>
  <c r="AI42" i="12" s="1"/>
  <c r="N111" i="11"/>
  <c r="N112" i="11"/>
  <c r="P97" i="11"/>
  <c r="O122" i="11"/>
  <c r="AB127" i="11"/>
  <c r="H109" i="11"/>
  <c r="H120" i="11"/>
  <c r="O129" i="17"/>
  <c r="P129" i="17" s="1"/>
  <c r="AY77" i="19"/>
  <c r="BK56" i="19" s="1"/>
  <c r="Z111" i="10"/>
  <c r="AB111" i="10"/>
  <c r="AB130" i="11"/>
  <c r="AB133" i="11"/>
  <c r="C137" i="15"/>
  <c r="Y108" i="10"/>
  <c r="AB108" i="10" s="1"/>
  <c r="W111" i="10"/>
  <c r="O91" i="11"/>
  <c r="P91" i="11"/>
  <c r="BC75" i="16"/>
  <c r="BO56" i="16" s="1"/>
  <c r="X10" i="7"/>
  <c r="W22" i="7" s="1"/>
  <c r="AB20" i="7" s="1"/>
  <c r="T22" i="7"/>
  <c r="N115" i="11"/>
  <c r="E58" i="14"/>
  <c r="L118" i="15"/>
  <c r="R9" i="7"/>
  <c r="S9" i="7" s="1"/>
  <c r="BN41" i="19"/>
  <c r="BB77" i="19"/>
  <c r="BN56" i="19" s="1"/>
  <c r="D58" i="14"/>
  <c r="BH49" i="19"/>
  <c r="BT53" i="19"/>
  <c r="AZ75" i="16"/>
  <c r="BL56" i="16" s="1"/>
  <c r="K134" i="20"/>
  <c r="AB44" i="20"/>
  <c r="AG44" i="20" s="1"/>
  <c r="BI75" i="16"/>
  <c r="BI56" i="16" s="1"/>
  <c r="AY75" i="16"/>
  <c r="BK56" i="16" s="1"/>
  <c r="I137" i="15"/>
  <c r="K103" i="10"/>
  <c r="M103" i="10" s="1"/>
  <c r="W117" i="10"/>
  <c r="BC77" i="19"/>
  <c r="BO56" i="19" s="1"/>
  <c r="X137" i="10"/>
  <c r="D137" i="10"/>
  <c r="W137" i="10"/>
  <c r="Y137" i="10"/>
  <c r="BD77" i="19"/>
  <c r="BP56" i="19" s="1"/>
  <c r="Y103" i="10"/>
  <c r="AB103" i="10" s="1"/>
  <c r="Y117" i="10"/>
  <c r="D136" i="10"/>
  <c r="W136" i="10"/>
  <c r="X136" i="10"/>
  <c r="Y136" i="10"/>
  <c r="BH49" i="16"/>
  <c r="W103" i="10"/>
  <c r="X117" i="10"/>
  <c r="V24" i="9"/>
  <c r="W23" i="9" s="1"/>
  <c r="W10" i="9" s="1"/>
  <c r="Y93" i="19"/>
  <c r="K108" i="10"/>
  <c r="M108" i="10" s="1"/>
  <c r="K131" i="10"/>
  <c r="M131" i="10" s="1"/>
  <c r="O131" i="10" s="1"/>
  <c r="Y131" i="10"/>
  <c r="P105" i="11"/>
  <c r="O105" i="11"/>
  <c r="W126" i="10"/>
  <c r="D126" i="10"/>
  <c r="E127" i="10" s="1"/>
  <c r="K126" i="10"/>
  <c r="M126" i="10" s="1"/>
  <c r="O126" i="10" s="1"/>
  <c r="X126" i="10"/>
  <c r="Y126" i="10"/>
  <c r="Z126" i="10" s="1"/>
  <c r="X108" i="10"/>
  <c r="X123" i="10"/>
  <c r="W123" i="10"/>
  <c r="D123" i="10"/>
  <c r="E124" i="10" s="1"/>
  <c r="Y123" i="10"/>
  <c r="Z123" i="10" s="1"/>
  <c r="AA123" i="10" s="1"/>
  <c r="X5" i="7"/>
  <c r="W17" i="7" s="1"/>
  <c r="AB15" i="7" s="1"/>
  <c r="T17" i="7"/>
  <c r="AQ135" i="11"/>
  <c r="AQ134" i="11"/>
  <c r="BR56" i="16"/>
  <c r="BF56" i="16"/>
  <c r="BF50" i="16" s="1"/>
  <c r="X8" i="7"/>
  <c r="W20" i="7" s="1"/>
  <c r="AB18" i="7" s="1"/>
  <c r="T20" i="7"/>
  <c r="T23" i="7"/>
  <c r="X11" i="7"/>
  <c r="W23" i="7" s="1"/>
  <c r="AB21" i="7" s="1"/>
  <c r="P28" i="18"/>
  <c r="O40" i="18"/>
  <c r="X9" i="7"/>
  <c r="W21" i="7" s="1"/>
  <c r="AB19" i="7" s="1"/>
  <c r="T21" i="7"/>
  <c r="R3" i="7"/>
  <c r="S3" i="7" s="1"/>
  <c r="T15" i="7" s="1"/>
  <c r="AJ173" i="10"/>
  <c r="AM188" i="10" s="1"/>
  <c r="AC147" i="11"/>
  <c r="D94" i="19"/>
  <c r="E71" i="19"/>
  <c r="O39" i="18"/>
  <c r="P27" i="18"/>
  <c r="P29" i="18"/>
  <c r="O41" i="18"/>
  <c r="C58" i="14"/>
  <c r="M118" i="15"/>
  <c r="X6" i="7"/>
  <c r="W18" i="7" s="1"/>
  <c r="AB16" i="7" s="1"/>
  <c r="T18" i="7"/>
  <c r="X120" i="10"/>
  <c r="K120" i="10"/>
  <c r="M120" i="10" s="1"/>
  <c r="W120" i="10"/>
  <c r="Y120" i="10"/>
  <c r="D120" i="10"/>
  <c r="E121" i="10" s="1"/>
  <c r="AB129" i="11"/>
  <c r="AA94" i="19"/>
  <c r="AB135" i="19"/>
  <c r="BL41" i="16"/>
  <c r="AC126" i="16"/>
  <c r="P33" i="18"/>
  <c r="O45" i="18"/>
  <c r="Y127" i="10"/>
  <c r="Z127" i="10" s="1"/>
  <c r="X127" i="10"/>
  <c r="K127" i="10"/>
  <c r="W127" i="10"/>
  <c r="D127" i="10"/>
  <c r="E128" i="10" s="1"/>
  <c r="E71" i="16"/>
  <c r="D89" i="16"/>
  <c r="BC54" i="9"/>
  <c r="BC55" i="9" s="1"/>
  <c r="BC71" i="9" s="1"/>
  <c r="BC72" i="9" s="1"/>
  <c r="S123" i="9"/>
  <c r="BE49" i="9"/>
  <c r="BL33" i="19"/>
  <c r="BK31" i="19"/>
  <c r="N72" i="19"/>
  <c r="AU137" i="19"/>
  <c r="AT138" i="19"/>
  <c r="V26" i="16"/>
  <c r="W25" i="16" s="1"/>
  <c r="X12" i="16" s="1"/>
  <c r="X15" i="16" s="1"/>
  <c r="BL33" i="16"/>
  <c r="BK31" i="16"/>
  <c r="N93" i="19"/>
  <c r="F3" i="18"/>
  <c r="O42" i="18"/>
  <c r="P30" i="18"/>
  <c r="N88" i="16"/>
  <c r="BJ46" i="16"/>
  <c r="T16" i="7"/>
  <c r="X4" i="7"/>
  <c r="W16" i="7" s="1"/>
  <c r="AB14" i="7" s="1"/>
  <c r="X141" i="10"/>
  <c r="W141" i="10"/>
  <c r="D141" i="10"/>
  <c r="Y141" i="10"/>
  <c r="BA77" i="19"/>
  <c r="BM56" i="19" s="1"/>
  <c r="BF49" i="19"/>
  <c r="BR53" i="19"/>
  <c r="F58" i="14"/>
  <c r="O87" i="11"/>
  <c r="P87" i="11"/>
  <c r="BH37" i="16"/>
  <c r="L81" i="16" s="1"/>
  <c r="L82" i="16" s="1"/>
  <c r="BH35" i="16"/>
  <c r="L88" i="16"/>
  <c r="BI35" i="16"/>
  <c r="BH46" i="16"/>
  <c r="G58" i="14"/>
  <c r="G59" i="14" s="1"/>
  <c r="X129" i="10"/>
  <c r="K129" i="10"/>
  <c r="W129" i="10"/>
  <c r="D129" i="10"/>
  <c r="Y129" i="10"/>
  <c r="Z129" i="10" s="1"/>
  <c r="AB114" i="10"/>
  <c r="Z114" i="10"/>
  <c r="P31" i="18"/>
  <c r="O43" i="18"/>
  <c r="AZ37" i="16"/>
  <c r="D81" i="16" s="1"/>
  <c r="D82" i="16" s="1"/>
  <c r="K88" i="16"/>
  <c r="BI37" i="16"/>
  <c r="M81" i="16" s="1"/>
  <c r="M82" i="16" s="1"/>
  <c r="BE37" i="16"/>
  <c r="I81" i="16" s="1"/>
  <c r="I82" i="16" s="1"/>
  <c r="BB37" i="16"/>
  <c r="F81" i="16" s="1"/>
  <c r="F82" i="16" s="1"/>
  <c r="AX37" i="16"/>
  <c r="B81" i="16" s="1"/>
  <c r="B82" i="16" s="1"/>
  <c r="BD37" i="16"/>
  <c r="H81" i="16" s="1"/>
  <c r="H82" i="16" s="1"/>
  <c r="BG46" i="16"/>
  <c r="BF37" i="16"/>
  <c r="J81" i="16" s="1"/>
  <c r="J82" i="16" s="1"/>
  <c r="BG37" i="16"/>
  <c r="K81" i="16" s="1"/>
  <c r="K82" i="16" s="1"/>
  <c r="AY37" i="16"/>
  <c r="C81" i="16" s="1"/>
  <c r="C82" i="16" s="1"/>
  <c r="BG35" i="16"/>
  <c r="BA37" i="16"/>
  <c r="E81" i="16" s="1"/>
  <c r="E82" i="16" s="1"/>
  <c r="BC37" i="16"/>
  <c r="G81" i="16" s="1"/>
  <c r="G82" i="16" s="1"/>
  <c r="BG49" i="16"/>
  <c r="W124" i="10"/>
  <c r="D124" i="10"/>
  <c r="E125" i="10" s="1"/>
  <c r="Y124" i="10"/>
  <c r="Z124" i="10" s="1"/>
  <c r="K124" i="10"/>
  <c r="X124" i="10"/>
  <c r="O44" i="18"/>
  <c r="P32" i="18"/>
  <c r="BO39" i="16"/>
  <c r="U18" i="16"/>
  <c r="U14" i="16"/>
  <c r="BG56" i="16"/>
  <c r="BG50" i="16" s="1"/>
  <c r="BS56" i="16"/>
  <c r="X112" i="10"/>
  <c r="D112" i="10"/>
  <c r="E113" i="10" s="1"/>
  <c r="W112" i="10"/>
  <c r="K112" i="10"/>
  <c r="M112" i="10" s="1"/>
  <c r="Y112" i="10"/>
  <c r="C78" i="9"/>
  <c r="D63" i="9"/>
  <c r="P38" i="18"/>
  <c r="Q26" i="18"/>
  <c r="BH56" i="16"/>
  <c r="BH50" i="16" s="1"/>
  <c r="BT56" i="16"/>
  <c r="N72" i="16"/>
  <c r="N89" i="16"/>
  <c r="AA89" i="16" s="1"/>
  <c r="AB143" i="11"/>
  <c r="AB147" i="11"/>
  <c r="AA44" i="12"/>
  <c r="AF44" i="12" s="1"/>
  <c r="AF43" i="12"/>
  <c r="AB142" i="11"/>
  <c r="AB150" i="11"/>
  <c r="L107" i="11"/>
  <c r="M107" i="11" s="1"/>
  <c r="L103" i="11"/>
  <c r="AB124" i="11"/>
  <c r="AQ124" i="11"/>
  <c r="AQ125" i="11"/>
  <c r="AB125" i="11"/>
  <c r="G149" i="10"/>
  <c r="G136" i="10"/>
  <c r="F135" i="10"/>
  <c r="AV149" i="10"/>
  <c r="AO125" i="11"/>
  <c r="AX150" i="10"/>
  <c r="AO126" i="34" s="1"/>
  <c r="I131" i="17"/>
  <c r="O131" i="17" s="1"/>
  <c r="P131" i="17" s="1"/>
  <c r="I127" i="17"/>
  <c r="O127" i="17" s="1"/>
  <c r="P127" i="17" s="1"/>
  <c r="E52" i="20"/>
  <c r="I135" i="17"/>
  <c r="O135" i="17" s="1"/>
  <c r="AB131" i="11"/>
  <c r="AQ131" i="11"/>
  <c r="I136" i="17"/>
  <c r="O136" i="17" s="1"/>
  <c r="I124" i="17"/>
  <c r="O124" i="17" s="1"/>
  <c r="P124" i="17" s="1"/>
  <c r="I129" i="20"/>
  <c r="K129" i="20" s="1"/>
  <c r="H64" i="12"/>
  <c r="I131" i="20"/>
  <c r="K131" i="20" s="1"/>
  <c r="R71" i="18"/>
  <c r="I123" i="17"/>
  <c r="O123" i="17" s="1"/>
  <c r="P123" i="17" s="1"/>
  <c r="I133" i="17"/>
  <c r="O133" i="17" s="1"/>
  <c r="I134" i="17"/>
  <c r="O134" i="17" s="1"/>
  <c r="I130" i="17"/>
  <c r="O130" i="17" s="1"/>
  <c r="P130" i="17" s="1"/>
  <c r="I64" i="12"/>
  <c r="I82" i="17"/>
  <c r="I76" i="20"/>
  <c r="I121" i="17"/>
  <c r="O121" i="17" s="1"/>
  <c r="P121" i="17" s="1"/>
  <c r="I120" i="17"/>
  <c r="O120" i="17" s="1"/>
  <c r="P120" i="17" s="1"/>
  <c r="I122" i="17"/>
  <c r="O122" i="17" s="1"/>
  <c r="P122" i="17" s="1"/>
  <c r="J76" i="20"/>
  <c r="I120" i="20"/>
  <c r="K120" i="20" s="1"/>
  <c r="L120" i="20" s="1"/>
  <c r="I128" i="17"/>
  <c r="O128" i="17" s="1"/>
  <c r="P128" i="17" s="1"/>
  <c r="N82" i="17"/>
  <c r="I121" i="20"/>
  <c r="K121" i="20" s="1"/>
  <c r="L121" i="20" s="1"/>
  <c r="E52" i="17"/>
  <c r="AM157" i="10"/>
  <c r="I116" i="20"/>
  <c r="K116" i="20" s="1"/>
  <c r="L116" i="20" s="1"/>
  <c r="I114" i="20"/>
  <c r="K114" i="20" s="1"/>
  <c r="L114" i="20" s="1"/>
  <c r="I115" i="20"/>
  <c r="K115" i="20" s="1"/>
  <c r="L115" i="20" s="1"/>
  <c r="I138" i="17"/>
  <c r="O138" i="17" s="1"/>
  <c r="I140" i="17"/>
  <c r="O140" i="17" s="1"/>
  <c r="I139" i="17"/>
  <c r="O139" i="17" s="1"/>
  <c r="AJ158" i="10"/>
  <c r="AM158" i="10" s="1"/>
  <c r="AC134" i="11"/>
  <c r="AD133" i="11"/>
  <c r="AL120" i="19" a="1"/>
  <c r="I119" i="20"/>
  <c r="K119" i="20" s="1"/>
  <c r="L119" i="20" s="1"/>
  <c r="I117" i="20"/>
  <c r="K117" i="20" s="1"/>
  <c r="L117" i="20" s="1"/>
  <c r="I118" i="20"/>
  <c r="K118" i="20" s="1"/>
  <c r="L118" i="20" s="1"/>
  <c r="I126" i="20"/>
  <c r="K126" i="20" s="1"/>
  <c r="I128" i="20"/>
  <c r="K128" i="20" s="1"/>
  <c r="I127" i="20"/>
  <c r="K127" i="20" s="1"/>
  <c r="I124" i="20"/>
  <c r="K124" i="20" s="1"/>
  <c r="L124" i="20" s="1"/>
  <c r="I123" i="20"/>
  <c r="K123" i="20" s="1"/>
  <c r="L123" i="20" s="1"/>
  <c r="I125" i="20"/>
  <c r="K125" i="20" s="1"/>
  <c r="L125" i="20" s="1"/>
  <c r="D59" i="14" l="1"/>
  <c r="AJ43" i="20"/>
  <c r="T43" i="20" s="1"/>
  <c r="H149" i="10"/>
  <c r="AM173" i="10"/>
  <c r="AB116" i="10"/>
  <c r="O130" i="10"/>
  <c r="AA126" i="10"/>
  <c r="AD147" i="11"/>
  <c r="AD162" i="11"/>
  <c r="AN45" i="17"/>
  <c r="Y45" i="17" s="1"/>
  <c r="AI44" i="12"/>
  <c r="T44" i="12" s="1"/>
  <c r="H121" i="11"/>
  <c r="H110" i="11"/>
  <c r="F124" i="11" s="1"/>
  <c r="X25" i="19"/>
  <c r="Z121" i="10"/>
  <c r="AJ45" i="20"/>
  <c r="T45" i="20" s="1"/>
  <c r="AI45" i="12"/>
  <c r="S45" i="12" s="1"/>
  <c r="AN43" i="17"/>
  <c r="X43" i="17" s="1"/>
  <c r="AI43" i="12"/>
  <c r="T43" i="12" s="1"/>
  <c r="Z110" i="10"/>
  <c r="AB115" i="10"/>
  <c r="AA119" i="10"/>
  <c r="AB118" i="10"/>
  <c r="O128" i="10"/>
  <c r="AA127" i="10"/>
  <c r="AJ44" i="20"/>
  <c r="T44" i="20" s="1"/>
  <c r="AN44" i="17"/>
  <c r="X44" i="17" s="1"/>
  <c r="BG29" i="9"/>
  <c r="BH31" i="9"/>
  <c r="BH29" i="9" s="1"/>
  <c r="L77" i="9" s="1"/>
  <c r="BA37" i="19"/>
  <c r="BG35" i="19"/>
  <c r="BB37" i="19"/>
  <c r="BE37" i="19"/>
  <c r="BI37" i="19"/>
  <c r="BG37" i="19"/>
  <c r="K93" i="19"/>
  <c r="Z93" i="19" s="1"/>
  <c r="BF37" i="19"/>
  <c r="BH35" i="19"/>
  <c r="BC37" i="19"/>
  <c r="BG49" i="19"/>
  <c r="AZ37" i="19"/>
  <c r="BH37" i="19"/>
  <c r="BD37" i="19"/>
  <c r="AY37" i="19"/>
  <c r="AX37" i="19"/>
  <c r="F59" i="14"/>
  <c r="E59" i="14"/>
  <c r="BU56" i="16"/>
  <c r="Z88" i="16"/>
  <c r="AJ42" i="20"/>
  <c r="T42" i="20" s="1"/>
  <c r="X42" i="20" s="1"/>
  <c r="L99" i="11"/>
  <c r="P137" i="17"/>
  <c r="Q126" i="17"/>
  <c r="P138" i="17"/>
  <c r="Q127" i="17"/>
  <c r="L133" i="20"/>
  <c r="O110" i="11"/>
  <c r="P110" i="11"/>
  <c r="P132" i="17"/>
  <c r="P144" i="17" s="1"/>
  <c r="M123" i="20"/>
  <c r="Z113" i="10"/>
  <c r="AB113" i="10"/>
  <c r="L134" i="20"/>
  <c r="L132" i="20"/>
  <c r="AN42" i="17"/>
  <c r="X42" i="17" s="1"/>
  <c r="AB42" i="17" s="1"/>
  <c r="L130" i="20"/>
  <c r="N76" i="9"/>
  <c r="F76" i="9" s="1"/>
  <c r="W13" i="9"/>
  <c r="W14" i="9" s="1"/>
  <c r="W11" i="9"/>
  <c r="BO41" i="19"/>
  <c r="AB117" i="10"/>
  <c r="Z117" i="10"/>
  <c r="AA118" i="10" s="1"/>
  <c r="M124" i="10"/>
  <c r="O124" i="10" s="1"/>
  <c r="BM33" i="19"/>
  <c r="BL31" i="19"/>
  <c r="R26" i="18"/>
  <c r="Q38" i="18"/>
  <c r="C65" i="18" s="1"/>
  <c r="X65" i="18" s="1"/>
  <c r="AA125" i="10"/>
  <c r="AA124" i="10"/>
  <c r="Q33" i="18"/>
  <c r="P45" i="18"/>
  <c r="BK46" i="16"/>
  <c r="O88" i="16"/>
  <c r="AC135" i="19"/>
  <c r="AD126" i="16"/>
  <c r="BM41" i="16"/>
  <c r="AC127" i="16"/>
  <c r="AC136" i="19" s="1"/>
  <c r="BP39" i="16"/>
  <c r="BM33" i="16"/>
  <c r="BL31" i="16"/>
  <c r="M76" i="9"/>
  <c r="H76" i="9"/>
  <c r="I76" i="9"/>
  <c r="D76" i="9"/>
  <c r="G76" i="9"/>
  <c r="C76" i="9"/>
  <c r="C79" i="9" s="1"/>
  <c r="C82" i="9" s="1"/>
  <c r="E76" i="9"/>
  <c r="D78" i="9"/>
  <c r="D79" i="9" s="1"/>
  <c r="D82" i="9" s="1"/>
  <c r="E63" i="9"/>
  <c r="AA87" i="16"/>
  <c r="Q30" i="18"/>
  <c r="P42" i="18"/>
  <c r="AB120" i="10"/>
  <c r="Z120" i="10"/>
  <c r="AA120" i="10" s="1"/>
  <c r="Q28" i="18"/>
  <c r="P40" i="18"/>
  <c r="M129" i="10"/>
  <c r="O129" i="10" s="1"/>
  <c r="E89" i="16"/>
  <c r="F71" i="16"/>
  <c r="Q27" i="18"/>
  <c r="P39" i="18"/>
  <c r="Q32" i="18"/>
  <c r="P44" i="18"/>
  <c r="Q29" i="18"/>
  <c r="P41" i="18"/>
  <c r="AJ174" i="10"/>
  <c r="AC148" i="11"/>
  <c r="AB112" i="10"/>
  <c r="Z112" i="10"/>
  <c r="Q31" i="18"/>
  <c r="P43" i="18"/>
  <c r="AV137" i="19"/>
  <c r="AU138" i="19"/>
  <c r="M127" i="10"/>
  <c r="O127" i="10" s="1"/>
  <c r="G3" i="18"/>
  <c r="H3" i="18" s="1"/>
  <c r="I3" i="18" s="1"/>
  <c r="E94" i="19"/>
  <c r="F71" i="19"/>
  <c r="O93" i="19"/>
  <c r="AA122" i="10"/>
  <c r="AD134" i="11"/>
  <c r="Q131" i="17"/>
  <c r="Q130" i="17"/>
  <c r="T42" i="12"/>
  <c r="V42" i="12" s="1"/>
  <c r="S42" i="12"/>
  <c r="W42" i="12" s="1"/>
  <c r="AV166" i="10"/>
  <c r="G137" i="10"/>
  <c r="F136" i="10"/>
  <c r="AO126" i="11"/>
  <c r="AX151" i="10"/>
  <c r="AO127" i="34" s="1"/>
  <c r="AV150" i="10"/>
  <c r="V163" i="10"/>
  <c r="U163" i="10" s="1"/>
  <c r="P139" i="17"/>
  <c r="P135" i="17"/>
  <c r="Q124" i="17"/>
  <c r="Q125" i="17"/>
  <c r="P136" i="17"/>
  <c r="M122" i="20"/>
  <c r="S71" i="18"/>
  <c r="L126" i="20"/>
  <c r="M126" i="20" s="1"/>
  <c r="M119" i="20"/>
  <c r="M115" i="20"/>
  <c r="Q122" i="17"/>
  <c r="P133" i="17"/>
  <c r="Q121" i="17"/>
  <c r="P140" i="17"/>
  <c r="M121" i="20"/>
  <c r="P134" i="17"/>
  <c r="L127" i="20"/>
  <c r="L139" i="20" s="1"/>
  <c r="Q128" i="17"/>
  <c r="Q129" i="17"/>
  <c r="Q123" i="17"/>
  <c r="L128" i="20"/>
  <c r="M117" i="20"/>
  <c r="M120" i="20"/>
  <c r="AT120" i="19"/>
  <c r="AM120" i="19"/>
  <c r="AO120" i="19"/>
  <c r="AQ120" i="19"/>
  <c r="AN120" i="19"/>
  <c r="AS120" i="19"/>
  <c r="AL120" i="19"/>
  <c r="AU120" i="19"/>
  <c r="AR120" i="19"/>
  <c r="AW120" i="19"/>
  <c r="AP120" i="19"/>
  <c r="AV120" i="19"/>
  <c r="AD137" i="11"/>
  <c r="M116" i="20"/>
  <c r="L129" i="20"/>
  <c r="M124" i="20"/>
  <c r="M125" i="20"/>
  <c r="M118" i="20"/>
  <c r="L131" i="20"/>
  <c r="L76" i="9" l="1"/>
  <c r="K76" i="9"/>
  <c r="G84" i="19"/>
  <c r="G81" i="19"/>
  <c r="Z27" i="27" s="1"/>
  <c r="Z31" i="27" s="1"/>
  <c r="L84" i="19"/>
  <c r="L81" i="19"/>
  <c r="AE27" i="27" s="1"/>
  <c r="AE31" i="27" s="1"/>
  <c r="M84" i="19"/>
  <c r="M81" i="19"/>
  <c r="AF27" i="27" s="1"/>
  <c r="AF31" i="27" s="1"/>
  <c r="E84" i="19"/>
  <c r="E81" i="19"/>
  <c r="X27" i="27" s="1"/>
  <c r="X31" i="27" s="1"/>
  <c r="D84" i="19"/>
  <c r="D81" i="19"/>
  <c r="W27" i="27" s="1"/>
  <c r="W31" i="27" s="1"/>
  <c r="J84" i="19"/>
  <c r="J81" i="19"/>
  <c r="AC27" i="27" s="1"/>
  <c r="AC31" i="27" s="1"/>
  <c r="I84" i="19"/>
  <c r="I81" i="19"/>
  <c r="AB27" i="27" s="1"/>
  <c r="AB31" i="27" s="1"/>
  <c r="C84" i="19"/>
  <c r="C81" i="19"/>
  <c r="V27" i="27" s="1"/>
  <c r="V31" i="27" s="1"/>
  <c r="F84" i="19"/>
  <c r="F81" i="19"/>
  <c r="Y27" i="27" s="1"/>
  <c r="Y31" i="27" s="1"/>
  <c r="H84" i="19"/>
  <c r="H81" i="19"/>
  <c r="AA27" i="27" s="1"/>
  <c r="AA31" i="27" s="1"/>
  <c r="K84" i="19"/>
  <c r="K81" i="19"/>
  <c r="AD27" i="27" s="1"/>
  <c r="AD31" i="27" s="1"/>
  <c r="U43" i="20"/>
  <c r="AM174" i="10"/>
  <c r="AM189" i="10"/>
  <c r="G124" i="11"/>
  <c r="AD148" i="11"/>
  <c r="AD163" i="11"/>
  <c r="X45" i="17"/>
  <c r="S44" i="12"/>
  <c r="H111" i="11"/>
  <c r="H112" i="11" s="1"/>
  <c r="H113" i="11" s="1"/>
  <c r="H114" i="11" s="1"/>
  <c r="H115" i="11" s="1"/>
  <c r="H116" i="11" s="1"/>
  <c r="H117" i="11" s="1"/>
  <c r="H118" i="11" s="1"/>
  <c r="H119" i="11" s="1"/>
  <c r="I120" i="11" s="1"/>
  <c r="U45" i="20"/>
  <c r="E124" i="11"/>
  <c r="I121" i="11"/>
  <c r="F135" i="11"/>
  <c r="F196" i="11" s="1"/>
  <c r="B84" i="19"/>
  <c r="B81" i="19"/>
  <c r="U27" i="27" s="1"/>
  <c r="U31" i="27" s="1"/>
  <c r="T45" i="12"/>
  <c r="S43" i="12"/>
  <c r="Y43" i="17"/>
  <c r="Q139" i="17"/>
  <c r="U44" i="20"/>
  <c r="Y44" i="17"/>
  <c r="Q138" i="17"/>
  <c r="K77" i="9"/>
  <c r="N77" i="9" s="1"/>
  <c r="BG48" i="9"/>
  <c r="Q137" i="17"/>
  <c r="U42" i="20"/>
  <c r="W42" i="20" s="1"/>
  <c r="M134" i="20"/>
  <c r="M133" i="20"/>
  <c r="Q132" i="17"/>
  <c r="Y42" i="17"/>
  <c r="AA42" i="17" s="1"/>
  <c r="AA121" i="10"/>
  <c r="B76" i="9"/>
  <c r="B79" i="9" s="1"/>
  <c r="B82" i="9" s="1"/>
  <c r="J76" i="9"/>
  <c r="BP41" i="19"/>
  <c r="J3" i="18"/>
  <c r="K3" i="18" s="1"/>
  <c r="L3" i="18" s="1"/>
  <c r="AV138" i="19"/>
  <c r="BL137" i="19"/>
  <c r="R28" i="18"/>
  <c r="Q40" i="18"/>
  <c r="E65" i="18" s="1"/>
  <c r="AB65" i="18" s="1"/>
  <c r="AD127" i="16"/>
  <c r="AD136" i="19" s="1"/>
  <c r="AD135" i="19"/>
  <c r="AE126" i="16"/>
  <c r="BN41" i="16"/>
  <c r="P93" i="19"/>
  <c r="F63" i="9"/>
  <c r="E78" i="9"/>
  <c r="BN33" i="19"/>
  <c r="BM31" i="19"/>
  <c r="R31" i="18"/>
  <c r="Q43" i="18"/>
  <c r="R27" i="18"/>
  <c r="Q39" i="18"/>
  <c r="D65" i="18" s="1"/>
  <c r="Z65" i="18" s="1"/>
  <c r="BL46" i="16"/>
  <c r="P88" i="16"/>
  <c r="F94" i="19"/>
  <c r="G71" i="19"/>
  <c r="W13" i="19"/>
  <c r="Z92" i="19"/>
  <c r="B92" i="19" s="1"/>
  <c r="W15" i="19"/>
  <c r="W16" i="19" s="1"/>
  <c r="BM31" i="16"/>
  <c r="BN33" i="16"/>
  <c r="R30" i="18"/>
  <c r="Q42" i="18"/>
  <c r="R33" i="18"/>
  <c r="Q45" i="18"/>
  <c r="AC149" i="11"/>
  <c r="AJ175" i="10"/>
  <c r="F89" i="16"/>
  <c r="G71" i="16"/>
  <c r="BQ39" i="16"/>
  <c r="P87" i="16"/>
  <c r="U87" i="16"/>
  <c r="R87" i="16"/>
  <c r="N87" i="16"/>
  <c r="N90" i="16" s="1"/>
  <c r="T87" i="16"/>
  <c r="O87" i="16"/>
  <c r="O90" i="16" s="1"/>
  <c r="S87" i="16"/>
  <c r="W87" i="16"/>
  <c r="V87" i="16"/>
  <c r="Y87" i="16"/>
  <c r="Y90" i="16" s="1"/>
  <c r="X87" i="16"/>
  <c r="Q87" i="16"/>
  <c r="R29" i="18"/>
  <c r="Q41" i="18"/>
  <c r="F65" i="18" s="1"/>
  <c r="AD65" i="18" s="1"/>
  <c r="R32" i="18"/>
  <c r="Q44" i="18"/>
  <c r="S26" i="18"/>
  <c r="R38" i="18"/>
  <c r="Q140" i="17"/>
  <c r="AO127" i="11"/>
  <c r="AV151" i="10"/>
  <c r="AX152" i="10"/>
  <c r="AO128" i="34" s="1"/>
  <c r="G138" i="10"/>
  <c r="F137" i="10"/>
  <c r="Q136" i="17"/>
  <c r="Q135" i="17"/>
  <c r="L138" i="20"/>
  <c r="T71" i="18"/>
  <c r="M128" i="20"/>
  <c r="M129" i="20"/>
  <c r="M127" i="20"/>
  <c r="P145" i="17"/>
  <c r="Q145" i="17" s="1"/>
  <c r="Q133" i="17"/>
  <c r="Q134" i="17"/>
  <c r="AX120" i="19"/>
  <c r="M131" i="20"/>
  <c r="M132" i="20"/>
  <c r="M130" i="20"/>
  <c r="AM175" i="10" l="1"/>
  <c r="AM190" i="10"/>
  <c r="F125" i="11"/>
  <c r="G125" i="11" s="1"/>
  <c r="AD149" i="11"/>
  <c r="AD164" i="11"/>
  <c r="F139" i="11"/>
  <c r="M139" i="11"/>
  <c r="N139" i="11" s="1"/>
  <c r="F126" i="11"/>
  <c r="P90" i="16"/>
  <c r="BQ41" i="19"/>
  <c r="G89" i="16"/>
  <c r="H71" i="16"/>
  <c r="F78" i="9"/>
  <c r="F79" i="9" s="1"/>
  <c r="F82" i="9" s="1"/>
  <c r="G63" i="9"/>
  <c r="M3" i="18"/>
  <c r="N3" i="18" s="1"/>
  <c r="S30" i="18"/>
  <c r="R42" i="18"/>
  <c r="G94" i="19"/>
  <c r="H71" i="19"/>
  <c r="E79" i="9"/>
  <c r="S29" i="18"/>
  <c r="R41" i="18"/>
  <c r="BO33" i="16"/>
  <c r="BN31" i="16"/>
  <c r="S27" i="18"/>
  <c r="R39" i="18"/>
  <c r="Q88" i="16"/>
  <c r="Q90" i="16" s="1"/>
  <c r="BM46" i="16"/>
  <c r="AE135" i="19"/>
  <c r="AE127" i="16"/>
  <c r="AE136" i="19" s="1"/>
  <c r="AF126" i="16"/>
  <c r="BO41" i="16"/>
  <c r="T26" i="18"/>
  <c r="S38" i="18"/>
  <c r="S33" i="18"/>
  <c r="R45" i="18"/>
  <c r="S31" i="18"/>
  <c r="R43" i="18"/>
  <c r="BR39" i="16"/>
  <c r="Q93" i="19"/>
  <c r="R44" i="18"/>
  <c r="S32" i="18"/>
  <c r="I92" i="19"/>
  <c r="E92" i="19"/>
  <c r="E95" i="19" s="1"/>
  <c r="E98" i="19" s="1"/>
  <c r="K92" i="19"/>
  <c r="G92" i="19"/>
  <c r="C92" i="19"/>
  <c r="C95" i="19" s="1"/>
  <c r="C98" i="19" s="1"/>
  <c r="L92" i="19"/>
  <c r="J92" i="19"/>
  <c r="F92" i="19"/>
  <c r="F95" i="19" s="1"/>
  <c r="F98" i="19" s="1"/>
  <c r="B95" i="19"/>
  <c r="D92" i="19"/>
  <c r="D95" i="19" s="1"/>
  <c r="D98" i="19" s="1"/>
  <c r="M92" i="19"/>
  <c r="H92" i="19"/>
  <c r="BO33" i="19"/>
  <c r="BN31" i="19"/>
  <c r="R40" i="18"/>
  <c r="S28" i="18"/>
  <c r="AO128" i="11"/>
  <c r="AV152" i="10"/>
  <c r="AX153" i="10"/>
  <c r="AO129" i="34" s="1"/>
  <c r="G139" i="10"/>
  <c r="G140" i="10" s="1"/>
  <c r="G141" i="10" s="1"/>
  <c r="G142" i="10" s="1"/>
  <c r="G143" i="10" s="1"/>
  <c r="F138" i="10"/>
  <c r="M139" i="20"/>
  <c r="E125" i="11" l="1"/>
  <c r="G126" i="11"/>
  <c r="E126" i="11"/>
  <c r="E139" i="11"/>
  <c r="F140" i="11"/>
  <c r="M140" i="11"/>
  <c r="N140" i="11" s="1"/>
  <c r="F197" i="11"/>
  <c r="E196" i="11"/>
  <c r="G95" i="19"/>
  <c r="G98" i="19" s="1"/>
  <c r="F127" i="11"/>
  <c r="BR41" i="19"/>
  <c r="T32" i="18"/>
  <c r="S44" i="18"/>
  <c r="E82" i="9"/>
  <c r="B98" i="19"/>
  <c r="I71" i="19"/>
  <c r="H94" i="19"/>
  <c r="H95" i="19" s="1"/>
  <c r="H98" i="19" s="1"/>
  <c r="S42" i="18"/>
  <c r="T30" i="18"/>
  <c r="T33" i="18"/>
  <c r="S45" i="18"/>
  <c r="I71" i="16"/>
  <c r="H89" i="16"/>
  <c r="S39" i="18"/>
  <c r="T27" i="18"/>
  <c r="T28" i="18"/>
  <c r="S40" i="18"/>
  <c r="BN46" i="16"/>
  <c r="R88" i="16"/>
  <c r="R90" i="16" s="1"/>
  <c r="U26" i="18"/>
  <c r="T38" i="18"/>
  <c r="C66" i="18" s="1"/>
  <c r="X66" i="18" s="1"/>
  <c r="BP33" i="16"/>
  <c r="BO31" i="16"/>
  <c r="R93" i="19"/>
  <c r="BS39" i="16"/>
  <c r="BO31" i="19"/>
  <c r="BP33" i="19"/>
  <c r="AF135" i="19"/>
  <c r="AF127" i="16"/>
  <c r="AF136" i="19" s="1"/>
  <c r="AG126" i="16"/>
  <c r="BP41" i="16"/>
  <c r="T31" i="18"/>
  <c r="S43" i="18"/>
  <c r="T29" i="18"/>
  <c r="S41" i="18"/>
  <c r="H63" i="9"/>
  <c r="G78" i="9"/>
  <c r="G79" i="9" s="1"/>
  <c r="G82" i="9" s="1"/>
  <c r="AV153" i="10"/>
  <c r="AO129" i="11"/>
  <c r="AX154" i="10"/>
  <c r="AO130" i="34" s="1"/>
  <c r="E197" i="11" l="1"/>
  <c r="F198" i="11"/>
  <c r="E140" i="11"/>
  <c r="I140" i="11" s="1"/>
  <c r="G127" i="11"/>
  <c r="E127" i="11"/>
  <c r="F128" i="11"/>
  <c r="BS41" i="19"/>
  <c r="BT41" i="19"/>
  <c r="BX25" i="19"/>
  <c r="BP31" i="19"/>
  <c r="BQ33" i="19"/>
  <c r="S93" i="19"/>
  <c r="U31" i="18"/>
  <c r="T43" i="18"/>
  <c r="J71" i="16"/>
  <c r="I89" i="16"/>
  <c r="I63" i="9"/>
  <c r="H78" i="9"/>
  <c r="H79" i="9" s="1"/>
  <c r="H82" i="9" s="1"/>
  <c r="AG135" i="19"/>
  <c r="AH126" i="16"/>
  <c r="AG127" i="16"/>
  <c r="AG136" i="19" s="1"/>
  <c r="BQ41" i="16"/>
  <c r="I94" i="19"/>
  <c r="I95" i="19" s="1"/>
  <c r="I98" i="19" s="1"/>
  <c r="J71" i="19"/>
  <c r="BT39" i="16"/>
  <c r="BX39" i="16" s="1"/>
  <c r="S88" i="16"/>
  <c r="S90" i="16" s="1"/>
  <c r="BO46" i="16"/>
  <c r="U33" i="18"/>
  <c r="T45" i="18"/>
  <c r="J66" i="18" s="1"/>
  <c r="AE66" i="18" s="1"/>
  <c r="U32" i="18"/>
  <c r="T44" i="18"/>
  <c r="I66" i="18" s="1"/>
  <c r="AA66" i="18" s="1"/>
  <c r="BP31" i="16"/>
  <c r="BQ33" i="16"/>
  <c r="T40" i="18"/>
  <c r="E66" i="18" s="1"/>
  <c r="AB66" i="18" s="1"/>
  <c r="U28" i="18"/>
  <c r="T42" i="18"/>
  <c r="G66" i="18" s="1"/>
  <c r="AC66" i="18" s="1"/>
  <c r="U30" i="18"/>
  <c r="U29" i="18"/>
  <c r="T41" i="18"/>
  <c r="F66" i="18" s="1"/>
  <c r="AD66" i="18" s="1"/>
  <c r="U38" i="18"/>
  <c r="V26" i="18"/>
  <c r="U27" i="18"/>
  <c r="T39" i="18"/>
  <c r="D66" i="18" s="1"/>
  <c r="Z66" i="18" s="1"/>
  <c r="AX155" i="10"/>
  <c r="AO131" i="34" s="1"/>
  <c r="AV154" i="10"/>
  <c r="AO130" i="11"/>
  <c r="F199" i="11" l="1"/>
  <c r="E198" i="11"/>
  <c r="G128" i="11"/>
  <c r="E128" i="11"/>
  <c r="F129" i="11"/>
  <c r="V29" i="18"/>
  <c r="U41" i="18"/>
  <c r="V30" i="18"/>
  <c r="U42" i="18"/>
  <c r="V28" i="18"/>
  <c r="U40" i="18"/>
  <c r="I78" i="9"/>
  <c r="I79" i="9" s="1"/>
  <c r="I82" i="9" s="1"/>
  <c r="J63" i="9"/>
  <c r="V31" i="18"/>
  <c r="U43" i="18"/>
  <c r="BR33" i="16"/>
  <c r="BQ31" i="16"/>
  <c r="J94" i="19"/>
  <c r="J95" i="19" s="1"/>
  <c r="K71" i="19"/>
  <c r="BP46" i="16"/>
  <c r="T88" i="16"/>
  <c r="T90" i="16" s="1"/>
  <c r="BR33" i="19"/>
  <c r="BQ31" i="19"/>
  <c r="T93" i="19"/>
  <c r="V27" i="18"/>
  <c r="U39" i="18"/>
  <c r="V32" i="18"/>
  <c r="U44" i="18"/>
  <c r="W26" i="18"/>
  <c r="V38" i="18"/>
  <c r="V33" i="18"/>
  <c r="U45" i="18"/>
  <c r="AH135" i="19"/>
  <c r="AI126" i="16"/>
  <c r="AH127" i="16"/>
  <c r="AH136" i="19" s="1"/>
  <c r="BR41" i="16"/>
  <c r="J89" i="16"/>
  <c r="K71" i="16"/>
  <c r="AV155" i="10"/>
  <c r="AO131" i="11"/>
  <c r="AX156" i="10"/>
  <c r="AO132" i="34" s="1"/>
  <c r="E199" i="11" l="1"/>
  <c r="F200" i="11"/>
  <c r="G129" i="11"/>
  <c r="E129" i="11"/>
  <c r="F130" i="11"/>
  <c r="U93" i="19"/>
  <c r="K89" i="16"/>
  <c r="L71" i="16"/>
  <c r="W30" i="18"/>
  <c r="V42" i="18"/>
  <c r="X26" i="18"/>
  <c r="W38" i="18"/>
  <c r="L71" i="19"/>
  <c r="K94" i="19"/>
  <c r="K95" i="19" s="1"/>
  <c r="K98" i="19" s="1"/>
  <c r="W28" i="18"/>
  <c r="V40" i="18"/>
  <c r="J98" i="19"/>
  <c r="BR31" i="19"/>
  <c r="BS33" i="19"/>
  <c r="AI135" i="19"/>
  <c r="AJ126" i="16"/>
  <c r="AI127" i="16"/>
  <c r="AI136" i="19" s="1"/>
  <c r="BS41" i="16"/>
  <c r="W32" i="18"/>
  <c r="V44" i="18"/>
  <c r="U88" i="16"/>
  <c r="U90" i="16" s="1"/>
  <c r="BQ46" i="16"/>
  <c r="BR31" i="16"/>
  <c r="BS33" i="16"/>
  <c r="V39" i="18"/>
  <c r="W27" i="18"/>
  <c r="W29" i="18"/>
  <c r="V41" i="18"/>
  <c r="W33" i="18"/>
  <c r="V45" i="18"/>
  <c r="W31" i="18"/>
  <c r="V43" i="18"/>
  <c r="J78" i="9"/>
  <c r="J79" i="9" s="1"/>
  <c r="K63" i="9"/>
  <c r="AO132" i="11"/>
  <c r="AZ163" i="10"/>
  <c r="AV156" i="10"/>
  <c r="AX157" i="10"/>
  <c r="AO133" i="34" s="1"/>
  <c r="F201" i="11" l="1"/>
  <c r="E200" i="11"/>
  <c r="G130" i="11"/>
  <c r="E130" i="11"/>
  <c r="F131" i="11"/>
  <c r="L89" i="16"/>
  <c r="M71" i="16"/>
  <c r="X29" i="18"/>
  <c r="W41" i="18"/>
  <c r="M71" i="19"/>
  <c r="L94" i="19"/>
  <c r="L95" i="19" s="1"/>
  <c r="L98" i="19" s="1"/>
  <c r="M98" i="19" s="1"/>
  <c r="X32" i="18"/>
  <c r="W44" i="18"/>
  <c r="I67" i="18" s="1"/>
  <c r="AA67" i="18" s="1"/>
  <c r="W39" i="18"/>
  <c r="X27" i="18"/>
  <c r="K78" i="9"/>
  <c r="K79" i="9" s="1"/>
  <c r="K82" i="9" s="1"/>
  <c r="L63" i="9"/>
  <c r="AJ135" i="19"/>
  <c r="AJ127" i="16"/>
  <c r="AJ136" i="19" s="1"/>
  <c r="BT41" i="16"/>
  <c r="AM126" i="16"/>
  <c r="X33" i="18"/>
  <c r="W45" i="18"/>
  <c r="J67" i="18" s="1"/>
  <c r="AE67" i="18" s="1"/>
  <c r="J82" i="9"/>
  <c r="F67" i="18"/>
  <c r="AD67" i="18" s="1"/>
  <c r="BT33" i="19"/>
  <c r="BT31" i="19" s="1"/>
  <c r="BS31" i="19"/>
  <c r="Y26" i="18"/>
  <c r="X38" i="18"/>
  <c r="BT33" i="16"/>
  <c r="BT31" i="16" s="1"/>
  <c r="BS31" i="16"/>
  <c r="V93" i="19"/>
  <c r="X28" i="18"/>
  <c r="W40" i="18"/>
  <c r="X31" i="18"/>
  <c r="W43" i="18"/>
  <c r="BR46" i="16"/>
  <c r="V88" i="16"/>
  <c r="V90" i="16" s="1"/>
  <c r="X30" i="18"/>
  <c r="W42" i="18"/>
  <c r="AZ165" i="10"/>
  <c r="AO133" i="11"/>
  <c r="AX158" i="10"/>
  <c r="AO134" i="34" s="1"/>
  <c r="AV157" i="10"/>
  <c r="F202" i="11" l="1"/>
  <c r="E201" i="11"/>
  <c r="G131" i="11"/>
  <c r="E131" i="11"/>
  <c r="F132" i="11"/>
  <c r="M82" i="9"/>
  <c r="Y31" i="18"/>
  <c r="X43" i="18"/>
  <c r="Z26" i="18"/>
  <c r="Y38" i="18"/>
  <c r="M94" i="19"/>
  <c r="N71" i="19"/>
  <c r="W93" i="19"/>
  <c r="Y28" i="18"/>
  <c r="X40" i="18"/>
  <c r="X93" i="19"/>
  <c r="Y29" i="18"/>
  <c r="X41" i="18"/>
  <c r="M63" i="9"/>
  <c r="L78" i="9"/>
  <c r="L79" i="9" s="1"/>
  <c r="M89" i="16"/>
  <c r="N71" i="16"/>
  <c r="X39" i="18"/>
  <c r="Y27" i="18"/>
  <c r="H67" i="18"/>
  <c r="Y67" i="18" s="1"/>
  <c r="G67" i="18"/>
  <c r="AC67" i="18" s="1"/>
  <c r="D67" i="18"/>
  <c r="Z67" i="18" s="1"/>
  <c r="Y30" i="18"/>
  <c r="X42" i="18"/>
  <c r="W88" i="16"/>
  <c r="W90" i="16" s="1"/>
  <c r="BS46" i="16"/>
  <c r="X88" i="16"/>
  <c r="BT46" i="16"/>
  <c r="Y33" i="18"/>
  <c r="X45" i="18"/>
  <c r="Y32" i="18"/>
  <c r="X44" i="18"/>
  <c r="AX159" i="10"/>
  <c r="AO135" i="34" s="1"/>
  <c r="AZ166" i="10"/>
  <c r="AO134" i="11"/>
  <c r="AV158" i="10"/>
  <c r="E152" i="17"/>
  <c r="E202" i="11" l="1"/>
  <c r="F203" i="11"/>
  <c r="G132" i="11"/>
  <c r="E132" i="11"/>
  <c r="L81" i="9"/>
  <c r="L86" i="9" s="1"/>
  <c r="L88" i="9"/>
  <c r="M78" i="9"/>
  <c r="N63" i="9"/>
  <c r="M95" i="19"/>
  <c r="Z94" i="19"/>
  <c r="Z89" i="16"/>
  <c r="Z33" i="18"/>
  <c r="Y45" i="18"/>
  <c r="Y41" i="18"/>
  <c r="Z29" i="18"/>
  <c r="AA26" i="18"/>
  <c r="Z38" i="18"/>
  <c r="Z32" i="18"/>
  <c r="Y44" i="18"/>
  <c r="Z27" i="18"/>
  <c r="Y39" i="18"/>
  <c r="AA93" i="19"/>
  <c r="Z31" i="18"/>
  <c r="Y43" i="18"/>
  <c r="C68" i="18"/>
  <c r="X68" i="18" s="1"/>
  <c r="AA88" i="16"/>
  <c r="X90" i="16"/>
  <c r="Z28" i="18"/>
  <c r="Y40" i="18"/>
  <c r="Z30" i="18"/>
  <c r="Y42" i="18"/>
  <c r="BJ49" i="19"/>
  <c r="BJ45" i="19"/>
  <c r="N100" i="19"/>
  <c r="N104" i="19"/>
  <c r="AZ167" i="10"/>
  <c r="AO135" i="11"/>
  <c r="AV159" i="10"/>
  <c r="AV161" i="10" s="1"/>
  <c r="AW161" i="10" s="1"/>
  <c r="Z112" i="16" a="1"/>
  <c r="AL119" i="19" a="1"/>
  <c r="AX161" i="10"/>
  <c r="AX163" i="10" s="1"/>
  <c r="F204" i="11" l="1"/>
  <c r="F205" i="11" s="1"/>
  <c r="E203" i="11"/>
  <c r="X110" i="9"/>
  <c r="BH51" i="9" s="1"/>
  <c r="BH47" i="9" s="1"/>
  <c r="BH48" i="9" s="1"/>
  <c r="L82" i="9"/>
  <c r="Z95" i="19"/>
  <c r="Z43" i="18"/>
  <c r="H68" i="18" s="1"/>
  <c r="Y68" i="18" s="1"/>
  <c r="AA31" i="18"/>
  <c r="X102" i="9"/>
  <c r="X119" i="9"/>
  <c r="M79" i="9"/>
  <c r="N78" i="9"/>
  <c r="AA33" i="18"/>
  <c r="Z45" i="18"/>
  <c r="J68" i="18" s="1"/>
  <c r="AE68" i="18" s="1"/>
  <c r="AA90" i="16"/>
  <c r="N106" i="19"/>
  <c r="BJ55" i="19"/>
  <c r="AL130" i="19"/>
  <c r="Z42" i="18"/>
  <c r="AA30" i="18"/>
  <c r="AA27" i="18"/>
  <c r="Z39" i="18"/>
  <c r="AA38" i="18"/>
  <c r="AB26" i="18"/>
  <c r="AA29" i="18"/>
  <c r="Z41" i="18"/>
  <c r="Z40" i="18"/>
  <c r="AA28" i="18"/>
  <c r="Z44" i="18"/>
  <c r="AA32" i="18"/>
  <c r="L87" i="9"/>
  <c r="X111" i="9"/>
  <c r="Z112" i="16"/>
  <c r="Z120" i="16" s="1"/>
  <c r="AG112" i="16"/>
  <c r="AG114" i="16" s="1"/>
  <c r="AG122" i="16" s="1"/>
  <c r="AJ112" i="16"/>
  <c r="AJ114" i="16" s="1"/>
  <c r="AC112" i="16"/>
  <c r="AC114" i="16" s="1"/>
  <c r="AB112" i="16"/>
  <c r="AB114" i="16" s="1"/>
  <c r="AI112" i="16"/>
  <c r="AI114" i="16" s="1"/>
  <c r="AD112" i="16"/>
  <c r="AD114" i="16" s="1"/>
  <c r="AE112" i="16"/>
  <c r="AE114" i="16" s="1"/>
  <c r="AH112" i="16"/>
  <c r="AH114" i="16" s="1"/>
  <c r="AF112" i="16"/>
  <c r="AF114" i="16" s="1"/>
  <c r="AA112" i="16"/>
  <c r="AK112" i="16"/>
  <c r="AK114" i="16" s="1"/>
  <c r="AK122" i="16" s="1"/>
  <c r="AR119" i="19"/>
  <c r="AO119" i="19"/>
  <c r="AQ119" i="19"/>
  <c r="AT119" i="19"/>
  <c r="AL119" i="19"/>
  <c r="AV119" i="19"/>
  <c r="AS119" i="19"/>
  <c r="AW119" i="19"/>
  <c r="AP119" i="19"/>
  <c r="AN119" i="19"/>
  <c r="AM119" i="19"/>
  <c r="AU119" i="19"/>
  <c r="AY161" i="10"/>
  <c r="I14" i="27" l="1"/>
  <c r="I16" i="27" s="1"/>
  <c r="E204" i="11"/>
  <c r="AA114" i="16"/>
  <c r="AA120" i="16"/>
  <c r="AA129" i="19" s="1"/>
  <c r="Z114" i="16"/>
  <c r="Z122" i="16" s="1"/>
  <c r="L203" i="9"/>
  <c r="X123" i="9"/>
  <c r="BH54" i="9"/>
  <c r="BH49" i="9" s="1"/>
  <c r="F68" i="18"/>
  <c r="AD68" i="18" s="1"/>
  <c r="AA42" i="18"/>
  <c r="AB30" i="18"/>
  <c r="AB33" i="18"/>
  <c r="AA45" i="18"/>
  <c r="AB29" i="18"/>
  <c r="AA41" i="18"/>
  <c r="G68" i="18"/>
  <c r="AC68" i="18" s="1"/>
  <c r="AA44" i="18"/>
  <c r="AB32" i="18"/>
  <c r="AL147" i="19"/>
  <c r="I68" i="18"/>
  <c r="AA68" i="18" s="1"/>
  <c r="N79" i="9"/>
  <c r="AB31" i="18"/>
  <c r="AA43" i="18"/>
  <c r="AC26" i="18"/>
  <c r="AB38" i="18"/>
  <c r="D68" i="18"/>
  <c r="Z68" i="18" s="1"/>
  <c r="M99" i="19"/>
  <c r="Z97" i="19"/>
  <c r="M104" i="19"/>
  <c r="Y131" i="19" s="1"/>
  <c r="BI49" i="19"/>
  <c r="BI45" i="19"/>
  <c r="AB27" i="18"/>
  <c r="AA39" i="18"/>
  <c r="AB28" i="18"/>
  <c r="AA40" i="18"/>
  <c r="E68" i="18"/>
  <c r="AB68" i="18" s="1"/>
  <c r="AH120" i="16"/>
  <c r="AH129" i="19" s="1"/>
  <c r="AH119" i="19"/>
  <c r="AB119" i="19"/>
  <c r="AB120" i="16"/>
  <c r="AB129" i="19" s="1"/>
  <c r="Z119" i="19"/>
  <c r="AB105" i="16"/>
  <c r="AU121" i="19"/>
  <c r="AW121" i="19"/>
  <c r="AT121" i="19"/>
  <c r="AK119" i="19"/>
  <c r="AK120" i="16"/>
  <c r="AK129" i="19" s="1"/>
  <c r="AE119" i="19"/>
  <c r="AE120" i="16"/>
  <c r="AE129" i="19" s="1"/>
  <c r="AC119" i="19"/>
  <c r="AC105" i="16"/>
  <c r="AC120" i="16"/>
  <c r="AC129" i="19" s="1"/>
  <c r="AP121" i="19"/>
  <c r="AL121" i="19"/>
  <c r="AR121" i="19"/>
  <c r="AM121" i="19"/>
  <c r="AS121" i="19"/>
  <c r="AQ121" i="19"/>
  <c r="AA119" i="19"/>
  <c r="AD119" i="19"/>
  <c r="AD120" i="16"/>
  <c r="AD129" i="19" s="1"/>
  <c r="AJ119" i="19"/>
  <c r="AJ120" i="16"/>
  <c r="AJ129" i="19" s="1"/>
  <c r="AJ131" i="19" s="1"/>
  <c r="AV144" i="19" s="1"/>
  <c r="AN121" i="19"/>
  <c r="AV121" i="19"/>
  <c r="AO121" i="19"/>
  <c r="AF119" i="19"/>
  <c r="AF120" i="16"/>
  <c r="AF129" i="19" s="1"/>
  <c r="AD105" i="16"/>
  <c r="AI119" i="19"/>
  <c r="AE105" i="16"/>
  <c r="AI120" i="16"/>
  <c r="AI129" i="19" s="1"/>
  <c r="AG119" i="19"/>
  <c r="AG120" i="16"/>
  <c r="AG129" i="19" s="1"/>
  <c r="BP131" i="19" l="1"/>
  <c r="BL131" i="19"/>
  <c r="F206" i="11"/>
  <c r="Q14" i="27"/>
  <c r="Q16" i="27" s="1"/>
  <c r="O14" i="27"/>
  <c r="O16" i="27" s="1"/>
  <c r="L14" i="27"/>
  <c r="L16" i="27" s="1"/>
  <c r="T14" i="27"/>
  <c r="T16" i="27" s="1"/>
  <c r="J14" i="27"/>
  <c r="J16" i="27" s="1"/>
  <c r="M14" i="27"/>
  <c r="M16" i="27" s="1"/>
  <c r="N14" i="27"/>
  <c r="N16" i="27" s="1"/>
  <c r="R14" i="27"/>
  <c r="R16" i="27" s="1"/>
  <c r="K14" i="27"/>
  <c r="K16" i="27" s="1"/>
  <c r="S14" i="27"/>
  <c r="S16" i="27" s="1"/>
  <c r="P14" i="27"/>
  <c r="P16" i="27" s="1"/>
  <c r="BI46" i="19"/>
  <c r="AC32" i="18"/>
  <c r="AB44" i="18"/>
  <c r="Y148" i="19"/>
  <c r="Y130" i="19"/>
  <c r="BI55" i="19"/>
  <c r="AC29" i="18"/>
  <c r="AB41" i="18"/>
  <c r="AC28" i="18"/>
  <c r="AB40" i="18"/>
  <c r="AC33" i="18"/>
  <c r="AB45" i="18"/>
  <c r="Z109" i="19"/>
  <c r="Z104" i="19"/>
  <c r="M88" i="9"/>
  <c r="M86" i="9"/>
  <c r="Y110" i="9"/>
  <c r="N81" i="9"/>
  <c r="N86" i="9" s="1"/>
  <c r="P86" i="9" s="1"/>
  <c r="AS134" i="10" a="1"/>
  <c r="AC30" i="18"/>
  <c r="AB42" i="18"/>
  <c r="AC27" i="18"/>
  <c r="AB39" i="18"/>
  <c r="AD26" i="18"/>
  <c r="AC38" i="18"/>
  <c r="Y146" i="19"/>
  <c r="Y140" i="19"/>
  <c r="Y141" i="19" s="1"/>
  <c r="AC31" i="18"/>
  <c r="AB43" i="18"/>
  <c r="AE135" i="16"/>
  <c r="AE144" i="19" s="1"/>
  <c r="Z121" i="19"/>
  <c r="AB107" i="16"/>
  <c r="AB135" i="16"/>
  <c r="AB144" i="19" s="1"/>
  <c r="AH135" i="16"/>
  <c r="AH144" i="19" s="1"/>
  <c r="AG121" i="19"/>
  <c r="AF135" i="16"/>
  <c r="AF144" i="19" s="1"/>
  <c r="AJ121" i="19"/>
  <c r="AJ122" i="16"/>
  <c r="AC107" i="16"/>
  <c r="AC121" i="19"/>
  <c r="AC122" i="16"/>
  <c r="AI121" i="19"/>
  <c r="AE107" i="16"/>
  <c r="AI122" i="16"/>
  <c r="AA121" i="19"/>
  <c r="AA122" i="16"/>
  <c r="AK121" i="19"/>
  <c r="Z129" i="16"/>
  <c r="Z129" i="19"/>
  <c r="Z135" i="16"/>
  <c r="Z144" i="19" s="1"/>
  <c r="AM120" i="16"/>
  <c r="AM129" i="19" s="1"/>
  <c r="AH121" i="19"/>
  <c r="AH122" i="16"/>
  <c r="AG135" i="16"/>
  <c r="AG144" i="19" s="1"/>
  <c r="AJ135" i="16"/>
  <c r="AJ144" i="19" s="1"/>
  <c r="AD121" i="19"/>
  <c r="AD122" i="16"/>
  <c r="AI135" i="16"/>
  <c r="AI144" i="19" s="1"/>
  <c r="AF121" i="19"/>
  <c r="AD107" i="16"/>
  <c r="AF122" i="16"/>
  <c r="AD135" i="16"/>
  <c r="AD144" i="19" s="1"/>
  <c r="AA135" i="16"/>
  <c r="AA144" i="19" s="1"/>
  <c r="AC135" i="16"/>
  <c r="AC144" i="19" s="1"/>
  <c r="AE121" i="19"/>
  <c r="AE122" i="16"/>
  <c r="AB121" i="19"/>
  <c r="AB122" i="16"/>
  <c r="AK110" i="19" l="1"/>
  <c r="AK105" i="19" s="1"/>
  <c r="BK28" i="19"/>
  <c r="AJ110" i="19"/>
  <c r="AJ105" i="19" s="1"/>
  <c r="AM110" i="19"/>
  <c r="AM105" i="19" s="1"/>
  <c r="AL110" i="19"/>
  <c r="AL105" i="19" s="1"/>
  <c r="F207" i="11"/>
  <c r="E207" i="11" s="1"/>
  <c r="R150" i="11" s="1"/>
  <c r="BW28" i="19"/>
  <c r="AI131" i="19"/>
  <c r="BS46" i="19" s="1"/>
  <c r="BS28" i="19"/>
  <c r="AK131" i="19"/>
  <c r="BU28" i="19"/>
  <c r="AH131" i="19"/>
  <c r="BR46" i="19" s="1"/>
  <c r="BR28" i="19"/>
  <c r="Z115" i="19"/>
  <c r="BJ28" i="19"/>
  <c r="BT46" i="19"/>
  <c r="BT28" i="19"/>
  <c r="AD131" i="19"/>
  <c r="BN46" i="19" s="1"/>
  <c r="BN28" i="19"/>
  <c r="AF131" i="19"/>
  <c r="BP46" i="19" s="1"/>
  <c r="BP28" i="19"/>
  <c r="AG131" i="19"/>
  <c r="BQ46" i="19" s="1"/>
  <c r="BQ28" i="19"/>
  <c r="AB131" i="19"/>
  <c r="BL46" i="19" s="1"/>
  <c r="BL28" i="19"/>
  <c r="AE131" i="19"/>
  <c r="BO46" i="19" s="1"/>
  <c r="BO28" i="19"/>
  <c r="AC131" i="19"/>
  <c r="BM28" i="19"/>
  <c r="AA131" i="19"/>
  <c r="X12" i="19"/>
  <c r="BR52" i="19"/>
  <c r="BR48" i="19" s="1"/>
  <c r="BR50" i="19" s="1"/>
  <c r="BM52" i="19"/>
  <c r="BM48" i="19" s="1"/>
  <c r="BM49" i="19" s="1"/>
  <c r="BN52" i="19"/>
  <c r="BN48" i="19" s="1"/>
  <c r="BN49" i="19" s="1"/>
  <c r="BS52" i="19"/>
  <c r="BS48" i="19" s="1"/>
  <c r="BS50" i="19" s="1"/>
  <c r="BT52" i="19"/>
  <c r="BT48" i="19" s="1"/>
  <c r="BT50" i="19" s="1"/>
  <c r="BK52" i="19"/>
  <c r="BK48" i="19" s="1"/>
  <c r="BK50" i="19" s="1"/>
  <c r="BP52" i="19"/>
  <c r="BP48" i="19" s="1"/>
  <c r="BP49" i="19" s="1"/>
  <c r="BQ52" i="19"/>
  <c r="BQ48" i="19" s="1"/>
  <c r="BQ50" i="19" s="1"/>
  <c r="BL52" i="19"/>
  <c r="BL48" i="19" s="1"/>
  <c r="BL49" i="19" s="1"/>
  <c r="BO52" i="19"/>
  <c r="BO48" i="19" s="1"/>
  <c r="BO49" i="19" s="1"/>
  <c r="Z131" i="19"/>
  <c r="BM129" i="19"/>
  <c r="BQ129" i="19" s="1"/>
  <c r="Y147" i="19"/>
  <c r="BP130" i="19"/>
  <c r="BJ52" i="19"/>
  <c r="BJ53" i="19" s="1"/>
  <c r="AX65" i="19" s="1"/>
  <c r="AX67" i="19" s="1"/>
  <c r="BV53" i="19" s="1"/>
  <c r="BU52" i="19"/>
  <c r="BU48" i="19" s="1"/>
  <c r="BU49" i="19" s="1"/>
  <c r="BP139" i="19"/>
  <c r="AK154" i="19"/>
  <c r="AD29" i="18"/>
  <c r="AC41" i="18"/>
  <c r="F69" i="18" s="1"/>
  <c r="AD69" i="18" s="1"/>
  <c r="AD33" i="18"/>
  <c r="AC45" i="18"/>
  <c r="AD30" i="18"/>
  <c r="AC42" i="18"/>
  <c r="AS138" i="10"/>
  <c r="AH114" i="34" s="1"/>
  <c r="AS141" i="10"/>
  <c r="AH117" i="34" s="1"/>
  <c r="AS142" i="10"/>
  <c r="AH118" i="34" s="1"/>
  <c r="AS140" i="10"/>
  <c r="AH116" i="34" s="1"/>
  <c r="AS137" i="10"/>
  <c r="AH113" i="34" s="1"/>
  <c r="AS139" i="10"/>
  <c r="AH115" i="34" s="1"/>
  <c r="AS143" i="10"/>
  <c r="AH119" i="34" s="1"/>
  <c r="AS134" i="10"/>
  <c r="AH110" i="34" s="1"/>
  <c r="AS145" i="10"/>
  <c r="AH121" i="34" s="1"/>
  <c r="AS144" i="10"/>
  <c r="AH120" i="34" s="1"/>
  <c r="AS135" i="10"/>
  <c r="AH111" i="34" s="1"/>
  <c r="AS136" i="10"/>
  <c r="AH112" i="34" s="1"/>
  <c r="C69" i="18"/>
  <c r="X69" i="18" s="1"/>
  <c r="AD31" i="18"/>
  <c r="AC43" i="18"/>
  <c r="AD38" i="18"/>
  <c r="AE26" i="18"/>
  <c r="Y119" i="9"/>
  <c r="M203" i="9"/>
  <c r="Y102" i="9"/>
  <c r="BI51" i="9"/>
  <c r="BI47" i="9" s="1"/>
  <c r="BI48" i="9" s="1"/>
  <c r="AA110" i="9"/>
  <c r="AD28" i="18"/>
  <c r="AC40" i="18"/>
  <c r="Y111" i="9"/>
  <c r="M87" i="9"/>
  <c r="AD27" i="18"/>
  <c r="AC39" i="18"/>
  <c r="AD32" i="18"/>
  <c r="AC44" i="18"/>
  <c r="Z137" i="16"/>
  <c r="Z146" i="19" s="1"/>
  <c r="AM122" i="16"/>
  <c r="AA137" i="16"/>
  <c r="AA146" i="19" s="1"/>
  <c r="AF137" i="16"/>
  <c r="AF146" i="19" s="1"/>
  <c r="AJ137" i="16"/>
  <c r="AJ146" i="19" s="1"/>
  <c r="AD137" i="16"/>
  <c r="AD146" i="19" s="1"/>
  <c r="AH137" i="16"/>
  <c r="AH146" i="19" s="1"/>
  <c r="AE137" i="16"/>
  <c r="AE146" i="19" s="1"/>
  <c r="Z138" i="19"/>
  <c r="Z130" i="16"/>
  <c r="Z139" i="19" s="1"/>
  <c r="AB137" i="16"/>
  <c r="AB146" i="19" s="1"/>
  <c r="AC137" i="16"/>
  <c r="AC146" i="19" s="1"/>
  <c r="AG137" i="16"/>
  <c r="AG146" i="19" s="1"/>
  <c r="AI137" i="16"/>
  <c r="AI146" i="19" s="1"/>
  <c r="BK46" i="19" l="1"/>
  <c r="BM46" i="19"/>
  <c r="AI127" i="34"/>
  <c r="K127" i="34" s="1"/>
  <c r="M127" i="34" s="1"/>
  <c r="J127" i="34" s="1"/>
  <c r="AI113" i="34"/>
  <c r="AI126" i="34"/>
  <c r="K126" i="34" s="1"/>
  <c r="M126" i="34" s="1"/>
  <c r="J126" i="34" s="1"/>
  <c r="AI112" i="34"/>
  <c r="AI124" i="34"/>
  <c r="K124" i="34" s="1"/>
  <c r="M124" i="34" s="1"/>
  <c r="J124" i="34" s="1"/>
  <c r="AI110" i="34"/>
  <c r="AI130" i="34"/>
  <c r="K130" i="34" s="1"/>
  <c r="M130" i="34" s="1"/>
  <c r="J130" i="34" s="1"/>
  <c r="AI116" i="34"/>
  <c r="AI128" i="34"/>
  <c r="K128" i="34" s="1"/>
  <c r="M128" i="34" s="1"/>
  <c r="J128" i="34" s="1"/>
  <c r="AI114" i="34"/>
  <c r="AI111" i="34"/>
  <c r="AI125" i="34"/>
  <c r="K125" i="34" s="1"/>
  <c r="M125" i="34" s="1"/>
  <c r="J125" i="34" s="1"/>
  <c r="AI119" i="34"/>
  <c r="AI133" i="34"/>
  <c r="K133" i="34" s="1"/>
  <c r="M133" i="34" s="1"/>
  <c r="J133" i="34" s="1"/>
  <c r="AI118" i="34"/>
  <c r="AI132" i="34"/>
  <c r="K132" i="34" s="1"/>
  <c r="M132" i="34" s="1"/>
  <c r="J132" i="34" s="1"/>
  <c r="AI121" i="34"/>
  <c r="AI135" i="34"/>
  <c r="K135" i="34" s="1"/>
  <c r="M135" i="34" s="1"/>
  <c r="J135" i="34" s="1"/>
  <c r="AI134" i="34"/>
  <c r="K134" i="34" s="1"/>
  <c r="M134" i="34" s="1"/>
  <c r="J134" i="34" s="1"/>
  <c r="AI120" i="34"/>
  <c r="AI129" i="34"/>
  <c r="K129" i="34" s="1"/>
  <c r="M129" i="34" s="1"/>
  <c r="J129" i="34" s="1"/>
  <c r="AI115" i="34"/>
  <c r="AI131" i="34"/>
  <c r="K131" i="34" s="1"/>
  <c r="M131" i="34" s="1"/>
  <c r="J131" i="34" s="1"/>
  <c r="AI117" i="34"/>
  <c r="BM37" i="19"/>
  <c r="E82" i="19" s="1"/>
  <c r="BJ37" i="19"/>
  <c r="B82" i="19" s="1"/>
  <c r="BO37" i="19"/>
  <c r="G82" i="19" s="1"/>
  <c r="BQ37" i="19"/>
  <c r="I82" i="19" s="1"/>
  <c r="BK37" i="19"/>
  <c r="C82" i="19" s="1"/>
  <c r="BN37" i="19"/>
  <c r="F82" i="19" s="1"/>
  <c r="BU37" i="19"/>
  <c r="M82" i="19" s="1"/>
  <c r="BM131" i="19"/>
  <c r="BQ131" i="19" s="1"/>
  <c r="BP37" i="19"/>
  <c r="H82" i="19" s="1"/>
  <c r="BT37" i="19"/>
  <c r="L82" i="19" s="1"/>
  <c r="BR37" i="19"/>
  <c r="J82" i="19" s="1"/>
  <c r="BS37" i="19"/>
  <c r="K82" i="19" s="1"/>
  <c r="BL37" i="19"/>
  <c r="D82" i="19" s="1"/>
  <c r="BT49" i="19"/>
  <c r="BR49" i="19"/>
  <c r="BN50" i="19"/>
  <c r="BM50" i="19"/>
  <c r="AA92" i="19"/>
  <c r="X15" i="19"/>
  <c r="X16" i="19" s="1"/>
  <c r="X13" i="19"/>
  <c r="BS49" i="19"/>
  <c r="BK49" i="19"/>
  <c r="BL50" i="19"/>
  <c r="BQ49" i="19"/>
  <c r="BP50" i="19"/>
  <c r="BO50" i="19"/>
  <c r="BU50" i="19"/>
  <c r="J78" i="21"/>
  <c r="BJ46" i="19"/>
  <c r="BU46" i="19"/>
  <c r="AK155" i="19"/>
  <c r="AF26" i="18"/>
  <c r="AE38" i="18"/>
  <c r="AY116" i="10"/>
  <c r="AV134" i="10"/>
  <c r="BL125" i="10" s="1"/>
  <c r="BN125" i="10" s="1"/>
  <c r="AX165" i="10" s="1"/>
  <c r="AU134" i="10"/>
  <c r="AX143" i="10"/>
  <c r="AY141" i="10" s="1"/>
  <c r="AT148" i="10"/>
  <c r="AH110" i="11"/>
  <c r="AY148" i="10"/>
  <c r="AP124" i="34" s="1"/>
  <c r="S124" i="34" s="1"/>
  <c r="T124" i="34" s="1"/>
  <c r="AT134" i="10"/>
  <c r="G69" i="18"/>
  <c r="AC69" i="18" s="1"/>
  <c r="AV143" i="10"/>
  <c r="BL134" i="10" s="1"/>
  <c r="BN134" i="10" s="1"/>
  <c r="AX174" i="10" s="1"/>
  <c r="AT143" i="10"/>
  <c r="AU143" i="10"/>
  <c r="AT157" i="10"/>
  <c r="AH119" i="11"/>
  <c r="AY157" i="10"/>
  <c r="AP133" i="34" s="1"/>
  <c r="S133" i="34" s="1"/>
  <c r="T133" i="34" s="1"/>
  <c r="AE30" i="18"/>
  <c r="AD42" i="18"/>
  <c r="H69" i="18"/>
  <c r="Y69" i="18" s="1"/>
  <c r="AT153" i="10"/>
  <c r="AV139" i="10"/>
  <c r="BL130" i="10" s="1"/>
  <c r="BN130" i="10" s="1"/>
  <c r="AX170" i="10" s="1"/>
  <c r="AU139" i="10"/>
  <c r="AT139" i="10"/>
  <c r="AH115" i="11"/>
  <c r="AY153" i="10"/>
  <c r="Y123" i="9"/>
  <c r="BI54" i="9"/>
  <c r="BI49" i="9" s="1"/>
  <c r="AA111" i="9"/>
  <c r="AE31" i="18"/>
  <c r="AD43" i="18"/>
  <c r="AH113" i="11"/>
  <c r="AV137" i="10"/>
  <c r="BL128" i="10" s="1"/>
  <c r="BN128" i="10" s="1"/>
  <c r="AX168" i="10" s="1"/>
  <c r="AU137" i="10"/>
  <c r="AT137" i="10"/>
  <c r="AT151" i="10"/>
  <c r="AY151" i="10"/>
  <c r="E69" i="18"/>
  <c r="AB69" i="18" s="1"/>
  <c r="AV140" i="10"/>
  <c r="BL131" i="10" s="1"/>
  <c r="BN131" i="10" s="1"/>
  <c r="AX171" i="10" s="1"/>
  <c r="AT154" i="10"/>
  <c r="AU140" i="10"/>
  <c r="AH116" i="11"/>
  <c r="AT140" i="10"/>
  <c r="AY154" i="10"/>
  <c r="AP130" i="34" s="1"/>
  <c r="S130" i="34" s="1"/>
  <c r="T130" i="34" s="1"/>
  <c r="AV142" i="10"/>
  <c r="BL133" i="10" s="1"/>
  <c r="BN133" i="10" s="1"/>
  <c r="AX173" i="10" s="1"/>
  <c r="AH118" i="11"/>
  <c r="AU142" i="10"/>
  <c r="AT156" i="10"/>
  <c r="AT142" i="10"/>
  <c r="AY156" i="10"/>
  <c r="AP132" i="34" s="1"/>
  <c r="S132" i="34" s="1"/>
  <c r="T132" i="34" s="1"/>
  <c r="AT155" i="10"/>
  <c r="AH117" i="11"/>
  <c r="AU141" i="10"/>
  <c r="AT141" i="10"/>
  <c r="AV141" i="10"/>
  <c r="BL132" i="10" s="1"/>
  <c r="BN132" i="10" s="1"/>
  <c r="AX172" i="10" s="1"/>
  <c r="AY155" i="10"/>
  <c r="I69" i="18"/>
  <c r="AA69" i="18" s="1"/>
  <c r="AH114" i="11"/>
  <c r="AT138" i="10"/>
  <c r="AU138" i="10"/>
  <c r="AT152" i="10"/>
  <c r="AV138" i="10"/>
  <c r="BL129" i="10" s="1"/>
  <c r="BN129" i="10" s="1"/>
  <c r="AX169" i="10" s="1"/>
  <c r="AY152" i="10"/>
  <c r="AP128" i="34" s="1"/>
  <c r="S128" i="34" s="1"/>
  <c r="T128" i="34" s="1"/>
  <c r="AE33" i="18"/>
  <c r="AD45" i="18"/>
  <c r="AE28" i="18"/>
  <c r="AD40" i="18"/>
  <c r="AD44" i="18"/>
  <c r="AE32" i="18"/>
  <c r="AV136" i="10"/>
  <c r="BL127" i="10" s="1"/>
  <c r="BN127" i="10" s="1"/>
  <c r="AX167" i="10" s="1"/>
  <c r="AT136" i="10"/>
  <c r="AU136" i="10"/>
  <c r="AH112" i="11"/>
  <c r="AT150" i="10"/>
  <c r="AY150" i="10"/>
  <c r="D69" i="18"/>
  <c r="Z69" i="18" s="1"/>
  <c r="AH111" i="11"/>
  <c r="AV135" i="10"/>
  <c r="BL126" i="10" s="1"/>
  <c r="BN126" i="10" s="1"/>
  <c r="AX166" i="10" s="1"/>
  <c r="AU135" i="10"/>
  <c r="AZ149" i="10" s="1"/>
  <c r="AT149" i="10"/>
  <c r="AY149" i="10"/>
  <c r="AP125" i="34" s="1"/>
  <c r="S125" i="34" s="1"/>
  <c r="T125" i="34" s="1"/>
  <c r="V125" i="34" s="1"/>
  <c r="AT135" i="10"/>
  <c r="AE29" i="18"/>
  <c r="AD41" i="18"/>
  <c r="AE27" i="18"/>
  <c r="AD39" i="18"/>
  <c r="AV144" i="10"/>
  <c r="BL135" i="10" s="1"/>
  <c r="BN135" i="10" s="1"/>
  <c r="AX175" i="10" s="1"/>
  <c r="AT158" i="10"/>
  <c r="AU144" i="10"/>
  <c r="AH120" i="11"/>
  <c r="AT144" i="10"/>
  <c r="AY158" i="10"/>
  <c r="AP134" i="34" s="1"/>
  <c r="S134" i="34" s="1"/>
  <c r="AH121" i="11"/>
  <c r="AT145" i="10"/>
  <c r="AU145" i="10"/>
  <c r="AV145" i="10"/>
  <c r="BL136" i="10" s="1"/>
  <c r="AT159" i="10"/>
  <c r="AY159" i="10"/>
  <c r="AP135" i="34" s="1"/>
  <c r="S135" i="34" s="1"/>
  <c r="AJ117" i="34" l="1"/>
  <c r="K117" i="34"/>
  <c r="L117" i="34" s="1"/>
  <c r="M117" i="34" s="1"/>
  <c r="M170" i="34" s="1"/>
  <c r="AJ112" i="34"/>
  <c r="K112" i="34"/>
  <c r="L112" i="34" s="1"/>
  <c r="M112" i="34" s="1"/>
  <c r="M165" i="34" s="1"/>
  <c r="O165" i="34" s="1"/>
  <c r="AJ118" i="34"/>
  <c r="K118" i="34"/>
  <c r="AJ111" i="34"/>
  <c r="K111" i="34"/>
  <c r="L111" i="34" s="1"/>
  <c r="M111" i="34" s="1"/>
  <c r="M164" i="34" s="1"/>
  <c r="O164" i="34" s="1"/>
  <c r="V150" i="10"/>
  <c r="AP126" i="34"/>
  <c r="S126" i="34" s="1"/>
  <c r="T126" i="34" s="1"/>
  <c r="V126" i="34" s="1"/>
  <c r="AJ115" i="34"/>
  <c r="K115" i="34"/>
  <c r="L115" i="34" s="1"/>
  <c r="M115" i="34" s="1"/>
  <c r="M168" i="34" s="1"/>
  <c r="AJ114" i="34"/>
  <c r="K114" i="34"/>
  <c r="L114" i="34" s="1"/>
  <c r="M114" i="34" s="1"/>
  <c r="M167" i="34" s="1"/>
  <c r="AJ110" i="34"/>
  <c r="K110" i="34"/>
  <c r="L110" i="34" s="1"/>
  <c r="M110" i="34" s="1"/>
  <c r="M163" i="34" s="1"/>
  <c r="AJ113" i="34"/>
  <c r="K113" i="34"/>
  <c r="L113" i="34" s="1"/>
  <c r="M113" i="34" s="1"/>
  <c r="M166" i="34" s="1"/>
  <c r="AP127" i="34"/>
  <c r="S127" i="34" s="1"/>
  <c r="T127" i="34" s="1"/>
  <c r="V128" i="34" s="1"/>
  <c r="V151" i="10"/>
  <c r="V134" i="34"/>
  <c r="V133" i="34"/>
  <c r="AJ120" i="34"/>
  <c r="K120" i="34"/>
  <c r="L120" i="34" s="1"/>
  <c r="M120" i="34" s="1"/>
  <c r="M173" i="34" s="1"/>
  <c r="AJ116" i="34"/>
  <c r="K116" i="34"/>
  <c r="L116" i="34" s="1"/>
  <c r="M116" i="34" s="1"/>
  <c r="M169" i="34" s="1"/>
  <c r="V155" i="10"/>
  <c r="AP131" i="34"/>
  <c r="S131" i="34" s="1"/>
  <c r="T131" i="34" s="1"/>
  <c r="V131" i="34" s="1"/>
  <c r="U135" i="34"/>
  <c r="U132" i="34"/>
  <c r="V153" i="10"/>
  <c r="AP129" i="34"/>
  <c r="S129" i="34" s="1"/>
  <c r="T129" i="34" s="1"/>
  <c r="V129" i="34" s="1"/>
  <c r="AJ121" i="34"/>
  <c r="K121" i="34"/>
  <c r="M121" i="34" s="1"/>
  <c r="M174" i="34" s="1"/>
  <c r="AJ119" i="34"/>
  <c r="K119" i="34"/>
  <c r="BU137" i="19"/>
  <c r="BU138" i="19"/>
  <c r="BN136" i="10"/>
  <c r="AX176" i="10" s="1"/>
  <c r="AF28" i="18"/>
  <c r="AE40" i="18"/>
  <c r="AI127" i="11"/>
  <c r="K127" i="11" s="1"/>
  <c r="M127" i="11" s="1"/>
  <c r="J127" i="11" s="1"/>
  <c r="AI113" i="11"/>
  <c r="L141" i="10"/>
  <c r="K141" i="10"/>
  <c r="AI116" i="11"/>
  <c r="AI130" i="11"/>
  <c r="K130" i="11" s="1"/>
  <c r="M130" i="11" s="1"/>
  <c r="J130" i="11" s="1"/>
  <c r="L140" i="10"/>
  <c r="K140" i="10"/>
  <c r="V159" i="10"/>
  <c r="U159" i="10" s="1"/>
  <c r="AP135" i="11"/>
  <c r="S135" i="11" s="1"/>
  <c r="AF33" i="18"/>
  <c r="AE45" i="18"/>
  <c r="AF31" i="18"/>
  <c r="AE43" i="18"/>
  <c r="AY143" i="10"/>
  <c r="L134" i="10"/>
  <c r="K134" i="10"/>
  <c r="K159" i="10"/>
  <c r="L159" i="10"/>
  <c r="O159" i="10" s="1"/>
  <c r="J159" i="10" s="1"/>
  <c r="AE39" i="18"/>
  <c r="AF27" i="18"/>
  <c r="AP126" i="11"/>
  <c r="S126" i="11" s="1"/>
  <c r="T126" i="11" s="1"/>
  <c r="AP128" i="11"/>
  <c r="S128" i="11" s="1"/>
  <c r="T128" i="11" s="1"/>
  <c r="V152" i="10"/>
  <c r="AI117" i="11"/>
  <c r="K117" i="11" s="1"/>
  <c r="AI131" i="11"/>
  <c r="K131" i="11" s="1"/>
  <c r="M131" i="11" s="1"/>
  <c r="J131" i="11" s="1"/>
  <c r="K154" i="10"/>
  <c r="L154" i="10"/>
  <c r="O154" i="10" s="1"/>
  <c r="J154" i="10" s="1"/>
  <c r="AE42" i="18"/>
  <c r="AF30" i="18"/>
  <c r="AP124" i="11"/>
  <c r="S124" i="11" s="1"/>
  <c r="T124" i="11" s="1"/>
  <c r="V148" i="10"/>
  <c r="L158" i="10"/>
  <c r="O158" i="10" s="1"/>
  <c r="J158" i="10" s="1"/>
  <c r="K158" i="10"/>
  <c r="L150" i="10"/>
  <c r="O150" i="10" s="1"/>
  <c r="J150" i="10" s="1"/>
  <c r="K150" i="10"/>
  <c r="L155" i="10"/>
  <c r="O155" i="10" s="1"/>
  <c r="J155" i="10" s="1"/>
  <c r="K155" i="10"/>
  <c r="AP133" i="11"/>
  <c r="S133" i="11" s="1"/>
  <c r="T133" i="11" s="1"/>
  <c r="V157" i="10"/>
  <c r="AI124" i="11"/>
  <c r="K124" i="11" s="1"/>
  <c r="M124" i="11" s="1"/>
  <c r="J124" i="11" s="1"/>
  <c r="AI110" i="11"/>
  <c r="AF29" i="18"/>
  <c r="AE41" i="18"/>
  <c r="AI126" i="11"/>
  <c r="K126" i="11" s="1"/>
  <c r="M126" i="11" s="1"/>
  <c r="J126" i="11" s="1"/>
  <c r="AI112" i="11"/>
  <c r="K152" i="10"/>
  <c r="L152" i="10"/>
  <c r="O152" i="10" s="1"/>
  <c r="J152" i="10" s="1"/>
  <c r="AP132" i="11"/>
  <c r="V156" i="10"/>
  <c r="AI119" i="11"/>
  <c r="AI133" i="11"/>
  <c r="K133" i="11" s="1"/>
  <c r="M133" i="11" s="1"/>
  <c r="J133" i="11" s="1"/>
  <c r="K148" i="10"/>
  <c r="L148" i="10"/>
  <c r="O148" i="10" s="1"/>
  <c r="J148" i="10" s="1"/>
  <c r="L145" i="10"/>
  <c r="O145" i="10" s="1"/>
  <c r="O224" i="10" s="1"/>
  <c r="AT146" i="10"/>
  <c r="K145" i="10"/>
  <c r="K135" i="10"/>
  <c r="L135" i="10"/>
  <c r="L142" i="10"/>
  <c r="K142" i="10"/>
  <c r="AP129" i="11"/>
  <c r="S129" i="11" s="1"/>
  <c r="T129" i="11" s="1"/>
  <c r="K157" i="10"/>
  <c r="L157" i="10"/>
  <c r="O157" i="10" s="1"/>
  <c r="J157" i="10" s="1"/>
  <c r="AI135" i="11"/>
  <c r="K135" i="11" s="1"/>
  <c r="M135" i="11" s="1"/>
  <c r="J135" i="11" s="1"/>
  <c r="AI121" i="11"/>
  <c r="V149" i="10"/>
  <c r="AA149" i="10" s="1"/>
  <c r="AP125" i="11"/>
  <c r="S125" i="11" s="1"/>
  <c r="T125" i="11" s="1"/>
  <c r="L136" i="10"/>
  <c r="K136" i="10"/>
  <c r="K138" i="10"/>
  <c r="L138" i="10"/>
  <c r="L156" i="10"/>
  <c r="O156" i="10" s="1"/>
  <c r="J156" i="10" s="1"/>
  <c r="K156" i="10"/>
  <c r="AP127" i="11"/>
  <c r="S127" i="11" s="1"/>
  <c r="T127" i="11" s="1"/>
  <c r="AI115" i="11"/>
  <c r="K115" i="11" s="1"/>
  <c r="AI129" i="11"/>
  <c r="K129" i="11" s="1"/>
  <c r="M129" i="11" s="1"/>
  <c r="J129" i="11" s="1"/>
  <c r="AZ148" i="10"/>
  <c r="AZ143" i="10"/>
  <c r="BA143" i="10" s="1"/>
  <c r="AP134" i="11"/>
  <c r="S134" i="11" s="1"/>
  <c r="V158" i="10"/>
  <c r="K149" i="10"/>
  <c r="L149" i="10"/>
  <c r="O149" i="10" s="1"/>
  <c r="J149" i="10" s="1"/>
  <c r="AI114" i="11"/>
  <c r="AI128" i="11"/>
  <c r="K128" i="11" s="1"/>
  <c r="M128" i="11" s="1"/>
  <c r="J128" i="11" s="1"/>
  <c r="K151" i="10"/>
  <c r="L151" i="10"/>
  <c r="O151" i="10" s="1"/>
  <c r="J151" i="10" s="1"/>
  <c r="L139" i="10"/>
  <c r="K139" i="10"/>
  <c r="L143" i="10"/>
  <c r="K143" i="10"/>
  <c r="K144" i="10"/>
  <c r="L144" i="10"/>
  <c r="AF32" i="18"/>
  <c r="AE44" i="18"/>
  <c r="AI118" i="11"/>
  <c r="AI132" i="11"/>
  <c r="K132" i="11" s="1"/>
  <c r="M132" i="11" s="1"/>
  <c r="J132" i="11" s="1"/>
  <c r="L137" i="10"/>
  <c r="K137" i="10"/>
  <c r="AI134" i="11"/>
  <c r="K134" i="11" s="1"/>
  <c r="M134" i="11" s="1"/>
  <c r="J134" i="11" s="1"/>
  <c r="AI120" i="11"/>
  <c r="AI111" i="11"/>
  <c r="AI125" i="11"/>
  <c r="K125" i="11" s="1"/>
  <c r="M125" i="11" s="1"/>
  <c r="J125" i="11" s="1"/>
  <c r="AP131" i="11"/>
  <c r="S131" i="11" s="1"/>
  <c r="T131" i="11" s="1"/>
  <c r="AP130" i="11"/>
  <c r="S130" i="11" s="1"/>
  <c r="T130" i="11" s="1"/>
  <c r="V154" i="10"/>
  <c r="L153" i="10"/>
  <c r="O153" i="10" s="1"/>
  <c r="J153" i="10" s="1"/>
  <c r="K153" i="10"/>
  <c r="AF38" i="18"/>
  <c r="AG26" i="18"/>
  <c r="F295" i="10" l="1"/>
  <c r="V132" i="34"/>
  <c r="L119" i="34"/>
  <c r="L122" i="34" s="1"/>
  <c r="N169" i="34"/>
  <c r="O169" i="34"/>
  <c r="O167" i="34"/>
  <c r="N167" i="34"/>
  <c r="L118" i="34"/>
  <c r="M118" i="34" s="1"/>
  <c r="M171" i="34" s="1"/>
  <c r="N174" i="34"/>
  <c r="O174" i="34"/>
  <c r="N173" i="34"/>
  <c r="O173" i="34"/>
  <c r="O163" i="34"/>
  <c r="O168" i="34"/>
  <c r="N168" i="34"/>
  <c r="N170" i="34"/>
  <c r="O170" i="34"/>
  <c r="N166" i="34"/>
  <c r="O166" i="34"/>
  <c r="V127" i="34"/>
  <c r="V130" i="34"/>
  <c r="S132" i="11"/>
  <c r="T132" i="11" s="1"/>
  <c r="W148" i="10"/>
  <c r="AA148" i="10"/>
  <c r="AA159" i="10"/>
  <c r="V125" i="11"/>
  <c r="D50" i="12"/>
  <c r="E51" i="12"/>
  <c r="V129" i="11"/>
  <c r="V131" i="11"/>
  <c r="V126" i="11"/>
  <c r="E53" i="12"/>
  <c r="D53" i="12"/>
  <c r="E50" i="12"/>
  <c r="E52" i="12"/>
  <c r="Y156" i="10"/>
  <c r="U156" i="10"/>
  <c r="D52" i="12"/>
  <c r="C70" i="18"/>
  <c r="X70" i="18" s="1"/>
  <c r="K111" i="11"/>
  <c r="L111" i="11" s="1"/>
  <c r="M111" i="11" s="1"/>
  <c r="M199" i="11" s="1"/>
  <c r="O199" i="11" s="1"/>
  <c r="AJ111" i="11"/>
  <c r="M138" i="10"/>
  <c r="AG27" i="18"/>
  <c r="AF39" i="18"/>
  <c r="AF43" i="18"/>
  <c r="AG31" i="18"/>
  <c r="AJ116" i="11"/>
  <c r="K116" i="11"/>
  <c r="L116" i="11" s="1"/>
  <c r="M116" i="11" s="1"/>
  <c r="M204" i="11" s="1"/>
  <c r="M143" i="10"/>
  <c r="U158" i="10"/>
  <c r="F294" i="10" s="1"/>
  <c r="Y158" i="10"/>
  <c r="M136" i="10"/>
  <c r="M141" i="10"/>
  <c r="O141" i="10" s="1"/>
  <c r="O220" i="10" s="1"/>
  <c r="M142" i="10"/>
  <c r="U150" i="10"/>
  <c r="Y150" i="10"/>
  <c r="M137" i="10"/>
  <c r="M135" i="10"/>
  <c r="O135" i="10" s="1"/>
  <c r="K112" i="11"/>
  <c r="L112" i="11" s="1"/>
  <c r="M112" i="11" s="1"/>
  <c r="M200" i="11" s="1"/>
  <c r="O200" i="11" s="1"/>
  <c r="AJ112" i="11"/>
  <c r="AG30" i="18"/>
  <c r="AF42" i="18"/>
  <c r="AF45" i="18"/>
  <c r="J70" i="18" s="1"/>
  <c r="AE70" i="18" s="1"/>
  <c r="AG33" i="18"/>
  <c r="K120" i="11"/>
  <c r="L120" i="11" s="1"/>
  <c r="M120" i="11" s="1"/>
  <c r="M208" i="11" s="1"/>
  <c r="AJ120" i="11"/>
  <c r="AH26" i="18"/>
  <c r="AG38" i="18"/>
  <c r="M139" i="10"/>
  <c r="O139" i="10" s="1"/>
  <c r="O218" i="10" s="1"/>
  <c r="K113" i="11"/>
  <c r="L113" i="11" s="1"/>
  <c r="M113" i="11" s="1"/>
  <c r="M201" i="11" s="1"/>
  <c r="AJ113" i="11"/>
  <c r="K121" i="11"/>
  <c r="M121" i="11" s="1"/>
  <c r="AJ121" i="11"/>
  <c r="AG29" i="18"/>
  <c r="AF41" i="18"/>
  <c r="F70" i="18" s="1"/>
  <c r="AD70" i="18" s="1"/>
  <c r="D51" i="12"/>
  <c r="Y149" i="10"/>
  <c r="W149" i="10"/>
  <c r="U154" i="10"/>
  <c r="Y154" i="10"/>
  <c r="AJ118" i="11"/>
  <c r="K118" i="11"/>
  <c r="L118" i="11" s="1"/>
  <c r="M118" i="11" s="1"/>
  <c r="M206" i="11" s="1"/>
  <c r="X224" i="10"/>
  <c r="W224" i="10"/>
  <c r="V130" i="11"/>
  <c r="AJ115" i="11"/>
  <c r="AJ110" i="11"/>
  <c r="K110" i="11"/>
  <c r="M134" i="10"/>
  <c r="N134" i="10" s="1"/>
  <c r="Y159" i="10"/>
  <c r="L117" i="11"/>
  <c r="M117" i="11" s="1"/>
  <c r="M205" i="11" s="1"/>
  <c r="AJ117" i="11"/>
  <c r="M140" i="10"/>
  <c r="O140" i="10" s="1"/>
  <c r="O219" i="10" s="1"/>
  <c r="AG28" i="18"/>
  <c r="AF40" i="18"/>
  <c r="U157" i="10"/>
  <c r="Y157" i="10"/>
  <c r="Y152" i="10"/>
  <c r="U152" i="10"/>
  <c r="AG32" i="18"/>
  <c r="AF44" i="18"/>
  <c r="U151" i="10"/>
  <c r="Y151" i="10"/>
  <c r="U155" i="10"/>
  <c r="F291" i="10" s="1"/>
  <c r="Y155" i="10"/>
  <c r="AJ114" i="11"/>
  <c r="K114" i="11"/>
  <c r="L114" i="11" s="1"/>
  <c r="M114" i="11" s="1"/>
  <c r="M202" i="11" s="1"/>
  <c r="V127" i="11"/>
  <c r="M144" i="10"/>
  <c r="U153" i="10"/>
  <c r="Y153" i="10"/>
  <c r="AJ119" i="11"/>
  <c r="K119" i="11"/>
  <c r="V128" i="11"/>
  <c r="AA152" i="10" l="1"/>
  <c r="F288" i="10"/>
  <c r="AA154" i="10"/>
  <c r="F290" i="10"/>
  <c r="AA150" i="10"/>
  <c r="F286" i="10"/>
  <c r="AA153" i="10"/>
  <c r="F289" i="10"/>
  <c r="AA151" i="10"/>
  <c r="F287" i="10"/>
  <c r="AA156" i="10"/>
  <c r="F292" i="10"/>
  <c r="AA157" i="10"/>
  <c r="F293" i="10"/>
  <c r="N171" i="34"/>
  <c r="O171" i="34"/>
  <c r="M119" i="34"/>
  <c r="M172" i="34" s="1"/>
  <c r="M175" i="34" s="1"/>
  <c r="U132" i="11"/>
  <c r="V132" i="11"/>
  <c r="U135" i="11"/>
  <c r="CA28" i="19"/>
  <c r="G158" i="10"/>
  <c r="AA158" i="10"/>
  <c r="G155" i="10"/>
  <c r="AA155" i="10"/>
  <c r="U145" i="10"/>
  <c r="AM131" i="19"/>
  <c r="AM144" i="19" s="1"/>
  <c r="BV52" i="19"/>
  <c r="BV48" i="19" s="1"/>
  <c r="BV50" i="19" s="1"/>
  <c r="N138" i="10"/>
  <c r="G50" i="12"/>
  <c r="C50" i="12" s="1"/>
  <c r="C60" i="12" s="1"/>
  <c r="AO146" i="19"/>
  <c r="AO132" i="19"/>
  <c r="AO131" i="19"/>
  <c r="BY52" i="19"/>
  <c r="BY48" i="19" s="1"/>
  <c r="BY50" i="19" s="1"/>
  <c r="N142" i="10"/>
  <c r="G51" i="12"/>
  <c r="C51" i="12" s="1"/>
  <c r="C61" i="12" s="1"/>
  <c r="N140" i="10"/>
  <c r="N137" i="10"/>
  <c r="G53" i="12"/>
  <c r="C53" i="12" s="1"/>
  <c r="C63" i="12" s="1"/>
  <c r="E155" i="17"/>
  <c r="E149" i="20"/>
  <c r="L59" i="12" a="1"/>
  <c r="O59" i="12" s="1"/>
  <c r="G52" i="12"/>
  <c r="C52" i="12" s="1"/>
  <c r="C62" i="12" s="1"/>
  <c r="N136" i="10"/>
  <c r="X218" i="10"/>
  <c r="W218" i="10"/>
  <c r="AG45" i="18"/>
  <c r="AH33" i="18"/>
  <c r="N208" i="11"/>
  <c r="O208" i="11"/>
  <c r="F148" i="20"/>
  <c r="X158" i="10"/>
  <c r="F154" i="17"/>
  <c r="AH27" i="18"/>
  <c r="AG39" i="18"/>
  <c r="X219" i="10"/>
  <c r="W219" i="10"/>
  <c r="M146" i="10"/>
  <c r="N143" i="10"/>
  <c r="O202" i="11"/>
  <c r="N202" i="11"/>
  <c r="E70" i="18"/>
  <c r="AB70" i="18" s="1"/>
  <c r="E153" i="17"/>
  <c r="E147" i="20"/>
  <c r="F133" i="11"/>
  <c r="E205" i="11" s="1"/>
  <c r="AH28" i="18"/>
  <c r="AG40" i="18"/>
  <c r="L110" i="11"/>
  <c r="M110" i="11" s="1"/>
  <c r="M198" i="11" s="1"/>
  <c r="O143" i="10"/>
  <c r="O222" i="10" s="1"/>
  <c r="O138" i="10"/>
  <c r="O217" i="10" s="1"/>
  <c r="V133" i="11"/>
  <c r="F145" i="20"/>
  <c r="H145" i="20" s="1"/>
  <c r="K145" i="20" s="1"/>
  <c r="L145" i="20" s="1"/>
  <c r="X155" i="10"/>
  <c r="F151" i="17"/>
  <c r="H151" i="17" s="1"/>
  <c r="O151" i="17" s="1"/>
  <c r="P151" i="17" s="1"/>
  <c r="O142" i="10"/>
  <c r="O221" i="10" s="1"/>
  <c r="G156" i="10"/>
  <c r="F146" i="20"/>
  <c r="H146" i="20" s="1"/>
  <c r="K146" i="20" s="1"/>
  <c r="L146" i="20" s="1"/>
  <c r="X156" i="10"/>
  <c r="F152" i="17"/>
  <c r="H152" i="17" s="1"/>
  <c r="O152" i="17" s="1"/>
  <c r="P152" i="17" s="1"/>
  <c r="L115" i="11"/>
  <c r="M115" i="11" s="1"/>
  <c r="M203" i="11" s="1"/>
  <c r="G70" i="18"/>
  <c r="AC70" i="18" s="1"/>
  <c r="X220" i="10"/>
  <c r="W220" i="10"/>
  <c r="O205" i="11"/>
  <c r="N205" i="11"/>
  <c r="N139" i="10"/>
  <c r="M209" i="11"/>
  <c r="N141" i="10"/>
  <c r="O204" i="11"/>
  <c r="N204" i="11"/>
  <c r="AL140" i="19"/>
  <c r="AL141" i="19" s="1"/>
  <c r="AL146" i="19"/>
  <c r="X150" i="10"/>
  <c r="G150" i="10"/>
  <c r="F50" i="20"/>
  <c r="F50" i="17"/>
  <c r="F140" i="20"/>
  <c r="H140" i="20" s="1"/>
  <c r="K140" i="20" s="1"/>
  <c r="L140" i="20" s="1"/>
  <c r="F146" i="17"/>
  <c r="H146" i="17" s="1"/>
  <c r="O146" i="17" s="1"/>
  <c r="P146" i="17" s="1"/>
  <c r="X151" i="10"/>
  <c r="F147" i="17"/>
  <c r="H147" i="17" s="1"/>
  <c r="O147" i="17" s="1"/>
  <c r="P147" i="17" s="1"/>
  <c r="F141" i="20"/>
  <c r="H141" i="20" s="1"/>
  <c r="K141" i="20" s="1"/>
  <c r="L141" i="20" s="1"/>
  <c r="G151" i="10"/>
  <c r="F51" i="17"/>
  <c r="F51" i="20"/>
  <c r="AH30" i="18"/>
  <c r="AG42" i="18"/>
  <c r="AH32" i="18"/>
  <c r="AG44" i="18"/>
  <c r="F148" i="17"/>
  <c r="H148" i="17" s="1"/>
  <c r="O148" i="17" s="1"/>
  <c r="P148" i="17" s="1"/>
  <c r="F142" i="20"/>
  <c r="H142" i="20" s="1"/>
  <c r="K142" i="20" s="1"/>
  <c r="L142" i="20" s="1"/>
  <c r="G152" i="10"/>
  <c r="X152" i="10"/>
  <c r="W214" i="10"/>
  <c r="O214" i="10"/>
  <c r="X214" i="10" s="1"/>
  <c r="L119" i="11"/>
  <c r="L122" i="11" s="1"/>
  <c r="N144" i="10"/>
  <c r="O144" i="10"/>
  <c r="O223" i="10" s="1"/>
  <c r="F150" i="17"/>
  <c r="H150" i="17" s="1"/>
  <c r="O150" i="17" s="1"/>
  <c r="P150" i="17" s="1"/>
  <c r="G154" i="10"/>
  <c r="F144" i="20"/>
  <c r="H144" i="20" s="1"/>
  <c r="K144" i="20" s="1"/>
  <c r="L144" i="20" s="1"/>
  <c r="X154" i="10"/>
  <c r="F52" i="20"/>
  <c r="F52" i="17"/>
  <c r="N135" i="10"/>
  <c r="O136" i="10"/>
  <c r="AH31" i="18"/>
  <c r="AG43" i="18"/>
  <c r="I70" i="18"/>
  <c r="AA70" i="18" s="1"/>
  <c r="F149" i="20"/>
  <c r="F155" i="17"/>
  <c r="X159" i="10"/>
  <c r="N201" i="11"/>
  <c r="O201" i="11"/>
  <c r="AH38" i="18"/>
  <c r="AI26" i="18"/>
  <c r="N206" i="11"/>
  <c r="O206" i="11"/>
  <c r="F143" i="20"/>
  <c r="H143" i="20" s="1"/>
  <c r="K143" i="20" s="1"/>
  <c r="L143" i="20" s="1"/>
  <c r="G153" i="10"/>
  <c r="X153" i="10"/>
  <c r="F149" i="17"/>
  <c r="H149" i="17" s="1"/>
  <c r="O149" i="17" s="1"/>
  <c r="P149" i="17" s="1"/>
  <c r="AG41" i="18"/>
  <c r="AH29" i="18"/>
  <c r="F147" i="20"/>
  <c r="X157" i="10"/>
  <c r="F153" i="17"/>
  <c r="G157" i="10"/>
  <c r="F53" i="20"/>
  <c r="F53" i="17"/>
  <c r="O134" i="10"/>
  <c r="O137" i="10"/>
  <c r="D70" i="18"/>
  <c r="Z70" i="18" s="1"/>
  <c r="H70" i="18"/>
  <c r="Y70" i="18" s="1"/>
  <c r="AO144" i="19" l="1"/>
  <c r="AO140" i="19"/>
  <c r="H151" i="10"/>
  <c r="H150" i="10"/>
  <c r="O172" i="34"/>
  <c r="N172" i="34"/>
  <c r="N175" i="34" s="1"/>
  <c r="E133" i="11"/>
  <c r="AQ132" i="19"/>
  <c r="AQ146" i="19"/>
  <c r="Q59" i="12"/>
  <c r="P59" i="12"/>
  <c r="S59" i="12"/>
  <c r="N59" i="12"/>
  <c r="AL132" i="19"/>
  <c r="CA52" i="19"/>
  <c r="CA48" i="19" s="1"/>
  <c r="CA50" i="19" s="1"/>
  <c r="AM132" i="19"/>
  <c r="AM146" i="19"/>
  <c r="F74" i="17"/>
  <c r="AQ131" i="19"/>
  <c r="AQ140" i="19" s="1"/>
  <c r="BW52" i="19"/>
  <c r="BW48" i="19" s="1"/>
  <c r="BW50" i="19" s="1"/>
  <c r="AL131" i="19"/>
  <c r="R59" i="12"/>
  <c r="L59" i="12"/>
  <c r="M59" i="12"/>
  <c r="BY46" i="19"/>
  <c r="AO148" i="19"/>
  <c r="H152" i="10"/>
  <c r="BW46" i="19"/>
  <c r="AM148" i="19"/>
  <c r="M119" i="11"/>
  <c r="M207" i="11" s="1"/>
  <c r="O207" i="11" s="1"/>
  <c r="C57" i="12"/>
  <c r="H155" i="17"/>
  <c r="O155" i="17" s="1"/>
  <c r="H157" i="10"/>
  <c r="N145" i="10"/>
  <c r="H149" i="20"/>
  <c r="K149" i="20" s="1"/>
  <c r="M142" i="20"/>
  <c r="H154" i="10"/>
  <c r="Q148" i="17"/>
  <c r="M146" i="20"/>
  <c r="Q151" i="17"/>
  <c r="H52" i="17"/>
  <c r="I52" i="17" s="1"/>
  <c r="M75" i="18"/>
  <c r="N75" i="18" s="1"/>
  <c r="O75" i="18" s="1"/>
  <c r="P75" i="18" s="1"/>
  <c r="Q75" i="18" s="1"/>
  <c r="R75" i="18" s="1"/>
  <c r="S75" i="18" s="1"/>
  <c r="T75" i="18" s="1"/>
  <c r="F108" i="17"/>
  <c r="Q147" i="17"/>
  <c r="H153" i="17"/>
  <c r="O153" i="17" s="1"/>
  <c r="N203" i="11"/>
  <c r="O203" i="11"/>
  <c r="W213" i="10"/>
  <c r="O213" i="10"/>
  <c r="D216" i="10"/>
  <c r="W215" i="10"/>
  <c r="O215" i="10"/>
  <c r="X215" i="10" s="1"/>
  <c r="Q146" i="17"/>
  <c r="S146" i="17"/>
  <c r="W217" i="10"/>
  <c r="X217" i="10"/>
  <c r="H158" i="10"/>
  <c r="H52" i="20"/>
  <c r="D52" i="20" s="1"/>
  <c r="D76" i="20" s="1"/>
  <c r="F102" i="20"/>
  <c r="AI29" i="18"/>
  <c r="AH41" i="18"/>
  <c r="M144" i="20"/>
  <c r="M140" i="20"/>
  <c r="O140" i="20"/>
  <c r="D49" i="12"/>
  <c r="E137" i="20"/>
  <c r="H137" i="20" s="1"/>
  <c r="E49" i="20"/>
  <c r="E143" i="17"/>
  <c r="H143" i="17" s="1"/>
  <c r="E49" i="17"/>
  <c r="H49" i="17" s="1"/>
  <c r="C37" i="18" a="1"/>
  <c r="R121" i="11"/>
  <c r="N113" i="9" a="1"/>
  <c r="Q152" i="17"/>
  <c r="X222" i="10"/>
  <c r="W222" i="10"/>
  <c r="M143" i="20"/>
  <c r="AJ26" i="18"/>
  <c r="AI38" i="18"/>
  <c r="C71" i="18" s="1"/>
  <c r="X71" i="18" s="1"/>
  <c r="H50" i="20"/>
  <c r="D50" i="20" s="1"/>
  <c r="F100" i="20"/>
  <c r="H100" i="20" s="1"/>
  <c r="M76" i="20" a="1"/>
  <c r="O198" i="11"/>
  <c r="H50" i="17"/>
  <c r="I50" i="17" s="1"/>
  <c r="M73" i="18"/>
  <c r="F106" i="17"/>
  <c r="H106" i="17" s="1"/>
  <c r="Q82" i="17" a="1"/>
  <c r="O209" i="11"/>
  <c r="N209" i="11"/>
  <c r="Q149" i="17"/>
  <c r="Q150" i="17"/>
  <c r="W223" i="10"/>
  <c r="X223" i="10"/>
  <c r="H156" i="10"/>
  <c r="AI32" i="18"/>
  <c r="AH44" i="18"/>
  <c r="O216" i="10"/>
  <c r="X216" i="10" s="1"/>
  <c r="W216" i="10"/>
  <c r="H153" i="10"/>
  <c r="G161" i="10"/>
  <c r="AI31" i="18"/>
  <c r="AH43" i="18"/>
  <c r="AI30" i="18"/>
  <c r="AH42" i="18"/>
  <c r="X221" i="10"/>
  <c r="W221" i="10"/>
  <c r="AI28" i="18"/>
  <c r="AH40" i="18"/>
  <c r="AI33" i="18"/>
  <c r="AH45" i="18"/>
  <c r="F101" i="20"/>
  <c r="H101" i="20" s="1"/>
  <c r="H51" i="20"/>
  <c r="D51" i="20" s="1"/>
  <c r="D75" i="20" s="1"/>
  <c r="H155" i="10"/>
  <c r="M76" i="18"/>
  <c r="F109" i="17"/>
  <c r="F103" i="20"/>
  <c r="G133" i="11"/>
  <c r="F107" i="17"/>
  <c r="H107" i="17" s="1"/>
  <c r="H51" i="17"/>
  <c r="I51" i="17" s="1"/>
  <c r="M74" i="18"/>
  <c r="M141" i="20"/>
  <c r="M145" i="20"/>
  <c r="H147" i="20"/>
  <c r="K147" i="20" s="1"/>
  <c r="AH39" i="18"/>
  <c r="AI27" i="18"/>
  <c r="CA46" i="19" l="1"/>
  <c r="AQ144" i="19"/>
  <c r="F165" i="10"/>
  <c r="F180" i="10"/>
  <c r="N207" i="11"/>
  <c r="N210" i="11" s="1"/>
  <c r="M210" i="11"/>
  <c r="AQ148" i="19"/>
  <c r="BV46" i="19"/>
  <c r="C50" i="17"/>
  <c r="D80" i="17"/>
  <c r="D82" i="17"/>
  <c r="C52" i="17"/>
  <c r="D81" i="17"/>
  <c r="C51" i="17"/>
  <c r="N76" i="18"/>
  <c r="O76" i="18" s="1"/>
  <c r="K101" i="20"/>
  <c r="K100" i="20"/>
  <c r="N73" i="18"/>
  <c r="AK26" i="18"/>
  <c r="AJ38" i="18"/>
  <c r="AJ33" i="18"/>
  <c r="AI45" i="18"/>
  <c r="J71" i="18" s="1"/>
  <c r="AE71" i="18" s="1"/>
  <c r="X213" i="10"/>
  <c r="O225" i="10"/>
  <c r="H49" i="20"/>
  <c r="I49" i="20" s="1"/>
  <c r="E81" i="20"/>
  <c r="I99" i="20"/>
  <c r="E102" i="20" s="1"/>
  <c r="H102" i="20" s="1"/>
  <c r="K102" i="20" s="1"/>
  <c r="D87" i="20"/>
  <c r="D89" i="20" s="1"/>
  <c r="W225" i="10"/>
  <c r="T76" i="20"/>
  <c r="R76" i="20"/>
  <c r="O76" i="20"/>
  <c r="S76" i="20"/>
  <c r="M76" i="20"/>
  <c r="P76" i="20"/>
  <c r="Q76" i="20"/>
  <c r="N76" i="20"/>
  <c r="D67" i="12"/>
  <c r="G49" i="12"/>
  <c r="C49" i="12" s="1"/>
  <c r="C73" i="12"/>
  <c r="C75" i="12" s="1"/>
  <c r="L60" i="12" a="1"/>
  <c r="E87" i="17"/>
  <c r="I105" i="17"/>
  <c r="E108" i="17" s="1"/>
  <c r="H108" i="17" s="1"/>
  <c r="O108" i="17" s="1"/>
  <c r="D93" i="17"/>
  <c r="I49" i="17"/>
  <c r="AJ28" i="18"/>
  <c r="AI40" i="18"/>
  <c r="E71" i="18" s="1"/>
  <c r="AB71" i="18" s="1"/>
  <c r="AJ32" i="18"/>
  <c r="AI44" i="18"/>
  <c r="I71" i="18" s="1"/>
  <c r="AA71" i="18" s="1"/>
  <c r="D74" i="20"/>
  <c r="AI39" i="18"/>
  <c r="AJ27" i="18"/>
  <c r="AJ30" i="18"/>
  <c r="AI42" i="18"/>
  <c r="W113" i="9"/>
  <c r="S113" i="9"/>
  <c r="V113" i="9"/>
  <c r="X113" i="9"/>
  <c r="T113" i="9"/>
  <c r="Y113" i="9"/>
  <c r="U113" i="9"/>
  <c r="N113" i="9"/>
  <c r="O113" i="9"/>
  <c r="P113" i="9"/>
  <c r="Q113" i="9"/>
  <c r="R113" i="9"/>
  <c r="N74" i="18"/>
  <c r="AJ31" i="18"/>
  <c r="AI43" i="18"/>
  <c r="Q82" i="17"/>
  <c r="W82" i="17"/>
  <c r="U82" i="17"/>
  <c r="V82" i="17"/>
  <c r="X82" i="17"/>
  <c r="S82" i="17"/>
  <c r="T82" i="17"/>
  <c r="R82" i="17"/>
  <c r="O107" i="17"/>
  <c r="G166" i="10"/>
  <c r="F181" i="10" s="1"/>
  <c r="O106" i="17"/>
  <c r="X37" i="18"/>
  <c r="I37" i="18"/>
  <c r="O37" i="18"/>
  <c r="T37" i="18"/>
  <c r="V37" i="18"/>
  <c r="M37" i="18"/>
  <c r="J37" i="18"/>
  <c r="R37" i="18"/>
  <c r="N37" i="18"/>
  <c r="K37" i="18"/>
  <c r="E37" i="18"/>
  <c r="Y37" i="18"/>
  <c r="U37" i="18"/>
  <c r="S37" i="18"/>
  <c r="AB37" i="18"/>
  <c r="AL37" i="18"/>
  <c r="AF37" i="18"/>
  <c r="H37" i="18"/>
  <c r="AJ37" i="18"/>
  <c r="F37" i="18"/>
  <c r="P37" i="18"/>
  <c r="AI37" i="18"/>
  <c r="AI50" i="18" s="1"/>
  <c r="AH37" i="18"/>
  <c r="AH50" i="18" s="1"/>
  <c r="W37" i="18"/>
  <c r="Q37" i="18"/>
  <c r="AE37" i="18"/>
  <c r="C37" i="18"/>
  <c r="Z37" i="18"/>
  <c r="AG37" i="18"/>
  <c r="AC37" i="18"/>
  <c r="AA37" i="18"/>
  <c r="G37" i="18"/>
  <c r="L37" i="18"/>
  <c r="AK37" i="18"/>
  <c r="D37" i="18"/>
  <c r="AD37" i="18"/>
  <c r="AJ29" i="18"/>
  <c r="AI41" i="18"/>
  <c r="E181" i="10" l="1"/>
  <c r="F296" i="10"/>
  <c r="AR131" i="19"/>
  <c r="AR140" i="19" s="1"/>
  <c r="CB28" i="19"/>
  <c r="AR132" i="19"/>
  <c r="AR146" i="19"/>
  <c r="CB52" i="19"/>
  <c r="CB48" i="19" s="1"/>
  <c r="CB50" i="19" s="1"/>
  <c r="D95" i="17"/>
  <c r="D71" i="17"/>
  <c r="I166" i="10"/>
  <c r="AH55" i="18"/>
  <c r="AI56" i="18"/>
  <c r="AK33" i="18"/>
  <c r="AJ45" i="18"/>
  <c r="AI51" i="18"/>
  <c r="D71" i="18"/>
  <c r="Z71" i="18" s="1"/>
  <c r="U52" i="18"/>
  <c r="U55" i="18"/>
  <c r="U53" i="18"/>
  <c r="U54" i="18"/>
  <c r="U56" i="18"/>
  <c r="U51" i="18"/>
  <c r="U50" i="18"/>
  <c r="AK30" i="18"/>
  <c r="AJ42" i="18"/>
  <c r="M60" i="12"/>
  <c r="R60" i="12"/>
  <c r="O60" i="12"/>
  <c r="N60" i="12"/>
  <c r="L60" i="12"/>
  <c r="S60" i="12"/>
  <c r="Q60" i="12"/>
  <c r="P60" i="12"/>
  <c r="S51" i="18"/>
  <c r="S52" i="18"/>
  <c r="S53" i="18"/>
  <c r="S54" i="18"/>
  <c r="S50" i="18"/>
  <c r="S55" i="18"/>
  <c r="S56" i="18"/>
  <c r="Q116" i="9"/>
  <c r="Q103" i="9"/>
  <c r="Q104" i="9" s="1"/>
  <c r="Q55" i="18"/>
  <c r="Q52" i="18"/>
  <c r="Q54" i="18"/>
  <c r="Q53" i="18"/>
  <c r="Q56" i="18"/>
  <c r="Q50" i="18"/>
  <c r="Q51" i="18"/>
  <c r="W50" i="18"/>
  <c r="W52" i="18"/>
  <c r="W53" i="18"/>
  <c r="W55" i="18"/>
  <c r="W54" i="18"/>
  <c r="W51" i="18"/>
  <c r="W56" i="18"/>
  <c r="G167" i="10"/>
  <c r="F182" i="10" s="1"/>
  <c r="E182" i="10" s="1"/>
  <c r="P56" i="18"/>
  <c r="P54" i="18"/>
  <c r="P51" i="18"/>
  <c r="P52" i="18"/>
  <c r="P53" i="18"/>
  <c r="P50" i="18"/>
  <c r="P55" i="18"/>
  <c r="F49" i="12"/>
  <c r="F67" i="12" s="1"/>
  <c r="C56" i="12"/>
  <c r="L61" i="12" a="1"/>
  <c r="AI53" i="18"/>
  <c r="F71" i="18"/>
  <c r="AD71" i="18" s="1"/>
  <c r="Y50" i="18"/>
  <c r="Y52" i="18"/>
  <c r="Y51" i="18"/>
  <c r="Y55" i="18"/>
  <c r="Y56" i="18"/>
  <c r="Y53" i="18"/>
  <c r="Y54" i="18"/>
  <c r="O103" i="9"/>
  <c r="O104" i="9" s="1"/>
  <c r="O116" i="9"/>
  <c r="U116" i="9"/>
  <c r="U103" i="9"/>
  <c r="U104" i="9" s="1"/>
  <c r="Y103" i="9"/>
  <c r="Y104" i="9" s="1"/>
  <c r="Y116" i="9"/>
  <c r="T103" i="9"/>
  <c r="T104" i="9" s="1"/>
  <c r="T116" i="9"/>
  <c r="AA50" i="18"/>
  <c r="AA55" i="18"/>
  <c r="AA52" i="18"/>
  <c r="AA53" i="18"/>
  <c r="AA56" i="18"/>
  <c r="AA54" i="18"/>
  <c r="AA51" i="18"/>
  <c r="AH53" i="18"/>
  <c r="O74" i="18"/>
  <c r="X103" i="9"/>
  <c r="X104" i="9" s="1"/>
  <c r="X116" i="9"/>
  <c r="P76" i="18"/>
  <c r="AI52" i="18"/>
  <c r="AE50" i="18"/>
  <c r="AE51" i="18"/>
  <c r="AE52" i="18"/>
  <c r="AE55" i="18"/>
  <c r="AE56" i="18"/>
  <c r="AE53" i="18"/>
  <c r="AE54" i="18"/>
  <c r="AJ41" i="18"/>
  <c r="AK29" i="18"/>
  <c r="AD50" i="18"/>
  <c r="AD55" i="18"/>
  <c r="AD54" i="18"/>
  <c r="AD52" i="18"/>
  <c r="AD53" i="18"/>
  <c r="AD56" i="18"/>
  <c r="AD51" i="18"/>
  <c r="AI54" i="18"/>
  <c r="G71" i="18"/>
  <c r="AC71" i="18" s="1"/>
  <c r="N116" i="9"/>
  <c r="N103" i="9"/>
  <c r="N104" i="9" s="1"/>
  <c r="AK32" i="18"/>
  <c r="AJ44" i="18"/>
  <c r="AJ43" i="18"/>
  <c r="AK31" i="18"/>
  <c r="V116" i="9"/>
  <c r="V103" i="9"/>
  <c r="V104" i="9" s="1"/>
  <c r="AH56" i="18"/>
  <c r="AK28" i="18"/>
  <c r="AJ40" i="18"/>
  <c r="E135" i="11"/>
  <c r="AJ50" i="18"/>
  <c r="N52" i="18"/>
  <c r="N53" i="18"/>
  <c r="N54" i="18"/>
  <c r="N50" i="18"/>
  <c r="N55" i="18"/>
  <c r="N56" i="18"/>
  <c r="N51" i="18"/>
  <c r="AH54" i="18"/>
  <c r="R50" i="18"/>
  <c r="R55" i="18"/>
  <c r="R52" i="18"/>
  <c r="R51" i="18"/>
  <c r="R54" i="18"/>
  <c r="R53" i="18"/>
  <c r="R56" i="18"/>
  <c r="AG50" i="18"/>
  <c r="AG54" i="18"/>
  <c r="AG53" i="18"/>
  <c r="AG52" i="18"/>
  <c r="AG56" i="18"/>
  <c r="AG55" i="18"/>
  <c r="AG51" i="18"/>
  <c r="AF50" i="18"/>
  <c r="AF54" i="18"/>
  <c r="AF55" i="18"/>
  <c r="AF56" i="18"/>
  <c r="AF51" i="18"/>
  <c r="AF52" i="18"/>
  <c r="AF53" i="18"/>
  <c r="V50" i="18"/>
  <c r="V56" i="18"/>
  <c r="V55" i="18"/>
  <c r="V53" i="18"/>
  <c r="V52" i="18"/>
  <c r="V54" i="18"/>
  <c r="V51" i="18"/>
  <c r="S103" i="9"/>
  <c r="S104" i="9" s="1"/>
  <c r="S116" i="9"/>
  <c r="AH52" i="18"/>
  <c r="I135" i="20"/>
  <c r="K135" i="20" s="1"/>
  <c r="L135" i="20" s="1"/>
  <c r="I137" i="20"/>
  <c r="K137" i="20" s="1"/>
  <c r="L137" i="20" s="1"/>
  <c r="I136" i="20"/>
  <c r="K136" i="20" s="1"/>
  <c r="L136" i="20" s="1"/>
  <c r="AL26" i="18"/>
  <c r="AK38" i="18"/>
  <c r="AK50" i="18" s="1"/>
  <c r="AI55" i="18"/>
  <c r="H71" i="18"/>
  <c r="Y71" i="18" s="1"/>
  <c r="AC50" i="18"/>
  <c r="AC56" i="18"/>
  <c r="AC52" i="18"/>
  <c r="AC51" i="18"/>
  <c r="AC53" i="18"/>
  <c r="AC54" i="18"/>
  <c r="AC55" i="18"/>
  <c r="Z50" i="18"/>
  <c r="Z52" i="18"/>
  <c r="Z53" i="18"/>
  <c r="Z51" i="18"/>
  <c r="Z56" i="18"/>
  <c r="Z54" i="18"/>
  <c r="Z55" i="18"/>
  <c r="T53" i="18"/>
  <c r="T55" i="18"/>
  <c r="T50" i="18"/>
  <c r="T56" i="18"/>
  <c r="T52" i="18"/>
  <c r="T51" i="18"/>
  <c r="T54" i="18"/>
  <c r="W116" i="9"/>
  <c r="W103" i="9"/>
  <c r="W104" i="9" s="1"/>
  <c r="AH51" i="18"/>
  <c r="X50" i="18"/>
  <c r="X55" i="18"/>
  <c r="X56" i="18"/>
  <c r="X53" i="18"/>
  <c r="X51" i="18"/>
  <c r="X54" i="18"/>
  <c r="X52" i="18"/>
  <c r="P116" i="9"/>
  <c r="P103" i="9"/>
  <c r="P104" i="9" s="1"/>
  <c r="AB50" i="18"/>
  <c r="AB56" i="18"/>
  <c r="AB53" i="18"/>
  <c r="AB55" i="18"/>
  <c r="AB52" i="18"/>
  <c r="AB54" i="18"/>
  <c r="AB51" i="18"/>
  <c r="O52" i="18"/>
  <c r="O50" i="18"/>
  <c r="O55" i="18"/>
  <c r="O53" i="18"/>
  <c r="O54" i="18"/>
  <c r="O56" i="18"/>
  <c r="O51" i="18"/>
  <c r="R103" i="9"/>
  <c r="R104" i="9" s="1"/>
  <c r="R116" i="9"/>
  <c r="AK27" i="18"/>
  <c r="AJ39" i="18"/>
  <c r="I141" i="17"/>
  <c r="O141" i="17" s="1"/>
  <c r="P141" i="17" s="1"/>
  <c r="I142" i="17"/>
  <c r="O142" i="17" s="1"/>
  <c r="P142" i="17" s="1"/>
  <c r="I143" i="17"/>
  <c r="O143" i="17" s="1"/>
  <c r="P143" i="17" s="1"/>
  <c r="O73" i="18"/>
  <c r="AR148" i="19" l="1"/>
  <c r="AR144" i="19"/>
  <c r="CB46" i="19"/>
  <c r="U166" i="10"/>
  <c r="F297" i="10" s="1"/>
  <c r="F166" i="10"/>
  <c r="G168" i="10"/>
  <c r="I167" i="10"/>
  <c r="Q142" i="17"/>
  <c r="W117" i="9"/>
  <c r="K201" i="9"/>
  <c r="W122" i="9"/>
  <c r="N122" i="9"/>
  <c r="N117" i="9"/>
  <c r="L201" i="9"/>
  <c r="X117" i="9"/>
  <c r="X122" i="9"/>
  <c r="T122" i="9"/>
  <c r="T117" i="9"/>
  <c r="P61" i="12"/>
  <c r="P62" i="12" s="1"/>
  <c r="S61" i="12"/>
  <c r="S62" i="12" s="1"/>
  <c r="O61" i="12"/>
  <c r="O62" i="12" s="1"/>
  <c r="M61" i="12"/>
  <c r="M62" i="12" s="1"/>
  <c r="R61" i="12"/>
  <c r="R62" i="12" s="1"/>
  <c r="Q61" i="12"/>
  <c r="Q62" i="12" s="1"/>
  <c r="N61" i="12"/>
  <c r="N62" i="12" s="1"/>
  <c r="L61" i="12"/>
  <c r="L62" i="12" s="1"/>
  <c r="Q141" i="17"/>
  <c r="P153" i="17"/>
  <c r="Q153" i="17" s="1"/>
  <c r="P117" i="9"/>
  <c r="P122" i="9"/>
  <c r="P73" i="18"/>
  <c r="M136" i="20"/>
  <c r="AJ52" i="18"/>
  <c r="Y117" i="9"/>
  <c r="M201" i="9"/>
  <c r="AM26" i="18"/>
  <c r="AL38" i="18"/>
  <c r="AL50" i="18" s="1"/>
  <c r="Q144" i="17"/>
  <c r="Q143" i="17"/>
  <c r="P155" i="17"/>
  <c r="M137" i="20"/>
  <c r="M138" i="20"/>
  <c r="L149" i="20"/>
  <c r="AL28" i="18"/>
  <c r="AK40" i="18"/>
  <c r="AK52" i="18" s="1"/>
  <c r="P74" i="18"/>
  <c r="Q122" i="9"/>
  <c r="Q117" i="9"/>
  <c r="AL27" i="18"/>
  <c r="AK39" i="18"/>
  <c r="AK51" i="18" s="1"/>
  <c r="AL31" i="18"/>
  <c r="AK43" i="18"/>
  <c r="AK55" i="18" s="1"/>
  <c r="R117" i="9"/>
  <c r="R122" i="9"/>
  <c r="AJ55" i="18"/>
  <c r="M135" i="20"/>
  <c r="L147" i="20"/>
  <c r="S122" i="9"/>
  <c r="S117" i="9"/>
  <c r="V122" i="9"/>
  <c r="V117" i="9"/>
  <c r="AJ56" i="18"/>
  <c r="U117" i="9"/>
  <c r="U122" i="9"/>
  <c r="AJ54" i="18"/>
  <c r="AL32" i="18"/>
  <c r="AK44" i="18"/>
  <c r="AK56" i="18" s="1"/>
  <c r="AK41" i="18"/>
  <c r="AK53" i="18" s="1"/>
  <c r="AL29" i="18"/>
  <c r="O117" i="9"/>
  <c r="O122" i="9"/>
  <c r="AL30" i="18"/>
  <c r="AK42" i="18"/>
  <c r="AK54" i="18" s="1"/>
  <c r="AJ51" i="18"/>
  <c r="AJ53" i="18"/>
  <c r="Q76" i="18"/>
  <c r="AK45" i="18"/>
  <c r="AL33" i="18"/>
  <c r="U167" i="10" l="1"/>
  <c r="F298" i="10" s="1"/>
  <c r="F167" i="10"/>
  <c r="C72" i="18"/>
  <c r="X72" i="18" s="1"/>
  <c r="F50" i="12" a="1"/>
  <c r="F53" i="12" s="1"/>
  <c r="AL45" i="18"/>
  <c r="AM33" i="18"/>
  <c r="I139" i="11"/>
  <c r="AL41" i="18"/>
  <c r="AM29" i="18"/>
  <c r="M147" i="20"/>
  <c r="C67" i="18"/>
  <c r="X67" i="18" s="1"/>
  <c r="AM38" i="18"/>
  <c r="AN26" i="18"/>
  <c r="AO26" i="18" s="1"/>
  <c r="AP26" i="18" s="1"/>
  <c r="AQ26" i="18" s="1"/>
  <c r="AR26" i="18" s="1"/>
  <c r="AS26" i="18" s="1"/>
  <c r="F141" i="11"/>
  <c r="Q74" i="18"/>
  <c r="AM32" i="18"/>
  <c r="AL44" i="18"/>
  <c r="AL43" i="18"/>
  <c r="AM31" i="18"/>
  <c r="AM28" i="18"/>
  <c r="AL40" i="18"/>
  <c r="AM30" i="18"/>
  <c r="AL42" i="18"/>
  <c r="F54" i="20"/>
  <c r="F59" i="20"/>
  <c r="F54" i="17"/>
  <c r="AM27" i="18"/>
  <c r="AL39" i="18"/>
  <c r="R76" i="18"/>
  <c r="G169" i="10"/>
  <c r="I168" i="10"/>
  <c r="Q73" i="18"/>
  <c r="I72" i="18"/>
  <c r="AA72" i="18" s="1"/>
  <c r="H54" i="17" l="1"/>
  <c r="D54" i="17" s="1"/>
  <c r="C54" i="17" s="1"/>
  <c r="L54" i="17" s="1"/>
  <c r="U168" i="10"/>
  <c r="F299" i="10" s="1"/>
  <c r="F168" i="10"/>
  <c r="F52" i="12"/>
  <c r="F50" i="12"/>
  <c r="F51" i="12"/>
  <c r="AT26" i="18"/>
  <c r="AS38" i="18"/>
  <c r="I169" i="10"/>
  <c r="G170" i="10"/>
  <c r="I170" i="10" s="1"/>
  <c r="U170" i="10" s="1"/>
  <c r="AM40" i="18"/>
  <c r="AN28" i="18"/>
  <c r="AO28" i="18" s="1"/>
  <c r="AP28" i="18" s="1"/>
  <c r="AQ28" i="18" s="1"/>
  <c r="AR28" i="18" s="1"/>
  <c r="AS28" i="18" s="1"/>
  <c r="AN38" i="18"/>
  <c r="AL53" i="18"/>
  <c r="F72" i="18"/>
  <c r="AD72" i="18" s="1"/>
  <c r="K139" i="11"/>
  <c r="L139" i="11" s="1"/>
  <c r="R73" i="18"/>
  <c r="AL51" i="18"/>
  <c r="D72" i="18"/>
  <c r="Z72" i="18" s="1"/>
  <c r="AN31" i="18"/>
  <c r="AO31" i="18" s="1"/>
  <c r="AP31" i="18" s="1"/>
  <c r="AQ31" i="18" s="1"/>
  <c r="AR31" i="18" s="1"/>
  <c r="AS31" i="18" s="1"/>
  <c r="AM43" i="18"/>
  <c r="AN33" i="18"/>
  <c r="AO33" i="18" s="1"/>
  <c r="AP33" i="18" s="1"/>
  <c r="AQ33" i="18" s="1"/>
  <c r="AR33" i="18" s="1"/>
  <c r="AS33" i="18" s="1"/>
  <c r="AM45" i="18"/>
  <c r="AN27" i="18"/>
  <c r="AO27" i="18" s="1"/>
  <c r="AP27" i="18" s="1"/>
  <c r="AQ27" i="18" s="1"/>
  <c r="AR27" i="18" s="1"/>
  <c r="AS27" i="18" s="1"/>
  <c r="AM39" i="18"/>
  <c r="AL55" i="18"/>
  <c r="H72" i="18"/>
  <c r="Y72" i="18" s="1"/>
  <c r="AL56" i="18"/>
  <c r="J65" i="18"/>
  <c r="AE65" i="18" s="1"/>
  <c r="J69" i="18"/>
  <c r="AE69" i="18" s="1"/>
  <c r="AN32" i="18"/>
  <c r="AO32" i="18" s="1"/>
  <c r="AP32" i="18" s="1"/>
  <c r="AQ32" i="18" s="1"/>
  <c r="AR32" i="18" s="1"/>
  <c r="AS32" i="18" s="1"/>
  <c r="AM44" i="18"/>
  <c r="AL54" i="18"/>
  <c r="G72" i="18"/>
  <c r="AC72" i="18" s="1"/>
  <c r="AN30" i="18"/>
  <c r="AO30" i="18" s="1"/>
  <c r="AP30" i="18" s="1"/>
  <c r="AQ30" i="18" s="1"/>
  <c r="AR30" i="18" s="1"/>
  <c r="AS30" i="18" s="1"/>
  <c r="AM42" i="18"/>
  <c r="E141" i="11"/>
  <c r="I141" i="11" s="1"/>
  <c r="F142" i="11"/>
  <c r="R74" i="18"/>
  <c r="S76" i="18"/>
  <c r="AL52" i="18"/>
  <c r="E72" i="18"/>
  <c r="AB72" i="18" s="1"/>
  <c r="AN29" i="18"/>
  <c r="AO29" i="18" s="1"/>
  <c r="AP29" i="18" s="1"/>
  <c r="AQ29" i="18" s="1"/>
  <c r="AR29" i="18" s="1"/>
  <c r="AS29" i="18" s="1"/>
  <c r="AM41" i="18"/>
  <c r="J72" i="18"/>
  <c r="AE72" i="18" s="1"/>
  <c r="U169" i="10" l="1"/>
  <c r="F300" i="10" s="1"/>
  <c r="F169" i="10"/>
  <c r="AT29" i="18"/>
  <c r="AS41" i="18"/>
  <c r="AT30" i="18"/>
  <c r="AS42" i="18"/>
  <c r="AT32" i="18"/>
  <c r="AS44" i="18"/>
  <c r="AT27" i="18"/>
  <c r="AS39" i="18"/>
  <c r="AT31" i="18"/>
  <c r="AS43" i="18"/>
  <c r="AT28" i="18"/>
  <c r="AS40" i="18"/>
  <c r="AT33" i="18"/>
  <c r="AS45" i="18"/>
  <c r="AU26" i="18"/>
  <c r="AT38" i="18"/>
  <c r="I65" i="18"/>
  <c r="AA65" i="18" s="1"/>
  <c r="F143" i="11"/>
  <c r="E142" i="11"/>
  <c r="I142" i="11" s="1"/>
  <c r="S73" i="18"/>
  <c r="AO38" i="18"/>
  <c r="H65" i="18"/>
  <c r="Y65" i="18" s="1"/>
  <c r="H66" i="18"/>
  <c r="Y66" i="18" s="1"/>
  <c r="T76" i="18"/>
  <c r="S74" i="18"/>
  <c r="AN42" i="18"/>
  <c r="AN44" i="18"/>
  <c r="AN39" i="18"/>
  <c r="E67" i="18"/>
  <c r="AB67" i="18" s="1"/>
  <c r="AN41" i="18"/>
  <c r="G65" i="18"/>
  <c r="AC65" i="18" s="1"/>
  <c r="K140" i="11"/>
  <c r="L140" i="11" s="1"/>
  <c r="AN43" i="18"/>
  <c r="AN45" i="18"/>
  <c r="AN40" i="18"/>
  <c r="G171" i="10"/>
  <c r="F170" i="10" l="1"/>
  <c r="M144" i="11"/>
  <c r="N144" i="11" s="1"/>
  <c r="F144" i="11"/>
  <c r="E144" i="11" s="1"/>
  <c r="I144" i="11" s="1"/>
  <c r="AU33" i="18"/>
  <c r="AT45" i="18"/>
  <c r="AU28" i="18"/>
  <c r="AT40" i="18"/>
  <c r="AU27" i="18"/>
  <c r="AT39" i="18"/>
  <c r="AU30" i="18"/>
  <c r="AT42" i="18"/>
  <c r="AV26" i="18"/>
  <c r="AV38" i="18" s="1"/>
  <c r="AU38" i="18"/>
  <c r="AU31" i="18"/>
  <c r="AT43" i="18"/>
  <c r="AU32" i="18"/>
  <c r="AT44" i="18"/>
  <c r="AU29" i="18"/>
  <c r="AT41" i="18"/>
  <c r="D84" i="17"/>
  <c r="T73" i="18"/>
  <c r="AO39" i="18"/>
  <c r="D73" i="18" s="1"/>
  <c r="Z73" i="18" s="1"/>
  <c r="Z79" i="18" s="1"/>
  <c r="AO40" i="18"/>
  <c r="C73" i="18"/>
  <c r="X73" i="18" s="1"/>
  <c r="AO44" i="18"/>
  <c r="K141" i="11"/>
  <c r="L141" i="11" s="1"/>
  <c r="AO41" i="18"/>
  <c r="AO42" i="18"/>
  <c r="AP38" i="18"/>
  <c r="AO45" i="18"/>
  <c r="T74" i="18"/>
  <c r="E143" i="11"/>
  <c r="I143" i="11" s="1"/>
  <c r="F55" i="20"/>
  <c r="G172" i="10"/>
  <c r="I171" i="10"/>
  <c r="AO43" i="18"/>
  <c r="F55" i="17" l="1"/>
  <c r="F301" i="10"/>
  <c r="F60" i="20"/>
  <c r="U171" i="10"/>
  <c r="F302" i="10" s="1"/>
  <c r="F171" i="10"/>
  <c r="M145" i="11"/>
  <c r="N145" i="11" s="1"/>
  <c r="AV30" i="18"/>
  <c r="AV42" i="18" s="1"/>
  <c r="AU42" i="18"/>
  <c r="AV28" i="18"/>
  <c r="AV40" i="18" s="1"/>
  <c r="AU40" i="18"/>
  <c r="AV29" i="18"/>
  <c r="AV41" i="18" s="1"/>
  <c r="AU41" i="18"/>
  <c r="AV31" i="18"/>
  <c r="AV43" i="18" s="1"/>
  <c r="AU43" i="18"/>
  <c r="AV32" i="18"/>
  <c r="AV44" i="18" s="1"/>
  <c r="AU44" i="18"/>
  <c r="I75" i="18"/>
  <c r="C75" i="18"/>
  <c r="AV27" i="18"/>
  <c r="AV39" i="18" s="1"/>
  <c r="AU39" i="18"/>
  <c r="AV33" i="18"/>
  <c r="AV45" i="18" s="1"/>
  <c r="AU45" i="18"/>
  <c r="J75" i="18" s="1"/>
  <c r="AP43" i="18"/>
  <c r="K142" i="11"/>
  <c r="L142" i="11" s="1"/>
  <c r="E59" i="20"/>
  <c r="I73" i="18"/>
  <c r="AA73" i="18" s="1"/>
  <c r="AA79" i="18" s="1"/>
  <c r="I172" i="10"/>
  <c r="G173" i="10"/>
  <c r="G174" i="10" s="1"/>
  <c r="I174" i="10" s="1"/>
  <c r="AP45" i="18"/>
  <c r="AP44" i="18"/>
  <c r="E73" i="18"/>
  <c r="AB73" i="18" s="1"/>
  <c r="AB79" i="18" s="1"/>
  <c r="F145" i="11"/>
  <c r="F146" i="11" s="1"/>
  <c r="AQ38" i="18"/>
  <c r="AP40" i="18"/>
  <c r="G73" i="18"/>
  <c r="AC73" i="18" s="1"/>
  <c r="AC79" i="18" s="1"/>
  <c r="AP42" i="18"/>
  <c r="AP39" i="18"/>
  <c r="F73" i="18"/>
  <c r="AD73" i="18" s="1"/>
  <c r="AD79" i="18" s="1"/>
  <c r="H73" i="18"/>
  <c r="Y73" i="18" s="1"/>
  <c r="AP41" i="18"/>
  <c r="H55" i="17" l="1"/>
  <c r="G175" i="10"/>
  <c r="I175" i="10" s="1"/>
  <c r="U174" i="10"/>
  <c r="F305" i="10" s="1"/>
  <c r="I173" i="10"/>
  <c r="U173" i="10" s="1"/>
  <c r="F304" i="10" s="1"/>
  <c r="U172" i="10"/>
  <c r="F303" i="10" s="1"/>
  <c r="F172" i="10"/>
  <c r="E145" i="11"/>
  <c r="I145" i="11" s="1"/>
  <c r="G54" i="17"/>
  <c r="D75" i="18"/>
  <c r="F75" i="18"/>
  <c r="E54" i="20"/>
  <c r="H54" i="20" s="1"/>
  <c r="H59" i="20"/>
  <c r="D59" i="20" s="1"/>
  <c r="K143" i="11"/>
  <c r="L143" i="11" s="1"/>
  <c r="AQ40" i="18"/>
  <c r="AQ44" i="18"/>
  <c r="AQ39" i="18"/>
  <c r="AQ42" i="18"/>
  <c r="AR38" i="18"/>
  <c r="AQ41" i="18"/>
  <c r="AQ45" i="18"/>
  <c r="Y79" i="18"/>
  <c r="AQ43" i="18"/>
  <c r="F173" i="10" l="1"/>
  <c r="F174" i="10"/>
  <c r="AR41" i="18"/>
  <c r="F74" i="18" s="1"/>
  <c r="AD74" i="18" s="1"/>
  <c r="AR44" i="18"/>
  <c r="I74" i="18" s="1"/>
  <c r="AA74" i="18" s="1"/>
  <c r="U176" i="10"/>
  <c r="C74" i="18"/>
  <c r="X74" i="18" s="1"/>
  <c r="K144" i="11"/>
  <c r="L144" i="11" s="1"/>
  <c r="D54" i="20"/>
  <c r="C59" i="20"/>
  <c r="G59" i="20" s="1"/>
  <c r="AR42" i="18"/>
  <c r="AR45" i="18"/>
  <c r="AR39" i="18"/>
  <c r="AR40" i="18"/>
  <c r="AR43" i="18"/>
  <c r="E146" i="11"/>
  <c r="I146" i="11" s="1"/>
  <c r="F147" i="11"/>
  <c r="E147" i="11" s="1"/>
  <c r="I147" i="11" s="1"/>
  <c r="D55" i="17" l="1"/>
  <c r="AD80" i="18"/>
  <c r="E60" i="20"/>
  <c r="AA80" i="18"/>
  <c r="D74" i="18"/>
  <c r="Z74" i="18" s="1"/>
  <c r="F148" i="11"/>
  <c r="E56" i="17"/>
  <c r="J73" i="18"/>
  <c r="AE73" i="18" s="1"/>
  <c r="AE79" i="18" s="1"/>
  <c r="J74" i="18"/>
  <c r="AE74" i="18" s="1"/>
  <c r="AE80" i="18" s="1"/>
  <c r="G74" i="18"/>
  <c r="AC74" i="18" s="1"/>
  <c r="F56" i="17"/>
  <c r="F61" i="20"/>
  <c r="F56" i="20"/>
  <c r="K145" i="11"/>
  <c r="L145" i="11" s="1"/>
  <c r="H74" i="18"/>
  <c r="Y74" i="18" s="1"/>
  <c r="Y80" i="18" s="1"/>
  <c r="C54" i="20"/>
  <c r="D78" i="20"/>
  <c r="E74" i="18"/>
  <c r="AB74" i="18" s="1"/>
  <c r="C55" i="17" l="1"/>
  <c r="L55" i="17" s="1"/>
  <c r="E148" i="11"/>
  <c r="I148" i="11" s="1"/>
  <c r="H56" i="17"/>
  <c r="D56" i="17" s="1"/>
  <c r="E180" i="10"/>
  <c r="G180" i="10"/>
  <c r="M180" i="10" s="1"/>
  <c r="U175" i="10"/>
  <c r="F306" i="10" s="1"/>
  <c r="F175" i="10"/>
  <c r="AB80" i="18"/>
  <c r="AC80" i="18"/>
  <c r="F149" i="11"/>
  <c r="F150" i="11" s="1"/>
  <c r="Z80" i="18"/>
  <c r="K146" i="11"/>
  <c r="L146" i="11" s="1"/>
  <c r="G54" i="20"/>
  <c r="E55" i="20"/>
  <c r="H55" i="20" s="1"/>
  <c r="H60" i="20"/>
  <c r="D60" i="20" s="1"/>
  <c r="G55" i="17" l="1"/>
  <c r="C56" i="17"/>
  <c r="L56" i="17" s="1"/>
  <c r="F307" i="10"/>
  <c r="F176" i="10"/>
  <c r="I178" i="10"/>
  <c r="E150" i="11"/>
  <c r="I150" i="11" s="1"/>
  <c r="H154" i="11"/>
  <c r="I154" i="11" s="1"/>
  <c r="G181" i="10"/>
  <c r="K147" i="11"/>
  <c r="L147" i="11" s="1"/>
  <c r="C60" i="20"/>
  <c r="G60" i="20" s="1"/>
  <c r="D55" i="20"/>
  <c r="C55" i="20" s="1"/>
  <c r="F57" i="20" l="1"/>
  <c r="U178" i="10"/>
  <c r="F57" i="17"/>
  <c r="F62" i="20"/>
  <c r="M181" i="10"/>
  <c r="G182" i="10"/>
  <c r="G56" i="17"/>
  <c r="G55" i="20"/>
  <c r="K148" i="11"/>
  <c r="L148" i="11" s="1"/>
  <c r="E61" i="20"/>
  <c r="M182" i="10" l="1"/>
  <c r="G183" i="10"/>
  <c r="K150" i="11"/>
  <c r="E56" i="20"/>
  <c r="H56" i="20" s="1"/>
  <c r="H61" i="20"/>
  <c r="D61" i="20" s="1"/>
  <c r="G184" i="10" l="1"/>
  <c r="M183" i="10"/>
  <c r="D56" i="20"/>
  <c r="C56" i="20" s="1"/>
  <c r="C61" i="20"/>
  <c r="G61" i="20" s="1"/>
  <c r="M184" i="10" l="1"/>
  <c r="G185" i="10"/>
  <c r="G56" i="20"/>
  <c r="G186" i="10" l="1"/>
  <c r="G187" i="10" s="1"/>
  <c r="M185" i="10"/>
  <c r="V135" i="11"/>
  <c r="E154" i="17"/>
  <c r="H154" i="17" s="1"/>
  <c r="O154" i="17" s="1"/>
  <c r="P154" i="17" s="1"/>
  <c r="V134" i="11"/>
  <c r="M186" i="10" l="1"/>
  <c r="E53" i="17"/>
  <c r="E53" i="20"/>
  <c r="M77" i="20" s="1" a="1"/>
  <c r="F134" i="11"/>
  <c r="AM37" i="18" a="1"/>
  <c r="Q155" i="17"/>
  <c r="Q154" i="17"/>
  <c r="S152" i="17"/>
  <c r="U152" i="17" s="1"/>
  <c r="P157" i="17"/>
  <c r="E148" i="20"/>
  <c r="H148" i="20" s="1"/>
  <c r="K148" i="20" s="1"/>
  <c r="L148" i="20" s="1"/>
  <c r="E134" i="11" l="1"/>
  <c r="G135" i="11"/>
  <c r="E206" i="11"/>
  <c r="G188" i="10"/>
  <c r="M187" i="10"/>
  <c r="Q83" i="17" a="1"/>
  <c r="V83" i="17" s="1"/>
  <c r="E74" i="17"/>
  <c r="H53" i="17"/>
  <c r="E109" i="17"/>
  <c r="H109" i="17" s="1"/>
  <c r="H53" i="20"/>
  <c r="D53" i="20" s="1"/>
  <c r="M78" i="20" s="1" a="1"/>
  <c r="Q78" i="20" s="1"/>
  <c r="Q79" i="20" s="1"/>
  <c r="E103" i="20"/>
  <c r="H103" i="20" s="1"/>
  <c r="F137" i="11"/>
  <c r="E149" i="11"/>
  <c r="I149" i="11" s="1"/>
  <c r="G134" i="11"/>
  <c r="M77" i="20"/>
  <c r="O77" i="20"/>
  <c r="R77" i="20"/>
  <c r="P77" i="20"/>
  <c r="S77" i="20"/>
  <c r="Q77" i="20"/>
  <c r="N77" i="20"/>
  <c r="AT37" i="18"/>
  <c r="AS37" i="18"/>
  <c r="AU37" i="18"/>
  <c r="AV37" i="18"/>
  <c r="AN37" i="18"/>
  <c r="AM37" i="18"/>
  <c r="AR37" i="18"/>
  <c r="AQ37" i="18"/>
  <c r="AP37" i="18"/>
  <c r="AO37" i="18"/>
  <c r="AX37" i="18"/>
  <c r="T77" i="20"/>
  <c r="AW37" i="18"/>
  <c r="O146" i="20"/>
  <c r="Q146" i="20" s="1"/>
  <c r="M148" i="20"/>
  <c r="L151" i="20"/>
  <c r="M149" i="20"/>
  <c r="G189" i="10" l="1"/>
  <c r="M188" i="10"/>
  <c r="C53" i="17"/>
  <c r="I53" i="17"/>
  <c r="Q84" i="17" a="1"/>
  <c r="T84" i="17" s="1"/>
  <c r="T85" i="17" s="1"/>
  <c r="X83" i="17"/>
  <c r="T83" i="17"/>
  <c r="U83" i="17"/>
  <c r="S83" i="17"/>
  <c r="Q83" i="17"/>
  <c r="W83" i="17"/>
  <c r="R83" i="17"/>
  <c r="E152" i="11"/>
  <c r="D83" i="17"/>
  <c r="D74" i="17" s="1"/>
  <c r="O109" i="17"/>
  <c r="T78" i="20"/>
  <c r="T79" i="20" s="1"/>
  <c r="N78" i="20"/>
  <c r="N79" i="20" s="1"/>
  <c r="P78" i="20"/>
  <c r="P79" i="20" s="1"/>
  <c r="K103" i="20"/>
  <c r="M78" i="20"/>
  <c r="M79" i="20" s="1"/>
  <c r="S78" i="20"/>
  <c r="S79" i="20" s="1"/>
  <c r="D77" i="20"/>
  <c r="D67" i="20" s="1"/>
  <c r="O78" i="20"/>
  <c r="O79" i="20" s="1"/>
  <c r="R78" i="20"/>
  <c r="R79" i="20" s="1"/>
  <c r="I152" i="11"/>
  <c r="AT50" i="18"/>
  <c r="AT54" i="18"/>
  <c r="AT52" i="18"/>
  <c r="AT56" i="18"/>
  <c r="AT55" i="18"/>
  <c r="AT53" i="18"/>
  <c r="AT51" i="18"/>
  <c r="AV50" i="18"/>
  <c r="AV52" i="18"/>
  <c r="AV56" i="18"/>
  <c r="AV54" i="18"/>
  <c r="AV51" i="18"/>
  <c r="AV55" i="18"/>
  <c r="AV53" i="18"/>
  <c r="AW45" i="18"/>
  <c r="AW33" i="18" s="1"/>
  <c r="AW39" i="18"/>
  <c r="AW27" i="18" s="1"/>
  <c r="AU50" i="18"/>
  <c r="AU51" i="18"/>
  <c r="AU52" i="18"/>
  <c r="AU56" i="18"/>
  <c r="AU54" i="18"/>
  <c r="AU53" i="18"/>
  <c r="AU55" i="18"/>
  <c r="AS50" i="18"/>
  <c r="AS52" i="18"/>
  <c r="AS54" i="18"/>
  <c r="AS55" i="18"/>
  <c r="AS53" i="18"/>
  <c r="AS51" i="18"/>
  <c r="AS56" i="18"/>
  <c r="AW40" i="18"/>
  <c r="AW28" i="18" s="1"/>
  <c r="AW38" i="18"/>
  <c r="AW26" i="18" s="1"/>
  <c r="AW44" i="18"/>
  <c r="AW42" i="18"/>
  <c r="AW30" i="18" s="1"/>
  <c r="AW43" i="18"/>
  <c r="AW31" i="18" s="1"/>
  <c r="AN53" i="18"/>
  <c r="AN52" i="18"/>
  <c r="AN51" i="18"/>
  <c r="AN50" i="18"/>
  <c r="AN55" i="18"/>
  <c r="AN54" i="18"/>
  <c r="AN56" i="18"/>
  <c r="AX40" i="18"/>
  <c r="AX44" i="18"/>
  <c r="AX32" i="18" s="1"/>
  <c r="AX41" i="18"/>
  <c r="AX29" i="18" s="1"/>
  <c r="AX45" i="18"/>
  <c r="AX33" i="18" s="1"/>
  <c r="AX38" i="18"/>
  <c r="AX26" i="18" s="1"/>
  <c r="AX43" i="18"/>
  <c r="AX42" i="18"/>
  <c r="AX39" i="18"/>
  <c r="AX27" i="18" s="1"/>
  <c r="AW41" i="18"/>
  <c r="AO54" i="18"/>
  <c r="AO55" i="18"/>
  <c r="AO53" i="18"/>
  <c r="AO56" i="18"/>
  <c r="AO52" i="18"/>
  <c r="AO50" i="18"/>
  <c r="AO51" i="18"/>
  <c r="AM51" i="18"/>
  <c r="AM54" i="18"/>
  <c r="AM53" i="18"/>
  <c r="AM50" i="18"/>
  <c r="AM56" i="18"/>
  <c r="AM55" i="18"/>
  <c r="AM52" i="18"/>
  <c r="AQ51" i="18"/>
  <c r="AQ56" i="18"/>
  <c r="AQ54" i="18"/>
  <c r="AQ53" i="18"/>
  <c r="AQ55" i="18"/>
  <c r="AQ50" i="18"/>
  <c r="AQ52" i="18"/>
  <c r="AP52" i="18"/>
  <c r="AP54" i="18"/>
  <c r="AP51" i="18"/>
  <c r="AP56" i="18"/>
  <c r="AP55" i="18"/>
  <c r="AP50" i="18"/>
  <c r="AP53" i="18"/>
  <c r="AR52" i="18"/>
  <c r="AR51" i="18"/>
  <c r="AR55" i="18"/>
  <c r="AR53" i="18"/>
  <c r="AR54" i="18"/>
  <c r="AR50" i="18"/>
  <c r="AR56" i="18"/>
  <c r="Q152" i="11" l="1"/>
  <c r="E57" i="17"/>
  <c r="M189" i="10"/>
  <c r="G190" i="10"/>
  <c r="M190" i="10" s="1"/>
  <c r="X84" i="17"/>
  <c r="X85" i="17" s="1"/>
  <c r="S84" i="17"/>
  <c r="S85" i="17" s="1"/>
  <c r="Q84" i="17"/>
  <c r="Q85" i="17" s="1"/>
  <c r="V84" i="17"/>
  <c r="V85" i="17" s="1"/>
  <c r="R84" i="17"/>
  <c r="R85" i="17" s="1"/>
  <c r="U84" i="17"/>
  <c r="U85" i="17" s="1"/>
  <c r="W84" i="17"/>
  <c r="W85" i="17" s="1"/>
  <c r="G50" i="20" a="1"/>
  <c r="G53" i="20" s="1"/>
  <c r="K24" i="21"/>
  <c r="H24" i="21" s="1"/>
  <c r="R152" i="11"/>
  <c r="K149" i="11"/>
  <c r="L150" i="11" s="1"/>
  <c r="I76" i="18"/>
  <c r="AA76" i="18" s="1"/>
  <c r="AA82" i="18" s="1"/>
  <c r="AX31" i="18"/>
  <c r="AX11" i="18" s="1"/>
  <c r="H75" i="18"/>
  <c r="Y75" i="18" s="1"/>
  <c r="Y81" i="18" s="1"/>
  <c r="AW29" i="18"/>
  <c r="AX9" i="18" s="1"/>
  <c r="F76" i="18"/>
  <c r="AD76" i="18" s="1"/>
  <c r="AD82" i="18" s="1"/>
  <c r="AX28" i="18"/>
  <c r="AX8" i="18" s="1"/>
  <c r="E75" i="18"/>
  <c r="AB75" i="18" s="1"/>
  <c r="AB81" i="18" s="1"/>
  <c r="AW32" i="18"/>
  <c r="AW12" i="18" s="1"/>
  <c r="AX30" i="18"/>
  <c r="AX10" i="18" s="1"/>
  <c r="G75" i="18"/>
  <c r="AC75" i="18" s="1"/>
  <c r="AC81" i="18" s="1"/>
  <c r="G76" i="18"/>
  <c r="AC76" i="18" s="1"/>
  <c r="AC82" i="18" s="1"/>
  <c r="D76" i="18"/>
  <c r="Z76" i="18" s="1"/>
  <c r="Z82" i="18" s="1"/>
  <c r="J76" i="18"/>
  <c r="AE76" i="18" s="1"/>
  <c r="AE82" i="18" s="1"/>
  <c r="C76" i="18"/>
  <c r="X76" i="18" s="1"/>
  <c r="E76" i="18"/>
  <c r="AB76" i="18" s="1"/>
  <c r="AB82" i="18" s="1"/>
  <c r="H76" i="18"/>
  <c r="Y76" i="18" s="1"/>
  <c r="X75" i="18"/>
  <c r="AD75" i="18"/>
  <c r="AD81" i="18" s="1"/>
  <c r="AE75" i="18"/>
  <c r="AE81" i="18" s="1"/>
  <c r="Z75" i="18"/>
  <c r="AA75" i="18"/>
  <c r="AA81" i="18" s="1"/>
  <c r="AW11" i="18"/>
  <c r="AW10" i="18"/>
  <c r="AW13" i="18"/>
  <c r="AX13" i="18"/>
  <c r="AW8" i="18"/>
  <c r="AW6" i="18"/>
  <c r="AX6" i="18"/>
  <c r="AW7" i="18"/>
  <c r="AX7" i="18"/>
  <c r="E75" i="17" l="1"/>
  <c r="G191" i="10"/>
  <c r="M191" i="10" s="1"/>
  <c r="M193" i="10" s="1"/>
  <c r="E62" i="20"/>
  <c r="H62" i="20" s="1"/>
  <c r="D62" i="20" s="1"/>
  <c r="G51" i="20"/>
  <c r="G50" i="20"/>
  <c r="G52" i="20"/>
  <c r="G50" i="17" a="1"/>
  <c r="G51" i="17" s="1"/>
  <c r="K8" i="21"/>
  <c r="H8" i="21" s="1"/>
  <c r="H57" i="17"/>
  <c r="D57" i="17" s="1"/>
  <c r="L149" i="11"/>
  <c r="AW9" i="18"/>
  <c r="AX12" i="18"/>
  <c r="Z81" i="18"/>
  <c r="Z83" i="18"/>
  <c r="Y83" i="18"/>
  <c r="Y82" i="18"/>
  <c r="AD83" i="18"/>
  <c r="AB83" i="18"/>
  <c r="AE83" i="18"/>
  <c r="AA83" i="18"/>
  <c r="AC83" i="18"/>
  <c r="C57" i="17" l="1"/>
  <c r="D75" i="17" s="1"/>
  <c r="E57" i="20"/>
  <c r="H57" i="20" s="1"/>
  <c r="G50" i="17"/>
  <c r="G53" i="17"/>
  <c r="G52" i="17"/>
  <c r="K25" i="21"/>
  <c r="H25" i="21" s="1"/>
  <c r="D57" i="20"/>
  <c r="C57" i="20" s="1"/>
  <c r="C62" i="20"/>
  <c r="G62" i="20" s="1"/>
  <c r="G57" i="17" l="1"/>
  <c r="L57" i="17"/>
  <c r="K9" i="21"/>
  <c r="H9" i="21" s="1"/>
  <c r="L75" i="17"/>
  <c r="D68" i="20"/>
  <c r="G57" i="20"/>
  <c r="AL148" i="19"/>
  <c r="AX55" i="19"/>
  <c r="AX56" i="19" s="1"/>
  <c r="AX74" i="19" s="1"/>
  <c r="AX77" i="19" s="1"/>
  <c r="BG56" i="19"/>
  <c r="BG74" i="19" s="1"/>
  <c r="BG77" i="19" s="1"/>
  <c r="BS56" i="19" s="1"/>
  <c r="BI56" i="19"/>
  <c r="BI74" i="19" s="1"/>
  <c r="BI77" i="19" s="1"/>
  <c r="BU56" i="19" s="1"/>
  <c r="BH56" i="19"/>
  <c r="BH74" i="19" s="1"/>
  <c r="BH77" i="19" s="1"/>
  <c r="BT56" i="19" s="1"/>
  <c r="BF56" i="19"/>
  <c r="BF74" i="19" s="1"/>
  <c r="BF77" i="19" s="1"/>
  <c r="BR56" i="19" s="1"/>
  <c r="BJ56" i="19"/>
  <c r="AX75" i="19" s="1"/>
  <c r="N258" i="11"/>
  <c r="H150" i="11" s="1"/>
  <c r="M150" i="11" s="1"/>
  <c r="N150" i="11" s="1"/>
  <c r="N256" i="11"/>
  <c r="H148" i="11" s="1"/>
  <c r="M148" i="11" s="1"/>
  <c r="N148" i="11" s="1"/>
  <c r="N250" i="11"/>
  <c r="H142" i="11" s="1"/>
  <c r="M142" i="11" s="1"/>
  <c r="N142" i="11" s="1"/>
  <c r="N255" i="11"/>
  <c r="H147" i="11" s="1"/>
  <c r="M147" i="11" s="1"/>
  <c r="N147" i="11" s="1"/>
  <c r="N249" i="11"/>
  <c r="H141" i="11" s="1"/>
  <c r="M141" i="11" s="1"/>
  <c r="N141" i="11" s="1"/>
  <c r="N257" i="11"/>
  <c r="H149" i="11" s="1"/>
  <c r="M149" i="11" s="1"/>
  <c r="N149" i="11" s="1"/>
  <c r="N254" i="11"/>
  <c r="H146" i="11" s="1"/>
  <c r="M146" i="11" s="1"/>
  <c r="N146" i="11" s="1"/>
  <c r="N251" i="11"/>
  <c r="H143" i="11" s="1"/>
  <c r="M143" i="11" s="1"/>
  <c r="N143" i="11" s="1"/>
  <c r="BJ45" i="16" l="1"/>
  <c r="N95" i="16"/>
  <c r="BJ52" i="16"/>
  <c r="BJ48" i="16" s="1"/>
  <c r="BJ49" i="16" s="1"/>
  <c r="N99" i="16"/>
  <c r="BJ55" i="16" s="1"/>
  <c r="BJ50" i="16" s="1"/>
  <c r="Z121" i="16" l="1"/>
  <c r="N101" i="16"/>
  <c r="Z130" i="19" l="1"/>
  <c r="Z136" i="16"/>
  <c r="Z145" i="19" s="1"/>
  <c r="BI52" i="16"/>
  <c r="BI48" i="16" s="1"/>
  <c r="BI49" i="16" s="1"/>
  <c r="Z92" i="16"/>
  <c r="Z106" i="16" s="1"/>
  <c r="BI45" i="16"/>
  <c r="M94" i="16"/>
  <c r="M99" i="16"/>
  <c r="Y121" i="16" s="1"/>
  <c r="Y136" i="16" s="1"/>
  <c r="AK135" i="16"/>
  <c r="AK144" i="19" s="1"/>
  <c r="W12" i="16"/>
  <c r="X13" i="16" s="1"/>
  <c r="Y120" i="16"/>
  <c r="Y135" i="16" s="1"/>
  <c r="AK137" i="16" l="1"/>
  <c r="AK146" i="19" s="1"/>
  <c r="Z99" i="16"/>
  <c r="AN120" i="16"/>
  <c r="AN129" i="19" s="1"/>
  <c r="Z87" i="16"/>
  <c r="W15" i="16"/>
  <c r="Y122" i="16"/>
  <c r="W13" i="16"/>
  <c r="BI55" i="16"/>
  <c r="BI50" i="16" s="1"/>
  <c r="Y129" i="16"/>
  <c r="Y130" i="16" s="1"/>
  <c r="AP120" i="16"/>
  <c r="AP129" i="19" l="1"/>
  <c r="BZ28" i="19" s="1"/>
  <c r="BX28" i="19"/>
  <c r="BZ52" i="19"/>
  <c r="BZ48" i="19" s="1"/>
  <c r="BZ50" i="19" s="1"/>
  <c r="AP132" i="19"/>
  <c r="AP146" i="19"/>
  <c r="AP131" i="19"/>
  <c r="AP122" i="16"/>
  <c r="AN122" i="16"/>
  <c r="Y137" i="16"/>
  <c r="X16" i="16"/>
  <c r="W16" i="16"/>
  <c r="K87" i="16"/>
  <c r="K90" i="16" s="1"/>
  <c r="K93" i="16" s="1"/>
  <c r="H87" i="16"/>
  <c r="H90" i="16" s="1"/>
  <c r="H93" i="16" s="1"/>
  <c r="E87" i="16"/>
  <c r="E90" i="16" s="1"/>
  <c r="E93" i="16" s="1"/>
  <c r="C87" i="16"/>
  <c r="C90" i="16" s="1"/>
  <c r="C93" i="16" s="1"/>
  <c r="M87" i="16"/>
  <c r="M90" i="16" s="1"/>
  <c r="D87" i="16"/>
  <c r="D90" i="16" s="1"/>
  <c r="D93" i="16" s="1"/>
  <c r="G87" i="16"/>
  <c r="G90" i="16" s="1"/>
  <c r="G93" i="16" s="1"/>
  <c r="I87" i="16"/>
  <c r="I90" i="16" s="1"/>
  <c r="I93" i="16" s="1"/>
  <c r="L87" i="16"/>
  <c r="L90" i="16" s="1"/>
  <c r="L93" i="16" s="1"/>
  <c r="J87" i="16"/>
  <c r="J90" i="16" s="1"/>
  <c r="J93" i="16" s="1"/>
  <c r="F87" i="16"/>
  <c r="F90" i="16" s="1"/>
  <c r="F93" i="16" s="1"/>
  <c r="B87" i="16"/>
  <c r="B90" i="16" s="1"/>
  <c r="AN110" i="19"/>
  <c r="AN131" i="19"/>
  <c r="AN146" i="19"/>
  <c r="BX52" i="19"/>
  <c r="BX48" i="19" s="1"/>
  <c r="BX50" i="19" s="1"/>
  <c r="AN132" i="19"/>
  <c r="AO110" i="19" l="1"/>
  <c r="AO111" i="19" s="1"/>
  <c r="AP144" i="19"/>
  <c r="AP140" i="19"/>
  <c r="AN144" i="19"/>
  <c r="AN140" i="19"/>
  <c r="AN111" i="19"/>
  <c r="AN105" i="19"/>
  <c r="AN148" i="19"/>
  <c r="BX46" i="19"/>
  <c r="Z90" i="16"/>
  <c r="B93" i="16"/>
  <c r="M93" i="16" s="1"/>
  <c r="AP148" i="19"/>
  <c r="BZ46" i="19"/>
  <c r="AO105" i="19" l="1"/>
  <c r="Y92" i="16"/>
  <c r="X92" i="16"/>
  <c r="V92" i="16"/>
  <c r="O92" i="16"/>
  <c r="W92" i="16"/>
  <c r="Q92" i="16"/>
  <c r="R92" i="16"/>
  <c r="P92" i="16"/>
  <c r="U92" i="16"/>
  <c r="S92" i="16"/>
  <c r="T92" i="16"/>
  <c r="W94" i="16" l="1"/>
  <c r="BS45" i="16"/>
  <c r="BS52" i="16"/>
  <c r="BS48" i="16" s="1"/>
  <c r="BS49" i="16" s="1"/>
  <c r="W99" i="16"/>
  <c r="W95" i="16"/>
  <c r="BL45" i="16"/>
  <c r="P95" i="16"/>
  <c r="P99" i="16"/>
  <c r="BL52" i="16"/>
  <c r="BL48" i="16" s="1"/>
  <c r="BL49" i="16" s="1"/>
  <c r="P94" i="16"/>
  <c r="BO52" i="16"/>
  <c r="BO48" i="16" s="1"/>
  <c r="BO49" i="16" s="1"/>
  <c r="S95" i="16"/>
  <c r="S94" i="16"/>
  <c r="BO45" i="16"/>
  <c r="S99" i="16"/>
  <c r="Q99" i="16"/>
  <c r="Q94" i="16"/>
  <c r="BM52" i="16"/>
  <c r="BM48" i="16" s="1"/>
  <c r="BM49" i="16" s="1"/>
  <c r="BM45" i="16"/>
  <c r="Q95" i="16"/>
  <c r="BT45" i="16"/>
  <c r="BT52" i="16"/>
  <c r="BT48" i="16" s="1"/>
  <c r="BT49" i="16" s="1"/>
  <c r="X94" i="16"/>
  <c r="X95" i="16"/>
  <c r="X99" i="16"/>
  <c r="U94" i="16"/>
  <c r="BQ52" i="16"/>
  <c r="BQ48" i="16" s="1"/>
  <c r="BQ49" i="16" s="1"/>
  <c r="BQ45" i="16"/>
  <c r="U99" i="16"/>
  <c r="U95" i="16"/>
  <c r="Y94" i="16"/>
  <c r="Y99" i="16"/>
  <c r="BU45" i="16"/>
  <c r="BU52" i="16"/>
  <c r="BU48" i="16" s="1"/>
  <c r="BU49" i="16" s="1"/>
  <c r="Y95" i="16"/>
  <c r="Y102" i="16"/>
  <c r="BK52" i="16"/>
  <c r="BK48" i="16" s="1"/>
  <c r="BK49" i="16" s="1"/>
  <c r="AA92" i="16"/>
  <c r="AA99" i="16" s="1"/>
  <c r="O95" i="16"/>
  <c r="O94" i="16"/>
  <c r="O99" i="16"/>
  <c r="BK45" i="16"/>
  <c r="BP45" i="16"/>
  <c r="BP52" i="16"/>
  <c r="BP48" i="16" s="1"/>
  <c r="BP49" i="16" s="1"/>
  <c r="T95" i="16"/>
  <c r="T99" i="16"/>
  <c r="T94" i="16"/>
  <c r="BN52" i="16"/>
  <c r="BN48" i="16" s="1"/>
  <c r="BN49" i="16" s="1"/>
  <c r="R95" i="16"/>
  <c r="BN45" i="16"/>
  <c r="R94" i="16"/>
  <c r="R99" i="16"/>
  <c r="BR52" i="16"/>
  <c r="BR48" i="16" s="1"/>
  <c r="BR49" i="16" s="1"/>
  <c r="V95" i="16"/>
  <c r="BR45" i="16"/>
  <c r="V99" i="16"/>
  <c r="V94" i="16"/>
  <c r="AE121" i="16" l="1"/>
  <c r="BO55" i="16"/>
  <c r="BO50" i="16" s="1"/>
  <c r="Y101" i="16"/>
  <c r="BU55" i="16"/>
  <c r="BU50" i="16" s="1"/>
  <c r="AK121" i="16"/>
  <c r="BM55" i="16"/>
  <c r="BM50" i="16" s="1"/>
  <c r="AC121" i="16"/>
  <c r="BL55" i="16"/>
  <c r="BL50" i="16" s="1"/>
  <c r="AB121" i="16"/>
  <c r="AI121" i="16"/>
  <c r="BS55" i="16"/>
  <c r="BS50" i="16" s="1"/>
  <c r="AF121" i="16"/>
  <c r="BP55" i="16"/>
  <c r="BP50" i="16" s="1"/>
  <c r="AA121" i="16"/>
  <c r="BK55" i="16"/>
  <c r="BK50" i="16" s="1"/>
  <c r="AH121" i="16"/>
  <c r="BR55" i="16"/>
  <c r="BR50" i="16" s="1"/>
  <c r="BN55" i="16"/>
  <c r="BN50" i="16" s="1"/>
  <c r="AD121" i="16"/>
  <c r="AG121" i="16"/>
  <c r="BQ55" i="16"/>
  <c r="BQ50" i="16" s="1"/>
  <c r="AJ121" i="16"/>
  <c r="BT55" i="16"/>
  <c r="BT50" i="16" s="1"/>
  <c r="AH136" i="16" l="1"/>
  <c r="AH145" i="19" s="1"/>
  <c r="AH130" i="19"/>
  <c r="AD136" i="16"/>
  <c r="AD145" i="19" s="1"/>
  <c r="AD130" i="19"/>
  <c r="AC136" i="16"/>
  <c r="AC145" i="19" s="1"/>
  <c r="AC130" i="19"/>
  <c r="AG130" i="19"/>
  <c r="AG136" i="16"/>
  <c r="AG145" i="19" s="1"/>
  <c r="AF136" i="16"/>
  <c r="AF145" i="19" s="1"/>
  <c r="AF130" i="19"/>
  <c r="AJ136" i="16"/>
  <c r="AJ145" i="19" s="1"/>
  <c r="AJ130" i="19"/>
  <c r="AM121" i="16"/>
  <c r="AA136" i="16"/>
  <c r="AA145" i="19" s="1"/>
  <c r="AA130" i="19"/>
  <c r="AN121" i="16"/>
  <c r="AI136" i="16"/>
  <c r="AI145" i="19" s="1"/>
  <c r="AI130" i="19"/>
  <c r="AB136" i="16"/>
  <c r="AB145" i="19" s="1"/>
  <c r="AB130" i="19"/>
  <c r="AK136" i="16"/>
  <c r="AK145" i="19" s="1"/>
  <c r="AK130" i="19"/>
  <c r="AE130" i="19"/>
  <c r="AE136" i="16"/>
  <c r="AE145" i="19" s="1"/>
  <c r="AY165" i="10" l="1"/>
  <c r="AY166" i="10"/>
  <c r="AP140" i="11" s="1"/>
  <c r="AY167" i="10"/>
  <c r="AP141" i="11" s="1"/>
  <c r="AY168" i="10"/>
  <c r="AP142" i="11" s="1"/>
  <c r="AY169" i="10"/>
  <c r="W169" i="10" s="1"/>
  <c r="AY170" i="10"/>
  <c r="AP144" i="11" s="1"/>
  <c r="AY171" i="10"/>
  <c r="AP145" i="11" s="1"/>
  <c r="AP139" i="34"/>
  <c r="S139" i="34" s="1"/>
  <c r="U139" i="34" s="1"/>
  <c r="AP143" i="34"/>
  <c r="S143" i="34" s="1"/>
  <c r="U143" i="34" s="1"/>
  <c r="AO139" i="11"/>
  <c r="AO139" i="34"/>
  <c r="W167" i="10"/>
  <c r="AO145" i="11"/>
  <c r="AO145" i="34"/>
  <c r="AO140" i="11"/>
  <c r="AO140" i="34"/>
  <c r="AO142" i="11"/>
  <c r="AO142" i="34"/>
  <c r="AO143" i="11"/>
  <c r="AO143" i="34"/>
  <c r="W166" i="10"/>
  <c r="X169" i="10"/>
  <c r="AO144" i="11"/>
  <c r="AO144" i="34"/>
  <c r="AO141" i="11"/>
  <c r="AO141" i="34"/>
  <c r="U14" i="27" a="1"/>
  <c r="AA14" i="27" s="1"/>
  <c r="AA16" i="27" s="1"/>
  <c r="AY176" i="10"/>
  <c r="AP150" i="34" s="1"/>
  <c r="S150" i="34" s="1"/>
  <c r="U150" i="34" s="1"/>
  <c r="AO146" i="11"/>
  <c r="AO146" i="34"/>
  <c r="AO147" i="11"/>
  <c r="AO147" i="34"/>
  <c r="AY173" i="10"/>
  <c r="AP147" i="11" s="1"/>
  <c r="AO148" i="11"/>
  <c r="AO148" i="34"/>
  <c r="AO149" i="11"/>
  <c r="AO149" i="34"/>
  <c r="AY174" i="10"/>
  <c r="AP148" i="11" s="1"/>
  <c r="AY175" i="10"/>
  <c r="AP149" i="11" s="1"/>
  <c r="AO150" i="11"/>
  <c r="AO150" i="34"/>
  <c r="AY172" i="10"/>
  <c r="CC28" i="19"/>
  <c r="AP139" i="11" l="1"/>
  <c r="W165" i="10"/>
  <c r="AP141" i="34"/>
  <c r="S141" i="34" s="1"/>
  <c r="U141" i="34" s="1"/>
  <c r="V141" i="34" s="1"/>
  <c r="AP140" i="34"/>
  <c r="S140" i="34" s="1"/>
  <c r="U140" i="34" s="1"/>
  <c r="V140" i="34" s="1"/>
  <c r="AP143" i="11"/>
  <c r="X168" i="10"/>
  <c r="X170" i="10"/>
  <c r="W171" i="10"/>
  <c r="W176" i="10"/>
  <c r="X171" i="10"/>
  <c r="X175" i="10"/>
  <c r="W173" i="10"/>
  <c r="X176" i="10"/>
  <c r="AP145" i="34"/>
  <c r="S145" i="34" s="1"/>
  <c r="U145" i="34" s="1"/>
  <c r="T163" i="34" s="1"/>
  <c r="W170" i="10"/>
  <c r="AP144" i="34"/>
  <c r="S144" i="34" s="1"/>
  <c r="U144" i="34" s="1"/>
  <c r="T162" i="34" s="1"/>
  <c r="W168" i="10"/>
  <c r="AP142" i="34"/>
  <c r="S142" i="34" s="1"/>
  <c r="U142" i="34" s="1"/>
  <c r="V142" i="34" s="1"/>
  <c r="AD14" i="27"/>
  <c r="AF14" i="27"/>
  <c r="AF16" i="27" s="1"/>
  <c r="AE14" i="27"/>
  <c r="AE16" i="27" s="1"/>
  <c r="AB14" i="27"/>
  <c r="AB16" i="27" s="1"/>
  <c r="AC14" i="27"/>
  <c r="T158" i="34"/>
  <c r="AS131" i="19"/>
  <c r="AS132" i="19"/>
  <c r="AS146" i="19"/>
  <c r="CC52" i="19"/>
  <c r="CC48" i="19" s="1"/>
  <c r="CC50" i="19" s="1"/>
  <c r="T161" i="34"/>
  <c r="V143" i="34"/>
  <c r="T159" i="34"/>
  <c r="T157" i="34"/>
  <c r="V139" i="34"/>
  <c r="T168" i="34"/>
  <c r="V150" i="34"/>
  <c r="X172" i="10"/>
  <c r="AP146" i="34"/>
  <c r="S146" i="34" s="1"/>
  <c r="U146" i="34" s="1"/>
  <c r="W175" i="10"/>
  <c r="W174" i="10"/>
  <c r="AP146" i="11"/>
  <c r="W172" i="10"/>
  <c r="AP149" i="34"/>
  <c r="S149" i="34" s="1"/>
  <c r="U149" i="34" s="1"/>
  <c r="AP148" i="34"/>
  <c r="S148" i="34" s="1"/>
  <c r="U148" i="34" s="1"/>
  <c r="AP147" i="34"/>
  <c r="S147" i="34" s="1"/>
  <c r="U147" i="34" s="1"/>
  <c r="AP150" i="11"/>
  <c r="V14" i="27"/>
  <c r="V16" i="27" s="1"/>
  <c r="Y14" i="27"/>
  <c r="Y16" i="27" s="1"/>
  <c r="Z14" i="27"/>
  <c r="Z16" i="27" s="1"/>
  <c r="X174" i="10"/>
  <c r="X173" i="10"/>
  <c r="W14" i="27"/>
  <c r="W16" i="27" s="1"/>
  <c r="X14" i="27"/>
  <c r="X16" i="27" s="1"/>
  <c r="U14" i="27"/>
  <c r="U16" i="27" s="1"/>
  <c r="AS16" i="27" l="1"/>
  <c r="AW129" i="19"/>
  <c r="AW140" i="19" s="1"/>
  <c r="Q27" i="27"/>
  <c r="AS144" i="19"/>
  <c r="AS140" i="19"/>
  <c r="CF52" i="19"/>
  <c r="CF48" i="19" s="1"/>
  <c r="CF50" i="19" s="1"/>
  <c r="AU132" i="19"/>
  <c r="AD16" i="27"/>
  <c r="CG28" i="19"/>
  <c r="T160" i="34"/>
  <c r="V144" i="34"/>
  <c r="AW146" i="19"/>
  <c r="BU129" i="19"/>
  <c r="N89" i="21" s="1"/>
  <c r="M89" i="21" s="1"/>
  <c r="V145" i="34"/>
  <c r="AC16" i="27"/>
  <c r="T167" i="34"/>
  <c r="V149" i="34"/>
  <c r="U152" i="34"/>
  <c r="V147" i="34"/>
  <c r="T165" i="34"/>
  <c r="T164" i="34"/>
  <c r="V146" i="34"/>
  <c r="V148" i="34"/>
  <c r="T166" i="34"/>
  <c r="CC46" i="19"/>
  <c r="AS148" i="19"/>
  <c r="CG52" i="19" l="1"/>
  <c r="CG48" i="19" s="1"/>
  <c r="CG50" i="19" s="1"/>
  <c r="AX116" i="19"/>
  <c r="AW132" i="19"/>
  <c r="BU132" i="19" s="1"/>
  <c r="N91" i="21" s="1"/>
  <c r="M91" i="21" s="1"/>
  <c r="I98" i="21" s="1"/>
  <c r="Q31" i="27"/>
  <c r="Q33" i="27" s="1"/>
  <c r="AF29" i="27"/>
  <c r="V29" i="27"/>
  <c r="AA29" i="27"/>
  <c r="AC29" i="27"/>
  <c r="X29" i="27"/>
  <c r="U29" i="27"/>
  <c r="AD29" i="27"/>
  <c r="AB29" i="27"/>
  <c r="AE29" i="27"/>
  <c r="Y29" i="27"/>
  <c r="Z29" i="27"/>
  <c r="W29" i="27"/>
  <c r="AV146" i="19"/>
  <c r="AV132" i="19"/>
  <c r="CF28" i="19"/>
  <c r="CG46" i="19"/>
  <c r="AU146" i="19"/>
  <c r="CE28" i="19"/>
  <c r="AS165" i="10" a="1"/>
  <c r="AS165" i="10" s="1"/>
  <c r="AQ110" i="19"/>
  <c r="CE52" i="19"/>
  <c r="CE48" i="19" s="1"/>
  <c r="CE50" i="19" s="1"/>
  <c r="AU131" i="19"/>
  <c r="AU140" i="19" s="1"/>
  <c r="AW148" i="19"/>
  <c r="BU131" i="19"/>
  <c r="N90" i="21" s="1"/>
  <c r="M90" i="21" s="1"/>
  <c r="CD28" i="19"/>
  <c r="AT132" i="19"/>
  <c r="CD52" i="19"/>
  <c r="CD48" i="19" s="1"/>
  <c r="CD50" i="19" s="1"/>
  <c r="AT146" i="19"/>
  <c r="AT131" i="19"/>
  <c r="AT140" i="19" s="1"/>
  <c r="AP110" i="19"/>
  <c r="T170" i="34"/>
  <c r="V152" i="34"/>
  <c r="H98" i="21" l="1"/>
  <c r="J98" i="21"/>
  <c r="G98" i="21" s="1"/>
  <c r="BZ37" i="19"/>
  <c r="F83" i="19" s="1"/>
  <c r="K77" i="21" a="1"/>
  <c r="K77" i="21" s="1"/>
  <c r="O71" i="21" s="1"/>
  <c r="AV148" i="19"/>
  <c r="AV140" i="19"/>
  <c r="Q35" i="27"/>
  <c r="BP132" i="19"/>
  <c r="AP111" i="19"/>
  <c r="AQ111" i="19"/>
  <c r="CF46" i="19"/>
  <c r="F86" i="19"/>
  <c r="BB129" i="19" s="1"/>
  <c r="AS176" i="10"/>
  <c r="AH150" i="11" s="1"/>
  <c r="AS170" i="10"/>
  <c r="AT170" i="10" s="1"/>
  <c r="V170" i="10" s="1"/>
  <c r="AS173" i="10"/>
  <c r="AH147" i="11" s="1"/>
  <c r="AI147" i="11" s="1"/>
  <c r="S147" i="11" s="1"/>
  <c r="U147" i="11" s="1"/>
  <c r="AS171" i="10"/>
  <c r="AH145" i="11" s="1"/>
  <c r="AI145" i="11" s="1"/>
  <c r="S145" i="11" s="1"/>
  <c r="U145" i="11" s="1"/>
  <c r="AS168" i="10"/>
  <c r="AH142" i="11" s="1"/>
  <c r="AI142" i="11" s="1"/>
  <c r="S142" i="11" s="1"/>
  <c r="U142" i="11" s="1"/>
  <c r="AS167" i="10"/>
  <c r="AT167" i="10" s="1"/>
  <c r="V167" i="10" s="1"/>
  <c r="AS172" i="10"/>
  <c r="AH146" i="11" s="1"/>
  <c r="AI146" i="11" s="1"/>
  <c r="S146" i="11" s="1"/>
  <c r="U146" i="11" s="1"/>
  <c r="AS175" i="10"/>
  <c r="AT175" i="10" s="1"/>
  <c r="V175" i="10" s="1"/>
  <c r="AS169" i="10"/>
  <c r="AT169" i="10" s="1"/>
  <c r="V169" i="10" s="1"/>
  <c r="CA37" i="19"/>
  <c r="G83" i="19" s="1"/>
  <c r="G86" i="19" s="1"/>
  <c r="BC129" i="19" s="1"/>
  <c r="BC131" i="19" s="1"/>
  <c r="BC140" i="19" s="1"/>
  <c r="AS174" i="10"/>
  <c r="AH148" i="11" s="1"/>
  <c r="AI148" i="11" s="1"/>
  <c r="S148" i="11" s="1"/>
  <c r="U148" i="11" s="1"/>
  <c r="V148" i="11" s="1"/>
  <c r="AS166" i="10"/>
  <c r="AH140" i="11" s="1"/>
  <c r="AI140" i="11" s="1"/>
  <c r="S140" i="11" s="1"/>
  <c r="U140" i="11" s="1"/>
  <c r="BV37" i="19"/>
  <c r="B83" i="19" s="1"/>
  <c r="B86" i="19" s="1"/>
  <c r="AX129" i="19" s="1"/>
  <c r="AT144" i="19"/>
  <c r="CF37" i="19"/>
  <c r="L83" i="19" s="1"/>
  <c r="L86" i="19" s="1"/>
  <c r="BH129" i="19" s="1"/>
  <c r="CC37" i="19"/>
  <c r="I83" i="19" s="1"/>
  <c r="I86" i="19" s="1"/>
  <c r="BE129" i="19" s="1"/>
  <c r="AU144" i="19"/>
  <c r="CE46" i="19"/>
  <c r="AU148" i="19"/>
  <c r="BY37" i="19"/>
  <c r="E83" i="19" s="1"/>
  <c r="E86" i="19" s="1"/>
  <c r="BA129" i="19" s="1"/>
  <c r="CD37" i="19"/>
  <c r="J83" i="19" s="1"/>
  <c r="CB37" i="19"/>
  <c r="H83" i="19" s="1"/>
  <c r="CG37" i="19"/>
  <c r="M83" i="19" s="1"/>
  <c r="M86" i="19" s="1"/>
  <c r="CE37" i="19"/>
  <c r="K83" i="19" s="1"/>
  <c r="BN132" i="19"/>
  <c r="BR132" i="19" s="1"/>
  <c r="BX37" i="19"/>
  <c r="D83" i="19" s="1"/>
  <c r="D85" i="19" s="1"/>
  <c r="P92" i="19" s="1"/>
  <c r="P95" i="19" s="1"/>
  <c r="P97" i="19" s="1"/>
  <c r="BW37" i="19"/>
  <c r="C83" i="19" s="1"/>
  <c r="C86" i="19" s="1"/>
  <c r="AY129" i="19" s="1"/>
  <c r="AT148" i="19"/>
  <c r="CD46" i="19"/>
  <c r="AX139" i="19"/>
  <c r="J79" i="21"/>
  <c r="BM143" i="19"/>
  <c r="L77" i="21" a="1"/>
  <c r="L78" i="21" s="1"/>
  <c r="O78" i="21" s="1"/>
  <c r="BQ142" i="19"/>
  <c r="BN125" i="19"/>
  <c r="G44" i="24"/>
  <c r="AH144" i="11"/>
  <c r="AI144" i="11" s="1"/>
  <c r="S144" i="11" s="1"/>
  <c r="U144" i="11" s="1"/>
  <c r="AH139" i="11"/>
  <c r="AI139" i="11" s="1"/>
  <c r="S139" i="11" s="1"/>
  <c r="U139" i="11" s="1"/>
  <c r="AT165" i="10"/>
  <c r="V165" i="10" s="1"/>
  <c r="AH143" i="11"/>
  <c r="AI143" i="11" s="1"/>
  <c r="S143" i="11" s="1"/>
  <c r="U143" i="11" s="1"/>
  <c r="AT176" i="10"/>
  <c r="V176" i="10" s="1"/>
  <c r="AT168" i="10" l="1"/>
  <c r="V168" i="10" s="1"/>
  <c r="AS110" i="19"/>
  <c r="AX131" i="19"/>
  <c r="BA131" i="19"/>
  <c r="AY131" i="19"/>
  <c r="AY140" i="19" s="1"/>
  <c r="BE131" i="19"/>
  <c r="BE140" i="19" s="1"/>
  <c r="BB131" i="19"/>
  <c r="BB140" i="19" s="1"/>
  <c r="AX125" i="19"/>
  <c r="BH131" i="19"/>
  <c r="BH140" i="19" s="1"/>
  <c r="AH141" i="11"/>
  <c r="AI141" i="11" s="1"/>
  <c r="S141" i="11" s="1"/>
  <c r="U141" i="11" s="1"/>
  <c r="U159" i="34" s="1"/>
  <c r="D86" i="19"/>
  <c r="AZ129" i="19" s="1"/>
  <c r="AZ131" i="19" s="1"/>
  <c r="AZ140" i="19" s="1"/>
  <c r="F85" i="19"/>
  <c r="R92" i="19" s="1"/>
  <c r="R95" i="19" s="1"/>
  <c r="R97" i="19" s="1"/>
  <c r="BN45" i="19" s="1"/>
  <c r="AT171" i="10"/>
  <c r="V171" i="10" s="1"/>
  <c r="AT173" i="10"/>
  <c r="V173" i="10" s="1"/>
  <c r="BI129" i="19"/>
  <c r="AH149" i="11"/>
  <c r="AI149" i="11" s="1"/>
  <c r="S149" i="11" s="1"/>
  <c r="U149" i="11" s="1"/>
  <c r="U167" i="34" s="1"/>
  <c r="AT172" i="10"/>
  <c r="V172" i="10" s="1"/>
  <c r="AT166" i="10"/>
  <c r="V166" i="10" s="1"/>
  <c r="L85" i="19"/>
  <c r="X92" i="19" s="1"/>
  <c r="X95" i="19" s="1"/>
  <c r="X97" i="19" s="1"/>
  <c r="X100" i="19" s="1"/>
  <c r="AT174" i="10"/>
  <c r="V174" i="10" s="1"/>
  <c r="M85" i="19"/>
  <c r="Y92" i="19" s="1"/>
  <c r="Y95" i="19" s="1"/>
  <c r="Y97" i="19" s="1"/>
  <c r="Y100" i="19" s="1"/>
  <c r="E85" i="19"/>
  <c r="Q92" i="19" s="1"/>
  <c r="Q95" i="19" s="1"/>
  <c r="Q97" i="19" s="1"/>
  <c r="Q99" i="19" s="1"/>
  <c r="C85" i="19"/>
  <c r="O92" i="19" s="1"/>
  <c r="O95" i="19" s="1"/>
  <c r="O97" i="19" s="1"/>
  <c r="O99" i="19" s="1"/>
  <c r="B85" i="19"/>
  <c r="N92" i="19" s="1"/>
  <c r="N95" i="19" s="1"/>
  <c r="BR131" i="19"/>
  <c r="M77" i="21" s="1" a="1"/>
  <c r="M77" i="21" s="1"/>
  <c r="N77" i="21" s="1"/>
  <c r="G85" i="19"/>
  <c r="S92" i="19" s="1"/>
  <c r="S95" i="19" s="1"/>
  <c r="S97" i="19" s="1"/>
  <c r="J85" i="19"/>
  <c r="V92" i="19" s="1"/>
  <c r="V95" i="19" s="1"/>
  <c r="V97" i="19" s="1"/>
  <c r="J86" i="19"/>
  <c r="BF129" i="19" s="1"/>
  <c r="I85" i="19"/>
  <c r="U92" i="19" s="1"/>
  <c r="U95" i="19" s="1"/>
  <c r="U97" i="19" s="1"/>
  <c r="Q71" i="21"/>
  <c r="M71" i="21" s="1"/>
  <c r="AI150" i="11"/>
  <c r="S150" i="11" s="1"/>
  <c r="U150" i="11" s="1"/>
  <c r="P71" i="21"/>
  <c r="K78" i="21"/>
  <c r="H85" i="19"/>
  <c r="T92" i="19" s="1"/>
  <c r="T95" i="19" s="1"/>
  <c r="T97" i="19" s="1"/>
  <c r="H86" i="19"/>
  <c r="BD129" i="19" s="1"/>
  <c r="L77" i="21"/>
  <c r="O77" i="21" s="1"/>
  <c r="U71" i="21" s="1"/>
  <c r="K79" i="21"/>
  <c r="O73" i="21" s="1"/>
  <c r="K86" i="19"/>
  <c r="BG129" i="19" s="1"/>
  <c r="K85" i="19"/>
  <c r="W92" i="19" s="1"/>
  <c r="W95" i="19" s="1"/>
  <c r="W97" i="19" s="1"/>
  <c r="L79" i="21"/>
  <c r="O79" i="21" s="1"/>
  <c r="V73" i="21" s="1"/>
  <c r="BL45" i="19"/>
  <c r="P100" i="19"/>
  <c r="P104" i="19"/>
  <c r="U164" i="34"/>
  <c r="V146" i="11"/>
  <c r="U157" i="34"/>
  <c r="V139" i="11"/>
  <c r="U166" i="34"/>
  <c r="U163" i="34"/>
  <c r="V145" i="11"/>
  <c r="V147" i="11"/>
  <c r="U165" i="34"/>
  <c r="U160" i="34"/>
  <c r="V142" i="11"/>
  <c r="V143" i="11"/>
  <c r="U161" i="34"/>
  <c r="V140" i="11"/>
  <c r="U158" i="34"/>
  <c r="V144" i="11"/>
  <c r="U162" i="34"/>
  <c r="U72" i="21"/>
  <c r="V72" i="21"/>
  <c r="W72" i="21"/>
  <c r="AS111" i="19" l="1"/>
  <c r="BA140" i="19"/>
  <c r="BI133" i="19"/>
  <c r="K106" i="36" a="1"/>
  <c r="K106" i="36" s="1"/>
  <c r="F106" i="36" s="1" a="1"/>
  <c r="F106" i="36" s="1"/>
  <c r="E106" i="36" s="1"/>
  <c r="AX140" i="19"/>
  <c r="BO129" i="19"/>
  <c r="BS129" i="19" s="1"/>
  <c r="AU110" i="19"/>
  <c r="AX133" i="19"/>
  <c r="AY133" i="19" s="1"/>
  <c r="AT110" i="19"/>
  <c r="AR110" i="19"/>
  <c r="AR111" i="19"/>
  <c r="V141" i="11"/>
  <c r="S72" i="21"/>
  <c r="AE34" i="27"/>
  <c r="AB34" i="27"/>
  <c r="X34" i="27"/>
  <c r="W34" i="27"/>
  <c r="Z34" i="27"/>
  <c r="BI131" i="19"/>
  <c r="AF34" i="27"/>
  <c r="V34" i="27"/>
  <c r="BF131" i="19"/>
  <c r="BF140" i="19" s="1"/>
  <c r="AC34" i="27"/>
  <c r="BD131" i="19"/>
  <c r="BD140" i="19" s="1"/>
  <c r="AA34" i="27"/>
  <c r="BG131" i="19"/>
  <c r="BG140" i="19" s="1"/>
  <c r="AD34" i="27"/>
  <c r="Y34" i="27"/>
  <c r="U34" i="27"/>
  <c r="S99" i="19"/>
  <c r="R100" i="19"/>
  <c r="R104" i="19"/>
  <c r="BN55" i="19" s="1"/>
  <c r="P89" i="21"/>
  <c r="O89" i="21" s="1"/>
  <c r="H96" i="21" s="1"/>
  <c r="BK45" i="19"/>
  <c r="M79" i="21"/>
  <c r="N79" i="21" s="1"/>
  <c r="AD73" i="21" s="1"/>
  <c r="V149" i="11"/>
  <c r="Y99" i="19"/>
  <c r="BT45" i="19"/>
  <c r="X104" i="19"/>
  <c r="AV130" i="19" s="1"/>
  <c r="AV147" i="19" s="1"/>
  <c r="P99" i="19"/>
  <c r="M78" i="21"/>
  <c r="N78" i="21" s="1"/>
  <c r="AD72" i="21" s="1"/>
  <c r="Y104" i="19"/>
  <c r="Y106" i="19" s="1"/>
  <c r="BU45" i="19"/>
  <c r="O100" i="19"/>
  <c r="O104" i="19"/>
  <c r="BK55" i="19" s="1"/>
  <c r="Y107" i="19"/>
  <c r="Q104" i="19"/>
  <c r="BM45" i="19"/>
  <c r="Q100" i="19"/>
  <c r="R99" i="19"/>
  <c r="S104" i="19"/>
  <c r="BO45" i="19"/>
  <c r="S100" i="19"/>
  <c r="U100" i="19"/>
  <c r="U104" i="19"/>
  <c r="BQ45" i="19"/>
  <c r="V100" i="19"/>
  <c r="BR45" i="19"/>
  <c r="V104" i="19"/>
  <c r="V99" i="19"/>
  <c r="W71" i="21"/>
  <c r="V71" i="21"/>
  <c r="V150" i="11"/>
  <c r="U152" i="11"/>
  <c r="U168" i="34"/>
  <c r="U170" i="34" s="1"/>
  <c r="AA95" i="19"/>
  <c r="U73" i="21"/>
  <c r="AA97" i="19"/>
  <c r="AA104" i="19" s="1"/>
  <c r="W73" i="21"/>
  <c r="X99" i="19"/>
  <c r="O72" i="21"/>
  <c r="P72" i="21"/>
  <c r="Q72" i="21"/>
  <c r="AH162" i="11"/>
  <c r="AI162" i="11" s="1"/>
  <c r="P73" i="21"/>
  <c r="Q73" i="21"/>
  <c r="W104" i="19"/>
  <c r="W99" i="19"/>
  <c r="W100" i="19"/>
  <c r="BS45" i="19"/>
  <c r="U99" i="19"/>
  <c r="T100" i="19"/>
  <c r="T104" i="19"/>
  <c r="T99" i="19"/>
  <c r="BP45" i="19"/>
  <c r="BL55" i="19"/>
  <c r="AN130" i="19"/>
  <c r="AN147" i="19" s="1"/>
  <c r="AD71" i="21"/>
  <c r="AC71" i="21"/>
  <c r="AE71" i="21"/>
  <c r="BI140" i="19" l="1"/>
  <c r="K107" i="36" a="1"/>
  <c r="K107" i="36" s="1"/>
  <c r="E107" i="36" s="1"/>
  <c r="C106" i="36" s="1"/>
  <c r="B106" i="36" s="1"/>
  <c r="B98" i="36" s="1"/>
  <c r="A98" i="36" s="1"/>
  <c r="AX136" i="19"/>
  <c r="AU111" i="19"/>
  <c r="S73" i="21"/>
  <c r="AT111" i="19"/>
  <c r="S71" i="21"/>
  <c r="M73" i="21"/>
  <c r="BI134" i="19"/>
  <c r="P90" i="21" s="1"/>
  <c r="O90" i="21" s="1"/>
  <c r="AA71" i="21"/>
  <c r="M72" i="21"/>
  <c r="L80" i="21"/>
  <c r="O80" i="21" s="1"/>
  <c r="U74" i="21" s="1"/>
  <c r="AC73" i="21"/>
  <c r="BT55" i="19"/>
  <c r="AP130" i="19"/>
  <c r="AP147" i="19" s="1"/>
  <c r="AM130" i="19"/>
  <c r="BU55" i="19"/>
  <c r="AW130" i="19"/>
  <c r="AW147" i="19" s="1"/>
  <c r="J96" i="21"/>
  <c r="I96" i="21"/>
  <c r="V152" i="11"/>
  <c r="AE73" i="21"/>
  <c r="AX151" i="19"/>
  <c r="AC72" i="21"/>
  <c r="AE72" i="21"/>
  <c r="BM55" i="19"/>
  <c r="AO130" i="19"/>
  <c r="AO147" i="19" s="1"/>
  <c r="BO55" i="19"/>
  <c r="AQ130" i="19"/>
  <c r="AQ147" i="19" s="1"/>
  <c r="BR55" i="19"/>
  <c r="AT130" i="19"/>
  <c r="AT147" i="19" s="1"/>
  <c r="J80" i="21"/>
  <c r="AS130" i="19"/>
  <c r="AS147" i="19" s="1"/>
  <c r="BQ55" i="19"/>
  <c r="AX134" i="19"/>
  <c r="AT188" i="10"/>
  <c r="V188" i="10" s="1"/>
  <c r="AH161" i="11"/>
  <c r="AI161" i="11" s="1"/>
  <c r="S161" i="11" s="1"/>
  <c r="AH154" i="11"/>
  <c r="AI154" i="11" s="1"/>
  <c r="S154" i="11" s="1"/>
  <c r="AH157" i="11"/>
  <c r="AI157" i="11" s="1"/>
  <c r="K157" i="11" s="1"/>
  <c r="Q157" i="11" s="1"/>
  <c r="AU130" i="19"/>
  <c r="AU147" i="19" s="1"/>
  <c r="BS55" i="19"/>
  <c r="AH155" i="11"/>
  <c r="AI155" i="11" s="1"/>
  <c r="S155" i="11" s="1"/>
  <c r="BP55" i="19"/>
  <c r="AR130" i="19"/>
  <c r="AR147" i="19" s="1"/>
  <c r="K162" i="11"/>
  <c r="S162" i="11"/>
  <c r="AM147" i="19" l="1"/>
  <c r="BN130" i="19"/>
  <c r="AA73" i="21"/>
  <c r="AA72" i="21"/>
  <c r="J97" i="21"/>
  <c r="H97" i="21"/>
  <c r="I97" i="21"/>
  <c r="G96" i="21"/>
  <c r="K80" i="21"/>
  <c r="Q74" i="21" s="1"/>
  <c r="AY136" i="19"/>
  <c r="M80" i="21" s="1"/>
  <c r="N80" i="21" s="1"/>
  <c r="AC74" i="21" s="1"/>
  <c r="K161" i="11"/>
  <c r="Q161" i="11" s="1"/>
  <c r="K154" i="11"/>
  <c r="K155" i="11"/>
  <c r="Q155" i="11" s="1"/>
  <c r="F188" i="10"/>
  <c r="F316" i="10"/>
  <c r="S157" i="11"/>
  <c r="V74" i="21"/>
  <c r="AT181" i="10"/>
  <c r="V181" i="10" s="1"/>
  <c r="W74" i="21"/>
  <c r="AT180" i="10"/>
  <c r="V180" i="10" s="1"/>
  <c r="AT183" i="10"/>
  <c r="V183" i="10" s="1"/>
  <c r="AH159" i="11"/>
  <c r="AI159" i="11" s="1"/>
  <c r="AT185" i="10"/>
  <c r="V185" i="10" s="1"/>
  <c r="AH158" i="11"/>
  <c r="AI158" i="11" s="1"/>
  <c r="AT184" i="10"/>
  <c r="V184" i="10" s="1"/>
  <c r="F312" i="10" s="1"/>
  <c r="AT187" i="10"/>
  <c r="V187" i="10" s="1"/>
  <c r="AT190" i="10"/>
  <c r="V190" i="10" s="1"/>
  <c r="AH164" i="11"/>
  <c r="AI164" i="11" s="1"/>
  <c r="AH163" i="11"/>
  <c r="AI163" i="11" s="1"/>
  <c r="AT189" i="10"/>
  <c r="AH156" i="11"/>
  <c r="AI156" i="11" s="1"/>
  <c r="AT182" i="10"/>
  <c r="V182" i="10" s="1"/>
  <c r="AT186" i="10"/>
  <c r="AH160" i="11"/>
  <c r="AI160" i="11" s="1"/>
  <c r="K160" i="11" s="1"/>
  <c r="Q160" i="11" s="1"/>
  <c r="AT191" i="10"/>
  <c r="AH165" i="11"/>
  <c r="AI165" i="11" s="1"/>
  <c r="Q162" i="11"/>
  <c r="Q154" i="11" l="1"/>
  <c r="F154" i="11" s="1"/>
  <c r="F161" i="11"/>
  <c r="H162" i="11" s="1"/>
  <c r="I162" i="11" s="1"/>
  <c r="S74" i="21"/>
  <c r="G97" i="21"/>
  <c r="O74" i="21"/>
  <c r="P74" i="21"/>
  <c r="M74" i="21" s="1"/>
  <c r="AE74" i="21"/>
  <c r="AD74" i="21"/>
  <c r="V189" i="10"/>
  <c r="V186" i="10"/>
  <c r="F314" i="10" s="1"/>
  <c r="V191" i="10"/>
  <c r="F319" i="10" s="1"/>
  <c r="F190" i="10"/>
  <c r="F318" i="10"/>
  <c r="F185" i="10"/>
  <c r="F313" i="10"/>
  <c r="F187" i="10"/>
  <c r="E188" i="10" s="1"/>
  <c r="F315" i="10"/>
  <c r="F183" i="10"/>
  <c r="E183" i="10" s="1"/>
  <c r="F311" i="10"/>
  <c r="F184" i="10"/>
  <c r="F59" i="17"/>
  <c r="S165" i="11"/>
  <c r="K165" i="11"/>
  <c r="Q165" i="11" s="1"/>
  <c r="F165" i="11" s="1"/>
  <c r="K164" i="11"/>
  <c r="Q164" i="11" s="1"/>
  <c r="F164" i="11" s="1"/>
  <c r="H165" i="11" s="1"/>
  <c r="I165" i="11" s="1"/>
  <c r="S164" i="11"/>
  <c r="K158" i="11"/>
  <c r="Q158" i="11" s="1"/>
  <c r="F158" i="11" s="1"/>
  <c r="H159" i="11" s="1"/>
  <c r="I159" i="11" s="1"/>
  <c r="S158" i="11"/>
  <c r="K163" i="11"/>
  <c r="Q163" i="11" s="1"/>
  <c r="F163" i="11" s="1"/>
  <c r="H164" i="11" s="1"/>
  <c r="I164" i="11" s="1"/>
  <c r="S163" i="11"/>
  <c r="S156" i="11"/>
  <c r="K156" i="11"/>
  <c r="Q156" i="11" s="1"/>
  <c r="F156" i="11" s="1"/>
  <c r="H157" i="11" s="1"/>
  <c r="I157" i="11" s="1"/>
  <c r="F160" i="11"/>
  <c r="S160" i="11"/>
  <c r="K159" i="11"/>
  <c r="Q159" i="11" s="1"/>
  <c r="F159" i="11" s="1"/>
  <c r="H160" i="11" s="1"/>
  <c r="I160" i="11" s="1"/>
  <c r="S159" i="11"/>
  <c r="F162" i="11"/>
  <c r="F155" i="11"/>
  <c r="H156" i="11" s="1"/>
  <c r="I156" i="11" s="1"/>
  <c r="F157" i="11"/>
  <c r="G154" i="11" l="1"/>
  <c r="H155" i="11"/>
  <c r="I155" i="11" s="1"/>
  <c r="Q167" i="11"/>
  <c r="AA74" i="21"/>
  <c r="F317" i="10"/>
  <c r="K82" i="36" s="1" a="1"/>
  <c r="K82" i="36" s="1"/>
  <c r="E82" i="36" s="1"/>
  <c r="F60" i="17"/>
  <c r="U193" i="10"/>
  <c r="U195" i="10" s="1"/>
  <c r="E184" i="10"/>
  <c r="F186" i="10"/>
  <c r="E186" i="10" s="1"/>
  <c r="F191" i="10"/>
  <c r="E191" i="10" s="1"/>
  <c r="G165" i="11"/>
  <c r="G181" i="11" s="1"/>
  <c r="E185" i="10"/>
  <c r="G164" i="11"/>
  <c r="G180" i="11" s="1"/>
  <c r="G158" i="11"/>
  <c r="G174" i="11" s="1"/>
  <c r="E60" i="17"/>
  <c r="E59" i="17"/>
  <c r="H59" i="17" s="1"/>
  <c r="D59" i="17" s="1"/>
  <c r="C59" i="17" s="1"/>
  <c r="E61" i="17"/>
  <c r="G159" i="11"/>
  <c r="G175" i="11" s="1"/>
  <c r="E58" i="17"/>
  <c r="H58" i="17" s="1"/>
  <c r="D58" i="17" s="1"/>
  <c r="G163" i="11"/>
  <c r="G179" i="11" s="1"/>
  <c r="H161" i="11"/>
  <c r="I161" i="11" s="1"/>
  <c r="G161" i="11"/>
  <c r="G177" i="11" s="1"/>
  <c r="G160" i="11"/>
  <c r="G176" i="11" s="1"/>
  <c r="G170" i="11"/>
  <c r="F170" i="11" s="1"/>
  <c r="I170" i="11" s="1"/>
  <c r="H163" i="11"/>
  <c r="I163" i="11" s="1"/>
  <c r="G162" i="11"/>
  <c r="G178" i="11" s="1"/>
  <c r="G156" i="11"/>
  <c r="G172" i="11" s="1"/>
  <c r="G155" i="11"/>
  <c r="G157" i="11"/>
  <c r="G173" i="11" s="1"/>
  <c r="H158" i="11"/>
  <c r="I158" i="11" s="1"/>
  <c r="K12" i="36" l="1" a="1"/>
  <c r="K12" i="36" s="1"/>
  <c r="E12" i="36" s="1"/>
  <c r="F61" i="17"/>
  <c r="F189" i="10"/>
  <c r="H60" i="17"/>
  <c r="D60" i="17" s="1"/>
  <c r="C60" i="17" s="1"/>
  <c r="E187" i="10"/>
  <c r="G59" i="17"/>
  <c r="L59" i="17"/>
  <c r="C58" i="17"/>
  <c r="E76" i="17"/>
  <c r="G171" i="11"/>
  <c r="F171" i="11" s="1"/>
  <c r="H61" i="17" l="1"/>
  <c r="K13" i="36" a="1"/>
  <c r="K13" i="36" s="1"/>
  <c r="E13" i="36" s="1"/>
  <c r="F76" i="17"/>
  <c r="E189" i="10"/>
  <c r="E190" i="10"/>
  <c r="G60" i="17"/>
  <c r="L60" i="17"/>
  <c r="G58" i="17"/>
  <c r="L58" i="17"/>
  <c r="F172" i="11"/>
  <c r="F173" i="11" s="1"/>
  <c r="I171" i="11"/>
  <c r="D61" i="17" l="1"/>
  <c r="C61" i="17" s="1"/>
  <c r="I172" i="11"/>
  <c r="F174" i="11"/>
  <c r="I173" i="11"/>
  <c r="D76" i="17" l="1"/>
  <c r="L61" i="17"/>
  <c r="G61" i="17"/>
  <c r="F175" i="11"/>
  <c r="I174" i="11"/>
  <c r="K11" i="36" l="1" a="1"/>
  <c r="K11" i="36" s="1"/>
  <c r="E11" i="36" s="1"/>
  <c r="C11" i="36" s="1"/>
  <c r="B11" i="36" s="1"/>
  <c r="K10" i="21"/>
  <c r="H10" i="21" s="1"/>
  <c r="L76" i="17"/>
  <c r="F176" i="11"/>
  <c r="I175" i="11"/>
  <c r="B3" i="36" l="1"/>
  <c r="A3" i="36" s="1"/>
  <c r="I176" i="11"/>
  <c r="F177" i="11"/>
  <c r="I177" i="11" l="1"/>
  <c r="F178" i="11"/>
  <c r="F179" i="11" l="1"/>
  <c r="I178" i="11"/>
  <c r="F180" i="11" l="1"/>
  <c r="I179" i="11"/>
  <c r="I180" i="11" l="1"/>
  <c r="F181" i="11"/>
  <c r="I181" i="11" s="1"/>
  <c r="I183" i="11"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<sst xmlns="http://schemas.openxmlformats.org/spreadsheetml/2006/main" count="3685" uniqueCount="2005">
  <si>
    <t>ІСЦ</t>
  </si>
  <si>
    <t>Грошова база, млн грн</t>
  </si>
  <si>
    <t>ГБ ch</t>
  </si>
  <si>
    <t>реальний ріст</t>
  </si>
  <si>
    <t>РеалГБ%</t>
  </si>
  <si>
    <t>Курс</t>
  </si>
  <si>
    <t>Курс ch</t>
  </si>
  <si>
    <t>y</t>
  </si>
  <si>
    <t>Q</t>
  </si>
  <si>
    <t>ym</t>
  </si>
  <si>
    <t>ІЦВ</t>
  </si>
  <si>
    <t>UCPI</t>
  </si>
  <si>
    <t>UCPI*курс</t>
  </si>
  <si>
    <t>Середня заробітна плата, грн</t>
  </si>
  <si>
    <t>Грошова база</t>
  </si>
  <si>
    <t>UCPIexchrate%</t>
  </si>
  <si>
    <t>ЗП%</t>
  </si>
  <si>
    <t>ГБ%</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</si>
  <si>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</si>
  <si>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</si>
  <si>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</si>
  <si>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</si>
  <si>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</si>
  <si>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</si>
  <si>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</si>
  <si>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</si>
  <si>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</si>
  <si>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</si>
  <si>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</si>
  <si>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</si>
  <si>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</si>
  <si>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</si>
  <si>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</si>
  <si>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</si>
  <si>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</si>
  <si>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</si>
  <si>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</si>
  <si>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</si>
  <si>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</si>
  <si>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</si>
  <si>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</si>
  <si>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</si>
  <si>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</si>
  <si>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</si>
  <si>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</si>
  <si>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</si>
  <si>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</si>
  <si>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</si>
  <si>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</si>
  <si>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</si>
  <si>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</si>
  <si>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</si>
  <si>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</si>
  <si>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</si>
  <si>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</si>
  <si>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</si>
  <si>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</si>
  <si>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</si>
  <si>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</si>
  <si>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</si>
  <si>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</si>
  <si>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</si>
  <si>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</si>
  <si>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</si>
  <si>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</si>
  <si>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</si>
  <si>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</si>
  <si>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</si>
  <si>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</si>
  <si>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</si>
  <si>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</si>
  <si>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</si>
  <si>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</si>
  <si>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</si>
  <si>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</si>
  <si>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</si>
  <si>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</si>
  <si>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</si>
  <si>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</si>
  <si>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</si>
  <si>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</si>
  <si>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</si>
  <si>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</si>
  <si>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</si>
  <si>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</si>
  <si>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</si>
  <si>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</si>
  <si>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</si>
  <si>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</si>
  <si>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</si>
  <si>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</si>
  <si>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</si>
  <si>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</si>
  <si>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</si>
  <si>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</si>
  <si>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</si>
  <si>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</si>
  <si>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</si>
  <si>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</si>
  <si>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</si>
  <si>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</si>
  <si>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</si>
  <si>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</si>
  <si>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</si>
  <si>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</si>
  <si>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</si>
  <si>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</si>
  <si>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</si>
  <si>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</si>
  <si>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</si>
  <si>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</si>
  <si>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</si>
  <si>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</si>
  <si>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</si>
  <si>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</si>
  <si>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</si>
  <si>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</si>
  <si>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</si>
  <si>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</si>
  <si>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</si>
  <si>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</si>
  <si>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</si>
  <si>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</si>
  <si>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</si>
  <si>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</si>
  <si>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</si>
  <si>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</si>
  <si>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</si>
  <si>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</si>
  <si>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</si>
  <si>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</si>
  <si>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</si>
  <si>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</si>
  <si>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</si>
  <si>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</si>
  <si>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</si>
  <si>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</si>
  <si>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</si>
  <si>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Дефлятор</t>
  </si>
  <si>
    <t>реальний ріст ВВП</t>
  </si>
  <si>
    <t>Исторические данные</t>
  </si>
  <si>
    <t>Сценарий Б</t>
  </si>
  <si>
    <t>Diff</t>
  </si>
  <si>
    <t>% UCPI m-o-m</t>
  </si>
  <si>
    <t>Курс, %</t>
  </si>
  <si>
    <t>UCPI - факт</t>
  </si>
  <si>
    <t>Ср. За цыкл</t>
  </si>
  <si>
    <t>ПРОГНОЗ</t>
  </si>
  <si>
    <t>2019(1)</t>
  </si>
  <si>
    <t>2020(1)</t>
  </si>
  <si>
    <t>UA Fuels</t>
  </si>
  <si>
    <t>UA Fuels*курс</t>
  </si>
  <si>
    <t>Тренд</t>
  </si>
  <si>
    <t>UCPI%</t>
  </si>
  <si>
    <t>2010M01</t>
  </si>
  <si>
    <t>2010M02</t>
  </si>
  <si>
    <t>2010M03</t>
  </si>
  <si>
    <t>2010M04</t>
  </si>
  <si>
    <t>2010M05</t>
  </si>
  <si>
    <t>2010M06</t>
  </si>
  <si>
    <t>2010M07</t>
  </si>
  <si>
    <t>2010M08</t>
  </si>
  <si>
    <t>2010M09</t>
  </si>
  <si>
    <t>2010M10</t>
  </si>
  <si>
    <t>2010M11</t>
  </si>
  <si>
    <t>2010M12</t>
  </si>
  <si>
    <t>Def - fact</t>
  </si>
  <si>
    <t>Реальний ріст ВВП, %</t>
  </si>
  <si>
    <t>Exchrate%</t>
  </si>
  <si>
    <t>DiFF 2</t>
  </si>
  <si>
    <t>DiFF 1</t>
  </si>
  <si>
    <t>Def 1-CPI-PPI</t>
  </si>
  <si>
    <t>Def 2-CPI-PPI-UACPI*Exch</t>
  </si>
  <si>
    <t>НБУ</t>
  </si>
  <si>
    <t>Fuel Index (imp)</t>
  </si>
  <si>
    <t>Fuel Index (imp) ch</t>
  </si>
  <si>
    <t>Середня заробітна плата, грн  ch</t>
  </si>
  <si>
    <t>Реальна заробітна плата, грн  ch</t>
  </si>
  <si>
    <t>Fuel Index * Exchrate</t>
  </si>
  <si>
    <t>Fuel Index * Exchrate, ch</t>
  </si>
  <si>
    <t>ІСЦ - Гріша</t>
  </si>
  <si>
    <t>Дефлятор -forecast</t>
  </si>
  <si>
    <t>2021M01</t>
  </si>
  <si>
    <t>2021M02</t>
  </si>
  <si>
    <t>2021M03</t>
  </si>
  <si>
    <t>2021M04</t>
  </si>
  <si>
    <t>2021M05</t>
  </si>
  <si>
    <t>2021M06</t>
  </si>
  <si>
    <t>2021M07</t>
  </si>
  <si>
    <t>2021M08</t>
  </si>
  <si>
    <t>2021M09</t>
  </si>
  <si>
    <t>2021M10</t>
  </si>
  <si>
    <t>2021M11</t>
  </si>
  <si>
    <t>2021M12</t>
  </si>
  <si>
    <t>відхилення %</t>
  </si>
  <si>
    <t>Регрес на 18 міс з 07.19</t>
  </si>
  <si>
    <t>Трендові значення ( на 18 м. з 01.18-12.19)</t>
  </si>
  <si>
    <t>Regres 2018-19 ( + real GDP)</t>
  </si>
  <si>
    <t>Regres 2019-20 ( + real GDP) - 12 month</t>
  </si>
  <si>
    <t>Regres Salary and Real Grow</t>
  </si>
  <si>
    <r>
      <t xml:space="preserve">Зважений ІЦВ </t>
    </r>
    <r>
      <rPr>
        <b/>
        <sz val="10"/>
        <color theme="0"/>
        <rFont val="Montserrat"/>
        <family val="2"/>
        <charset val="204"/>
        <scheme val="minor"/>
      </rPr>
      <t>(salary model)</t>
    </r>
  </si>
  <si>
    <t>Дефлятор по пропорции, %</t>
  </si>
  <si>
    <t>Ваги кварталів ВВП, %</t>
  </si>
  <si>
    <t>Часка ІСЦ</t>
  </si>
  <si>
    <t>Частка ІЦВ</t>
  </si>
  <si>
    <r>
      <t xml:space="preserve">ІЦВ - </t>
    </r>
    <r>
      <rPr>
        <b/>
        <sz val="10"/>
        <color theme="1"/>
        <rFont val="Montserrat"/>
        <family val="2"/>
        <charset val="204"/>
        <scheme val="minor"/>
      </rPr>
      <t>(ГБ last 12 month)</t>
    </r>
  </si>
  <si>
    <t>до змісту</t>
  </si>
  <si>
    <t>1.1. Динаміка платіжного балансу України: аналітична форма представлення</t>
  </si>
  <si>
    <t xml:space="preserve">(відповідно до КПБ6) </t>
  </si>
  <si>
    <t>млн дол. США</t>
  </si>
  <si>
    <t>2018</t>
  </si>
  <si>
    <t>2019F</t>
  </si>
  <si>
    <t>2020F</t>
  </si>
  <si>
    <t>2021F</t>
  </si>
  <si>
    <t>девальвація, %</t>
  </si>
  <si>
    <t>Ср зарплата, грн</t>
  </si>
  <si>
    <t>ріст, %</t>
  </si>
  <si>
    <t>в $</t>
  </si>
  <si>
    <t>% приросту</t>
  </si>
  <si>
    <t>Ср річний приріст до попернього періоду грн, %</t>
  </si>
  <si>
    <t>-</t>
  </si>
  <si>
    <t>вдхилення від факту, %</t>
  </si>
  <si>
    <t>Мін зп, грн</t>
  </si>
  <si>
    <t>Ср зп по моделі, грн</t>
  </si>
  <si>
    <t>Місячні данні</t>
  </si>
  <si>
    <t>% у-у</t>
  </si>
  <si>
    <t>% м-м</t>
  </si>
  <si>
    <t>Альфабанк</t>
  </si>
  <si>
    <t>ICU</t>
  </si>
  <si>
    <t>y-y %</t>
  </si>
  <si>
    <t>1Q</t>
  </si>
  <si>
    <t>2Q</t>
  </si>
  <si>
    <t>3Q</t>
  </si>
  <si>
    <t>4Q</t>
  </si>
  <si>
    <t>грн - факт</t>
  </si>
  <si>
    <t>Прогноз НБУ</t>
  </si>
  <si>
    <t>Year</t>
  </si>
  <si>
    <t>в грн (season)</t>
  </si>
  <si>
    <t>в грн (year)</t>
  </si>
  <si>
    <t>в грн (month)</t>
  </si>
  <si>
    <t>місяць до ср по року, %</t>
  </si>
  <si>
    <t>Маска руху з/п, m-m %</t>
  </si>
  <si>
    <t>Загальні прогнози</t>
  </si>
  <si>
    <t>Маска руху в середині року, month -avr year %</t>
  </si>
  <si>
    <t>Avr - UEO</t>
  </si>
  <si>
    <t>Наші прогнози UEO</t>
  </si>
  <si>
    <t>Avr - UEO, $</t>
  </si>
  <si>
    <t>Середня заробітна плата, $</t>
  </si>
  <si>
    <t>CPI, %</t>
  </si>
  <si>
    <t>Реальная заработная плата, $</t>
  </si>
  <si>
    <t>Реальная заработная плата, грн</t>
  </si>
  <si>
    <t>Средняя заработная плата, $</t>
  </si>
  <si>
    <t>Средняя заработная плата, грн</t>
  </si>
  <si>
    <t>USD</t>
  </si>
  <si>
    <t>UAH</t>
  </si>
  <si>
    <t>Deflator</t>
  </si>
  <si>
    <t>PPI</t>
  </si>
  <si>
    <t>CPI</t>
  </si>
  <si>
    <t>% y-y</t>
  </si>
  <si>
    <t>% у-у реальной з/п</t>
  </si>
  <si>
    <t>1. Курс баз (підтрим експ)</t>
  </si>
  <si>
    <t>2. Курс ревал (здерж Інф)</t>
  </si>
  <si>
    <r>
      <rPr>
        <b/>
        <sz val="11"/>
        <color theme="1"/>
        <rFont val="Montserrat"/>
        <family val="3"/>
        <scheme val="minor"/>
      </rPr>
      <t>ІЦВ-1</t>
    </r>
    <r>
      <rPr>
        <sz val="11"/>
        <color theme="1"/>
        <rFont val="Montserrat"/>
        <family val="2"/>
        <scheme val="minor"/>
      </rPr>
      <t xml:space="preserve"> (підтримк експорт)</t>
    </r>
  </si>
  <si>
    <r>
      <rPr>
        <b/>
        <sz val="11"/>
        <color theme="1"/>
        <rFont val="Montserrat"/>
        <family val="3"/>
        <scheme val="minor"/>
      </rPr>
      <t>ІЦВ-2</t>
    </r>
    <r>
      <rPr>
        <sz val="11"/>
        <color theme="1"/>
        <rFont val="Montserrat"/>
        <family val="2"/>
        <scheme val="minor"/>
      </rPr>
      <t xml:space="preserve"> (стрим інфляц)</t>
    </r>
  </si>
  <si>
    <t>Коф додаткового стримування інфляції</t>
  </si>
  <si>
    <t>Avr year</t>
  </si>
  <si>
    <r>
      <rPr>
        <b/>
        <sz val="11"/>
        <color theme="1"/>
        <rFont val="Montserrat"/>
        <family val="3"/>
        <scheme val="minor"/>
      </rPr>
      <t>ІЦВ-2</t>
    </r>
    <r>
      <rPr>
        <sz val="11"/>
        <color theme="1"/>
        <rFont val="Montserrat"/>
        <family val="2"/>
        <scheme val="minor"/>
      </rPr>
      <t xml:space="preserve"> (стрим інфляц + коф. Стримання інфляц)</t>
    </r>
  </si>
  <si>
    <t>Тренд (MB, Курс, З/п)</t>
  </si>
  <si>
    <t>Тренд (MB, Курс)</t>
  </si>
  <si>
    <t>Базовий прогноз</t>
  </si>
  <si>
    <r>
      <rPr>
        <b/>
        <sz val="11"/>
        <color theme="1"/>
        <rFont val="Montserrat"/>
        <family val="3"/>
        <scheme val="minor"/>
      </rPr>
      <t>ІСЦ-1</t>
    </r>
    <r>
      <rPr>
        <sz val="11"/>
        <color theme="1"/>
        <rFont val="Montserrat"/>
        <family val="2"/>
        <scheme val="minor"/>
      </rPr>
      <t xml:space="preserve"> (підтримк експорт)</t>
    </r>
  </si>
  <si>
    <r>
      <rPr>
        <b/>
        <sz val="11"/>
        <color theme="1"/>
        <rFont val="Montserrat"/>
        <family val="3"/>
        <scheme val="minor"/>
      </rPr>
      <t>ІСЦ-2</t>
    </r>
    <r>
      <rPr>
        <sz val="11"/>
        <color theme="1"/>
        <rFont val="Montserrat"/>
        <family val="2"/>
        <scheme val="minor"/>
      </rPr>
      <t xml:space="preserve"> (стрим інфляц)</t>
    </r>
  </si>
  <si>
    <r>
      <rPr>
        <b/>
        <sz val="11"/>
        <color theme="1"/>
        <rFont val="Montserrat"/>
        <family val="3"/>
        <scheme val="minor"/>
      </rPr>
      <t>ІСЦ-2</t>
    </r>
    <r>
      <rPr>
        <sz val="11"/>
        <color theme="1"/>
        <rFont val="Montserrat"/>
        <family val="2"/>
        <scheme val="minor"/>
      </rPr>
      <t xml:space="preserve"> (стрим інфляц + коф. Стримання інфляц)</t>
    </r>
  </si>
  <si>
    <t>Факт</t>
  </si>
  <si>
    <t>отклонение, %</t>
  </si>
  <si>
    <t>Середня заробітна плата в Києві, грн</t>
  </si>
  <si>
    <t>відхилення від середньої по країні, %</t>
  </si>
  <si>
    <t>Регресія грн</t>
  </si>
  <si>
    <t>відхилення, %</t>
  </si>
  <si>
    <t>Регресія $</t>
  </si>
  <si>
    <t>Avrg</t>
  </si>
  <si>
    <r>
      <t xml:space="preserve">Маска руху з/п, m-m % </t>
    </r>
    <r>
      <rPr>
        <b/>
        <sz val="14"/>
        <color rgb="FFFF0000"/>
        <rFont val="Arial"/>
        <family val="2"/>
        <charset val="204"/>
      </rPr>
      <t>(грн)</t>
    </r>
  </si>
  <si>
    <r>
      <t xml:space="preserve">Маска руху з/п, m-m % </t>
    </r>
    <r>
      <rPr>
        <b/>
        <sz val="14"/>
        <color rgb="FFFF0000"/>
        <rFont val="Arial"/>
        <family val="2"/>
        <charset val="204"/>
      </rPr>
      <t>(USD)</t>
    </r>
  </si>
  <si>
    <t>Коф кориговки</t>
  </si>
  <si>
    <t>Регресія</t>
  </si>
  <si>
    <t>Відхилення, %</t>
  </si>
  <si>
    <t>2020 реальна з/п, % г-г</t>
  </si>
  <si>
    <t>2021 реальна з/п, % г-г</t>
  </si>
  <si>
    <t>2020 номинальная з/п, грн</t>
  </si>
  <si>
    <t>2021 номинальная з/п, грн</t>
  </si>
  <si>
    <t>(тис. осіб)</t>
  </si>
  <si>
    <t>Вид діяльності</t>
  </si>
  <si>
    <t>Січень</t>
  </si>
  <si>
    <t>Лютий</t>
  </si>
  <si>
    <t>Березень</t>
  </si>
  <si>
    <t>Квітень</t>
  </si>
  <si>
    <t>Травень</t>
  </si>
  <si>
    <t>Червень</t>
  </si>
  <si>
    <t>Липень</t>
  </si>
  <si>
    <t>Серпень</t>
  </si>
  <si>
    <r>
      <t>В</t>
    </r>
    <r>
      <rPr>
        <sz val="10"/>
        <color rgb="FF000000"/>
        <rFont val="Verdana"/>
        <family val="2"/>
        <charset val="204"/>
      </rPr>
      <t>ересень</t>
    </r>
  </si>
  <si>
    <t>Жовтень</t>
  </si>
  <si>
    <t>Листопад</t>
  </si>
  <si>
    <t>Грудень</t>
  </si>
  <si>
    <t>Усього</t>
  </si>
  <si>
    <t>Сільське господарство, лісове господарство та рибне господарство</t>
  </si>
  <si>
    <t>   з них сільське господарство</t>
  </si>
  <si>
    <t>Промисловість</t>
  </si>
  <si>
    <t>Будівництво</t>
  </si>
  <si>
    <t>Оптова та роздрібна торгівля; ремонт автотранспортних засобів і мотоциклів</t>
  </si>
  <si>
    <t>Транспорт, складське господарство, поштова та кур'єрська діяльність</t>
  </si>
  <si>
    <t>наземний і трубопровідний транспорт</t>
  </si>
  <si>
    <t>водний транспорт</t>
  </si>
  <si>
    <t>авіаційний транспорт</t>
  </si>
  <si>
    <t>складське господарство та допоміжна діяльність у сфері транспорту</t>
  </si>
  <si>
    <t>поштова та кур'єрська діяльність</t>
  </si>
  <si>
    <t>Тимчасове розміщування й організація харчування</t>
  </si>
  <si>
    <t>Інформація та телекомунікації</t>
  </si>
  <si>
    <t>Фінансова та страхова діяльність</t>
  </si>
  <si>
    <t>Операції з нерухомим майном</t>
  </si>
  <si>
    <t>Професійна, наукова та технічна діяльність</t>
  </si>
  <si>
    <t>з неї наукові дослідження та розробки</t>
  </si>
  <si>
    <t>Діяльність у сфері адміністративного та допоміжного обслуговування</t>
  </si>
  <si>
    <t>Державне управління й оборона; обов'язкове соціальне страхування</t>
  </si>
  <si>
    <t>Освіта</t>
  </si>
  <si>
    <t>Охорона здоров'я та надання соціальної допомоги</t>
  </si>
  <si>
    <t>   з них охорона здоров'я</t>
  </si>
  <si>
    <t>Мистецтво, спорт, розваги та відпочинок</t>
  </si>
  <si>
    <t>діяльність у сфері творчості, мистецтва та розваг</t>
  </si>
  <si>
    <t>функціювання бібліотек, архівів, музеїв та інших закладів культури</t>
  </si>
  <si>
    <t>Надання інших видів послуг</t>
  </si>
  <si>
    <r>
      <t>Вересень</t>
    </r>
    <r>
      <rPr>
        <sz val="10"/>
        <color rgb="FF000000"/>
        <rFont val="Verdana"/>
        <family val="2"/>
        <charset val="204"/>
      </rPr>
      <t/>
    </r>
  </si>
  <si>
    <t>Сельское хозяйство</t>
  </si>
  <si>
    <t>Промышленость</t>
  </si>
  <si>
    <t>Строительство</t>
  </si>
  <si>
    <t>Торговля</t>
  </si>
  <si>
    <t>Транспорт</t>
  </si>
  <si>
    <t>Образование</t>
  </si>
  <si>
    <t>Медицина</t>
  </si>
  <si>
    <t>Госструктуры</t>
  </si>
  <si>
    <t>Другое</t>
  </si>
  <si>
    <t>Всего</t>
  </si>
  <si>
    <t>тыс. чел.</t>
  </si>
  <si>
    <t>Середньооблікова кількість штатних працівників за видами економічної діяльності</t>
  </si>
  <si>
    <r>
      <t xml:space="preserve">ІЦВ - </t>
    </r>
    <r>
      <rPr>
        <b/>
        <sz val="10"/>
        <color rgb="FFFF0000"/>
        <rFont val="Montserrat"/>
        <family val="2"/>
        <charset val="204"/>
        <scheme val="minor"/>
      </rPr>
      <t>(м-м %)</t>
    </r>
  </si>
  <si>
    <t>ІСЦ % м-м</t>
  </si>
  <si>
    <t>ІСЦ % у-у</t>
  </si>
  <si>
    <t>http://www.ukrstat.gov.ua/operativ/operativ2018/gdn/Sok_ed/Arch_sok_ed_u.htm</t>
  </si>
  <si>
    <t>Среднегодовой прирост</t>
  </si>
  <si>
    <t>august</t>
  </si>
  <si>
    <t>Здравохранение</t>
  </si>
  <si>
    <t>Транспорт, логистика</t>
  </si>
  <si>
    <t>Развличения</t>
  </si>
  <si>
    <t>Государство</t>
  </si>
  <si>
    <t>Отельно ресторанный комплекс</t>
  </si>
  <si>
    <t>С/х</t>
  </si>
  <si>
    <t>ІТ</t>
  </si>
  <si>
    <t>Наука</t>
  </si>
  <si>
    <t>Финансовые услуги</t>
  </si>
  <si>
    <t>Операции с недвижимостью</t>
  </si>
  <si>
    <t>Другие услуги</t>
  </si>
  <si>
    <t>Административное обслуживание</t>
  </si>
  <si>
    <r>
      <t xml:space="preserve">2 </t>
    </r>
    <r>
      <rPr>
        <sz val="10"/>
        <color theme="1"/>
        <rFont val="Verdana"/>
        <family val="2"/>
        <charset val="204"/>
      </rPr>
      <t xml:space="preserve">Дані підготовлено за результатами державного статистичного спостереження "Обстеження підприємств із питань статистики праці", яким охоплені юридичні особи та відокремлені підрозділи юридичних осіб із кількістю найманих працівників 10 і більше осіб./                                                                                                                                                                                                                                                                                                      Data are compiled according to the results from the state statistical observation “Survey of enterprises on issues concerning labor statistics” which covers legal persons and detached units of legal persons with 10 and more employees.  </t>
    </r>
  </si>
  <si>
    <r>
      <t xml:space="preserve">1 </t>
    </r>
    <r>
      <rPr>
        <sz val="10"/>
        <color theme="1"/>
        <rFont val="Verdana"/>
        <family val="2"/>
        <charset val="204"/>
      </rPr>
      <t>Без урахування тимчасово окупованої території Автономної Республіки Крим, м. Севастополя та частини тимчасово окупованих територій у Донецькій та Луганській областях./                                                                                                                                                                                                                                                                                                                                       Data exclude the temporarily occupied territory of the Autonomous Republic of Crimea, the city of Sevastopol and a part of temporarily occupied territories in the Donetsk and Luhansk regions.</t>
    </r>
  </si>
  <si>
    <t xml:space="preserve">Other service activities </t>
  </si>
  <si>
    <t>Libraries, archives, museums and other cultural activities</t>
  </si>
  <si>
    <t xml:space="preserve">arts, entertainment and recreation activities  </t>
  </si>
  <si>
    <t xml:space="preserve">Arts, sport, entertainment and recreation </t>
  </si>
  <si>
    <t>of which human health</t>
  </si>
  <si>
    <t xml:space="preserve">Human health and social work activities </t>
  </si>
  <si>
    <t>Education</t>
  </si>
  <si>
    <t xml:space="preserve">Public administration and defence; compulsory social security  </t>
  </si>
  <si>
    <t xml:space="preserve">Administrative and support service activities </t>
  </si>
  <si>
    <t>of which scientific research and development</t>
  </si>
  <si>
    <t xml:space="preserve">Professional, scientific and technical activities </t>
  </si>
  <si>
    <t xml:space="preserve">Real estate activities </t>
  </si>
  <si>
    <t xml:space="preserve">Financial and insurance activities </t>
  </si>
  <si>
    <t xml:space="preserve">Information and communication </t>
  </si>
  <si>
    <t xml:space="preserve">Accommodation and food service activities </t>
  </si>
  <si>
    <t>Postal and courier activities</t>
  </si>
  <si>
    <t>Warehousing and support activities for transportation</t>
  </si>
  <si>
    <t>Air transport</t>
  </si>
  <si>
    <t>Water transport</t>
  </si>
  <si>
    <t>Land transport and transport via pipelines</t>
  </si>
  <si>
    <t>Transportation and warehousing, postal and courier activities</t>
  </si>
  <si>
    <t xml:space="preserve">Wholesale and retail trade; repair of motor vehicles and motorcycles </t>
  </si>
  <si>
    <t>Construction</t>
  </si>
  <si>
    <t>Manufacturing</t>
  </si>
  <si>
    <t>of which agriculture</t>
  </si>
  <si>
    <t xml:space="preserve">Agriculture, forestry and fishing </t>
  </si>
  <si>
    <t>Total</t>
  </si>
  <si>
    <t>% до поперед-нього місяця/ percent of the previous month</t>
  </si>
  <si>
    <t>тис. осіб/ thsd.</t>
  </si>
  <si>
    <t>Activity</t>
  </si>
  <si>
    <t>Грудень/December</t>
  </si>
  <si>
    <t>Листопад/November</t>
  </si>
  <si>
    <t>Жовтень/October</t>
  </si>
  <si>
    <t>Вересень/September</t>
  </si>
  <si>
    <t>Серпень/August</t>
  </si>
  <si>
    <t>Липень/July</t>
  </si>
  <si>
    <t>Червень/June</t>
  </si>
  <si>
    <t>Травень/May</t>
  </si>
  <si>
    <t>Квітень/April</t>
  </si>
  <si>
    <t>Березень/March</t>
  </si>
  <si>
    <t>Лютий/February</t>
  </si>
  <si>
    <t>Січень/January</t>
  </si>
  <si>
    <r>
      <t>Average number of regular workers by type of economic activity (monthly information), 2021</t>
    </r>
    <r>
      <rPr>
        <b/>
        <vertAlign val="superscript"/>
        <sz val="12"/>
        <rFont val="Verdana"/>
        <family val="2"/>
        <charset val="204"/>
      </rPr>
      <t>1, 2</t>
    </r>
  </si>
  <si>
    <r>
      <t>Середньооблікова кількість штатних працівників за видами економічної діяльності у 2021 році</t>
    </r>
    <r>
      <rPr>
        <b/>
        <vertAlign val="superscript"/>
        <sz val="12"/>
        <color theme="1"/>
        <rFont val="Verdana"/>
        <family val="2"/>
        <charset val="204"/>
      </rPr>
      <t>1, 2</t>
    </r>
  </si>
  <si>
    <t>Август 2021 к 2020</t>
  </si>
  <si>
    <t>2022M1</t>
  </si>
  <si>
    <t>2022M2</t>
  </si>
  <si>
    <t>2022M3</t>
  </si>
  <si>
    <t>2022M4</t>
  </si>
  <si>
    <t>2022M5</t>
  </si>
  <si>
    <t>2022M6</t>
  </si>
  <si>
    <t>2022M7</t>
  </si>
  <si>
    <t>2022M8</t>
  </si>
  <si>
    <t>2022M9</t>
  </si>
  <si>
    <t>2022M10</t>
  </si>
  <si>
    <t>2022M11</t>
  </si>
  <si>
    <t>2022M12</t>
  </si>
  <si>
    <t>NBU</t>
  </si>
  <si>
    <t>2022F</t>
  </si>
  <si>
    <t>ВВП, млрд $</t>
  </si>
  <si>
    <t>Кофи</t>
  </si>
  <si>
    <t>Середня заробітна плата в Україні, грн</t>
  </si>
  <si>
    <t>Курс USD</t>
  </si>
  <si>
    <t>Курс EUR</t>
  </si>
  <si>
    <t>Середня заробітна плата, EUR</t>
  </si>
  <si>
    <t>Середня заробітна плата, USD</t>
  </si>
  <si>
    <r>
      <t xml:space="preserve">Маска відхилень з/п, m-m % </t>
    </r>
    <r>
      <rPr>
        <b/>
        <sz val="14"/>
        <color rgb="FFFF0000"/>
        <rFont val="Arial"/>
        <family val="2"/>
        <charset val="204"/>
      </rPr>
      <t>(грн)</t>
    </r>
  </si>
  <si>
    <r>
      <t xml:space="preserve">Маска відхилень з/п, m-m % </t>
    </r>
    <r>
      <rPr>
        <b/>
        <sz val="14"/>
        <color rgb="FFFF0000"/>
        <rFont val="Arial"/>
        <family val="2"/>
        <charset val="204"/>
      </rPr>
      <t>(USD)</t>
    </r>
  </si>
  <si>
    <t>Средняя заработная плата, Євро</t>
  </si>
  <si>
    <t>Средняя заработная плата, USD</t>
  </si>
  <si>
    <t>Курс Долара</t>
  </si>
  <si>
    <t>Крос курс EUR/USD</t>
  </si>
  <si>
    <t>Курс Євро</t>
  </si>
  <si>
    <t>EUR</t>
  </si>
  <si>
    <t>b</t>
  </si>
  <si>
    <t xml:space="preserve"> </t>
  </si>
  <si>
    <t>UCPI - energy</t>
  </si>
  <si>
    <t>% m-m</t>
  </si>
  <si>
    <t>2022 (Forecast before start war)</t>
  </si>
  <si>
    <t>2022 New forecast</t>
  </si>
  <si>
    <t>ЗП</t>
  </si>
  <si>
    <t>ІЦВ (база 2014-15 рр. )</t>
  </si>
  <si>
    <t>ІСЦ (база 2014-15 рр.)</t>
  </si>
  <si>
    <t>Індекс</t>
  </si>
  <si>
    <r>
      <t xml:space="preserve">ІЦВ </t>
    </r>
    <r>
      <rPr>
        <b/>
        <sz val="12"/>
        <color theme="1"/>
        <rFont val="Montserrat"/>
        <family val="3"/>
        <scheme val="minor"/>
      </rPr>
      <t>- (м-м %)</t>
    </r>
  </si>
  <si>
    <t>Index</t>
  </si>
  <si>
    <t>Ср. З/п , грн</t>
  </si>
  <si>
    <t>Ср зп $</t>
  </si>
  <si>
    <t>Хмельницька</t>
  </si>
  <si>
    <t>Різниця дефлятора</t>
  </si>
  <si>
    <t>по факту за рахунок додаткового розрахунку Деф. Для кожної облю можна виграти максимум 1-1,5%</t>
  </si>
  <si>
    <t>ІСЦ, % м-м</t>
  </si>
  <si>
    <t>ІСЦ, % р-р</t>
  </si>
  <si>
    <t>Квартал</t>
  </si>
  <si>
    <t>Міс</t>
  </si>
  <si>
    <t>Рік</t>
  </si>
  <si>
    <t>ІЦВ, % р-р</t>
  </si>
  <si>
    <t>Тут поки для всіх обл беремо загалне значення по Укр</t>
  </si>
  <si>
    <t>потім його скоригуєм на різницю в ціні пального в розрізі регіонів</t>
  </si>
  <si>
    <t>Україна</t>
  </si>
  <si>
    <t>Маска відхилень від ср. по країні, %</t>
  </si>
  <si>
    <t>Івано-Франківська</t>
  </si>
  <si>
    <t>Львівська</t>
  </si>
  <si>
    <t>Тернопільська</t>
  </si>
  <si>
    <t>Рівненська</t>
  </si>
  <si>
    <t>Волинська</t>
  </si>
  <si>
    <t>Київська</t>
  </si>
  <si>
    <t>м.Київ</t>
  </si>
  <si>
    <t>Q1</t>
  </si>
  <si>
    <t>Q2</t>
  </si>
  <si>
    <t>Q3</t>
  </si>
  <si>
    <t>Q4</t>
  </si>
  <si>
    <t>% р-р.</t>
  </si>
  <si>
    <t>коф. Коригуючий на основі ІСЦ</t>
  </si>
  <si>
    <t>UCPI (зважено на внутр ціни на газ)</t>
  </si>
  <si>
    <t>NBU (forecast table)</t>
  </si>
  <si>
    <t xml:space="preserve">Базовий прогноз </t>
  </si>
  <si>
    <t>Електроенергія</t>
  </si>
  <si>
    <t>Газ</t>
  </si>
  <si>
    <t>Гаряча вода, опалення</t>
  </si>
  <si>
    <t>Фактор впливу вирівнювання ЖКХ тарифів до  ринкового рівня</t>
  </si>
  <si>
    <t>Вагова частка в ІСЦ</t>
  </si>
  <si>
    <t>Очікуваний ріст</t>
  </si>
  <si>
    <t>Приріст ІСЦ</t>
  </si>
  <si>
    <t>Дельта</t>
  </si>
  <si>
    <t>Поточні тарифи, грн од. в.</t>
  </si>
  <si>
    <t>з врахуванням росту тарифі з початку 2 кварталу 2023</t>
  </si>
  <si>
    <t>тарифи</t>
  </si>
  <si>
    <t>USD 1 сценарий</t>
  </si>
  <si>
    <t>USD 2 сценарий</t>
  </si>
  <si>
    <t>С1</t>
  </si>
  <si>
    <t>С2</t>
  </si>
  <si>
    <t>С-2</t>
  </si>
  <si>
    <t>2023 - 2</t>
  </si>
  <si>
    <t>Language</t>
  </si>
  <si>
    <t>Заголовки</t>
  </si>
  <si>
    <t>RU</t>
  </si>
  <si>
    <t>ENG</t>
  </si>
  <si>
    <t>UKR</t>
  </si>
  <si>
    <t>Источники</t>
  </si>
  <si>
    <t>Вагова структура для розрахунку ІСЦ за Класифікацією індивідуального споживання за цілями</t>
  </si>
  <si>
    <r>
      <t xml:space="preserve">Україна </t>
    </r>
    <r>
      <rPr>
        <b/>
        <vertAlign val="superscript"/>
        <sz val="8"/>
        <rFont val="Arial Cyr"/>
        <charset val="204"/>
      </rPr>
      <t>1</t>
    </r>
  </si>
  <si>
    <t>Центр. (без м.Києва)</t>
  </si>
  <si>
    <t>Придніпровський</t>
  </si>
  <si>
    <t>Подільський</t>
  </si>
  <si>
    <t>Східний</t>
  </si>
  <si>
    <t>Причорноморський</t>
  </si>
  <si>
    <t>Донецький</t>
  </si>
  <si>
    <t>Поліський</t>
  </si>
  <si>
    <t>Карпатський</t>
  </si>
  <si>
    <t>00</t>
  </si>
  <si>
    <t>Індекс споживчих цін</t>
  </si>
  <si>
    <t>01</t>
  </si>
  <si>
    <t>Продукти харчування та безалкогольні напої</t>
  </si>
  <si>
    <t>01.1</t>
  </si>
  <si>
    <t xml:space="preserve">Продукти харчування </t>
  </si>
  <si>
    <t>01.1.1</t>
  </si>
  <si>
    <t>Хліб і хлібопродукти</t>
  </si>
  <si>
    <t>01.1.1.1</t>
  </si>
  <si>
    <t>Рис</t>
  </si>
  <si>
    <t>1</t>
  </si>
  <si>
    <t>01.1.1.2</t>
  </si>
  <si>
    <t>Хліб</t>
  </si>
  <si>
    <t>2</t>
  </si>
  <si>
    <t>Хліб пшеничний з борошна вищого ґатунку</t>
  </si>
  <si>
    <t>3</t>
  </si>
  <si>
    <t>Хліб пшеничний з борошна першого ґатунку</t>
  </si>
  <si>
    <t>4</t>
  </si>
  <si>
    <t>Хліб житній, житньо-пшеничний</t>
  </si>
  <si>
    <t>5</t>
  </si>
  <si>
    <t>Хліб заварний</t>
  </si>
  <si>
    <t>6</t>
  </si>
  <si>
    <t>Батон</t>
  </si>
  <si>
    <t>7</t>
  </si>
  <si>
    <t>Багет</t>
  </si>
  <si>
    <t>01.1.1.3</t>
  </si>
  <si>
    <t>Макаронні вироби</t>
  </si>
  <si>
    <t>8</t>
  </si>
  <si>
    <t>Макаронні вироби із твердих сортів пшениці</t>
  </si>
  <si>
    <t>9</t>
  </si>
  <si>
    <t>Макаронні вироби з м’яких сортів пшениці</t>
  </si>
  <si>
    <t>10</t>
  </si>
  <si>
    <t>Пельмені</t>
  </si>
  <si>
    <t>11</t>
  </si>
  <si>
    <t>Вареники</t>
  </si>
  <si>
    <t>01.1.1.4</t>
  </si>
  <si>
    <t>Кондитерські вироби з борошна</t>
  </si>
  <si>
    <t>12</t>
  </si>
  <si>
    <t>Здобні вироби</t>
  </si>
  <si>
    <t>13</t>
  </si>
  <si>
    <t>Вафлі</t>
  </si>
  <si>
    <t>14</t>
  </si>
  <si>
    <t>Печиво здобне</t>
  </si>
  <si>
    <t>15</t>
  </si>
  <si>
    <t>Печиво сухе</t>
  </si>
  <si>
    <t>16</t>
  </si>
  <si>
    <t>Торти</t>
  </si>
  <si>
    <t>17</t>
  </si>
  <si>
    <t>Піца</t>
  </si>
  <si>
    <t>01.1.1.5</t>
  </si>
  <si>
    <t>Інші продукти</t>
  </si>
  <si>
    <t>18</t>
  </si>
  <si>
    <t>Борошно пшеничне</t>
  </si>
  <si>
    <t>19</t>
  </si>
  <si>
    <t>Крупи манні</t>
  </si>
  <si>
    <t>20</t>
  </si>
  <si>
    <t>Крупи гречані</t>
  </si>
  <si>
    <t>21</t>
  </si>
  <si>
    <t>Пластівці вівсяні</t>
  </si>
  <si>
    <t>22</t>
  </si>
  <si>
    <t>Крупи ячні</t>
  </si>
  <si>
    <t>23</t>
  </si>
  <si>
    <t>Пшоно</t>
  </si>
  <si>
    <t>24</t>
  </si>
  <si>
    <t>Крупи пшеничні</t>
  </si>
  <si>
    <t>01.1.2</t>
  </si>
  <si>
    <t xml:space="preserve">М’ясо та м’ясопродукти </t>
  </si>
  <si>
    <t>01.1.2.1</t>
  </si>
  <si>
    <t>Свіжа, охолоджена, заморожена яловичина і телятина</t>
  </si>
  <si>
    <t>25</t>
  </si>
  <si>
    <t>Яловичина</t>
  </si>
  <si>
    <t>26</t>
  </si>
  <si>
    <t>Вирізка яловича</t>
  </si>
  <si>
    <t>27</t>
  </si>
  <si>
    <t>Натуральні напівфабрикати з яловичини</t>
  </si>
  <si>
    <t>01.1.2.2</t>
  </si>
  <si>
    <t>Свіжа, охолоджена, заморожена свинина</t>
  </si>
  <si>
    <t>28</t>
  </si>
  <si>
    <t>Свинина</t>
  </si>
  <si>
    <t>29</t>
  </si>
  <si>
    <t>Вирізка свиняча</t>
  </si>
  <si>
    <t>30</t>
  </si>
  <si>
    <t>Натуральні напівфабрикати зі свинини</t>
  </si>
  <si>
    <t>01.1.2.4</t>
  </si>
  <si>
    <t>Свіже, охолоджене, заморожене м’ясо свійської птиці</t>
  </si>
  <si>
    <t>31</t>
  </si>
  <si>
    <t>Птиця (тушки курячі)</t>
  </si>
  <si>
    <t>32</t>
  </si>
  <si>
    <t>Окремі порційні частини курячі</t>
  </si>
  <si>
    <t>33</t>
  </si>
  <si>
    <t>Філе куряче</t>
  </si>
  <si>
    <t>34</t>
  </si>
  <si>
    <t>Філе індиче</t>
  </si>
  <si>
    <t>01.1.2.5</t>
  </si>
  <si>
    <t>Сушене, солене, копчене м’ясо та їстівні субпродукти</t>
  </si>
  <si>
    <t>35</t>
  </si>
  <si>
    <t xml:space="preserve">Ковбаси варені вищого ґатунку </t>
  </si>
  <si>
    <t>36</t>
  </si>
  <si>
    <t>Ковбаси варені першого ґатунку</t>
  </si>
  <si>
    <t>37</t>
  </si>
  <si>
    <t>Сосиски, сардельки вищого ґатунку</t>
  </si>
  <si>
    <t>38</t>
  </si>
  <si>
    <t>Сосиски, сардельки першого ґатунку</t>
  </si>
  <si>
    <t>39</t>
  </si>
  <si>
    <t>Ковбаси варено-копчені</t>
  </si>
  <si>
    <t>40</t>
  </si>
  <si>
    <t>Ковбаси сирокопчені</t>
  </si>
  <si>
    <t>41</t>
  </si>
  <si>
    <t>Вироби з м’яса варено-копчені</t>
  </si>
  <si>
    <t>42</t>
  </si>
  <si>
    <t>Вироби з м’яса делікатесні</t>
  </si>
  <si>
    <t>43</t>
  </si>
  <si>
    <t xml:space="preserve">Субпродукти яловичі </t>
  </si>
  <si>
    <t>44</t>
  </si>
  <si>
    <t>Субпродукти свинячі</t>
  </si>
  <si>
    <t>45</t>
  </si>
  <si>
    <t>Субпродукти курячі</t>
  </si>
  <si>
    <t>01.1.2.6</t>
  </si>
  <si>
    <t>Інші консервовані та перероблені види м’яса та продукти з нього</t>
  </si>
  <si>
    <t>46</t>
  </si>
  <si>
    <t>Фарш м’ясний</t>
  </si>
  <si>
    <t>47</t>
  </si>
  <si>
    <t>Фарш курячий</t>
  </si>
  <si>
    <t>48</t>
  </si>
  <si>
    <t>Вироби з м’яса кулінарні</t>
  </si>
  <si>
    <t>01.1.3</t>
  </si>
  <si>
    <t>Риба та продукти з риби</t>
  </si>
  <si>
    <t>01.1.3.1</t>
  </si>
  <si>
    <t>Свіжа, охолоджена та заморожена риба</t>
  </si>
  <si>
    <t>49</t>
  </si>
  <si>
    <t xml:space="preserve">Риба жива, охолоджена </t>
  </si>
  <si>
    <t>50</t>
  </si>
  <si>
    <t>Риба морожена</t>
  </si>
  <si>
    <t>51</t>
  </si>
  <si>
    <t>Філе мороженої риби</t>
  </si>
  <si>
    <t>01.1.3.2</t>
  </si>
  <si>
    <t>Свіжі, охолоджені та заморожені морепродукти</t>
  </si>
  <si>
    <t>52</t>
  </si>
  <si>
    <t xml:space="preserve">Морепродукти </t>
  </si>
  <si>
    <t>01.1.3.3</t>
  </si>
  <si>
    <t>Сушена, копчена, солона риба та морепродукти</t>
  </si>
  <si>
    <t>53</t>
  </si>
  <si>
    <t>Кілька солона</t>
  </si>
  <si>
    <t>54</t>
  </si>
  <si>
    <t>Скумбрія</t>
  </si>
  <si>
    <t>55</t>
  </si>
  <si>
    <t>Оселедці</t>
  </si>
  <si>
    <t>56</t>
  </si>
  <si>
    <t>Філе червоної риби</t>
  </si>
  <si>
    <t>01.1.3.4</t>
  </si>
  <si>
    <t>Інші консервовані чи перероблені види риби та морепродуктів і продукти з них</t>
  </si>
  <si>
    <t>57</t>
  </si>
  <si>
    <t>Консерви рибні в олії</t>
  </si>
  <si>
    <t>58</t>
  </si>
  <si>
    <t>Крабові палички</t>
  </si>
  <si>
    <t>01.1.4</t>
  </si>
  <si>
    <t>Молоко, сир та яйця</t>
  </si>
  <si>
    <t>01.1.4.1</t>
  </si>
  <si>
    <t>Молоко</t>
  </si>
  <si>
    <t>59</t>
  </si>
  <si>
    <t>Молоко пастеризоване жирністю до 2,6% включно</t>
  </si>
  <si>
    <t>60</t>
  </si>
  <si>
    <t>Молоко з підвищеним вмістом жиру</t>
  </si>
  <si>
    <t>01.1.4.4</t>
  </si>
  <si>
    <t>Кисломолочна продукція</t>
  </si>
  <si>
    <t>61</t>
  </si>
  <si>
    <t>Кефір</t>
  </si>
  <si>
    <t>62</t>
  </si>
  <si>
    <t>Йогурт</t>
  </si>
  <si>
    <t>01.1.4.5</t>
  </si>
  <si>
    <t>Сир і м’який сир (творог)</t>
  </si>
  <si>
    <t>63</t>
  </si>
  <si>
    <t>Сири тверді типу едам</t>
  </si>
  <si>
    <t>64</t>
  </si>
  <si>
    <t>Сири тверді типу емменталь</t>
  </si>
  <si>
    <t>65</t>
  </si>
  <si>
    <t>Сири розсольні</t>
  </si>
  <si>
    <t>66</t>
  </si>
  <si>
    <t>Сири плавлені</t>
  </si>
  <si>
    <t>67</t>
  </si>
  <si>
    <t>Сири м’які нежирні</t>
  </si>
  <si>
    <t>68</t>
  </si>
  <si>
    <t>Сири м’які жирні</t>
  </si>
  <si>
    <t>69</t>
  </si>
  <si>
    <t>Сирки та сиркова маса</t>
  </si>
  <si>
    <t>01.1.4.6</t>
  </si>
  <si>
    <t>Інші молочні продукти</t>
  </si>
  <si>
    <t>70</t>
  </si>
  <si>
    <t>Сметана жирністю до 15% включно</t>
  </si>
  <si>
    <t>71</t>
  </si>
  <si>
    <t>Сметана з підвищеним вмістом жиру</t>
  </si>
  <si>
    <t>72</t>
  </si>
  <si>
    <t>Вершки</t>
  </si>
  <si>
    <t>01.1.4.7</t>
  </si>
  <si>
    <t xml:space="preserve">Яйця </t>
  </si>
  <si>
    <t>73</t>
  </si>
  <si>
    <t>01.1.5</t>
  </si>
  <si>
    <t>Олія та жири</t>
  </si>
  <si>
    <t>01.1.5.1</t>
  </si>
  <si>
    <t>Масло</t>
  </si>
  <si>
    <t>74</t>
  </si>
  <si>
    <t>Масло вершкове</t>
  </si>
  <si>
    <t>75</t>
  </si>
  <si>
    <t>Спреди</t>
  </si>
  <si>
    <t>01.1.5.2</t>
  </si>
  <si>
    <t>Маргарин та інші рослинні жири</t>
  </si>
  <si>
    <t>76</t>
  </si>
  <si>
    <t>Маргарин</t>
  </si>
  <si>
    <t>01.1.5.3</t>
  </si>
  <si>
    <t xml:space="preserve">Оливкова олія </t>
  </si>
  <si>
    <t>77</t>
  </si>
  <si>
    <t>Олія оливкова</t>
  </si>
  <si>
    <t>01.1.5.4</t>
  </si>
  <si>
    <t>Їстівна олія (окрім оливкової)</t>
  </si>
  <si>
    <t>78</t>
  </si>
  <si>
    <t>Олія соняшникова</t>
  </si>
  <si>
    <t>01.1.5.5</t>
  </si>
  <si>
    <t>Інші їстівні тваринні жири</t>
  </si>
  <si>
    <t>79</t>
  </si>
  <si>
    <t>Сало</t>
  </si>
  <si>
    <t>01.1.6</t>
  </si>
  <si>
    <t>Фрукти</t>
  </si>
  <si>
    <t>01.1.6.1</t>
  </si>
  <si>
    <t>Цитрусові (свіжі, охолоджені)</t>
  </si>
  <si>
    <t>80</t>
  </si>
  <si>
    <t>Лимони</t>
  </si>
  <si>
    <t>81</t>
  </si>
  <si>
    <t>Апельсини</t>
  </si>
  <si>
    <t>01.1.6.2</t>
  </si>
  <si>
    <t>Банани (свіжі, охолоджені)</t>
  </si>
  <si>
    <t>82</t>
  </si>
  <si>
    <t>Банани</t>
  </si>
  <si>
    <t>01.1.6.3</t>
  </si>
  <si>
    <t>Яблука (свіжі, охолоджені)</t>
  </si>
  <si>
    <t>83</t>
  </si>
  <si>
    <t>Яблука</t>
  </si>
  <si>
    <t>01.1.6.5</t>
  </si>
  <si>
    <t>Кісточкові (свіжі, охолоджені)</t>
  </si>
  <si>
    <t>84</t>
  </si>
  <si>
    <t>Кісточкові</t>
  </si>
  <si>
    <t>01.1.6.6</t>
  </si>
  <si>
    <t>Ягоди (свіжі, охолоджені, заморожені)</t>
  </si>
  <si>
    <t>85</t>
  </si>
  <si>
    <t xml:space="preserve">Ягоди </t>
  </si>
  <si>
    <t>86</t>
  </si>
  <si>
    <t>Виноград</t>
  </si>
  <si>
    <t>01.1.6.7</t>
  </si>
  <si>
    <t>Інші види свіжих, охолоджених, заморожених фруктів</t>
  </si>
  <si>
    <t>87</t>
  </si>
  <si>
    <t>Кавуни</t>
  </si>
  <si>
    <t>88</t>
  </si>
  <si>
    <t>Ківі</t>
  </si>
  <si>
    <t>01.1.6.8</t>
  </si>
  <si>
    <t>Сухофрукти</t>
  </si>
  <si>
    <t>89</t>
  </si>
  <si>
    <t>01.1.7</t>
  </si>
  <si>
    <t>Овочі</t>
  </si>
  <si>
    <t>01.1.7.2</t>
  </si>
  <si>
    <t>Капуста (свіжа, охолоджена, заморожена)</t>
  </si>
  <si>
    <t>90</t>
  </si>
  <si>
    <t>Капуста білокачанна</t>
  </si>
  <si>
    <t>01.1.7.3</t>
  </si>
  <si>
    <t xml:space="preserve">Овочі, вирощені з їхнього насіння (свіжі, охолоджені, заморожені) </t>
  </si>
  <si>
    <t>91</t>
  </si>
  <si>
    <t xml:space="preserve">Огірки </t>
  </si>
  <si>
    <t>92</t>
  </si>
  <si>
    <t xml:space="preserve">Помідори </t>
  </si>
  <si>
    <t>93</t>
  </si>
  <si>
    <t>Кабачки</t>
  </si>
  <si>
    <t>94</t>
  </si>
  <si>
    <t>Баклажани</t>
  </si>
  <si>
    <t>95</t>
  </si>
  <si>
    <t>Перець солодкий</t>
  </si>
  <si>
    <t>01.1.7.4</t>
  </si>
  <si>
    <t>Коренеплоди, цибуля та гриби (свіжі, охолоджені, заморожені)</t>
  </si>
  <si>
    <t>96</t>
  </si>
  <si>
    <t>Цибуля ріпчаста</t>
  </si>
  <si>
    <t>97</t>
  </si>
  <si>
    <t>Буряк</t>
  </si>
  <si>
    <t>98</t>
  </si>
  <si>
    <t>Морква</t>
  </si>
  <si>
    <t>99</t>
  </si>
  <si>
    <t>Гриби</t>
  </si>
  <si>
    <t>01.1.7.5</t>
  </si>
  <si>
    <t>Сушені овочі та гриби</t>
  </si>
  <si>
    <t>100</t>
  </si>
  <si>
    <t xml:space="preserve">Бобові </t>
  </si>
  <si>
    <t>01.1.7.6</t>
  </si>
  <si>
    <t>Консервовані та перероблені овочі</t>
  </si>
  <si>
    <t>101</t>
  </si>
  <si>
    <t>Овочі консервовані</t>
  </si>
  <si>
    <t>102</t>
  </si>
  <si>
    <t>Паста томатна</t>
  </si>
  <si>
    <t>01.1.7.7</t>
  </si>
  <si>
    <t>Картопля</t>
  </si>
  <si>
    <t>103</t>
  </si>
  <si>
    <t>01.1.8</t>
  </si>
  <si>
    <t>Цукор, джем, мед, шоколад та кондитерські вироби</t>
  </si>
  <si>
    <t>01.1.8.1</t>
  </si>
  <si>
    <t>Цукор і штучні замінники цукру</t>
  </si>
  <si>
    <t>104</t>
  </si>
  <si>
    <t>Цукор</t>
  </si>
  <si>
    <t>01.1.8.2</t>
  </si>
  <si>
    <t>Джеми, повидло, мед</t>
  </si>
  <si>
    <t>105</t>
  </si>
  <si>
    <t>Мед</t>
  </si>
  <si>
    <t>01.1.8.3</t>
  </si>
  <si>
    <t>Шоколад</t>
  </si>
  <si>
    <t>106</t>
  </si>
  <si>
    <t>01.1.8.4</t>
  </si>
  <si>
    <t>Кондитерські вироби з цукру</t>
  </si>
  <si>
    <t>107</t>
  </si>
  <si>
    <t>Цукерки шоколадні</t>
  </si>
  <si>
    <t>108</t>
  </si>
  <si>
    <t>Карамель</t>
  </si>
  <si>
    <t>109</t>
  </si>
  <si>
    <t>Зефір</t>
  </si>
  <si>
    <t>01.1.8.5</t>
  </si>
  <si>
    <t>Харчовий лід і морозиво</t>
  </si>
  <si>
    <t>110</t>
  </si>
  <si>
    <t xml:space="preserve">Морозиво </t>
  </si>
  <si>
    <t>01.1.9</t>
  </si>
  <si>
    <t>Інші продукти харчування</t>
  </si>
  <si>
    <t>01.1.9.1</t>
  </si>
  <si>
    <t>Соуси, приправи</t>
  </si>
  <si>
    <t>111</t>
  </si>
  <si>
    <t>Кетчуп томатний</t>
  </si>
  <si>
    <t>112</t>
  </si>
  <si>
    <t xml:space="preserve">Майонез </t>
  </si>
  <si>
    <t>01.1.9.2</t>
  </si>
  <si>
    <t>Сіль, прянощі та кулінарні трави</t>
  </si>
  <si>
    <t>113</t>
  </si>
  <si>
    <t>Сіль</t>
  </si>
  <si>
    <t>114</t>
  </si>
  <si>
    <t>Часник</t>
  </si>
  <si>
    <t>115</t>
  </si>
  <si>
    <t xml:space="preserve">Спеції </t>
  </si>
  <si>
    <t>116</t>
  </si>
  <si>
    <t>Кулінарні трави</t>
  </si>
  <si>
    <t>01.1.9.3</t>
  </si>
  <si>
    <t>Бакалійні товари, десерти, супи</t>
  </si>
  <si>
    <t>117</t>
  </si>
  <si>
    <t>Молочні суміші для дитячого харчування</t>
  </si>
  <si>
    <t>01.2</t>
  </si>
  <si>
    <t>Безалкогольні напої</t>
  </si>
  <si>
    <t>01.2.1</t>
  </si>
  <si>
    <t>Кава, чай і какао</t>
  </si>
  <si>
    <t>01.2.1.1</t>
  </si>
  <si>
    <t>Кава</t>
  </si>
  <si>
    <t>118</t>
  </si>
  <si>
    <t>Кава в зернах, мелена</t>
  </si>
  <si>
    <t>119</t>
  </si>
  <si>
    <t>Кава розчинна</t>
  </si>
  <si>
    <t>01.2.1.2</t>
  </si>
  <si>
    <t xml:space="preserve">Чай </t>
  </si>
  <si>
    <t>120</t>
  </si>
  <si>
    <t>01.2.2</t>
  </si>
  <si>
    <t>Мінеральні води, безалкогольні напої, фруктові та овочеві соки</t>
  </si>
  <si>
    <t>01.2.2.1</t>
  </si>
  <si>
    <t>Мінеральні та джерельні води</t>
  </si>
  <si>
    <t>121</t>
  </si>
  <si>
    <t>Вода столово-мінеральна</t>
  </si>
  <si>
    <t>122</t>
  </si>
  <si>
    <t>Вода питна</t>
  </si>
  <si>
    <t>01.2.2.2</t>
  </si>
  <si>
    <t>123</t>
  </si>
  <si>
    <t>Напої безалкогольні</t>
  </si>
  <si>
    <t>01.2.2.3</t>
  </si>
  <si>
    <t>Фруктові соки</t>
  </si>
  <si>
    <t>124</t>
  </si>
  <si>
    <t>Соки фруктово-ягідні</t>
  </si>
  <si>
    <t>02</t>
  </si>
  <si>
    <t>Алкогольні напої, тютюнові вироби</t>
  </si>
  <si>
    <t>02.1</t>
  </si>
  <si>
    <t>Алкогольні напої</t>
  </si>
  <si>
    <t>02.1.1</t>
  </si>
  <si>
    <t>Спирти</t>
  </si>
  <si>
    <t>125</t>
  </si>
  <si>
    <t xml:space="preserve">Горілка </t>
  </si>
  <si>
    <t>126</t>
  </si>
  <si>
    <t>Горілка преміум класу</t>
  </si>
  <si>
    <t>127</t>
  </si>
  <si>
    <t xml:space="preserve">Коньяк </t>
  </si>
  <si>
    <t>02.1.2</t>
  </si>
  <si>
    <t>Вино</t>
  </si>
  <si>
    <t>02.1.2.1</t>
  </si>
  <si>
    <t>Вино з винограду чи інших фруктів</t>
  </si>
  <si>
    <t>128</t>
  </si>
  <si>
    <t>Вина столові вітчизняні</t>
  </si>
  <si>
    <t>129</t>
  </si>
  <si>
    <t>Вина столові імпортні</t>
  </si>
  <si>
    <t>02.1.2.2</t>
  </si>
  <si>
    <t>Інші види алкогольних напоїв</t>
  </si>
  <si>
    <t>130</t>
  </si>
  <si>
    <t>Вина ігристі</t>
  </si>
  <si>
    <t>02.1.3</t>
  </si>
  <si>
    <t>Пиво</t>
  </si>
  <si>
    <t>131</t>
  </si>
  <si>
    <t>Пиво вітчизняних марок</t>
  </si>
  <si>
    <t>132</t>
  </si>
  <si>
    <t>Пиво, виготовлене за ліцензією</t>
  </si>
  <si>
    <t>02.2</t>
  </si>
  <si>
    <t>Тютюнові вироби</t>
  </si>
  <si>
    <t>133</t>
  </si>
  <si>
    <t>Сигарети з фільтром вітчизняних марок</t>
  </si>
  <si>
    <t>134</t>
  </si>
  <si>
    <t>Сигарети з фільтром медіум класу</t>
  </si>
  <si>
    <t>135</t>
  </si>
  <si>
    <t>Сигарети з фільтром преміум класу</t>
  </si>
  <si>
    <t>03</t>
  </si>
  <si>
    <t>Одяг і взуття</t>
  </si>
  <si>
    <t>03.1</t>
  </si>
  <si>
    <t>Одяг і тканини</t>
  </si>
  <si>
    <t>03.1.2</t>
  </si>
  <si>
    <t>Одяг</t>
  </si>
  <si>
    <t>03.1.2.1</t>
  </si>
  <si>
    <t>Одяг для чоловіків</t>
  </si>
  <si>
    <t>136</t>
  </si>
  <si>
    <t xml:space="preserve">Куртки чоловічі </t>
  </si>
  <si>
    <t>137</t>
  </si>
  <si>
    <t>Костюми чоловічі</t>
  </si>
  <si>
    <t>138</t>
  </si>
  <si>
    <t>Штани чоловічі</t>
  </si>
  <si>
    <t>139</t>
  </si>
  <si>
    <t xml:space="preserve">Джинси чоловічі </t>
  </si>
  <si>
    <t>140</t>
  </si>
  <si>
    <t xml:space="preserve">Сорочки чоловічі </t>
  </si>
  <si>
    <t>141</t>
  </si>
  <si>
    <t>Светри, джемпери чоловічі</t>
  </si>
  <si>
    <t>142</t>
  </si>
  <si>
    <t>Спортивний одяг чоловічий</t>
  </si>
  <si>
    <t>143</t>
  </si>
  <si>
    <t>Футболки чоловічі</t>
  </si>
  <si>
    <t>144</t>
  </si>
  <si>
    <t>Труси чоловічі</t>
  </si>
  <si>
    <t>145</t>
  </si>
  <si>
    <t>Шкарпетки чоловічі</t>
  </si>
  <si>
    <t>03.1.2.2</t>
  </si>
  <si>
    <t>Одяг для жінок</t>
  </si>
  <si>
    <t>146</t>
  </si>
  <si>
    <t>Пальта, напівпальта жіночі</t>
  </si>
  <si>
    <t>147</t>
  </si>
  <si>
    <t>Куртки утеплені жіночі</t>
  </si>
  <si>
    <t>148</t>
  </si>
  <si>
    <t>Куртки неутеплені жіночі</t>
  </si>
  <si>
    <t>149</t>
  </si>
  <si>
    <t>Штани жіночі</t>
  </si>
  <si>
    <t>150</t>
  </si>
  <si>
    <t>Джинси жіночі</t>
  </si>
  <si>
    <t>151</t>
  </si>
  <si>
    <t xml:space="preserve">Блузки жіночі </t>
  </si>
  <si>
    <t>152</t>
  </si>
  <si>
    <t>Спідниці жіночі</t>
  </si>
  <si>
    <t>153</t>
  </si>
  <si>
    <t>Сукні жіночі</t>
  </si>
  <si>
    <t>154</t>
  </si>
  <si>
    <t>Светри, джемпери жіночі</t>
  </si>
  <si>
    <t>155</t>
  </si>
  <si>
    <t>Спортивний одяг жіночий</t>
  </si>
  <si>
    <t>156</t>
  </si>
  <si>
    <t>Футболки жіночі</t>
  </si>
  <si>
    <t>157</t>
  </si>
  <si>
    <t>Труси жіночі</t>
  </si>
  <si>
    <t>158</t>
  </si>
  <si>
    <t>Бюстгальтери</t>
  </si>
  <si>
    <t>159</t>
  </si>
  <si>
    <t>Колготки жіночі</t>
  </si>
  <si>
    <t>03.1.2.3</t>
  </si>
  <si>
    <t>Одяг для хлопчиків і дівчаток (3-13 років) і немовлят (0-2 роки)</t>
  </si>
  <si>
    <t>160</t>
  </si>
  <si>
    <t xml:space="preserve">Куртки дитячі </t>
  </si>
  <si>
    <t>161</t>
  </si>
  <si>
    <t>Комбінезони дитячі</t>
  </si>
  <si>
    <t>162</t>
  </si>
  <si>
    <t>Сукні дівчачі</t>
  </si>
  <si>
    <t>163</t>
  </si>
  <si>
    <t>Сорочки хлопчачі</t>
  </si>
  <si>
    <t>164</t>
  </si>
  <si>
    <t>Блузки дівчачі</t>
  </si>
  <si>
    <t>165</t>
  </si>
  <si>
    <t>Штани дитячі</t>
  </si>
  <si>
    <t>166</t>
  </si>
  <si>
    <t>Джинси дитячі</t>
  </si>
  <si>
    <t>167</t>
  </si>
  <si>
    <t>Светри, джемпери дитячі</t>
  </si>
  <si>
    <t>168</t>
  </si>
  <si>
    <t>Спортивний одяг дитячий</t>
  </si>
  <si>
    <t>169</t>
  </si>
  <si>
    <t>Футболки дитячі</t>
  </si>
  <si>
    <t>170</t>
  </si>
  <si>
    <t>Труси дитячі</t>
  </si>
  <si>
    <t>171</t>
  </si>
  <si>
    <t>Колготки дитячі</t>
  </si>
  <si>
    <t>03.1.3</t>
  </si>
  <si>
    <t>Інші предмети одягу та аксесуари</t>
  </si>
  <si>
    <t>172</t>
  </si>
  <si>
    <t>Головні убори</t>
  </si>
  <si>
    <t>03.1.4</t>
  </si>
  <si>
    <t>Чищення, ремонт і прокат одягу</t>
  </si>
  <si>
    <t>173</t>
  </si>
  <si>
    <t xml:space="preserve">Хімічне чищення </t>
  </si>
  <si>
    <t>03.2</t>
  </si>
  <si>
    <t>Взуття</t>
  </si>
  <si>
    <t>03.2.1</t>
  </si>
  <si>
    <t>Черевики та інше взуття</t>
  </si>
  <si>
    <t>03.2.1.1</t>
  </si>
  <si>
    <t>Взуття для чоловіків</t>
  </si>
  <si>
    <t>174</t>
  </si>
  <si>
    <t xml:space="preserve">Черевики утеплені чоловічі </t>
  </si>
  <si>
    <t>175</t>
  </si>
  <si>
    <t>Туфлі чоловічі</t>
  </si>
  <si>
    <t>176</t>
  </si>
  <si>
    <t>Кросівки чоловічі</t>
  </si>
  <si>
    <t>177</t>
  </si>
  <si>
    <t>Домашнє взуття чоловіче</t>
  </si>
  <si>
    <t>03.2.1.2</t>
  </si>
  <si>
    <t>Взуття для жінок</t>
  </si>
  <si>
    <t>178</t>
  </si>
  <si>
    <t>Чоботи, черевики утеплені жіночі</t>
  </si>
  <si>
    <t>179</t>
  </si>
  <si>
    <t>Чоботи, черевики неутеплені жіночі</t>
  </si>
  <si>
    <t>180</t>
  </si>
  <si>
    <t>Туфлі модельні жіночі</t>
  </si>
  <si>
    <t>181</t>
  </si>
  <si>
    <t>Туфлі повсякденні жіночі</t>
  </si>
  <si>
    <t>182</t>
  </si>
  <si>
    <t>Літнє взуття жіноче</t>
  </si>
  <si>
    <t>183</t>
  </si>
  <si>
    <t>Кросівки жіночі</t>
  </si>
  <si>
    <t>184</t>
  </si>
  <si>
    <t>Домашнє взуття жіноче</t>
  </si>
  <si>
    <t>03.2.1.3</t>
  </si>
  <si>
    <t>Взуття для дітей (3-13 років) і немовлят (0-2 роки)</t>
  </si>
  <si>
    <t>185</t>
  </si>
  <si>
    <t>Чоботи, черевики утеплені дитячі</t>
  </si>
  <si>
    <t>186</t>
  </si>
  <si>
    <t>Туфлі дитячі</t>
  </si>
  <si>
    <t>187</t>
  </si>
  <si>
    <t>Літнє взуття дитяче</t>
  </si>
  <si>
    <t>188</t>
  </si>
  <si>
    <t>Кросівки дитячі</t>
  </si>
  <si>
    <t>189</t>
  </si>
  <si>
    <t>Домашнє взуття дитяче</t>
  </si>
  <si>
    <t>03.2.2</t>
  </si>
  <si>
    <t>Ремонт і прокат взуття</t>
  </si>
  <si>
    <t>190</t>
  </si>
  <si>
    <t>Ремонт взуття</t>
  </si>
  <si>
    <t>04</t>
  </si>
  <si>
    <t>Житло, вода, електроенергія, газ та інші види палива</t>
  </si>
  <si>
    <t>04.1</t>
  </si>
  <si>
    <t>Фактична плата за житло (оренда житла)</t>
  </si>
  <si>
    <t>191</t>
  </si>
  <si>
    <t>Плата за оренду 1-кімнатної квартири</t>
  </si>
  <si>
    <t>192</t>
  </si>
  <si>
    <t>Плата за оренду 2-кімнатної квартири</t>
  </si>
  <si>
    <t>04.2</t>
  </si>
  <si>
    <t>Плата за власне житло</t>
  </si>
  <si>
    <t>193</t>
  </si>
  <si>
    <t>Деталі та конструкції</t>
  </si>
  <si>
    <t>194</t>
  </si>
  <si>
    <t>Суміші будівельні сухі</t>
  </si>
  <si>
    <t>195</t>
  </si>
  <si>
    <t>Гіпсокартон</t>
  </si>
  <si>
    <t>196</t>
  </si>
  <si>
    <t>Душові кабіни</t>
  </si>
  <si>
    <t>197</t>
  </si>
  <si>
    <t>Шпалерні роботи</t>
  </si>
  <si>
    <t>198</t>
  </si>
  <si>
    <t>Установлення металопластикових вікон</t>
  </si>
  <si>
    <t>199</t>
  </si>
  <si>
    <t>Викладання керамічної плитки</t>
  </si>
  <si>
    <t>04.3</t>
  </si>
  <si>
    <t>Утримання та ремонт житла</t>
  </si>
  <si>
    <t>04.3.1</t>
  </si>
  <si>
    <t>Матеріали для утримання і ремонту житла</t>
  </si>
  <si>
    <t>200</t>
  </si>
  <si>
    <t>Фарби</t>
  </si>
  <si>
    <t>201</t>
  </si>
  <si>
    <t>Санітарно-технічне обладнання</t>
  </si>
  <si>
    <t>202</t>
  </si>
  <si>
    <t>Плитка керамічна</t>
  </si>
  <si>
    <t>203</t>
  </si>
  <si>
    <t>Шпалери</t>
  </si>
  <si>
    <t>04.3.2</t>
  </si>
  <si>
    <t>Послуги з утримання та ремонту житла</t>
  </si>
  <si>
    <t>204</t>
  </si>
  <si>
    <t>Послуги електриків</t>
  </si>
  <si>
    <t>205</t>
  </si>
  <si>
    <t>Послуги сантехніків</t>
  </si>
  <si>
    <t>04.4</t>
  </si>
  <si>
    <t>Водопостачання та різні послуги, які відносяться до утримання житла</t>
  </si>
  <si>
    <t>04.4.1</t>
  </si>
  <si>
    <t>Водопостачання</t>
  </si>
  <si>
    <t>206</t>
  </si>
  <si>
    <t xml:space="preserve">Холодна вода </t>
  </si>
  <si>
    <t>04.4.2</t>
  </si>
  <si>
    <t>Прибирання сміття</t>
  </si>
  <si>
    <t>207</t>
  </si>
  <si>
    <t>Прибирання та вивезення сміття</t>
  </si>
  <si>
    <t>04.4.3</t>
  </si>
  <si>
    <t>Каналізація</t>
  </si>
  <si>
    <t>208</t>
  </si>
  <si>
    <t>04.4.4</t>
  </si>
  <si>
    <t>Інші послуги, пов’язані з утриманням житла</t>
  </si>
  <si>
    <t>209</t>
  </si>
  <si>
    <t>Послуги з управління багатоквартирними будинками</t>
  </si>
  <si>
    <t>04.5</t>
  </si>
  <si>
    <t>Електроенергія, газ та інші види палива</t>
  </si>
  <si>
    <t>04.5.1</t>
  </si>
  <si>
    <t>210</t>
  </si>
  <si>
    <t>04.5.2</t>
  </si>
  <si>
    <t>04.5.2.1</t>
  </si>
  <si>
    <t>Природний газ</t>
  </si>
  <si>
    <t>211</t>
  </si>
  <si>
    <t>Послуги постачання природного газу</t>
  </si>
  <si>
    <t>212</t>
  </si>
  <si>
    <t>Послуги розподілу природного газу</t>
  </si>
  <si>
    <t>04.5.4</t>
  </si>
  <si>
    <t>Тверде паливо</t>
  </si>
  <si>
    <t>213</t>
  </si>
  <si>
    <t>Дрова</t>
  </si>
  <si>
    <t>04.5.5</t>
  </si>
  <si>
    <t>214</t>
  </si>
  <si>
    <t>Опалення</t>
  </si>
  <si>
    <t>215</t>
  </si>
  <si>
    <t>Гаряча вода</t>
  </si>
  <si>
    <t>05</t>
  </si>
  <si>
    <t>Предмети домашнього вжитку, побутова техніка та поточне утримання житла</t>
  </si>
  <si>
    <t>05.1</t>
  </si>
  <si>
    <t>Меблі та предмети обстановки, килими та інші види покриттів для підлоги</t>
  </si>
  <si>
    <t>05.1.1</t>
  </si>
  <si>
    <t>Меблі та предмети обстановки</t>
  </si>
  <si>
    <t>216</t>
  </si>
  <si>
    <t>Меблі для кухні</t>
  </si>
  <si>
    <t>217</t>
  </si>
  <si>
    <t>Шафи-купе</t>
  </si>
  <si>
    <t>218</t>
  </si>
  <si>
    <t>М’які меблі</t>
  </si>
  <si>
    <t>05.1.2</t>
  </si>
  <si>
    <t>Килими й інші види покриттів для підлоги</t>
  </si>
  <si>
    <t>219</t>
  </si>
  <si>
    <t>Ламінат</t>
  </si>
  <si>
    <t>05.2</t>
  </si>
  <si>
    <t>Домашній текстиль</t>
  </si>
  <si>
    <t>220</t>
  </si>
  <si>
    <t>Ковдри</t>
  </si>
  <si>
    <t>221</t>
  </si>
  <si>
    <t>Постільна білизна</t>
  </si>
  <si>
    <t>05.3</t>
  </si>
  <si>
    <t>Побутова техніка</t>
  </si>
  <si>
    <t>05.3.1</t>
  </si>
  <si>
    <t>Велика побутова техніка електрична та неелектрична</t>
  </si>
  <si>
    <t>05.3.1.1</t>
  </si>
  <si>
    <t>Холодильники, морозильники та морозильні камери</t>
  </si>
  <si>
    <t>222</t>
  </si>
  <si>
    <t>Холодильники</t>
  </si>
  <si>
    <t>05.3.1.2</t>
  </si>
  <si>
    <t>Пральні, сушильні та посудомийні машини</t>
  </si>
  <si>
    <t>223</t>
  </si>
  <si>
    <t>Пральні машини</t>
  </si>
  <si>
    <t>05.3.1.3</t>
  </si>
  <si>
    <t xml:space="preserve">Плити </t>
  </si>
  <si>
    <t>224</t>
  </si>
  <si>
    <t>225</t>
  </si>
  <si>
    <t>Мікрохвильові печі</t>
  </si>
  <si>
    <t>05.3.1.4</t>
  </si>
  <si>
    <t>Обігрівачі, кондиціонери повітря</t>
  </si>
  <si>
    <t>226</t>
  </si>
  <si>
    <t>Обігрівачі</t>
  </si>
  <si>
    <t>227</t>
  </si>
  <si>
    <t>Кондиціонери повітря</t>
  </si>
  <si>
    <t>228</t>
  </si>
  <si>
    <t>Бойлери</t>
  </si>
  <si>
    <t>05.3.1.5</t>
  </si>
  <si>
    <t>Прилади для прибирання</t>
  </si>
  <si>
    <t>229</t>
  </si>
  <si>
    <t>Пилососи</t>
  </si>
  <si>
    <t>05.3.2</t>
  </si>
  <si>
    <t>Невеликі електричні побутові прилади</t>
  </si>
  <si>
    <t>230</t>
  </si>
  <si>
    <t>Електрочайники</t>
  </si>
  <si>
    <t>231</t>
  </si>
  <si>
    <t>Блендери, міксери</t>
  </si>
  <si>
    <t>232</t>
  </si>
  <si>
    <t>Праски</t>
  </si>
  <si>
    <t>233</t>
  </si>
  <si>
    <t>Мультиварки</t>
  </si>
  <si>
    <t>05.3.3</t>
  </si>
  <si>
    <t>Ремонт побутової техніки</t>
  </si>
  <si>
    <t>234</t>
  </si>
  <si>
    <t>Ремонт електропобутових товарів</t>
  </si>
  <si>
    <t>05.4</t>
  </si>
  <si>
    <t>Вироби зі скла, столовий посуд і предмети домашнього вжитку</t>
  </si>
  <si>
    <t>05.4.1</t>
  </si>
  <si>
    <t>05.4.1.1</t>
  </si>
  <si>
    <t>Вироби зі скла та кришталю, столовий посуд</t>
  </si>
  <si>
    <t>235</t>
  </si>
  <si>
    <t>Посуд столовий</t>
  </si>
  <si>
    <t>05.4.1.3</t>
  </si>
  <si>
    <t>Кухонний посуд і предмети домашнього вжитку</t>
  </si>
  <si>
    <t>236</t>
  </si>
  <si>
    <t>Посуд кухонний</t>
  </si>
  <si>
    <t>05.5</t>
  </si>
  <si>
    <t>Інструменти й обладнання для дому та саду</t>
  </si>
  <si>
    <t>237</t>
  </si>
  <si>
    <t>Електроінструменти</t>
  </si>
  <si>
    <t>05.6</t>
  </si>
  <si>
    <t>Товари та послуги для щоденної підтримки будинку</t>
  </si>
  <si>
    <t>05.6.1</t>
  </si>
  <si>
    <t>Побутові товари короткострокового користування</t>
  </si>
  <si>
    <t>05.6.1.1</t>
  </si>
  <si>
    <t>Товари для підтримки чистоти</t>
  </si>
  <si>
    <t>238</t>
  </si>
  <si>
    <t>Мийні засоби синтетичні сухі</t>
  </si>
  <si>
    <t>239</t>
  </si>
  <si>
    <t>Мийні засоби синтетичні рідкі</t>
  </si>
  <si>
    <t>240</t>
  </si>
  <si>
    <t>Засоби побутової хімії</t>
  </si>
  <si>
    <t>05.6.1.2</t>
  </si>
  <si>
    <t>Інші побутові товари</t>
  </si>
  <si>
    <t>241</t>
  </si>
  <si>
    <t>Серветки паперові</t>
  </si>
  <si>
    <t>242</t>
  </si>
  <si>
    <t>Предмети для прибирання</t>
  </si>
  <si>
    <t>06</t>
  </si>
  <si>
    <t>Охорона здоров’я</t>
  </si>
  <si>
    <t>06.1</t>
  </si>
  <si>
    <t>Фармацевтична продукція, медичні товари та обладнання</t>
  </si>
  <si>
    <t>06.1.1</t>
  </si>
  <si>
    <t>Фармацевтична продукція</t>
  </si>
  <si>
    <t>243</t>
  </si>
  <si>
    <t>Антибіотики вітчизняні</t>
  </si>
  <si>
    <t>244</t>
  </si>
  <si>
    <t>Антибіотики імпортні</t>
  </si>
  <si>
    <t>245</t>
  </si>
  <si>
    <t>Вітаміни вітчизняні</t>
  </si>
  <si>
    <t>246</t>
  </si>
  <si>
    <t>Вітаміни імпортні</t>
  </si>
  <si>
    <t>247</t>
  </si>
  <si>
    <t>Судинорозширювальні засоби вітчизняні</t>
  </si>
  <si>
    <t>248</t>
  </si>
  <si>
    <t>Судинорозширювальні засоби імпортні</t>
  </si>
  <si>
    <t>249</t>
  </si>
  <si>
    <t>Гормональні препарати</t>
  </si>
  <si>
    <t>250</t>
  </si>
  <si>
    <t>Жарознижувальні та знеболювальні препарати вітчизняні</t>
  </si>
  <si>
    <t>251</t>
  </si>
  <si>
    <t>Жарознижувальні та знеболювальні препарати імпортні</t>
  </si>
  <si>
    <t>252</t>
  </si>
  <si>
    <t>Мазі вітчизняні</t>
  </si>
  <si>
    <t>253</t>
  </si>
  <si>
    <t>Мазі імпортні</t>
  </si>
  <si>
    <t>254</t>
  </si>
  <si>
    <t>Антисептичні засоби</t>
  </si>
  <si>
    <t>06.1.2</t>
  </si>
  <si>
    <t>Інші медичні товари</t>
  </si>
  <si>
    <t>255</t>
  </si>
  <si>
    <t>Лейкопластирі</t>
  </si>
  <si>
    <t>06.1.3</t>
  </si>
  <si>
    <t>Медичні прилади та обладнання</t>
  </si>
  <si>
    <t>256</t>
  </si>
  <si>
    <t>Тонометри</t>
  </si>
  <si>
    <t>06.2</t>
  </si>
  <si>
    <t>Амбулаторні послуги</t>
  </si>
  <si>
    <t>06.2.1</t>
  </si>
  <si>
    <t>Медичні послуги</t>
  </si>
  <si>
    <t>257</t>
  </si>
  <si>
    <t>Консультативні послуги</t>
  </si>
  <si>
    <t>06.2.2</t>
  </si>
  <si>
    <t>Стоматологічні послуги</t>
  </si>
  <si>
    <t>258</t>
  </si>
  <si>
    <t>06.2.3</t>
  </si>
  <si>
    <t>Парамедичні послуги</t>
  </si>
  <si>
    <t>259</t>
  </si>
  <si>
    <t>Діагностичні послуги</t>
  </si>
  <si>
    <t>06.3</t>
  </si>
  <si>
    <t>Послуги лікарень</t>
  </si>
  <si>
    <t>260</t>
  </si>
  <si>
    <t>261</t>
  </si>
  <si>
    <t>Послуги санаторно-курортних установ</t>
  </si>
  <si>
    <t>07</t>
  </si>
  <si>
    <t>07.1</t>
  </si>
  <si>
    <t>Купівля транспортних засобів</t>
  </si>
  <si>
    <t>07.1.1</t>
  </si>
  <si>
    <t>Автомобілі</t>
  </si>
  <si>
    <t>262</t>
  </si>
  <si>
    <t>Легкові автомобілі ЄС</t>
  </si>
  <si>
    <t>263</t>
  </si>
  <si>
    <t>Легкові автомобілі країн Азії</t>
  </si>
  <si>
    <t>264</t>
  </si>
  <si>
    <t>Легкові автомобілі США</t>
  </si>
  <si>
    <t>07.1.3</t>
  </si>
  <si>
    <t>Велосипеди</t>
  </si>
  <si>
    <t>265</t>
  </si>
  <si>
    <t>Велосипеди для дорослих</t>
  </si>
  <si>
    <t>07.2</t>
  </si>
  <si>
    <t>Експлуатація власних транспортних засобів</t>
  </si>
  <si>
    <t>07.2.1</t>
  </si>
  <si>
    <t>Запасні частини й аксесуари</t>
  </si>
  <si>
    <t>266</t>
  </si>
  <si>
    <t>Шини для легкових автомобілів</t>
  </si>
  <si>
    <t>07.2.2</t>
  </si>
  <si>
    <t>Паливо та мастила</t>
  </si>
  <si>
    <t>267</t>
  </si>
  <si>
    <t>Бензин А-92</t>
  </si>
  <si>
    <t>268</t>
  </si>
  <si>
    <t>Бензин А-95</t>
  </si>
  <si>
    <t>269</t>
  </si>
  <si>
    <t>Дизельне пальне</t>
  </si>
  <si>
    <t>270</t>
  </si>
  <si>
    <t>Газ скраплений для автомобілів</t>
  </si>
  <si>
    <t>271</t>
  </si>
  <si>
    <t>Матеріали мастильні</t>
  </si>
  <si>
    <t>07.2.3</t>
  </si>
  <si>
    <t xml:space="preserve">Обслуговування та ремонт власних транспортних засобів </t>
  </si>
  <si>
    <t>272</t>
  </si>
  <si>
    <t>Заміна мастила</t>
  </si>
  <si>
    <t>07.2.4</t>
  </si>
  <si>
    <t>Інші послуги, пов’язані з обслуговуванням власних транспортних засобів</t>
  </si>
  <si>
    <t>273</t>
  </si>
  <si>
    <t>Проведення технічного обслуговування автомобіля</t>
  </si>
  <si>
    <t>274</t>
  </si>
  <si>
    <t>Послуги стоянок особистого автотранспорту</t>
  </si>
  <si>
    <t>275</t>
  </si>
  <si>
    <t>Курси водіїв</t>
  </si>
  <si>
    <t>07.3</t>
  </si>
  <si>
    <t>Транспортні послуги</t>
  </si>
  <si>
    <t>07.3.1</t>
  </si>
  <si>
    <t>Залізничний пасажирський транспорт</t>
  </si>
  <si>
    <t>276</t>
  </si>
  <si>
    <t>Проїзд у приміському поїзді</t>
  </si>
  <si>
    <t>277</t>
  </si>
  <si>
    <t>Проїзд у міжміському поїзді</t>
  </si>
  <si>
    <t>07.3.2</t>
  </si>
  <si>
    <t>Автодорожній пасажирський транспорт</t>
  </si>
  <si>
    <t>278</t>
  </si>
  <si>
    <t>Проїзд у приміському автобусі</t>
  </si>
  <si>
    <t>279</t>
  </si>
  <si>
    <t>Проїзд у міжміському автобусі</t>
  </si>
  <si>
    <t>280</t>
  </si>
  <si>
    <t>Проїзд у міському транспорті</t>
  </si>
  <si>
    <t>281</t>
  </si>
  <si>
    <t>Проїзд у міському маршрутному таксомоторі</t>
  </si>
  <si>
    <t>282</t>
  </si>
  <si>
    <t>Проїзд у таксі</t>
  </si>
  <si>
    <t>07.3.3</t>
  </si>
  <si>
    <t>Авіаційний пасажирський транспорт</t>
  </si>
  <si>
    <t>283</t>
  </si>
  <si>
    <t>Перевезення літаком</t>
  </si>
  <si>
    <t>07.3.6</t>
  </si>
  <si>
    <t>Інші транспортні послуги</t>
  </si>
  <si>
    <t>284</t>
  </si>
  <si>
    <t>Послуги з перевезення речей</t>
  </si>
  <si>
    <t>08</t>
  </si>
  <si>
    <t>Зв’язок</t>
  </si>
  <si>
    <t>08.1</t>
  </si>
  <si>
    <t>Поштові послуги</t>
  </si>
  <si>
    <t>285</t>
  </si>
  <si>
    <t>08.2</t>
  </si>
  <si>
    <t>Телефонне й телефаксове обладнання</t>
  </si>
  <si>
    <t>286</t>
  </si>
  <si>
    <t>Мобільні телефони</t>
  </si>
  <si>
    <t>08.3</t>
  </si>
  <si>
    <t>Телефонні і телефаксові послуги</t>
  </si>
  <si>
    <t>287</t>
  </si>
  <si>
    <t>Місцевий телефонний зв’язок</t>
  </si>
  <si>
    <t>288</t>
  </si>
  <si>
    <t>Мобільний зв’язок</t>
  </si>
  <si>
    <t>289</t>
  </si>
  <si>
    <t>Інтернет</t>
  </si>
  <si>
    <t>09</t>
  </si>
  <si>
    <t>Відпочинок і культура</t>
  </si>
  <si>
    <t>09.1</t>
  </si>
  <si>
    <t>Аудіотехніка, фотоапаратура та обладнання для обробки інформації</t>
  </si>
  <si>
    <t>09.1.1</t>
  </si>
  <si>
    <t>Обладнання для прийому, запису та відтворення звуку і зображення</t>
  </si>
  <si>
    <t>290</t>
  </si>
  <si>
    <t>Телевізори</t>
  </si>
  <si>
    <t>09.1.3</t>
  </si>
  <si>
    <t>Обладнання для обробки інформації</t>
  </si>
  <si>
    <t>291</t>
  </si>
  <si>
    <t>Ноутбуки</t>
  </si>
  <si>
    <t>292</t>
  </si>
  <si>
    <t>Планшети</t>
  </si>
  <si>
    <t>09.3</t>
  </si>
  <si>
    <t>Інші предмети для відпочинку, садівництво та домашні тварини-улюбленці</t>
  </si>
  <si>
    <t>09.3.1</t>
  </si>
  <si>
    <t>Ігри, іграшки та хобі</t>
  </si>
  <si>
    <t>293</t>
  </si>
  <si>
    <t>М’які іграшки</t>
  </si>
  <si>
    <t>294</t>
  </si>
  <si>
    <t>Конструктори</t>
  </si>
  <si>
    <t>09.3.3</t>
  </si>
  <si>
    <t>Садівництво, рослини та квіти</t>
  </si>
  <si>
    <t>295</t>
  </si>
  <si>
    <t>Квіти живі</t>
  </si>
  <si>
    <t>09.3.4</t>
  </si>
  <si>
    <t>Домашні тварини-улюбленці та товари для них</t>
  </si>
  <si>
    <t>296</t>
  </si>
  <si>
    <t>Корми для домашніх тварин</t>
  </si>
  <si>
    <t>09.3.5</t>
  </si>
  <si>
    <t>Ветеринарні й інші послуги для домашніх тварин-улюбленців</t>
  </si>
  <si>
    <t>297</t>
  </si>
  <si>
    <t>Ветеринарні послуги</t>
  </si>
  <si>
    <t>09.4</t>
  </si>
  <si>
    <t>Послуги відпочинку та культури</t>
  </si>
  <si>
    <t>09.4.1</t>
  </si>
  <si>
    <t>Послуги відпочинку та спорту</t>
  </si>
  <si>
    <t>298</t>
  </si>
  <si>
    <t>Послуги спортивних установ</t>
  </si>
  <si>
    <t>09.4.2</t>
  </si>
  <si>
    <t>Послуги культури</t>
  </si>
  <si>
    <t>09.4.2.1</t>
  </si>
  <si>
    <t>Кінотеатри, театри, концерти</t>
  </si>
  <si>
    <t>299</t>
  </si>
  <si>
    <t>Послуги кінотеатрів</t>
  </si>
  <si>
    <t>09.4.2.3</t>
  </si>
  <si>
    <t>Плата за теле- і радіомовлення та прокат обладнання</t>
  </si>
  <si>
    <t>300</t>
  </si>
  <si>
    <t>Кабельне телебачення</t>
  </si>
  <si>
    <t>09.5</t>
  </si>
  <si>
    <t>Газети, книжки та канцелярські товари</t>
  </si>
  <si>
    <t>09.5.1</t>
  </si>
  <si>
    <t>Книжки</t>
  </si>
  <si>
    <t>301</t>
  </si>
  <si>
    <t>09.5.2</t>
  </si>
  <si>
    <t>Газети та періодичні видання</t>
  </si>
  <si>
    <t>302</t>
  </si>
  <si>
    <t>Газети</t>
  </si>
  <si>
    <t>09.5.4</t>
  </si>
  <si>
    <t>Канцелярські товари та приладдя для малювання</t>
  </si>
  <si>
    <t>303</t>
  </si>
  <si>
    <t>Зошити</t>
  </si>
  <si>
    <t>304</t>
  </si>
  <si>
    <t>Ручки</t>
  </si>
  <si>
    <t>09.6</t>
  </si>
  <si>
    <t>Туристичні послуги</t>
  </si>
  <si>
    <t>305</t>
  </si>
  <si>
    <t>Комплексний відпочинок</t>
  </si>
  <si>
    <t>306</t>
  </si>
  <si>
    <t>Туристсько-екскурсійні послуги</t>
  </si>
  <si>
    <t>10.1</t>
  </si>
  <si>
    <t>Дошкільна та початкова освіта</t>
  </si>
  <si>
    <t>307</t>
  </si>
  <si>
    <t>Дошкільна освіта</t>
  </si>
  <si>
    <t>10.2</t>
  </si>
  <si>
    <t>Середня освіта</t>
  </si>
  <si>
    <t>308</t>
  </si>
  <si>
    <t>10.4</t>
  </si>
  <si>
    <t>Вища освіта</t>
  </si>
  <si>
    <t>309</t>
  </si>
  <si>
    <t>10.5</t>
  </si>
  <si>
    <t>Освіта, що не визначається за рівнями</t>
  </si>
  <si>
    <t>310</t>
  </si>
  <si>
    <t>Курси іноземної мови</t>
  </si>
  <si>
    <t>Ресторани та готелі</t>
  </si>
  <si>
    <t>11.1</t>
  </si>
  <si>
    <t>Харчування поза домом</t>
  </si>
  <si>
    <t>11.1.1</t>
  </si>
  <si>
    <t>Ресторани, кафе тощо</t>
  </si>
  <si>
    <t>11.1.1.1</t>
  </si>
  <si>
    <t>Ресторани</t>
  </si>
  <si>
    <t>311</t>
  </si>
  <si>
    <t>Послуги ресторанів</t>
  </si>
  <si>
    <t>11.1.1.2</t>
  </si>
  <si>
    <t>Кафе, бари тощо</t>
  </si>
  <si>
    <t>312</t>
  </si>
  <si>
    <t>Послуги кафе</t>
  </si>
  <si>
    <t>11.1.2</t>
  </si>
  <si>
    <t>Їдальні</t>
  </si>
  <si>
    <t>313</t>
  </si>
  <si>
    <t>Послуги закладів швидкого харчування</t>
  </si>
  <si>
    <t>11.2</t>
  </si>
  <si>
    <t>Послуги, пов’язані з тимчасовим проживанням</t>
  </si>
  <si>
    <t>314</t>
  </si>
  <si>
    <t>Послуги готелів</t>
  </si>
  <si>
    <t>315</t>
  </si>
  <si>
    <t>Послуги пансіонатів</t>
  </si>
  <si>
    <t>Різні товари та послуги</t>
  </si>
  <si>
    <t>12.1</t>
  </si>
  <si>
    <t>Особистий догляд</t>
  </si>
  <si>
    <t>12.1.1</t>
  </si>
  <si>
    <t xml:space="preserve">Перукарні та заклади по особистому догляду </t>
  </si>
  <si>
    <t>316</t>
  </si>
  <si>
    <t>Послуги перукарень (жіноча стрижка)</t>
  </si>
  <si>
    <t>317</t>
  </si>
  <si>
    <t>Послуги перукарень (чоловіча стрижка)</t>
  </si>
  <si>
    <t>318</t>
  </si>
  <si>
    <t>Манікюр</t>
  </si>
  <si>
    <t>12.1.3</t>
  </si>
  <si>
    <t>Інші прилади та товари для особистого догляду</t>
  </si>
  <si>
    <t>319</t>
  </si>
  <si>
    <t>Мило туалетне</t>
  </si>
  <si>
    <t>320</t>
  </si>
  <si>
    <t>Шампуні</t>
  </si>
  <si>
    <t>321</t>
  </si>
  <si>
    <t>Зубні пасти</t>
  </si>
  <si>
    <t>322</t>
  </si>
  <si>
    <t>Креми</t>
  </si>
  <si>
    <t>323</t>
  </si>
  <si>
    <t>Дезодоранти</t>
  </si>
  <si>
    <t>324</t>
  </si>
  <si>
    <t>Засоби макіяжу</t>
  </si>
  <si>
    <t>325</t>
  </si>
  <si>
    <t>Туалетний папір</t>
  </si>
  <si>
    <t>326</t>
  </si>
  <si>
    <t>Засоби жіночої гігієни</t>
  </si>
  <si>
    <t>327</t>
  </si>
  <si>
    <t>Підгузки дитячі</t>
  </si>
  <si>
    <t>12.3</t>
  </si>
  <si>
    <t>Особисті речі, не віднесені до інших категорій</t>
  </si>
  <si>
    <t>12.3.1</t>
  </si>
  <si>
    <t>Ювелірні вироби, годинники</t>
  </si>
  <si>
    <t>328</t>
  </si>
  <si>
    <t>Ювелірні вироби із золота</t>
  </si>
  <si>
    <t>329</t>
  </si>
  <si>
    <t>Годинники наручні</t>
  </si>
  <si>
    <t>12.3.2</t>
  </si>
  <si>
    <t>Інші особисті речі</t>
  </si>
  <si>
    <t>330</t>
  </si>
  <si>
    <t>Сумки</t>
  </si>
  <si>
    <t>12.5</t>
  </si>
  <si>
    <t>Страхування</t>
  </si>
  <si>
    <t>12.5.3</t>
  </si>
  <si>
    <t>Страхування здоров’я</t>
  </si>
  <si>
    <t>331</t>
  </si>
  <si>
    <t>Послуги у сфері страхування здоров’я</t>
  </si>
  <si>
    <t>12.5.4</t>
  </si>
  <si>
    <t>Страхування особистого транспорту</t>
  </si>
  <si>
    <t>332</t>
  </si>
  <si>
    <t>Послуги у сфері страхування особистого транспорту</t>
  </si>
  <si>
    <t>12.6</t>
  </si>
  <si>
    <t xml:space="preserve">Фінансові послуги </t>
  </si>
  <si>
    <t>333</t>
  </si>
  <si>
    <t>12.7</t>
  </si>
  <si>
    <t>Інші послуги</t>
  </si>
  <si>
    <t>334</t>
  </si>
  <si>
    <t>Послуги нотаріусів</t>
  </si>
  <si>
    <t>335</t>
  </si>
  <si>
    <t>Ритуальні послуги</t>
  </si>
  <si>
    <r>
      <t>1</t>
    </r>
    <r>
      <rPr>
        <sz val="10"/>
        <rFont val="Arial"/>
        <family val="2"/>
        <charset val="204"/>
      </rPr>
      <t xml:space="preserve"> Без урахування тимчасово окупованої території Автономної Республіки Крим, м. Севастополя та частини тимчасово окупованих територій у Донецькій та Луганській областях.</t>
    </r>
  </si>
  <si>
    <t>Ваги</t>
  </si>
  <si>
    <t>Індекс споживчих цін (до відповідного місяця попереднього року, %)</t>
  </si>
  <si>
    <t>ТОВАРНІ  ГРУПИ *</t>
  </si>
  <si>
    <t>Дефлятор ВВП в</t>
  </si>
  <si>
    <t xml:space="preserve">GDP deflator in
</t>
  </si>
  <si>
    <t>25,1%</t>
  </si>
  <si>
    <t>Source: NBU, UEO calculations</t>
  </si>
  <si>
    <t>Источник: НБУ, расчеты UEO</t>
  </si>
  <si>
    <t>Джерело: НБУ, розрахунки UEO</t>
  </si>
  <si>
    <t>Индексы потребительских цен на товары и услуги в августе 2022 года (до декабря 2021 года)</t>
  </si>
  <si>
    <t>Consumer price indices for goods and services in August 2022 (to December 2021)</t>
  </si>
  <si>
    <t>Індекси споживчих цін на товари та послуги у серпні 2022 році (до грудня 2021 року)</t>
  </si>
  <si>
    <t>Электроэнергия</t>
  </si>
  <si>
    <t>Electricity</t>
  </si>
  <si>
    <t>Весовая часть в ИПЦ</t>
  </si>
  <si>
    <t>Текущие тарифы, грн ед. и.</t>
  </si>
  <si>
    <t>Ожидаемый рост</t>
  </si>
  <si>
    <t>Прирост ИПЦ</t>
  </si>
  <si>
    <t>Gas</t>
  </si>
  <si>
    <t>Weight in the CPI</t>
  </si>
  <si>
    <t>Current tariffs, UAH/units</t>
  </si>
  <si>
    <t>Expected growth</t>
  </si>
  <si>
    <t>Change</t>
  </si>
  <si>
    <t>CPI growth</t>
  </si>
  <si>
    <t>Горячая вода, отопление</t>
  </si>
  <si>
    <t>Hot water, heating</t>
  </si>
  <si>
    <t>Вагова частина в ІСЦ</t>
  </si>
  <si>
    <t>Поточні тарифи, грн од. од. в.</t>
  </si>
  <si>
    <t>Очікуване зростання</t>
  </si>
  <si>
    <t>Источник: Государственная служба статистики, Собственные расчеты UEO</t>
  </si>
  <si>
    <t>Source: State Statistics Service, UEO's own calculations</t>
  </si>
  <si>
    <t>Джерело: Державна служба статистики, Власні розрахунки UEO</t>
  </si>
  <si>
    <t>Допуски прогноза:</t>
  </si>
  <si>
    <t>Forecast assumptions:</t>
  </si>
  <si>
    <t>Показатель</t>
  </si>
  <si>
    <t>Indicator</t>
  </si>
  <si>
    <t>Показник</t>
  </si>
  <si>
    <t>Допуски прогнозу:</t>
  </si>
  <si>
    <t>Мировые цены:</t>
  </si>
  <si>
    <t>World commodity prices:</t>
  </si>
  <si>
    <t>Світові ціни:</t>
  </si>
  <si>
    <t>Железная руда, 62% Fe, CFR China (TSI)</t>
  </si>
  <si>
    <t>Iron Ore, 62% Fe, CFR China (TSI)</t>
  </si>
  <si>
    <t>Залізна руда, 62% Fe, CFR China (TSI)</t>
  </si>
  <si>
    <t>$/тонну</t>
  </si>
  <si>
    <t>$/t</t>
  </si>
  <si>
    <t>% г-г.</t>
  </si>
  <si>
    <t>% YoY</t>
  </si>
  <si>
    <t>Прокат Китай</t>
  </si>
  <si>
    <t>Hot Rolled Coil, China</t>
  </si>
  <si>
    <t>Арматура Турция</t>
  </si>
  <si>
    <t>Steel Rebar, FOB Turkey</t>
  </si>
  <si>
    <t>Арматура Туреччина</t>
  </si>
  <si>
    <t>Пшеница США (мягкая), CME Globex</t>
  </si>
  <si>
    <t>Chicago SRW Wheat, CME Globex</t>
  </si>
  <si>
    <t>Пшениця США (м'яка), CME Globex</t>
  </si>
  <si>
    <t>Черноморская пшеница, CME Globex</t>
  </si>
  <si>
    <t>Black Sea Wheat, CME Globex</t>
  </si>
  <si>
    <t>Чорноморська пшениця, CME Globex</t>
  </si>
  <si>
    <t>Кукуруза США, CME Globex</t>
  </si>
  <si>
    <t>Corn (US), CME Globex</t>
  </si>
  <si>
    <t>Кукурудза США, CME Globex</t>
  </si>
  <si>
    <t>Черноморская кукуруза, CME Globex</t>
  </si>
  <si>
    <t>Black Sea Corn, CME Globex</t>
  </si>
  <si>
    <t>Чорноморська кукурудза, CME Globex</t>
  </si>
  <si>
    <t>Подсолнечное масло, CME Globex</t>
  </si>
  <si>
    <t>Sunflower Oil, CME Globex</t>
  </si>
  <si>
    <t>Соняшникова олія, CME Globex</t>
  </si>
  <si>
    <t>Аммиак (гранулированный) FOB Middle East, CME Globex</t>
  </si>
  <si>
    <t>Urea (Granular), FOB Middle East, CME Globex</t>
  </si>
  <si>
    <t>Аміак (гранульований) FOB Middle East, CME Globex</t>
  </si>
  <si>
    <t>Нефть марки Brent, NYMEX - CME Group</t>
  </si>
  <si>
    <t>Crude Oil Brent, NYMEX - CME Group</t>
  </si>
  <si>
    <t>Нафта марки Brent, NYMEX - CME Group</t>
  </si>
  <si>
    <t>$/бар.</t>
  </si>
  <si>
    <t>$/bbl</t>
  </si>
  <si>
    <t>Газ, Netherlands TTF</t>
  </si>
  <si>
    <t>Natural gas, Netherlands TTF</t>
  </si>
  <si>
    <t>$/1000 м3</t>
  </si>
  <si>
    <t>$/bcm</t>
  </si>
  <si>
    <t>Урожай зерновых, зернобобовых и масличных</t>
  </si>
  <si>
    <t>Harvest of cereals, legumes and oilseeds</t>
  </si>
  <si>
    <t>Урожай зернових, зернобобових та олійних</t>
  </si>
  <si>
    <t>млн т</t>
  </si>
  <si>
    <t>Mln t</t>
  </si>
  <si>
    <t>Средняя зарплата в стране</t>
  </si>
  <si>
    <t>Average wage in Ukraine</t>
  </si>
  <si>
    <t>Середня зарплата в країні</t>
  </si>
  <si>
    <t>грн</t>
  </si>
  <si>
    <t xml:space="preserve">Объемы ЗВР, интервенций, сальдо операций частного сектора и сальдо платежного баланса, $млрд </t>
  </si>
  <si>
    <t xml:space="preserve">Volume of foreign reserves, interventions, balance of private sector transactions and balance of payments, $ bln </t>
  </si>
  <si>
    <t xml:space="preserve">Обсяги ЗВР, інтервенцій, сальдо операцій приватного сектора і сальдо платіжного балансу, $млрд </t>
  </si>
  <si>
    <t>Total (2022)</t>
  </si>
  <si>
    <t>Объемы интервенций по месяцам</t>
  </si>
  <si>
    <t>Interventions by month</t>
  </si>
  <si>
    <t>Обсяги інтервенцій за місяцями</t>
  </si>
  <si>
    <t>Сальдо платежного баланса</t>
  </si>
  <si>
    <t>Balance of payments</t>
  </si>
  <si>
    <t>Сальдо платіжного балансу</t>
  </si>
  <si>
    <t>Сальдо операций частного сект.</t>
  </si>
  <si>
    <t>Balance of private sector ops.</t>
  </si>
  <si>
    <t>Сальдо операцій приватного сект.</t>
  </si>
  <si>
    <t>Объем ЗВР</t>
  </si>
  <si>
    <t>Volume of foreign reserves</t>
  </si>
  <si>
    <t>Обсяг ЗВР</t>
  </si>
  <si>
    <t>Total (2023)</t>
  </si>
  <si>
    <t>Курс НБУ</t>
  </si>
  <si>
    <t>Источник: НБУ</t>
  </si>
  <si>
    <t>Source: NBU</t>
  </si>
  <si>
    <t>Джерело: НБУ</t>
  </si>
  <si>
    <t>Official exchange rate</t>
  </si>
  <si>
    <t>2. Вклад в годовое изменение ИПЦ</t>
  </si>
  <si>
    <t>3. Допуски прогноза</t>
  </si>
  <si>
    <t>РЭВК (06.2015=1)</t>
  </si>
  <si>
    <t>REER (06.2015=1)</t>
  </si>
  <si>
    <t>РЕОК (06.2015=1)</t>
  </si>
  <si>
    <t xml:space="preserve">Индекс реального эффективного валютного курса гривни по методологии НБУ в 2011-2022 годах </t>
  </si>
  <si>
    <t>Real effective exchange rate of hryvnia according to the NBU methodology in 2011-2022</t>
  </si>
  <si>
    <t>Індекс реального ефективного обмінного курсу гривні за методологією НБУ у 2011-2022 роках</t>
  </si>
  <si>
    <t>5. Объемы ЗВР, интервенций, сальдо операций частного сектора</t>
  </si>
  <si>
    <t>6. Курс НБУ и РЭВК</t>
  </si>
  <si>
    <t>Прирост Индекса потребительской инфляции</t>
  </si>
  <si>
    <t>Приріст Індекс споживчої інфляції</t>
  </si>
  <si>
    <t>Consumer inflation growth</t>
  </si>
  <si>
    <t>https://index.minfin.com.ua/ua/economy/index/inflation/</t>
  </si>
  <si>
    <t>Ваги кварталів ВВП - 2021, %</t>
  </si>
  <si>
    <t xml:space="preserve">USD </t>
  </si>
  <si>
    <t>Грудень 22 до грудня 21</t>
  </si>
  <si>
    <t>ц</t>
  </si>
  <si>
    <t>прогноз курсу НБУ</t>
  </si>
  <si>
    <t>NBU (forecast table prev)</t>
  </si>
  <si>
    <t>NBU (forecast table last)</t>
  </si>
  <si>
    <t>Ваги кварталів ВВП - 2022 , %</t>
  </si>
  <si>
    <t>Ваги кварталів ВВП - 2023 , %</t>
  </si>
  <si>
    <t>USD (сценарій 1)</t>
  </si>
  <si>
    <t>USD (сценарій 2)</t>
  </si>
  <si>
    <t>Середній розмір</t>
  </si>
  <si>
    <t>Приріст, % р-р</t>
  </si>
  <si>
    <t>Грудень до грудня, % р-р</t>
  </si>
  <si>
    <t xml:space="preserve">   в дол. еквіваленті </t>
  </si>
  <si>
    <t>Прогноз середньої зарплати в Україні у 2023 році, грн, дол.</t>
  </si>
  <si>
    <t>в грн</t>
  </si>
  <si>
    <t>$</t>
  </si>
  <si>
    <t>% грн</t>
  </si>
  <si>
    <t>% $</t>
  </si>
  <si>
    <t>В середньому за 2022 рік:</t>
  </si>
  <si>
    <t>В середньому за 2021 рік:</t>
  </si>
  <si>
    <t>В среднем за 2021 год:</t>
  </si>
  <si>
    <t>В среднем за 2022 год:</t>
  </si>
  <si>
    <t>В среднем за 2023 год:</t>
  </si>
  <si>
    <t>On average for 2021:</t>
  </si>
  <si>
    <t>On average for 2022:</t>
  </si>
  <si>
    <t>On average for 2023:</t>
  </si>
  <si>
    <t>В середньому за 2023 рік:</t>
  </si>
  <si>
    <t xml:space="preserve">&amp; "&amp; </t>
  </si>
  <si>
    <t>USD (сценарий 1)</t>
  </si>
  <si>
    <t>USD (сценарий 2)</t>
  </si>
  <si>
    <t>USD (scenario 1)</t>
  </si>
  <si>
    <t>USD (scenario 2)</t>
  </si>
  <si>
    <t>Грудень 2023 - Грудень 2022</t>
  </si>
  <si>
    <t>USD 1</t>
  </si>
  <si>
    <t>USD2</t>
  </si>
  <si>
    <t>Avr 2019-21</t>
  </si>
  <si>
    <t>Sesonly forecast</t>
  </si>
  <si>
    <t>Середня зарплата за вакансіями</t>
  </si>
  <si>
    <t>Середня зарплата за резюме</t>
  </si>
  <si>
    <t>Дані в таблиці</t>
  </si>
  <si>
    <t>Вакансії</t>
  </si>
  <si>
    <t>Резюме</t>
  </si>
  <si>
    <t>4січня2022</t>
  </si>
  <si>
    <t>14127 грн</t>
  </si>
  <si>
    <t>15642 грн</t>
  </si>
  <si>
    <t>1лютого2022</t>
  </si>
  <si>
    <t>14413 грн</t>
  </si>
  <si>
    <t>15606 грн</t>
  </si>
  <si>
    <t>1березня2022</t>
  </si>
  <si>
    <t>14802 грн</t>
  </si>
  <si>
    <t>15870 грн</t>
  </si>
  <si>
    <t>5квітня2022</t>
  </si>
  <si>
    <t>13476 грн</t>
  </si>
  <si>
    <t>15662 грн</t>
  </si>
  <si>
    <t>3травня2022</t>
  </si>
  <si>
    <t>13395 грн</t>
  </si>
  <si>
    <t>15412 грн</t>
  </si>
  <si>
    <t>7червня2022</t>
  </si>
  <si>
    <t>13635 грн</t>
  </si>
  <si>
    <t>15357 грн</t>
  </si>
  <si>
    <t>5липня2022</t>
  </si>
  <si>
    <t>13674 грн</t>
  </si>
  <si>
    <t>15617 грн</t>
  </si>
  <si>
    <t>2серпня2022</t>
  </si>
  <si>
    <t>13879 грн</t>
  </si>
  <si>
    <t>15707 грн</t>
  </si>
  <si>
    <t>6вересня2022</t>
  </si>
  <si>
    <t>13766 грн</t>
  </si>
  <si>
    <t>15744 грн</t>
  </si>
  <si>
    <t>4жовтня2022</t>
  </si>
  <si>
    <t>14290 грн</t>
  </si>
  <si>
    <t>15967 грн</t>
  </si>
  <si>
    <t>1листопада2022</t>
  </si>
  <si>
    <t>14455 грн</t>
  </si>
  <si>
    <t>16102 грн</t>
  </si>
  <si>
    <t>6грудня2022</t>
  </si>
  <si>
    <t>14712 грн</t>
  </si>
  <si>
    <t>16313 грн</t>
  </si>
  <si>
    <t>3січня2023</t>
  </si>
  <si>
    <t>14715 грн</t>
  </si>
  <si>
    <t>16464 грн</t>
  </si>
  <si>
    <t>7лютого2023</t>
  </si>
  <si>
    <t>15049 грн</t>
  </si>
  <si>
    <t>16458 грн</t>
  </si>
  <si>
    <t>7березня2023</t>
  </si>
  <si>
    <t>15235 грн</t>
  </si>
  <si>
    <t>16563 грн</t>
  </si>
  <si>
    <t>https://www.work.ua/stat/salary/?time=year</t>
  </si>
  <si>
    <t>Avr</t>
  </si>
  <si>
    <t>Кількість вакансій</t>
  </si>
  <si>
    <t>Кількість резюме</t>
  </si>
  <si>
    <t>5 квітня 2022</t>
  </si>
  <si>
    <t>3 травня 2022</t>
  </si>
  <si>
    <t>7 червня 2022</t>
  </si>
  <si>
    <t>5 липня 2022</t>
  </si>
  <si>
    <t>2 серпня 2022</t>
  </si>
  <si>
    <t>6 вересня 2022</t>
  </si>
  <si>
    <t>4 жовтня 2022</t>
  </si>
  <si>
    <t>1 листопада 2022</t>
  </si>
  <si>
    <t>6 грудня 2022</t>
  </si>
  <si>
    <t>3 січня 2023</t>
  </si>
  <si>
    <t>7 лютого 2023</t>
  </si>
  <si>
    <t>7 березня 2023</t>
  </si>
  <si>
    <t>Day</t>
  </si>
  <si>
    <t>Mont</t>
  </si>
  <si>
    <t>к-сть.</t>
  </si>
  <si>
    <t xml:space="preserve">тис. </t>
  </si>
  <si>
    <t xml:space="preserve">9. Кількість вакансій і резюме в Україні в 2022-23 роках, тис. шт., % р-р
</t>
  </si>
  <si>
    <t>Vacancies</t>
  </si>
  <si>
    <t>Вакансии</t>
  </si>
  <si>
    <t xml:space="preserve">Динаміка рівня інфляції у 2021 – 2022 роках, р-р % </t>
  </si>
  <si>
    <t>Динамика уровня инфляции в 2021 – 2022 годах, р-р %</t>
  </si>
  <si>
    <t>Средняя зарплата в Украине в 2021-23 годах, грн, дол.</t>
  </si>
  <si>
    <t>Average salary in Ukraine in 2021-23, UAH, USD</t>
  </si>
  <si>
    <t>Середня зарплата в Україні в 2021-23 роках, грн, дол.</t>
  </si>
  <si>
    <t>7. Середня зарплата в Україні в 2021-23 роках, грн, долл.</t>
  </si>
  <si>
    <t>Источник: НБУ, Work.ua, расчеты UEO</t>
  </si>
  <si>
    <t>Source: NBU, Work.ua, UEO calculations</t>
  </si>
  <si>
    <t>Джерело: НБУ, Work.ua, розрахунки UEO</t>
  </si>
  <si>
    <t>Inflation rate trend, 2021-22, yoy %</t>
  </si>
  <si>
    <t>14 березня 2023</t>
  </si>
  <si>
    <t>21 березня 2023</t>
  </si>
  <si>
    <t>28 березня 2023</t>
  </si>
  <si>
    <t>4 квітня 2023</t>
  </si>
  <si>
    <t>11 квітня 2023</t>
  </si>
  <si>
    <t>18 квітня 2023</t>
  </si>
  <si>
    <t>25 квітня 2023</t>
  </si>
  <si>
    <t>2 травня 2023</t>
  </si>
  <si>
    <t>15381 грн</t>
  </si>
  <si>
    <t>16903 грн</t>
  </si>
  <si>
    <t>15418 грн</t>
  </si>
  <si>
    <t>16752 грн</t>
  </si>
  <si>
    <t>15317 грн</t>
  </si>
  <si>
    <t>16811 грн</t>
  </si>
  <si>
    <t>15321 грн</t>
  </si>
  <si>
    <t>16781 грн</t>
  </si>
  <si>
    <t>15312 грн</t>
  </si>
  <si>
    <t>17043 грн</t>
  </si>
  <si>
    <t>15555 грн</t>
  </si>
  <si>
    <t>17183 грн</t>
  </si>
  <si>
    <t>15438 грн</t>
  </si>
  <si>
    <t>17272 грн</t>
  </si>
  <si>
    <t>15430 грн</t>
  </si>
  <si>
    <t>17084 грн</t>
  </si>
  <si>
    <t xml:space="preserve">2017-2018 регресія нова </t>
  </si>
  <si>
    <t>Наш прогноз березня 2023</t>
  </si>
  <si>
    <t>Количество новых вакансий и резюме в Украине в 2022-23 годах, тыс. шт., % г-г</t>
  </si>
  <si>
    <t xml:space="preserve">Прогноз рівня інфляції у 2021 – 2023 роках, р-р % </t>
  </si>
  <si>
    <t xml:space="preserve">Прогноз уровня инфляции в 2021 – 2023 годах, г-г % </t>
  </si>
  <si>
    <t xml:space="preserve">Inflation forecast for 2021-23, yoy % </t>
  </si>
  <si>
    <t>&lt;&lt;</t>
  </si>
  <si>
    <t>С/г</t>
  </si>
  <si>
    <t>Торгівля</t>
  </si>
  <si>
    <t>Послуги</t>
  </si>
  <si>
    <t>Очікування щодо зміни кількості працівників у наступні 12 міс. за видами діяльності (баланс відповідей), в. п.</t>
  </si>
  <si>
    <t>Agriculture</t>
  </si>
  <si>
    <t>Industry</t>
  </si>
  <si>
    <t>Trade</t>
  </si>
  <si>
    <t>Transport</t>
  </si>
  <si>
    <t>Services</t>
  </si>
  <si>
    <t>Expectations regarding the change in the number of workers over the next 12 months, by sector (balance of responses), pp</t>
  </si>
  <si>
    <t>I.19</t>
  </si>
  <si>
    <t>II.19</t>
  </si>
  <si>
    <t>III.19</t>
  </si>
  <si>
    <t>IІI.19</t>
  </si>
  <si>
    <t>IV.19</t>
  </si>
  <si>
    <t>I.20</t>
  </si>
  <si>
    <t>II.20</t>
  </si>
  <si>
    <t>III.20</t>
  </si>
  <si>
    <t>IІI.20</t>
  </si>
  <si>
    <t>IV.20</t>
  </si>
  <si>
    <t>I.21</t>
  </si>
  <si>
    <t>II.21</t>
  </si>
  <si>
    <t>III.21</t>
  </si>
  <si>
    <t>IV.21</t>
  </si>
  <si>
    <t>I.22</t>
  </si>
  <si>
    <t>ІI.22</t>
  </si>
  <si>
    <t>III.22</t>
  </si>
  <si>
    <t>IV.22</t>
  </si>
  <si>
    <t>Джерело: НБУ.</t>
  </si>
  <si>
    <t>I.23</t>
  </si>
  <si>
    <t>Source:  NBU.</t>
  </si>
  <si>
    <t xml:space="preserve">10. Очікування щодо зміни кількості працівників у наступні 12 міс. за видами діяльності (баланс відповідей), %
</t>
  </si>
  <si>
    <t xml:space="preserve">Очікування щодо зміни кількості працівників у наступні 12 міс. за видами діяльності (баланс відповідей), %
</t>
  </si>
  <si>
    <t>Ожидание изменения количества работников в следующие 12 мес. по видам деятельности (баланс ответов), %</t>
  </si>
  <si>
    <t>Expectations regarding the change in the number of workers over the next 12 months, by sector (balance of responses), %</t>
  </si>
  <si>
    <t>Услуги</t>
  </si>
  <si>
    <t>Промышленность</t>
  </si>
  <si>
    <t>Не працюю</t>
  </si>
  <si>
    <t>Інше</t>
  </si>
  <si>
    <t>Працюю на новій роботі</t>
  </si>
  <si>
    <t>Працюю частково</t>
  </si>
  <si>
    <t>Працюю у звичайному режимі</t>
  </si>
  <si>
    <t>Поточний статус тих, хто мав роботу до 24.02.2022, % відповідей</t>
  </si>
  <si>
    <t>Not working</t>
  </si>
  <si>
    <t>Other</t>
  </si>
  <si>
    <t>Working at a new job</t>
  </si>
  <si>
    <t>Working part-time</t>
  </si>
  <si>
    <t>No changes in the working conditions</t>
  </si>
  <si>
    <t>Current status of respondents previously employed before 24 February 2022, % of responses</t>
  </si>
  <si>
    <t>03'22</t>
  </si>
  <si>
    <t>04'22</t>
  </si>
  <si>
    <t>06'22</t>
  </si>
  <si>
    <t>07'22</t>
  </si>
  <si>
    <t>09'22</t>
  </si>
  <si>
    <t>10'22</t>
  </si>
  <si>
    <t>12'22</t>
  </si>
  <si>
    <t>02'23</t>
  </si>
  <si>
    <t>Джерело: Рейтинг.</t>
  </si>
  <si>
    <t>Source: Rating.</t>
  </si>
  <si>
    <t xml:space="preserve">Не работаю </t>
  </si>
  <si>
    <t xml:space="preserve">Другое </t>
  </si>
  <si>
    <t xml:space="preserve">Работаю на новой работе </t>
  </si>
  <si>
    <t xml:space="preserve">Работаю частично </t>
  </si>
  <si>
    <t>Работаю в обычном режиме</t>
  </si>
  <si>
    <t xml:space="preserve">11. Очікування щодо зміни кількості працівників у наступні 12 міс. за видами діяльності (баланс відповідей), %
</t>
  </si>
  <si>
    <t>Джерело: НБУ, Рейтинг</t>
  </si>
  <si>
    <t>Источник: НБУ, Рейтинг</t>
  </si>
  <si>
    <t>Source: NBU, Rating</t>
  </si>
  <si>
    <t>Текущий статус тех, кто имел работу до 24.02.2022, % ответов</t>
  </si>
  <si>
    <t>2023M1</t>
  </si>
  <si>
    <t>2023M2</t>
  </si>
  <si>
    <t>2023M3</t>
  </si>
  <si>
    <t>2023M4</t>
  </si>
  <si>
    <t>2023M5</t>
  </si>
  <si>
    <t>2023M6</t>
  </si>
  <si>
    <t>2023M7</t>
  </si>
  <si>
    <t>2023M8</t>
  </si>
  <si>
    <t>2023M9</t>
  </si>
  <si>
    <t>2023M10</t>
  </si>
  <si>
    <t>2023M11</t>
  </si>
  <si>
    <t>2023M12</t>
  </si>
  <si>
    <t>Індекс споживчих цін
(до попереднього місяця, %)</t>
  </si>
  <si>
    <t>р-р</t>
  </si>
  <si>
    <t>м-м</t>
  </si>
  <si>
    <t xml:space="preserve">Застосовані </t>
  </si>
  <si>
    <t>6 червня 2023</t>
  </si>
  <si>
    <t>15800 грн</t>
  </si>
  <si>
    <t>17250 грн</t>
  </si>
  <si>
    <t>2024F</t>
  </si>
  <si>
    <t>Грош баз без змін</t>
  </si>
  <si>
    <t>Валют регул</t>
  </si>
  <si>
    <t>4. Прогноз уровня инфляции в 2021 – 2023 годах, г-г % (Сценарий-1)  (Дефлятор модель (CPI-PPI) (С-1)</t>
  </si>
  <si>
    <t>4 липня 2023</t>
  </si>
  <si>
    <t>1 серпня 2023</t>
  </si>
  <si>
    <t>5 вересня 2023</t>
  </si>
  <si>
    <t>https://www.work.ua/stat/count/</t>
  </si>
  <si>
    <t>5 веренся 2023</t>
  </si>
  <si>
    <t>Обратний розрах</t>
  </si>
  <si>
    <t>Ціни на Нафту</t>
  </si>
  <si>
    <t>частка рівномірнної девальвації з 36,6 до 42 впродовж 2024</t>
  </si>
  <si>
    <t xml:space="preserve">3. Прогноз уровня инфляции в 2021 – 2024 годах, г-г %  (Дефлятор модель (CPI-PPI) </t>
  </si>
  <si>
    <t>Прогноз уровня инфляции в 2021 – 2024 годах, г-г %</t>
  </si>
  <si>
    <t xml:space="preserve">Inflation forecast for 2021-24, yoy %  </t>
  </si>
  <si>
    <t xml:space="preserve">Прогноз рівня інфляції у 2021 – 2024 роках, р-р % </t>
  </si>
  <si>
    <t>Average salary forecast in Ukraine in 2024, UAH, USD</t>
  </si>
  <si>
    <t>Декабрь 2024 к декабрю 2023:</t>
  </si>
  <si>
    <t>December 2024 to December 2023:</t>
  </si>
  <si>
    <t xml:space="preserve">Грудень 2024 до грудня 2023: </t>
  </si>
  <si>
    <t>Грудень 2024 - Грудень 2023</t>
  </si>
  <si>
    <t>8. Прогноз середньої зарплати в Україні у 2024 році, грн, дол.</t>
  </si>
  <si>
    <t>В среднем за 2024 год:</t>
  </si>
  <si>
    <t>On average for 2024:</t>
  </si>
  <si>
    <t>В середньому за 2024 рік:</t>
  </si>
  <si>
    <t>https://ces.org.ua/tracker-economy-during-the-war/</t>
  </si>
  <si>
    <t xml:space="preserve">Безробіття </t>
  </si>
  <si>
    <t>Економія на їжі</t>
  </si>
  <si>
    <t>Рівень безробіття в Україні в 2022-23 роках, %</t>
  </si>
  <si>
    <t>Уровень безработицы в Украине в 2022-23 годах, %</t>
  </si>
  <si>
    <t>Unemployment rate in Ukraine in 2022-23, %</t>
  </si>
  <si>
    <t xml:space="preserve">Источник: Info Sapiens </t>
  </si>
  <si>
    <t xml:space="preserve">Source: Info Sapiens </t>
  </si>
  <si>
    <t xml:space="preserve">Джерело: Info Sapiens </t>
  </si>
  <si>
    <t>3 жовтня 2023</t>
  </si>
  <si>
    <t>UA-CPI</t>
  </si>
  <si>
    <t>Прогресія</t>
  </si>
  <si>
    <t>ІЦВ-F</t>
  </si>
  <si>
    <t>UA-CPI- F</t>
  </si>
  <si>
    <t>% yoy</t>
  </si>
  <si>
    <t>% р-р</t>
  </si>
  <si>
    <t>% г-г</t>
  </si>
  <si>
    <t>ИЦП</t>
  </si>
  <si>
    <t>Динаміка ІЦВ та UA-CPI в 2021-24 роках</t>
  </si>
  <si>
    <t>Источник: НБУ, Worldbank, расчеты UEO</t>
  </si>
  <si>
    <t>Source: NBU, Worldbank, UEO calculations</t>
  </si>
  <si>
    <t>Джерело: НБУ, Worldbank,  розрахунки UEO</t>
  </si>
  <si>
    <t>7 листопада 2023</t>
  </si>
  <si>
    <t>Відхилення нашого прогнозу</t>
  </si>
  <si>
    <t>Розрахунковий Деф. в іняляц звіті НБУ 10.23</t>
  </si>
  <si>
    <t>Факт Держстату</t>
  </si>
  <si>
    <t>Наша оцінка</t>
  </si>
  <si>
    <t>Прогноз 1</t>
  </si>
  <si>
    <t>Прогноз 2</t>
  </si>
  <si>
    <t>скориговано на держстат</t>
  </si>
  <si>
    <t>Нова оцінка</t>
  </si>
  <si>
    <t>відхилення</t>
  </si>
  <si>
    <t>Прогноз средней зарплаты в Украине в 2024 году, грн, дол.</t>
  </si>
  <si>
    <t>7. Середня зарплата в Україні в 2021-2 роках, грн, долл.</t>
  </si>
  <si>
    <t>Средняя зарплата в Украине в 2021-24 годах, грн, дол.</t>
  </si>
  <si>
    <t>Average salary in Ukraine in 2021-24, UAH, USD</t>
  </si>
  <si>
    <t>Середня зарплата в Україні в 2021-24 роках, грн, дол.</t>
  </si>
  <si>
    <t>Number of new vacancies and resumes in Ukraine in 2022-23, thousand units, % yoy</t>
  </si>
  <si>
    <t>Resumes</t>
  </si>
  <si>
    <t>5 грудня 2023</t>
  </si>
  <si>
    <t>name</t>
  </si>
  <si>
    <t>indexes</t>
  </si>
  <si>
    <t>index_0</t>
  </si>
  <si>
    <t>index_1</t>
  </si>
  <si>
    <t>labels</t>
  </si>
  <si>
    <t>label_1</t>
  </si>
  <si>
    <t>label_2</t>
  </si>
  <si>
    <t>label_3</t>
  </si>
  <si>
    <t>label_names</t>
  </si>
  <si>
    <t>source</t>
  </si>
  <si>
    <t>Chart1</t>
  </si>
  <si>
    <t>прогноз зарплати до підвищувального коргування</t>
  </si>
  <si>
    <t>2 січня 2024</t>
  </si>
  <si>
    <t>Динаміка PPI та UA-CPI в 2021-24 роках</t>
  </si>
  <si>
    <t>Динамика PPI и UA-CPI в 2021-24 годах</t>
  </si>
  <si>
    <t>Кількість нових вакансій і резюме в Україні в 2022-23 роках, тис. шт., % р-р</t>
  </si>
  <si>
    <t>Trend of the РPI and UA-CPI in 2021-24</t>
  </si>
  <si>
    <t>label_1_1</t>
  </si>
  <si>
    <t>label_2_1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</si>
</sst>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4">
    <numFmt numFmtId="41" formatCode="_-* #,##0_-;\-* #,##0_-;_-* &quot;-&quot;_-;_-@_-"/>
    <numFmt numFmtId="43" formatCode="_-* #,##0.00_-;\-* #,##0.00_-;_-* &quot;-&quot;??_-;_-@_-"/>
    <numFmt numFmtId="164" formatCode="_-* #,##0.00\ _₴_-;\-* #,##0.00\ _₴_-;_-* &quot;-&quot;??\ _₴_-;_-@_-"/>
    <numFmt numFmtId="165" formatCode="_(* #,##0.00_);_(* \(#,##0.00\);_(* &quot;-&quot;??_);_(@_)"/>
    <numFmt numFmtId="166" formatCode="0.0%"/>
    <numFmt numFmtId="167" formatCode="0.0"/>
    <numFmt numFmtId="168" formatCode="0.000"/>
    <numFmt numFmtId="169" formatCode="0.0000"/>
    <numFmt numFmtId="170" formatCode="_-* #,##0.00000_-;\-* #,##0.00000_-;_-* &quot;-&quot;??_-;_-@_-"/>
    <numFmt numFmtId="171" formatCode="0.000000"/>
    <numFmt numFmtId="172" formatCode="_-* #,##0.0000_₴_-;\-* #,##0.0000_₴_-;_-* &quot;-&quot;????_₴_-;_-@_-"/>
    <numFmt numFmtId="173" formatCode="_-* #,##0.00_₴_-;\-* #,##0.00_₴_-;_-* &quot;-&quot;??_₴_-;_-@_-"/>
    <numFmt numFmtId="174" formatCode="_-* #,##0_-;\-* #,##0_-;_-* &quot;-&quot;??_-;_-@_-"/>
    <numFmt numFmtId="175" formatCode="_-* #,##0.000_-;\-* #,##0.000_-;_-* &quot;-&quot;??_-;_-@_-"/>
    <numFmt numFmtId="176" formatCode="_-* #,##0.00000\ _₴_-;\-* #,##0.00000\ _₴_-;_-* &quot;-&quot;?????\ _₴_-;_-@_-"/>
    <numFmt numFmtId="177" formatCode="_-* #,##0.000\ _₴_-;\-* #,##0.000\ _₴_-;_-* &quot;-&quot;???\ _₴_-;_-@_-"/>
    <numFmt numFmtId="178" formatCode="_(* #,##0_);_(* \(#,##0\);_(* &quot;-&quot;??_);_(@_)"/>
    <numFmt numFmtId="179" formatCode="_(* #,##0.000_);_(* \(#,##0.000\);_(* &quot;-&quot;??_);_(@_)"/>
    <numFmt numFmtId="180" formatCode="_(* #,##0.0_);_(* \(#,##0.0\);_(* &quot;-&quot;??_);_(@_)"/>
    <numFmt numFmtId="181" formatCode="##,##0.0000"/>
    <numFmt numFmtId="182" formatCode="_-* #,##0.0_-;\-* #,##0.0_-;_-* &quot;-&quot;??_-;_-@_-"/>
    <numFmt numFmtId="183" formatCode="_-* #,##0\ _₴_-;\-* #,##0\ _₴_-;_-* &quot;-&quot;?\ _₴_-;_-@_-"/>
    <numFmt numFmtId="184" formatCode="_-* #,##0.000000_₴_-;\-* #,##0.000000_₴_-;_-* &quot;-&quot;??_₴_-;_-@_-"/>
    <numFmt numFmtId="185" formatCode="0.000000000000"/>
    <numFmt numFmtId="186" formatCode="_-* #,##0.0\ _₴_-;\-* #,##0.0\ _₴_-;_-* &quot;-&quot;?\ _₴_-;_-@_-"/>
    <numFmt numFmtId="187" formatCode="_-* #,##0\ _₴_-;\-* #,##0\ _₴_-;_-* &quot;-&quot;??\ _₴_-;_-@_-"/>
    <numFmt numFmtId="188" formatCode="_-* #,##0.00\ _₴_-;\-* #,##0.00\ _₴_-;_-* &quot;-&quot;?????\ _₴_-;_-@_-"/>
    <numFmt numFmtId="189" formatCode="_-* #,##0\ _₴_-;\-* #,##0\ _₴_-;_-* &quot;-&quot;?????\ _₴_-;_-@_-"/>
    <numFmt numFmtId="190" formatCode="0.00000"/>
    <numFmt numFmtId="191" formatCode="mm/yyyy"/>
    <numFmt numFmtId="192" formatCode="_-* #,##0.0\ _₴_-;\-* #,##0.0\ _₴_-;_-* &quot;-&quot;??\ _₴_-;_-@_-"/>
    <numFmt numFmtId="193" formatCode="_-* #,##0&quot;р.&quot;_-;\-* #,##0&quot;р.&quot;_-;_-* &quot;-&quot;&quot;р.&quot;_-;_-@_-"/>
    <numFmt numFmtId="194" formatCode="\M\o\n\t\h\ \D.\y\y\y\y"/>
    <numFmt numFmtId="195" formatCode="#,##0.0"/>
    <numFmt numFmtId="196" formatCode="&quot;$&quot;#,##0_);[Red]\(&quot;$&quot;#,##0\)"/>
    <numFmt numFmtId="197" formatCode="#,##0&quot;р.&quot;;[Red]\-#,##0&quot;р.&quot;"/>
    <numFmt numFmtId="198" formatCode="#,##0.00&quot;р.&quot;;\-#,##0.00&quot;р.&quot;"/>
    <numFmt numFmtId="199" formatCode="_-* #,##0_р_._-;\-* #,##0_р_._-;_-* &quot;-&quot;_р_._-;_-@_-"/>
    <numFmt numFmtId="200" formatCode="_-* #,##0.00_р_._-;\-* #,##0.00_р_._-;_-* &quot;-&quot;??_р_._-;_-@_-"/>
    <numFmt numFmtId="201" formatCode="_-* #,##0\ _г_р_н_._-;\-* #,##0\ _г_р_н_._-;_-* &quot;-&quot;\ _г_р_н_._-;_-@_-"/>
    <numFmt numFmtId="202" formatCode="_-* #,##0.00\ _г_р_н_._-;\-* #,##0.00\ _г_р_н_._-;_-* &quot;-&quot;??\ _г_р_н_._-;_-@_-"/>
    <numFmt numFmtId="203" formatCode="#."/>
    <numFmt numFmtId="204" formatCode="&quot;Ј&quot;#,##0.00;[Red]\-&quot;Ј&quot;#,##0.00"/>
    <numFmt numFmtId="205" formatCode="General_)"/>
    <numFmt numFmtId="206" formatCode="#,##0.000"/>
    <numFmt numFmtId="207" formatCode="&quot;   &quot;@"/>
    <numFmt numFmtId="208" formatCode="&quot;      &quot;@"/>
    <numFmt numFmtId="209" formatCode="&quot;         &quot;@"/>
    <numFmt numFmtId="210" formatCode="&quot;            &quot;@"/>
    <numFmt numFmtId="211" formatCode="&quot;               &quot;@"/>
    <numFmt numFmtId="212" formatCode="0.000_)"/>
    <numFmt numFmtId="213" formatCode="_-&quot;$&quot;* #,##0_-;\-&quot;$&quot;* #,##0_-;_-&quot;$&quot;* &quot;-&quot;_-;_-@_-"/>
    <numFmt numFmtId="214" formatCode="_([$€-2]* #,##0.00_);_([$€-2]* \(#,##0.00\);_([$€-2]* &quot;-&quot;??_)"/>
    <numFmt numFmtId="215" formatCode="_-* #,##0\ _F_t_-;\-* #,##0\ _F_t_-;_-* &quot;-&quot;\ _F_t_-;_-@_-"/>
    <numFmt numFmtId="216" formatCode="_-* #,##0.00\ _F_t_-;\-* #,##0.00\ _F_t_-;_-* &quot;-&quot;??\ _F_t_-;_-@_-"/>
    <numFmt numFmtId="217" formatCode="[&gt;0.05]#,##0.0;[&lt;-0.05]\-#,##0.0;\-\-&quot; &quot;;"/>
    <numFmt numFmtId="218" formatCode="[&gt;0.5]#,##0;[&lt;-0.5]\-#,##0;\-\-&quot; &quot;;"/>
    <numFmt numFmtId="219" formatCode="#,##0\ &quot;Kč&quot;;\-#,##0\ &quot;Kč&quot;"/>
    <numFmt numFmtId="220" formatCode="&quot;$&quot;#,##0_);\(&quot;$&quot;#,##0\)"/>
    <numFmt numFmtId="221" formatCode="_(&quot;$&quot;* #,##0_);_(&quot;$&quot;* \(#,##0\);_(&quot;$&quot;* &quot;-&quot;_);_(@_)"/>
    <numFmt numFmtId="222" formatCode="_(&quot;$&quot;* #,##0.00_);_(&quot;$&quot;* \(#,##0.00\);_(&quot;$&quot;* &quot;-&quot;??_);_(@_)"/>
    <numFmt numFmtId="223" formatCode="[&gt;=0.05]#,##0.0;[&lt;=-0.05]\-#,##0.0;?0.0"/>
    <numFmt numFmtId="224" formatCode="_-* #,##0\ &quot;Ft&quot;_-;\-* #,##0\ &quot;Ft&quot;_-;_-* &quot;-&quot;\ &quot;Ft&quot;_-;_-@_-"/>
    <numFmt numFmtId="225" formatCode="_-* #,##0.00\ &quot;Ft&quot;_-;\-* #,##0.00\ &quot;Ft&quot;_-;_-* &quot;-&quot;??\ &quot;Ft&quot;_-;_-@_-"/>
    <numFmt numFmtId="226" formatCode="[Black]#,##0.0;[Black]\-#,##0.0;;"/>
    <numFmt numFmtId="227" formatCode="[Black][&gt;0.05]#,##0.0;[Black][&lt;-0.05]\-#,##0.0;;"/>
    <numFmt numFmtId="228" formatCode="[Black][&gt;0.5]#,##0;[Black][&lt;-0.5]\-#,##0;;"/>
    <numFmt numFmtId="229" formatCode="#,##0.0____"/>
    <numFmt numFmtId="230" formatCode="_-* #,##0\ _р_._-;\-* #,##0\ _р_._-;_-* &quot;-&quot;\ _р_._-;_-@_-"/>
    <numFmt numFmtId="231" formatCode="_-* #,##0.00\ &quot;р.&quot;_-;\-* #,##0.00\ &quot;р.&quot;_-;_-* &quot;-&quot;??\ &quot;р.&quot;_-;_-@_-"/>
    <numFmt numFmtId="232" formatCode="_-* #,##0.00\ _р_._-;\-* #,##0.00\ _р_._-;_-* &quot;-&quot;??\ _р_._-;_-@_-"/>
    <numFmt numFmtId="233" formatCode="#,##0.0_ ;[Red]\-#,##0.0\ "/>
    <numFmt numFmtId="234" formatCode="#,##0;[Red]\(#,##0\)"/>
    <numFmt numFmtId="235" formatCode="_-[$€-2]* #,##0.00_-;\-[$€-2]* #,##0.00_-;_-[$€-2]* &quot;-&quot;??_-"/>
    <numFmt numFmtId="236" formatCode="#,#00"/>
    <numFmt numFmtId="237" formatCode="###\ ##0.000"/>
    <numFmt numFmtId="238" formatCode="#,"/>
    <numFmt numFmtId="239" formatCode="0_)"/>
    <numFmt numFmtId="240" formatCode="&quot;Cr$&quot;#,##0_);[Red]\(&quot;Cr$&quot;#,##0\)"/>
    <numFmt numFmtId="241" formatCode="&quot;Cr$&quot;#,##0.00_);[Red]\(&quot;Cr$&quot;#,##0.00\)"/>
    <numFmt numFmtId="242" formatCode="\$#,"/>
    <numFmt numFmtId="243" formatCode="&quot;$&quot;#,#00"/>
    <numFmt numFmtId="244" formatCode="&quot;$&quot;#,"/>
    <numFmt numFmtId="245" formatCode="[$-418]d\-mmm\-yy;@"/>
    <numFmt numFmtId="246" formatCode="%#,#00"/>
    <numFmt numFmtId="247" formatCode="#.##000"/>
    <numFmt numFmtId="248" formatCode="dd\-mmm\-yy_)"/>
    <numFmt numFmtId="249" formatCode="#.##0,"/>
    <numFmt numFmtId="250" formatCode="#,##0.000000"/>
    <numFmt numFmtId="251" formatCode="General\ \ \ \ \ \ "/>
    <numFmt numFmtId="252" formatCode="0.0\ \ \ \ \ \ \ \ "/>
    <numFmt numFmtId="253" formatCode="mmmm\ yyyy"/>
    <numFmt numFmtId="254" formatCode="[$-409]d\-mmm\-yy;@"/>
    <numFmt numFmtId="255" formatCode="0.0;\(0.0\);\ ;\-"/>
  </numFmts>
  <fonts count="327">
    <font>
      <sz val="11"/>
      <color theme="1"/>
      <name val="Montserrat"/>
      <family val="2"/>
      <scheme val="minor"/>
    </font>
    <font>
      <sz val="11"/>
      <color theme="1"/>
      <name val="Montserrat"/>
      <family val="2"/>
      <charset val="204"/>
      <scheme val="minor"/>
    </font>
    <font>
      <sz val="11"/>
      <color theme="1"/>
      <name val="Montserrat"/>
      <family val="2"/>
      <charset val="204"/>
      <scheme val="minor"/>
    </font>
    <font>
      <sz val="11"/>
      <color theme="1"/>
      <name val="Montserrat"/>
      <family val="2"/>
      <charset val="204"/>
      <scheme val="minor"/>
    </font>
    <font>
      <sz val="11"/>
      <color theme="1"/>
      <name val="Montserrat"/>
      <family val="2"/>
      <charset val="204"/>
      <scheme val="minor"/>
    </font>
    <font>
      <sz val="11"/>
      <color theme="1"/>
      <name val="Montserrat"/>
      <family val="2"/>
      <charset val="204"/>
      <scheme val="minor"/>
    </font>
    <font>
      <sz val="11"/>
      <color theme="1"/>
      <name val="Montserrat"/>
      <family val="2"/>
      <charset val="204"/>
      <scheme val="minor"/>
    </font>
    <font>
      <sz val="11"/>
      <color theme="1"/>
      <name val="Montserrat"/>
      <family val="2"/>
      <charset val="204"/>
      <scheme val="minor"/>
    </font>
    <font>
      <sz val="11"/>
      <color theme="1"/>
      <name val="Montserrat"/>
      <family val="2"/>
      <charset val="204"/>
      <scheme val="minor"/>
    </font>
    <font>
      <sz val="11"/>
      <color theme="1"/>
      <name val="Montserrat"/>
      <family val="2"/>
      <charset val="204"/>
      <scheme val="minor"/>
    </font>
    <font>
      <sz val="11"/>
      <color theme="1"/>
      <name val="Montserrat"/>
      <family val="2"/>
      <charset val="204"/>
      <scheme val="minor"/>
    </font>
    <font>
      <sz val="11"/>
      <color theme="1"/>
      <name val="Montserrat"/>
      <family val="2"/>
      <charset val="204"/>
      <scheme val="minor"/>
    </font>
    <font>
      <sz val="11"/>
      <color theme="1"/>
      <name val="Montserrat"/>
      <family val="2"/>
      <charset val="204"/>
      <scheme val="minor"/>
    </font>
    <font>
      <sz val="11"/>
      <color theme="1"/>
      <name val="Montserrat"/>
      <family val="2"/>
      <scheme val="minor"/>
    </font>
    <font>
      <b/>
      <sz val="11"/>
      <color theme="1"/>
      <name val="Montserrat"/>
      <family val="2"/>
      <charset val="204"/>
      <scheme val="minor"/>
    </font>
    <font>
      <b/>
      <sz val="14"/>
      <color theme="1"/>
      <name val="Montserrat"/>
      <family val="2"/>
      <charset val="204"/>
      <scheme val="minor"/>
    </font>
    <font>
      <b/>
      <sz val="10"/>
      <color theme="1"/>
      <name val="Montserrat"/>
      <family val="2"/>
      <charset val="204"/>
      <scheme val="minor"/>
    </font>
    <font>
      <sz val="9"/>
      <color theme="1"/>
      <name val="Montserrat"/>
      <family val="2"/>
      <charset val="204"/>
      <scheme val="minor"/>
    </font>
    <font>
      <sz val="9"/>
      <color theme="1"/>
      <name val="Montserrat"/>
      <family val="2"/>
      <scheme val="minor"/>
    </font>
    <font>
      <sz val="11"/>
      <color rgb="FFFF0000"/>
      <name val="Montserrat"/>
      <family val="2"/>
      <scheme val="minor"/>
    </font>
    <font>
      <b/>
      <sz val="10"/>
      <color rgb="FF000000"/>
      <name val="Verdana"/>
      <family val="2"/>
      <charset val="204"/>
    </font>
    <font>
      <b/>
      <sz val="10"/>
      <color theme="1"/>
      <name val="Verdana"/>
      <family val="2"/>
      <charset val="204"/>
    </font>
    <font>
      <sz val="10"/>
      <color theme="1"/>
      <name val="Verdana"/>
      <family val="2"/>
      <charset val="204"/>
    </font>
    <font>
      <b/>
      <sz val="12"/>
      <color theme="0"/>
      <name val="Montserrat"/>
      <family val="2"/>
      <charset val="204"/>
      <scheme val="minor"/>
    </font>
    <font>
      <sz val="10"/>
      <name val="Arial"/>
      <family val="2"/>
      <charset val="204"/>
    </font>
    <font>
      <b/>
      <sz val="14"/>
      <color rgb="FFFF0000"/>
      <name val="Montserrat"/>
      <family val="2"/>
      <charset val="204"/>
      <scheme val="minor"/>
    </font>
    <font>
      <b/>
      <sz val="8"/>
      <color theme="1"/>
      <name val="Verdana"/>
      <family val="2"/>
      <charset val="204"/>
    </font>
    <font>
      <b/>
      <sz val="11"/>
      <color rgb="FFFF0000"/>
      <name val="Montserrat"/>
      <family val="2"/>
      <charset val="204"/>
      <scheme val="minor"/>
    </font>
    <font>
      <sz val="11"/>
      <name val="Montserrat"/>
      <family val="2"/>
      <scheme val="minor"/>
    </font>
    <font>
      <b/>
      <sz val="12"/>
      <color rgb="FFFF0000"/>
      <name val="Montserrat"/>
      <family val="2"/>
      <charset val="204"/>
      <scheme val="minor"/>
    </font>
    <font>
      <b/>
      <sz val="16"/>
      <color theme="1"/>
      <name val="Montserrat"/>
      <family val="2"/>
      <charset val="204"/>
      <scheme val="minor"/>
    </font>
    <font>
      <b/>
      <sz val="16"/>
      <color theme="0"/>
      <name val="Montserrat"/>
      <family val="2"/>
      <charset val="204"/>
      <scheme val="minor"/>
    </font>
    <font>
      <b/>
      <sz val="10"/>
      <color theme="1"/>
      <name val="Times New Roman"/>
      <family val="1"/>
      <charset val="204"/>
    </font>
    <font>
      <b/>
      <sz val="16"/>
      <color theme="0" tint="-4.9989318521683403E-2"/>
      <name val="Montserrat"/>
      <family val="2"/>
      <charset val="204"/>
      <scheme val="minor"/>
    </font>
    <font>
      <sz val="8"/>
      <name val="Montserrat"/>
      <family val="2"/>
      <scheme val="minor"/>
    </font>
    <font>
      <sz val="10"/>
      <name val="Arial Cyr"/>
      <charset val="204"/>
    </font>
    <font>
      <i/>
      <sz val="11"/>
      <color theme="1"/>
      <name val="Montserrat"/>
      <family val="2"/>
      <charset val="204"/>
      <scheme val="minor"/>
    </font>
    <font>
      <b/>
      <sz val="14"/>
      <color theme="0"/>
      <name val="Montserrat"/>
      <family val="2"/>
      <charset val="204"/>
      <scheme val="minor"/>
    </font>
    <font>
      <b/>
      <sz val="10"/>
      <color theme="0"/>
      <name val="Montserrat"/>
      <family val="2"/>
      <charset val="204"/>
      <scheme val="minor"/>
    </font>
    <font>
      <b/>
      <sz val="12"/>
      <color rgb="FFFF0000"/>
      <name val="Montserrat"/>
      <family val="2"/>
      <scheme val="minor"/>
    </font>
    <font>
      <sz val="12"/>
      <color rgb="FFFF0000"/>
      <name val="Montserrat"/>
      <family val="2"/>
      <scheme val="minor"/>
    </font>
    <font>
      <sz val="10"/>
      <name val="Arial Cyr"/>
    </font>
    <font>
      <i/>
      <sz val="10"/>
      <color indexed="12"/>
      <name val="Arial"/>
      <family val="2"/>
      <charset val="204"/>
    </font>
    <font>
      <sz val="11"/>
      <color indexed="8"/>
      <name val="Calibri"/>
      <family val="2"/>
    </font>
    <font>
      <sz val="12"/>
      <name val="Arial"/>
      <family val="2"/>
      <charset val="204"/>
    </font>
    <font>
      <b/>
      <sz val="10"/>
      <name val="Arial"/>
      <family val="2"/>
      <charset val="204"/>
    </font>
    <font>
      <b/>
      <sz val="12"/>
      <name val="Arial"/>
      <family val="2"/>
      <charset val="204"/>
    </font>
    <font>
      <b/>
      <sz val="12"/>
      <color rgb="FFFF0000"/>
      <name val="Arial"/>
      <family val="2"/>
      <charset val="204"/>
    </font>
    <font>
      <sz val="10"/>
      <color rgb="FFFF0000"/>
      <name val="Arial"/>
      <family val="2"/>
      <charset val="204"/>
    </font>
    <font>
      <b/>
      <sz val="10"/>
      <color rgb="FFFF0000"/>
      <name val="Arial"/>
      <family val="2"/>
      <charset val="204"/>
    </font>
    <font>
      <sz val="9"/>
      <color indexed="8"/>
      <name val="Arial"/>
      <family val="2"/>
      <charset val="204"/>
    </font>
    <font>
      <b/>
      <sz val="12"/>
      <color indexed="8"/>
      <name val="Arial"/>
      <family val="2"/>
      <charset val="204"/>
    </font>
    <font>
      <b/>
      <sz val="10"/>
      <color theme="8" tint="-0.249977111117893"/>
      <name val="Arial"/>
      <family val="2"/>
      <charset val="204"/>
    </font>
    <font>
      <i/>
      <sz val="12"/>
      <color indexed="8"/>
      <name val="Arial"/>
      <family val="2"/>
      <charset val="204"/>
    </font>
    <font>
      <b/>
      <sz val="11"/>
      <name val="Arial"/>
      <family val="2"/>
      <charset val="204"/>
    </font>
    <font>
      <b/>
      <sz val="10"/>
      <color rgb="FF0070C0"/>
      <name val="Arial"/>
      <family val="2"/>
      <charset val="204"/>
    </font>
    <font>
      <i/>
      <sz val="11"/>
      <name val="Arial"/>
      <family val="2"/>
      <charset val="204"/>
    </font>
    <font>
      <sz val="10"/>
      <color theme="8" tint="-0.249977111117893"/>
      <name val="Arial"/>
      <family val="2"/>
      <charset val="204"/>
    </font>
    <font>
      <i/>
      <sz val="10"/>
      <name val="Arial"/>
      <family val="2"/>
      <charset val="204"/>
    </font>
    <font>
      <sz val="10"/>
      <color rgb="FF0070C0"/>
      <name val="Arial"/>
      <family val="2"/>
      <charset val="204"/>
    </font>
    <font>
      <b/>
      <sz val="14"/>
      <name val="Arial"/>
      <family val="2"/>
      <charset val="204"/>
    </font>
    <font>
      <b/>
      <sz val="18"/>
      <name val="Arial"/>
      <family val="2"/>
      <charset val="204"/>
    </font>
    <font>
      <b/>
      <i/>
      <sz val="11"/>
      <name val="Arial"/>
      <family val="2"/>
      <charset val="204"/>
    </font>
    <font>
      <b/>
      <sz val="9"/>
      <name val="Arial"/>
      <family val="2"/>
      <charset val="204"/>
    </font>
    <font>
      <b/>
      <sz val="11"/>
      <color theme="1"/>
      <name val="Montserrat"/>
      <family val="3"/>
      <scheme val="minor"/>
    </font>
    <font>
      <sz val="11"/>
      <color theme="1"/>
      <name val="Montserrat"/>
      <family val="3"/>
      <scheme val="minor"/>
    </font>
    <font>
      <b/>
      <sz val="11"/>
      <color rgb="FFC00000"/>
      <name val="Montserrat"/>
      <family val="3"/>
      <scheme val="minor"/>
    </font>
    <font>
      <sz val="11"/>
      <color rgb="FFFF0000"/>
      <name val="Montserrat"/>
      <family val="3"/>
      <scheme val="minor"/>
    </font>
    <font>
      <sz val="10"/>
      <color rgb="FF00B050"/>
      <name val="Arial"/>
      <family val="2"/>
      <charset val="204"/>
    </font>
    <font>
      <b/>
      <sz val="14"/>
      <color rgb="FF00B050"/>
      <name val="Arial"/>
      <family val="2"/>
      <charset val="204"/>
    </font>
    <font>
      <sz val="10"/>
      <color rgb="FF000000"/>
      <name val="Arial"/>
      <family val="2"/>
      <charset val="204"/>
    </font>
    <font>
      <i/>
      <sz val="12"/>
      <name val="Arial"/>
      <family val="2"/>
      <charset val="204"/>
    </font>
    <font>
      <sz val="10"/>
      <color rgb="FF000000"/>
      <name val="Montserrat"/>
      <family val="3"/>
      <scheme val="minor"/>
    </font>
    <font>
      <b/>
      <sz val="14"/>
      <color rgb="FFFF0000"/>
      <name val="Arial"/>
      <family val="2"/>
      <charset val="204"/>
    </font>
    <font>
      <i/>
      <sz val="11"/>
      <color theme="1"/>
      <name val="Montserrat"/>
      <family val="3"/>
      <scheme val="minor"/>
    </font>
    <font>
      <sz val="12"/>
      <color rgb="FFFF0000"/>
      <name val="Montserrat"/>
      <family val="2"/>
      <charset val="204"/>
      <scheme val="minor"/>
    </font>
    <font>
      <b/>
      <sz val="12"/>
      <color rgb="FF00B050"/>
      <name val="Arial"/>
      <family val="2"/>
      <charset val="204"/>
    </font>
    <font>
      <b/>
      <sz val="11"/>
      <color rgb="FFC00000"/>
      <name val="Montserrat"/>
      <family val="2"/>
      <charset val="204"/>
      <scheme val="minor"/>
    </font>
    <font>
      <sz val="10"/>
      <color rgb="FF000000"/>
      <name val="Verdana"/>
      <family val="2"/>
      <charset val="204"/>
    </font>
    <font>
      <b/>
      <sz val="18"/>
      <color theme="1"/>
      <name val="Montserrat"/>
      <family val="3"/>
      <scheme val="minor"/>
    </font>
    <font>
      <b/>
      <sz val="11"/>
      <color rgb="FFFF0000"/>
      <name val="Montserrat"/>
      <family val="3"/>
      <scheme val="minor"/>
    </font>
    <font>
      <sz val="11"/>
      <name val="Times New Roman"/>
      <family val="1"/>
      <charset val="204"/>
    </font>
    <font>
      <b/>
      <sz val="16"/>
      <color rgb="FFFF0000"/>
      <name val="Montserrat"/>
      <family val="2"/>
      <charset val="204"/>
      <scheme val="minor"/>
    </font>
    <font>
      <b/>
      <sz val="10"/>
      <color rgb="FFFF0000"/>
      <name val="Montserrat"/>
      <family val="2"/>
      <charset val="204"/>
      <scheme val="minor"/>
    </font>
    <font>
      <u/>
      <sz val="11"/>
      <color theme="10"/>
      <name val="Montserrat"/>
      <family val="2"/>
      <scheme val="minor"/>
    </font>
    <font>
      <b/>
      <sz val="12"/>
      <color rgb="FFFF0000"/>
      <name val="Montserrat"/>
      <family val="3"/>
      <scheme val="minor"/>
    </font>
    <font>
      <b/>
      <sz val="14"/>
      <color theme="6"/>
      <name val="Montserrat"/>
      <family val="3"/>
      <scheme val="minor"/>
    </font>
    <font>
      <b/>
      <sz val="16"/>
      <name val="Arial"/>
      <family val="2"/>
      <charset val="204"/>
    </font>
    <font>
      <b/>
      <sz val="10"/>
      <color rgb="FF00B050"/>
      <name val="Arial"/>
      <family val="2"/>
      <charset val="204"/>
    </font>
    <font>
      <b/>
      <sz val="10"/>
      <color rgb="FF00B050"/>
      <name val="Montserrat"/>
      <family val="3"/>
      <scheme val="minor"/>
    </font>
    <font>
      <vertAlign val="superscript"/>
      <sz val="10"/>
      <color theme="1"/>
      <name val="Verdana"/>
      <family val="2"/>
      <charset val="204"/>
    </font>
    <font>
      <b/>
      <sz val="12"/>
      <name val="Verdana"/>
      <family val="2"/>
      <charset val="204"/>
    </font>
    <font>
      <b/>
      <vertAlign val="superscript"/>
      <sz val="12"/>
      <name val="Verdana"/>
      <family val="2"/>
      <charset val="204"/>
    </font>
    <font>
      <b/>
      <sz val="12"/>
      <color theme="1"/>
      <name val="Verdana"/>
      <family val="2"/>
      <charset val="204"/>
    </font>
    <font>
      <b/>
      <vertAlign val="superscript"/>
      <sz val="12"/>
      <color theme="1"/>
      <name val="Verdana"/>
      <family val="2"/>
      <charset val="204"/>
    </font>
    <font>
      <b/>
      <sz val="11"/>
      <color theme="6"/>
      <name val="Montserrat"/>
      <family val="3"/>
      <scheme val="minor"/>
    </font>
    <font>
      <sz val="11"/>
      <color theme="6"/>
      <name val="Montserrat"/>
      <family val="3"/>
      <scheme val="minor"/>
    </font>
    <font>
      <b/>
      <i/>
      <sz val="10"/>
      <name val="Arial"/>
      <family val="2"/>
      <charset val="204"/>
    </font>
    <font>
      <b/>
      <sz val="11"/>
      <color theme="0"/>
      <name val="Montserrat"/>
      <family val="3"/>
      <scheme val="minor"/>
    </font>
    <font>
      <b/>
      <sz val="12"/>
      <color theme="1"/>
      <name val="Montserrat"/>
      <family val="3"/>
      <scheme val="minor"/>
    </font>
    <font>
      <b/>
      <sz val="12"/>
      <color theme="0"/>
      <name val="Montserrat"/>
      <family val="3"/>
      <scheme val="minor"/>
    </font>
    <font>
      <b/>
      <sz val="14"/>
      <color theme="0"/>
      <name val="Montserrat"/>
      <family val="3"/>
      <scheme val="minor"/>
    </font>
    <font>
      <b/>
      <sz val="18"/>
      <color theme="1"/>
      <name val="Montserrat"/>
      <family val="2"/>
      <charset val="204"/>
      <scheme val="minor"/>
    </font>
    <font>
      <b/>
      <sz val="16"/>
      <color theme="1"/>
      <name val="Montserrat"/>
      <family val="3"/>
      <scheme val="minor"/>
    </font>
    <font>
      <b/>
      <sz val="11"/>
      <name val="Montserrat"/>
      <family val="3"/>
      <scheme val="minor"/>
    </font>
    <font>
      <sz val="10"/>
      <color theme="1"/>
      <name val="Montserrat"/>
      <family val="2"/>
      <scheme val="minor"/>
    </font>
    <font>
      <b/>
      <sz val="11"/>
      <color theme="1"/>
      <name val="Montserrat"/>
      <charset val="204"/>
      <scheme val="minor"/>
    </font>
    <font>
      <b/>
      <sz val="11"/>
      <color rgb="FFFF0000"/>
      <name val="Montserrat"/>
      <charset val="204"/>
      <scheme val="minor"/>
    </font>
    <font>
      <b/>
      <sz val="11"/>
      <color theme="6"/>
      <name val="Montserrat"/>
      <charset val="204"/>
      <scheme val="minor"/>
    </font>
    <font>
      <b/>
      <sz val="12"/>
      <color theme="1"/>
      <name val="Montserrat"/>
      <charset val="204"/>
      <scheme val="minor"/>
    </font>
    <font>
      <b/>
      <sz val="11"/>
      <color theme="0"/>
      <name val="Montserrat"/>
      <charset val="204"/>
      <scheme val="minor"/>
    </font>
    <font>
      <sz val="11"/>
      <color theme="0"/>
      <name val="Montserrat"/>
      <charset val="204"/>
      <scheme val="minor"/>
    </font>
    <font>
      <b/>
      <sz val="14"/>
      <color theme="4"/>
      <name val="Montserrat"/>
      <charset val="204"/>
      <scheme val="minor"/>
    </font>
    <font>
      <b/>
      <sz val="11"/>
      <name val="Montserrat"/>
      <charset val="204"/>
      <scheme val="minor"/>
    </font>
    <font>
      <b/>
      <sz val="8"/>
      <color theme="1"/>
      <name val="Montserrat"/>
      <charset val="204"/>
      <scheme val="minor"/>
    </font>
    <font>
      <b/>
      <sz val="12"/>
      <color theme="4"/>
      <name val="Montserrat"/>
      <family val="2"/>
      <scheme val="minor"/>
    </font>
    <font>
      <i/>
      <sz val="10"/>
      <color theme="8"/>
      <name val="Fira Sans"/>
      <family val="2"/>
      <charset val="204"/>
    </font>
    <font>
      <b/>
      <sz val="8"/>
      <name val="Arial Cyr"/>
      <family val="2"/>
      <charset val="204"/>
    </font>
    <font>
      <sz val="8"/>
      <name val="Arial Cyr"/>
      <family val="2"/>
      <charset val="204"/>
    </font>
    <font>
      <b/>
      <vertAlign val="superscript"/>
      <sz val="8"/>
      <name val="Arial Cyr"/>
      <charset val="204"/>
    </font>
    <font>
      <sz val="7"/>
      <name val="Arial Cyr"/>
      <family val="2"/>
      <charset val="204"/>
    </font>
    <font>
      <b/>
      <sz val="8"/>
      <name val="Arial Cyr"/>
      <charset val="204"/>
    </font>
    <font>
      <b/>
      <sz val="10"/>
      <name val="Arial Cyr"/>
      <charset val="204"/>
    </font>
    <font>
      <sz val="8"/>
      <name val="Arial"/>
      <family val="2"/>
      <charset val="204"/>
    </font>
    <font>
      <sz val="8"/>
      <name val="Arial Cyr"/>
      <charset val="204"/>
    </font>
    <font>
      <vertAlign val="superscript"/>
      <sz val="10"/>
      <name val="Arial"/>
      <family val="2"/>
      <charset val="204"/>
    </font>
    <font>
      <sz val="12"/>
      <name val="Times New Roman"/>
      <family val="1"/>
      <charset val="204"/>
    </font>
    <font>
      <b/>
      <sz val="12"/>
      <name val="Times New Roman"/>
      <family val="1"/>
      <charset val="204"/>
    </font>
    <font>
      <b/>
      <sz val="11"/>
      <name val="Times New Roman"/>
      <family val="1"/>
      <charset val="204"/>
    </font>
    <font>
      <sz val="10"/>
      <name val="Times New Roman"/>
      <family val="1"/>
      <charset val="204"/>
    </font>
    <font>
      <b/>
      <sz val="16"/>
      <name val="Times New Roman"/>
      <family val="1"/>
      <charset val="204"/>
    </font>
    <font>
      <sz val="12"/>
      <color rgb="FF000000"/>
      <name val="Times New Roman"/>
      <family val="1"/>
      <charset val="204"/>
    </font>
    <font>
      <sz val="11"/>
      <color rgb="FF000000"/>
      <name val="Times New Roman"/>
      <family val="1"/>
      <charset val="204"/>
    </font>
    <font>
      <sz val="8"/>
      <color theme="1"/>
      <name val="Montserrat"/>
      <charset val="204"/>
      <scheme val="minor"/>
    </font>
    <font>
      <i/>
      <sz val="10"/>
      <name val="Fira Sans"/>
      <family val="2"/>
      <charset val="204"/>
    </font>
    <font>
      <b/>
      <sz val="12"/>
      <color rgb="FF4CA2C1"/>
      <name val="Montserrat"/>
      <family val="2"/>
      <scheme val="minor"/>
    </font>
    <font>
      <sz val="11"/>
      <color rgb="FFFFFFFF"/>
      <name val="Montserrat"/>
      <charset val="204"/>
      <scheme val="minor"/>
    </font>
    <font>
      <b/>
      <sz val="11"/>
      <color rgb="FFFFFFFF"/>
      <name val="Montserrat"/>
      <charset val="204"/>
      <scheme val="minor"/>
    </font>
    <font>
      <b/>
      <sz val="11"/>
      <color rgb="FF000000"/>
      <name val="Montserrat"/>
      <charset val="204"/>
      <scheme val="minor"/>
    </font>
    <font>
      <b/>
      <sz val="11"/>
      <color rgb="FF991C1F"/>
      <name val="Montserrat"/>
      <charset val="204"/>
      <scheme val="minor"/>
    </font>
    <font>
      <i/>
      <sz val="10"/>
      <color theme="1"/>
      <name val="Fira Sans"/>
      <family val="2"/>
      <charset val="204"/>
    </font>
    <font>
      <sz val="11"/>
      <color rgb="FF000000"/>
      <name val="Montserrat"/>
      <charset val="204"/>
      <scheme val="minor"/>
    </font>
    <font>
      <i/>
      <sz val="11"/>
      <color rgb="FF000000"/>
      <name val="Montserrat"/>
      <charset val="204"/>
      <scheme val="minor"/>
    </font>
    <font>
      <b/>
      <sz val="11"/>
      <color theme="0"/>
      <name val="Calibri"/>
      <family val="2"/>
      <charset val="204"/>
    </font>
    <font>
      <sz val="10"/>
      <color rgb="FF7030A0"/>
      <name val="Arial"/>
      <family val="2"/>
      <charset val="204"/>
    </font>
    <font>
      <sz val="11"/>
      <color rgb="FFFF0000"/>
      <name val="Montserrat"/>
      <charset val="204"/>
      <scheme val="minor"/>
    </font>
    <font>
      <sz val="11"/>
      <color theme="1"/>
      <name val="Montserrat"/>
      <charset val="204"/>
      <scheme val="minor"/>
    </font>
    <font>
      <b/>
      <sz val="6"/>
      <color rgb="FF347C96"/>
      <name val="Montserrat"/>
      <charset val="204"/>
      <scheme val="minor"/>
    </font>
    <font>
      <sz val="6"/>
      <color rgb="FF347C96"/>
      <name val="Montserrat"/>
      <charset val="204"/>
      <scheme val="minor"/>
    </font>
    <font>
      <sz val="8"/>
      <color theme="1"/>
      <name val="Montserrat"/>
      <family val="2"/>
      <scheme val="minor"/>
    </font>
    <font>
      <sz val="12"/>
      <color theme="1"/>
      <name val="Montserrat"/>
      <family val="2"/>
      <scheme val="minor"/>
    </font>
    <font>
      <sz val="13"/>
      <color rgb="FF2C3F52"/>
      <name val="Arial"/>
      <family val="2"/>
      <charset val="204"/>
    </font>
    <font>
      <sz val="11"/>
      <color rgb="FF6B7886"/>
      <name val="Arial"/>
      <family val="2"/>
      <charset val="204"/>
    </font>
    <font>
      <b/>
      <sz val="13"/>
      <color rgb="FF2C3F52"/>
      <name val="Arial"/>
      <family val="2"/>
      <charset val="204"/>
    </font>
    <font>
      <b/>
      <sz val="14"/>
      <color theme="1"/>
      <name val="Montserrat"/>
      <charset val="204"/>
      <scheme val="minor"/>
    </font>
    <font>
      <sz val="1"/>
      <color indexed="8"/>
      <name val="Courier"/>
      <family val="1"/>
      <charset val="204"/>
    </font>
    <font>
      <b/>
      <sz val="1"/>
      <color indexed="8"/>
      <name val="Courier"/>
      <family val="1"/>
      <charset val="204"/>
    </font>
    <font>
      <b/>
      <sz val="10"/>
      <name val="UkrainianBaltica"/>
      <family val="1"/>
      <charset val="204"/>
    </font>
    <font>
      <sz val="10"/>
      <name val="MS Sans Serif"/>
      <family val="2"/>
      <charset val="204"/>
    </font>
    <font>
      <u/>
      <sz val="10"/>
      <color indexed="12"/>
      <name val="1251 School Book"/>
      <charset val="204"/>
    </font>
    <font>
      <sz val="1"/>
      <color indexed="8"/>
      <name val="Courier"/>
      <family val="3"/>
    </font>
    <font>
      <b/>
      <sz val="1"/>
      <color indexed="8"/>
      <name val="Courier"/>
      <family val="3"/>
    </font>
    <font>
      <b/>
      <sz val="12"/>
      <color rgb="FFFF0000"/>
      <name val="Montserrat"/>
      <charset val="204"/>
      <scheme val="minor"/>
    </font>
    <font>
      <b/>
      <sz val="16"/>
      <color rgb="FF00B050"/>
      <name val="Montserrat"/>
      <charset val="204"/>
      <scheme val="minor"/>
    </font>
    <font>
      <u/>
      <sz val="10"/>
      <color theme="10"/>
      <name val="Arial"/>
      <family val="2"/>
      <charset val="204"/>
    </font>
    <font>
      <sz val="10"/>
      <color theme="0"/>
      <name val="Arial (Body)"/>
    </font>
    <font>
      <u/>
      <sz val="11"/>
      <color theme="10"/>
      <name val="Montserrat"/>
      <family val="2"/>
      <charset val="204"/>
      <scheme val="minor"/>
    </font>
    <font>
      <u/>
      <sz val="10"/>
      <name val="Arial"/>
      <family val="2"/>
      <charset val="204"/>
    </font>
    <font>
      <sz val="10"/>
      <color theme="0"/>
      <name val="Arial"/>
      <family val="2"/>
      <charset val="204"/>
    </font>
    <font>
      <sz val="11"/>
      <color theme="0"/>
      <name val="Arial (Body)"/>
    </font>
    <font>
      <sz val="10"/>
      <name val="Arial"/>
      <family val="2"/>
    </font>
    <font>
      <sz val="10"/>
      <color theme="7"/>
      <name val="Arial"/>
      <family val="2"/>
    </font>
    <font>
      <b/>
      <sz val="11"/>
      <color theme="0"/>
      <name val="Montserrat"/>
      <family val="2"/>
      <charset val="204"/>
      <scheme val="minor"/>
    </font>
    <font>
      <b/>
      <sz val="12"/>
      <color rgb="FF000000"/>
      <name val="Times New Roman"/>
      <family val="1"/>
      <charset val="204"/>
    </font>
    <font>
      <sz val="12"/>
      <color theme="1"/>
      <name val="Montserrat"/>
      <family val="2"/>
      <charset val="204"/>
      <scheme val="minor"/>
    </font>
    <font>
      <b/>
      <sz val="12"/>
      <color theme="6"/>
      <name val="Montserrat"/>
      <charset val="204"/>
      <scheme val="minor"/>
    </font>
    <font>
      <b/>
      <sz val="14"/>
      <color theme="6"/>
      <name val="Montserrat"/>
      <charset val="204"/>
      <scheme val="minor"/>
    </font>
    <font>
      <b/>
      <sz val="20"/>
      <color rgb="FF00B050"/>
      <name val="Montserrat"/>
      <charset val="204"/>
      <scheme val="minor"/>
    </font>
    <font>
      <b/>
      <sz val="16"/>
      <color theme="1"/>
      <name val="Montserrat"/>
      <charset val="204"/>
      <scheme val="minor"/>
    </font>
    <font>
      <b/>
      <i/>
      <sz val="11"/>
      <color theme="1"/>
      <name val="Montserrat"/>
      <charset val="204"/>
      <scheme val="minor"/>
    </font>
    <font>
      <u/>
      <sz val="11"/>
      <color indexed="12"/>
      <name val="Times New Roman Cyr"/>
      <charset val="204"/>
    </font>
    <font>
      <sz val="1"/>
      <color indexed="16"/>
      <name val="Courier"/>
      <family val="1"/>
      <charset val="204"/>
    </font>
    <font>
      <b/>
      <sz val="1"/>
      <color indexed="16"/>
      <name val="Courier"/>
      <family val="1"/>
      <charset val="204"/>
    </font>
    <font>
      <sz val="10"/>
      <color indexed="8"/>
      <name val="Arial"/>
      <family val="2"/>
      <charset val="204"/>
    </font>
    <font>
      <sz val="10"/>
      <name val="TimesET"/>
    </font>
    <font>
      <u/>
      <sz val="11"/>
      <color indexed="36"/>
      <name val="Times New Roman Cyr"/>
      <charset val="204"/>
    </font>
    <font>
      <i/>
      <sz val="10"/>
      <name val="Arial Cyr"/>
      <charset val="204"/>
    </font>
    <font>
      <sz val="10"/>
      <name val="Tms Rmn"/>
    </font>
    <font>
      <sz val="10"/>
      <name val="Helv"/>
      <charset val="204"/>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Cyr"/>
      <family val="2"/>
      <charset val="204"/>
    </font>
    <font>
      <sz val="9"/>
      <name val="Times New Roman"/>
      <family val="1"/>
    </font>
    <font>
      <sz val="11"/>
      <color indexed="9"/>
      <name val="Calibri"/>
      <family val="2"/>
    </font>
    <font>
      <sz val="8"/>
      <color indexed="12"/>
      <name val="Helv"/>
    </font>
    <font>
      <sz val="10"/>
      <name val="Geneva"/>
      <family val="2"/>
    </font>
    <font>
      <sz val="8"/>
      <color indexed="12"/>
      <name val="Helv"/>
      <family val="2"/>
    </font>
    <font>
      <sz val="11"/>
      <color indexed="20"/>
      <name val="Calibri"/>
      <family val="2"/>
    </font>
    <font>
      <b/>
      <sz val="11"/>
      <color indexed="52"/>
      <name val="Calibri"/>
      <family val="2"/>
    </font>
    <font>
      <sz val="10"/>
      <name val="Arial CE"/>
      <family val="2"/>
      <charset val="238"/>
    </font>
    <font>
      <b/>
      <sz val="11"/>
      <color indexed="9"/>
      <name val="Calibri"/>
      <family val="2"/>
    </font>
    <font>
      <b/>
      <sz val="10"/>
      <color indexed="8"/>
      <name val="Verdana"/>
      <family val="2"/>
    </font>
    <font>
      <i/>
      <sz val="10"/>
      <color indexed="8"/>
      <name val="Verdana"/>
      <family val="2"/>
    </font>
    <font>
      <sz val="11"/>
      <color indexed="8"/>
      <name val="Verdana"/>
      <family val="2"/>
    </font>
    <font>
      <b/>
      <sz val="11"/>
      <color indexed="8"/>
      <name val="Verdana"/>
      <family val="2"/>
    </font>
    <font>
      <b/>
      <sz val="13"/>
      <color indexed="9"/>
      <name val="Verdana"/>
      <family val="2"/>
    </font>
    <font>
      <sz val="11"/>
      <color indexed="8"/>
      <name val="Arial"/>
      <family val="2"/>
    </font>
    <font>
      <sz val="11"/>
      <name val="Tms Rmn"/>
      <family val="1"/>
    </font>
    <font>
      <sz val="10"/>
      <name val="Times New Roman"/>
      <family val="1"/>
    </font>
    <font>
      <sz val="9"/>
      <name val="Times"/>
      <family val="1"/>
    </font>
    <font>
      <sz val="8"/>
      <name val="Tahoma"/>
      <family val="2"/>
    </font>
    <font>
      <sz val="10"/>
      <name val="Helv"/>
    </font>
    <font>
      <sz val="12"/>
      <name val="TIMES"/>
      <family val="1"/>
    </font>
    <font>
      <sz val="8"/>
      <name val="Times New Roman"/>
      <family val="1"/>
    </font>
    <font>
      <i/>
      <sz val="11"/>
      <color indexed="23"/>
      <name val="Calibri"/>
      <family val="2"/>
    </font>
    <font>
      <sz val="10"/>
      <name val="MS Sans Serif"/>
      <family val="2"/>
    </font>
    <font>
      <i/>
      <sz val="1"/>
      <color indexed="8"/>
      <name val="Courier"/>
      <family val="3"/>
    </font>
    <font>
      <b/>
      <sz val="12"/>
      <name val="Helv"/>
    </font>
    <font>
      <sz val="14"/>
      <name val="Helv"/>
    </font>
    <font>
      <sz val="12"/>
      <name val="Helv"/>
    </font>
    <font>
      <sz val="11"/>
      <color indexed="17"/>
      <name val="Calibri"/>
      <family val="2"/>
    </font>
    <font>
      <sz val="8"/>
      <name val="Arial"/>
      <family val="2"/>
    </font>
    <font>
      <b/>
      <sz val="15"/>
      <color indexed="56"/>
      <name val="Calibri"/>
      <family val="2"/>
    </font>
    <font>
      <b/>
      <sz val="13"/>
      <color indexed="56"/>
      <name val="Calibri"/>
      <family val="2"/>
    </font>
    <font>
      <b/>
      <sz val="11"/>
      <color indexed="56"/>
      <name val="Calibri"/>
      <family val="2"/>
    </font>
    <font>
      <u/>
      <sz val="10"/>
      <color indexed="12"/>
      <name val="Times New Roman CE"/>
      <charset val="238"/>
    </font>
    <font>
      <u/>
      <sz val="11"/>
      <color indexed="12"/>
      <name val="Calibri"/>
      <family val="2"/>
    </font>
    <font>
      <u/>
      <sz val="10"/>
      <color indexed="12"/>
      <name val="Times New Roman"/>
      <family val="1"/>
    </font>
    <font>
      <sz val="11"/>
      <color indexed="62"/>
      <name val="Calibri"/>
      <family val="2"/>
    </font>
    <font>
      <sz val="10"/>
      <name val="CTimesRoman"/>
      <family val="2"/>
    </font>
    <font>
      <sz val="11"/>
      <color indexed="52"/>
      <name val="Calibri"/>
      <family val="2"/>
    </font>
    <font>
      <sz val="8"/>
      <color indexed="8"/>
      <name val="Helv"/>
    </font>
    <font>
      <u/>
      <sz val="10"/>
      <color indexed="36"/>
      <name val="Times New Roman CE"/>
      <charset val="238"/>
    </font>
    <font>
      <sz val="10"/>
      <name val="Courier"/>
      <family val="3"/>
    </font>
    <font>
      <sz val="11"/>
      <color indexed="60"/>
      <name val="Calibri"/>
      <family val="2"/>
    </font>
    <font>
      <sz val="11"/>
      <name val="Tms Rmn"/>
    </font>
    <font>
      <sz val="10"/>
      <name val="Times New Roman CE"/>
      <family val="1"/>
      <charset val="238"/>
    </font>
    <font>
      <sz val="14"/>
      <name val="Times New Roman CE"/>
      <charset val="238"/>
    </font>
    <font>
      <b/>
      <sz val="11"/>
      <color indexed="63"/>
      <name val="Calibri"/>
      <family val="2"/>
    </font>
    <font>
      <sz val="10"/>
      <color indexed="10"/>
      <name val="MS Sans Serif"/>
      <family val="2"/>
    </font>
    <font>
      <sz val="8"/>
      <name val="Helv"/>
    </font>
    <font>
      <b/>
      <sz val="10"/>
      <name val="Tms Rmn"/>
      <family val="1"/>
    </font>
    <font>
      <b/>
      <sz val="18"/>
      <color indexed="56"/>
      <name val="Cambria"/>
      <family val="2"/>
    </font>
    <font>
      <b/>
      <sz val="11"/>
      <color indexed="8"/>
      <name val="Calibri"/>
      <family val="2"/>
    </font>
    <font>
      <sz val="11"/>
      <color indexed="10"/>
      <name val="Calibri"/>
      <family val="2"/>
    </font>
    <font>
      <b/>
      <sz val="18"/>
      <name val="Arial CE"/>
      <family val="2"/>
      <charset val="238"/>
    </font>
    <font>
      <b/>
      <sz val="12"/>
      <name val="Arial CE"/>
      <family val="2"/>
      <charset val="238"/>
    </font>
    <font>
      <sz val="12"/>
      <name val="Times New Roman"/>
      <family val="1"/>
    </font>
    <font>
      <sz val="12"/>
      <color indexed="24"/>
      <name val="Modern"/>
      <family val="3"/>
      <charset val="255"/>
    </font>
    <font>
      <b/>
      <sz val="18"/>
      <color indexed="24"/>
      <name val="Modern"/>
      <family val="3"/>
      <charset val="255"/>
    </font>
    <font>
      <b/>
      <sz val="12"/>
      <color indexed="24"/>
      <name val="Modern"/>
      <family val="3"/>
      <charset val="255"/>
    </font>
    <font>
      <sz val="10"/>
      <name val="UkrainianBaltica"/>
    </font>
    <font>
      <b/>
      <sz val="11"/>
      <color indexed="10"/>
      <name val="Calibri"/>
      <family val="2"/>
      <charset val="204"/>
    </font>
    <font>
      <b/>
      <sz val="15"/>
      <color indexed="62"/>
      <name val="Calibri"/>
      <family val="2"/>
      <charset val="204"/>
    </font>
    <font>
      <b/>
      <sz val="13"/>
      <color indexed="62"/>
      <name val="Calibri"/>
      <family val="2"/>
      <charset val="204"/>
    </font>
    <font>
      <b/>
      <sz val="11"/>
      <color indexed="62"/>
      <name val="Calibri"/>
      <family val="2"/>
      <charset val="204"/>
    </font>
    <font>
      <b/>
      <sz val="18"/>
      <color indexed="62"/>
      <name val="Cambria"/>
      <family val="2"/>
      <charset val="204"/>
    </font>
    <font>
      <sz val="11"/>
      <color indexed="19"/>
      <name val="Calibri"/>
      <family val="2"/>
      <charset val="204"/>
    </font>
    <font>
      <sz val="10"/>
      <color indexed="8"/>
      <name val="Verdana"/>
      <family val="2"/>
    </font>
    <font>
      <sz val="10"/>
      <color indexed="54"/>
      <name val="Verdana"/>
      <family val="2"/>
    </font>
    <font>
      <sz val="9"/>
      <name val="Tms Rmn"/>
    </font>
    <font>
      <sz val="10"/>
      <name val="FreeSet"/>
      <family val="2"/>
    </font>
    <font>
      <u/>
      <sz val="10"/>
      <color indexed="12"/>
      <name val="Courier"/>
      <family val="3"/>
    </font>
    <font>
      <u/>
      <sz val="10"/>
      <color indexed="36"/>
      <name val="Courier"/>
      <family val="3"/>
    </font>
    <font>
      <u/>
      <sz val="5"/>
      <color indexed="12"/>
      <name val="Courier"/>
      <family val="3"/>
    </font>
    <font>
      <u/>
      <sz val="12"/>
      <color indexed="12"/>
      <name val="Times New Roman"/>
      <family val="1"/>
    </font>
    <font>
      <u/>
      <sz val="10"/>
      <color indexed="12"/>
      <name val="Segoe UI"/>
      <family val="2"/>
    </font>
    <font>
      <u/>
      <sz val="10"/>
      <color indexed="36"/>
      <name val="Arial"/>
      <family val="2"/>
    </font>
    <font>
      <b/>
      <sz val="12"/>
      <color indexed="9"/>
      <name val="Arial"/>
      <family val="2"/>
      <charset val="204"/>
    </font>
    <font>
      <b/>
      <i/>
      <sz val="14"/>
      <name val="Arial"/>
      <family val="2"/>
      <charset val="204"/>
    </font>
    <font>
      <b/>
      <i/>
      <sz val="14"/>
      <color indexed="9"/>
      <name val="Arial"/>
      <family val="2"/>
      <charset val="204"/>
    </font>
    <font>
      <b/>
      <i/>
      <sz val="12"/>
      <color indexed="9"/>
      <name val="Arial"/>
      <family val="2"/>
      <charset val="204"/>
    </font>
    <font>
      <b/>
      <sz val="11"/>
      <color indexed="9"/>
      <name val="Arial"/>
      <family val="2"/>
      <charset val="204"/>
    </font>
    <font>
      <sz val="12"/>
      <color indexed="9"/>
      <name val="Bookman Old Style"/>
      <family val="1"/>
      <charset val="204"/>
    </font>
    <font>
      <sz val="11"/>
      <name val="Arial"/>
      <family val="2"/>
      <charset val="204"/>
    </font>
    <font>
      <sz val="11"/>
      <color indexed="9"/>
      <name val="Arial"/>
      <family val="2"/>
      <charset val="204"/>
    </font>
    <font>
      <b/>
      <i/>
      <sz val="11"/>
      <color indexed="9"/>
      <name val="Arial"/>
      <family val="2"/>
      <charset val="204"/>
    </font>
    <font>
      <u/>
      <sz val="10"/>
      <name val="Times New Roman"/>
      <family val="1"/>
    </font>
    <font>
      <sz val="12"/>
      <name val="Arial"/>
      <family val="2"/>
    </font>
    <font>
      <sz val="12"/>
      <name val="Tms Rmn"/>
    </font>
    <font>
      <sz val="10"/>
      <color indexed="8"/>
      <name val="Segoe UI"/>
      <family val="2"/>
    </font>
    <font>
      <sz val="10"/>
      <name val="Segoe UI"/>
      <family val="2"/>
    </font>
    <font>
      <sz val="10"/>
      <color theme="1"/>
      <name val="Segoe UI"/>
      <family val="2"/>
    </font>
    <font>
      <b/>
      <sz val="11"/>
      <color indexed="18"/>
      <name val="Arial"/>
      <family val="2"/>
    </font>
    <font>
      <b/>
      <i/>
      <sz val="11"/>
      <color indexed="18"/>
      <name val="Arial"/>
      <family val="2"/>
    </font>
    <font>
      <sz val="9"/>
      <name val="Arial"/>
      <family val="2"/>
    </font>
    <font>
      <sz val="12"/>
      <color indexed="9"/>
      <name val="MS Sans Serif"/>
      <family val="2"/>
    </font>
    <font>
      <sz val="11"/>
      <color indexed="9"/>
      <name val="Arial"/>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b/>
      <sz val="18"/>
      <color indexed="8"/>
      <name val="Cambria"/>
      <family val="1"/>
    </font>
    <font>
      <b/>
      <sz val="10"/>
      <name val="Times New Roman"/>
      <family val="1"/>
    </font>
    <font>
      <b/>
      <i/>
      <sz val="10"/>
      <name val="Times New Roman"/>
      <family val="1"/>
    </font>
    <font>
      <vertAlign val="superscript"/>
      <sz val="9"/>
      <color indexed="8"/>
      <name val="Times New Roman"/>
      <family val="1"/>
    </font>
    <font>
      <sz val="9"/>
      <color indexed="8"/>
      <name val="Times New Roman"/>
      <family val="1"/>
    </font>
    <font>
      <sz val="12"/>
      <name val="Journal"/>
    </font>
    <font>
      <sz val="10"/>
      <name val="Tahoma"/>
      <family val="2"/>
      <charset val="204"/>
    </font>
    <font>
      <sz val="10"/>
      <name val="Petersburg"/>
    </font>
  </fonts>
  <fills count="74">
    <fill>
      <patternFill patternType="none"/>
    </fill>
    <fill>
      <patternFill patternType="gray125"/>
    </fill>
    <fill>
      <patternFill patternType="solid">
        <fgColor theme="8" tint="0.79998168889431442"/>
        <bgColor indexed="64"/>
      </patternFill>
    </fill>
    <fill>
      <patternFill patternType="solid">
        <fgColor rgb="FFFFFF00"/>
        <bgColor indexed="64"/>
      </patternFill>
    </fill>
    <fill>
      <patternFill patternType="solid">
        <fgColor rgb="FF92D050"/>
        <bgColor indexed="64"/>
      </patternFill>
    </fill>
    <fill>
      <patternFill patternType="solid">
        <fgColor rgb="FF002060"/>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rgb="FF00B050"/>
        <bgColor indexed="64"/>
      </patternFill>
    </fill>
    <fill>
      <patternFill patternType="solid">
        <fgColor rgb="FF00B0F0"/>
        <bgColor indexed="64"/>
      </patternFill>
    </fill>
    <fill>
      <patternFill patternType="solid">
        <fgColor rgb="FFFFFFFF"/>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rgb="FF7030A0"/>
        <bgColor indexed="64"/>
      </patternFill>
    </fill>
    <fill>
      <patternFill patternType="solid">
        <fgColor theme="4"/>
        <bgColor indexed="64"/>
      </patternFill>
    </fill>
    <fill>
      <patternFill patternType="solid">
        <fgColor rgb="FF429EBE"/>
        <bgColor indexed="64"/>
      </patternFill>
    </fill>
    <fill>
      <patternFill patternType="solid">
        <fgColor theme="4" tint="0.39997558519241921"/>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rgb="FF4CA2C1"/>
        <bgColor indexed="64"/>
      </patternFill>
    </fill>
    <fill>
      <patternFill patternType="solid">
        <fgColor rgb="FFDBECF2"/>
        <bgColor indexed="64"/>
      </patternFill>
    </fill>
    <fill>
      <patternFill patternType="solid">
        <fgColor rgb="FFFDE2D2"/>
        <bgColor indexed="64"/>
      </patternFill>
    </fill>
    <fill>
      <patternFill patternType="solid">
        <fgColor rgb="FFE2EFDA"/>
        <bgColor indexed="64"/>
      </patternFill>
    </fill>
    <fill>
      <patternFill patternType="solid">
        <fgColor rgb="FFF4C8C9"/>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55"/>
      </patternFill>
    </fill>
    <fill>
      <patternFill patternType="solid">
        <fgColor indexed="9"/>
        <bgColor indexed="64"/>
      </patternFill>
    </fill>
    <fill>
      <patternFill patternType="solid">
        <fgColor indexed="22"/>
        <bgColor indexed="64"/>
      </patternFill>
    </fill>
    <fill>
      <patternFill patternType="solid">
        <fgColor indexed="24"/>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indexed="41"/>
        <bgColor indexed="64"/>
      </patternFill>
    </fill>
    <fill>
      <patternFill patternType="solid">
        <fgColor indexed="44"/>
        <bgColor indexed="64"/>
      </patternFill>
    </fill>
    <fill>
      <patternFill patternType="solid">
        <fgColor indexed="47"/>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21"/>
        <bgColor indexed="64"/>
      </patternFill>
    </fill>
    <fill>
      <patternFill patternType="lightUp">
        <fgColor indexed="54"/>
        <bgColor indexed="41"/>
      </patternFill>
    </fill>
    <fill>
      <patternFill patternType="solid">
        <fgColor indexed="26"/>
        <bgColor indexed="64"/>
      </patternFill>
    </fill>
    <fill>
      <patternFill patternType="solid">
        <fgColor theme="1"/>
        <bgColor indexed="64"/>
      </patternFill>
    </fill>
  </fills>
  <borders count="5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style="thick">
        <color rgb="FF005B2B"/>
      </bottom>
      <diagonal/>
    </border>
    <border>
      <left style="thin">
        <color indexed="64"/>
      </left>
      <right/>
      <top/>
      <bottom style="thick">
        <color rgb="FF005B2B"/>
      </bottom>
      <diagonal/>
    </border>
    <border>
      <left/>
      <right/>
      <top/>
      <bottom style="thick">
        <color rgb="FF005B2B"/>
      </bottom>
      <diagonal/>
    </border>
    <border>
      <left/>
      <right/>
      <top style="medium">
        <color rgb="FF888899"/>
      </top>
      <bottom style="medium">
        <color rgb="FF888899"/>
      </bottom>
      <diagonal/>
    </border>
    <border>
      <left/>
      <right/>
      <top style="thin">
        <color indexed="64"/>
      </top>
      <bottom style="double">
        <color indexed="64"/>
      </bottom>
      <diagonal/>
    </border>
    <border>
      <left style="thin">
        <color indexed="23"/>
      </left>
      <right style="thin">
        <color indexed="23"/>
      </right>
      <top style="thin">
        <color indexed="23"/>
      </top>
      <bottom style="thin">
        <color indexed="23"/>
      </bottom>
      <diagonal/>
    </border>
    <border>
      <left/>
      <right/>
      <top style="double">
        <color indexed="8"/>
      </top>
      <bottom/>
      <diagonal/>
    </border>
    <border>
      <left style="double">
        <color indexed="63"/>
      </left>
      <right style="double">
        <color indexed="63"/>
      </right>
      <top style="double">
        <color indexed="63"/>
      </top>
      <bottom style="double">
        <color indexed="63"/>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8"/>
      </left>
      <right/>
      <top/>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right/>
      <top/>
      <bottom style="double">
        <color indexed="10"/>
      </bottom>
      <diagonal/>
    </border>
    <border>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double">
        <color indexed="64"/>
      </top>
      <bottom style="thin">
        <color indexed="64"/>
      </bottom>
      <diagonal/>
    </border>
    <border>
      <left/>
      <right/>
      <top/>
      <bottom style="thick">
        <color indexed="44"/>
      </bottom>
      <diagonal/>
    </border>
  </borders>
  <cellStyleXfs count="1890">
    <xf numFmtId="0" fontId="0" fillId="0" borderId="0"/>
    <xf numFmtId="9" fontId="13" fillId="0" borderId="0" applyFont="0" applyFill="0" applyBorder="0" applyAlignment="0" applyProtection="0"/>
    <xf numFmtId="0" fontId="12" fillId="0" borderId="0"/>
    <xf numFmtId="165" fontId="13" fillId="0" borderId="0" applyFont="0" applyFill="0" applyBorder="0" applyAlignment="0" applyProtection="0"/>
    <xf numFmtId="0" fontId="13" fillId="0" borderId="0"/>
    <xf numFmtId="0" fontId="24" fillId="0" borderId="0"/>
    <xf numFmtId="9" fontId="13" fillId="0" borderId="0" applyFont="0" applyFill="0" applyBorder="0" applyAlignment="0" applyProtection="0"/>
    <xf numFmtId="0" fontId="17" fillId="0" borderId="0"/>
    <xf numFmtId="0" fontId="10" fillId="0" borderId="0"/>
    <xf numFmtId="0" fontId="41" fillId="0" borderId="0"/>
    <xf numFmtId="0" fontId="43" fillId="0" borderId="0"/>
    <xf numFmtId="0" fontId="35" fillId="0" borderId="0"/>
    <xf numFmtId="0" fontId="35"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4" fillId="0" borderId="0" applyNumberFormat="0" applyFill="0" applyBorder="0" applyAlignment="0" applyProtection="0"/>
    <xf numFmtId="0" fontId="6" fillId="0" borderId="0"/>
    <xf numFmtId="9" fontId="6" fillId="0" borderId="0" applyFont="0" applyFill="0" applyBorder="0" applyAlignment="0" applyProtection="0"/>
    <xf numFmtId="43" fontId="13"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165" fontId="13" fillId="0" borderId="0" applyFont="0" applyFill="0" applyBorder="0" applyAlignment="0" applyProtection="0"/>
    <xf numFmtId="43" fontId="35" fillId="0" borderId="0" applyFont="0" applyFill="0" applyBorder="0" applyAlignment="0" applyProtection="0"/>
    <xf numFmtId="41" fontId="35" fillId="0" borderId="0" applyFont="0" applyFill="0" applyBorder="0" applyAlignment="0" applyProtection="0"/>
    <xf numFmtId="0" fontId="129" fillId="0" borderId="0"/>
    <xf numFmtId="9" fontId="35" fillId="0" borderId="0" applyFont="0" applyFill="0" applyBorder="0" applyAlignment="0" applyProtection="0"/>
    <xf numFmtId="0" fontId="4" fillId="0" borderId="0"/>
    <xf numFmtId="0" fontId="4" fillId="0" borderId="0"/>
    <xf numFmtId="0" fontId="35" fillId="0" borderId="0"/>
    <xf numFmtId="49" fontId="157" fillId="0" borderId="0">
      <alignment horizontal="centerContinuous" vertical="top" wrapText="1"/>
    </xf>
    <xf numFmtId="193" fontId="155" fillId="0" borderId="0">
      <protection locked="0"/>
    </xf>
    <xf numFmtId="38" fontId="158" fillId="0" borderId="0" applyFont="0" applyFill="0" applyBorder="0" applyAlignment="0" applyProtection="0"/>
    <xf numFmtId="193" fontId="160" fillId="0" borderId="0">
      <protection locked="0"/>
    </xf>
    <xf numFmtId="193" fontId="160" fillId="0" borderId="0">
      <protection locked="0"/>
    </xf>
    <xf numFmtId="193" fontId="160" fillId="0" borderId="0">
      <protection locked="0"/>
    </xf>
    <xf numFmtId="193" fontId="155" fillId="0" borderId="0">
      <protection locked="0"/>
    </xf>
    <xf numFmtId="196" fontId="158" fillId="0" borderId="0" applyFont="0" applyFill="0" applyBorder="0" applyAlignment="0" applyProtection="0"/>
    <xf numFmtId="193" fontId="160" fillId="0" borderId="0">
      <protection locked="0"/>
    </xf>
    <xf numFmtId="193" fontId="160" fillId="0" borderId="0">
      <protection locked="0"/>
    </xf>
    <xf numFmtId="193" fontId="160" fillId="0" borderId="0">
      <protection locked="0"/>
    </xf>
    <xf numFmtId="194" fontId="155" fillId="0" borderId="0">
      <protection locked="0"/>
    </xf>
    <xf numFmtId="194" fontId="160" fillId="0" borderId="0">
      <protection locked="0"/>
    </xf>
    <xf numFmtId="193" fontId="155" fillId="0" borderId="0">
      <protection locked="0"/>
    </xf>
    <xf numFmtId="193" fontId="160" fillId="0" borderId="0">
      <protection locked="0"/>
    </xf>
    <xf numFmtId="0" fontId="156" fillId="0" borderId="0">
      <protection locked="0"/>
    </xf>
    <xf numFmtId="0" fontId="161" fillId="0" borderId="0">
      <protection locked="0"/>
    </xf>
    <xf numFmtId="0" fontId="156" fillId="0" borderId="0">
      <protection locked="0"/>
    </xf>
    <xf numFmtId="0" fontId="161" fillId="0" borderId="0">
      <protection locked="0"/>
    </xf>
    <xf numFmtId="193" fontId="155" fillId="0" borderId="0">
      <protection locked="0"/>
    </xf>
    <xf numFmtId="193" fontId="160" fillId="0" borderId="0">
      <protection locked="0"/>
    </xf>
    <xf numFmtId="0" fontId="155" fillId="0" borderId="32">
      <protection locked="0"/>
    </xf>
    <xf numFmtId="0" fontId="160" fillId="0" borderId="32">
      <protection locked="0"/>
    </xf>
    <xf numFmtId="0" fontId="159" fillId="0" borderId="0" applyNumberFormat="0" applyFill="0" applyBorder="0" applyAlignment="0" applyProtection="0">
      <alignment vertical="top"/>
      <protection locked="0"/>
    </xf>
    <xf numFmtId="0" fontId="157" fillId="0" borderId="1">
      <alignment horizontal="centerContinuous" vertical="top" wrapText="1"/>
    </xf>
    <xf numFmtId="0" fontId="35" fillId="0" borderId="0"/>
    <xf numFmtId="49" fontId="157" fillId="0" borderId="2">
      <alignment horizontal="center" vertical="center" wrapText="1"/>
    </xf>
    <xf numFmtId="0" fontId="164" fillId="0" borderId="0" applyNumberFormat="0" applyFill="0" applyBorder="0" applyAlignment="0" applyProtection="0"/>
    <xf numFmtId="0" fontId="35" fillId="0" borderId="0"/>
    <xf numFmtId="0" fontId="24" fillId="0" borderId="0"/>
    <xf numFmtId="0" fontId="24" fillId="0" borderId="0"/>
    <xf numFmtId="0" fontId="3" fillId="0" borderId="0"/>
    <xf numFmtId="0" fontId="166" fillId="0" borderId="0" applyNumberFormat="0" applyFill="0" applyBorder="0" applyAlignment="0" applyProtection="0"/>
    <xf numFmtId="0" fontId="24" fillId="0" borderId="0"/>
    <xf numFmtId="0" fontId="24" fillId="0" borderId="0"/>
    <xf numFmtId="0" fontId="24" fillId="0" borderId="0"/>
    <xf numFmtId="0" fontId="35" fillId="0" borderId="0"/>
    <xf numFmtId="0" fontId="170" fillId="0" borderId="0"/>
    <xf numFmtId="41" fontId="13" fillId="0" borderId="0" applyFont="0" applyFill="0" applyBorder="0" applyAlignment="0" applyProtection="0"/>
    <xf numFmtId="0" fontId="2" fillId="0" borderId="0"/>
    <xf numFmtId="0" fontId="129" fillId="0" borderId="0"/>
    <xf numFmtId="207" fontId="207" fillId="0" borderId="0" applyFont="0" applyFill="0" applyBorder="0" applyAlignment="0" applyProtection="0"/>
    <xf numFmtId="207" fontId="207" fillId="0" borderId="0" applyFont="0" applyFill="0" applyBorder="0" applyAlignment="0" applyProtection="0"/>
    <xf numFmtId="207" fontId="207" fillId="0" borderId="0" applyFont="0" applyFill="0" applyBorder="0" applyAlignment="0" applyProtection="0"/>
    <xf numFmtId="207" fontId="207" fillId="0" borderId="0" applyFont="0" applyFill="0" applyBorder="0" applyAlignment="0" applyProtection="0"/>
    <xf numFmtId="207" fontId="207" fillId="0" borderId="0" applyFont="0" applyFill="0" applyBorder="0" applyAlignment="0" applyProtection="0"/>
    <xf numFmtId="207" fontId="207" fillId="0" borderId="0" applyFont="0" applyFill="0" applyBorder="0" applyAlignment="0" applyProtection="0"/>
    <xf numFmtId="207" fontId="207" fillId="0" borderId="0" applyFont="0" applyFill="0" applyBorder="0" applyAlignment="0" applyProtection="0"/>
    <xf numFmtId="207" fontId="207" fillId="0" borderId="0" applyFont="0" applyFill="0" applyBorder="0" applyAlignment="0" applyProtection="0"/>
    <xf numFmtId="207" fontId="207" fillId="0" borderId="0" applyFont="0" applyFill="0" applyBorder="0" applyAlignment="0" applyProtection="0"/>
    <xf numFmtId="207" fontId="207" fillId="0" borderId="0" applyFont="0" applyFill="0" applyBorder="0" applyAlignment="0" applyProtection="0"/>
    <xf numFmtId="208" fontId="207" fillId="0" borderId="0" applyFont="0" applyFill="0" applyBorder="0" applyAlignment="0" applyProtection="0"/>
    <xf numFmtId="208" fontId="207" fillId="0" borderId="0" applyFont="0" applyFill="0" applyBorder="0" applyAlignment="0" applyProtection="0"/>
    <xf numFmtId="208" fontId="207" fillId="0" borderId="0" applyFont="0" applyFill="0" applyBorder="0" applyAlignment="0" applyProtection="0"/>
    <xf numFmtId="208" fontId="207" fillId="0" borderId="0" applyFont="0" applyFill="0" applyBorder="0" applyAlignment="0" applyProtection="0"/>
    <xf numFmtId="208" fontId="207" fillId="0" borderId="0" applyFont="0" applyFill="0" applyBorder="0" applyAlignment="0" applyProtection="0"/>
    <xf numFmtId="208" fontId="207" fillId="0" borderId="0" applyFont="0" applyFill="0" applyBorder="0" applyAlignment="0" applyProtection="0"/>
    <xf numFmtId="208" fontId="207" fillId="0" borderId="0" applyFont="0" applyFill="0" applyBorder="0" applyAlignment="0" applyProtection="0"/>
    <xf numFmtId="208" fontId="207" fillId="0" borderId="0" applyFont="0" applyFill="0" applyBorder="0" applyAlignment="0" applyProtection="0"/>
    <xf numFmtId="208" fontId="207" fillId="0" borderId="0" applyFont="0" applyFill="0" applyBorder="0" applyAlignment="0" applyProtection="0"/>
    <xf numFmtId="208" fontId="207" fillId="0" borderId="0" applyFont="0" applyFill="0" applyBorder="0" applyAlignment="0" applyProtection="0"/>
    <xf numFmtId="0" fontId="189"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189"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189"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189"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189"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189"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189" fillId="42" borderId="0" applyNumberFormat="0" applyBorder="0" applyAlignment="0" applyProtection="0"/>
    <xf numFmtId="0" fontId="189" fillId="42" borderId="0" applyNumberFormat="0" applyBorder="0" applyAlignment="0" applyProtection="0"/>
    <xf numFmtId="0" fontId="189" fillId="43" borderId="0" applyNumberFormat="0" applyBorder="0" applyAlignment="0" applyProtection="0"/>
    <xf numFmtId="0" fontId="189" fillId="43" borderId="0" applyNumberFormat="0" applyBorder="0" applyAlignment="0" applyProtection="0"/>
    <xf numFmtId="0" fontId="189" fillId="44" borderId="0" applyNumberFormat="0" applyBorder="0" applyAlignment="0" applyProtection="0"/>
    <xf numFmtId="0" fontId="189" fillId="44" borderId="0" applyNumberFormat="0" applyBorder="0" applyAlignment="0" applyProtection="0"/>
    <xf numFmtId="0" fontId="189" fillId="41" borderId="0" applyNumberFormat="0" applyBorder="0" applyAlignment="0" applyProtection="0"/>
    <xf numFmtId="0" fontId="189" fillId="41" borderId="0" applyNumberFormat="0" applyBorder="0" applyAlignment="0" applyProtection="0"/>
    <xf numFmtId="0" fontId="189" fillId="40" borderId="0" applyNumberFormat="0" applyBorder="0" applyAlignment="0" applyProtection="0"/>
    <xf numFmtId="0" fontId="189" fillId="44" borderId="0" applyNumberFormat="0" applyBorder="0" applyAlignment="0" applyProtection="0"/>
    <xf numFmtId="0" fontId="189" fillId="36" borderId="0" applyNumberFormat="0" applyBorder="0" applyAlignment="0" applyProtection="0"/>
    <xf numFmtId="0" fontId="189" fillId="37" borderId="0" applyNumberFormat="0" applyBorder="0" applyAlignment="0" applyProtection="0"/>
    <xf numFmtId="0" fontId="189" fillId="38" borderId="0" applyNumberFormat="0" applyBorder="0" applyAlignment="0" applyProtection="0"/>
    <xf numFmtId="0" fontId="189" fillId="39" borderId="0" applyNumberFormat="0" applyBorder="0" applyAlignment="0" applyProtection="0"/>
    <xf numFmtId="0" fontId="189" fillId="40" borderId="0" applyNumberFormat="0" applyBorder="0" applyAlignment="0" applyProtection="0"/>
    <xf numFmtId="0" fontId="189" fillId="41" borderId="0" applyNumberFormat="0" applyBorder="0" applyAlignment="0" applyProtection="0"/>
    <xf numFmtId="209" fontId="170" fillId="0" borderId="0" applyFont="0" applyFill="0" applyBorder="0" applyAlignment="0" applyProtection="0"/>
    <xf numFmtId="210" fontId="170" fillId="0" borderId="0" applyFont="0" applyFill="0" applyBorder="0" applyAlignment="0" applyProtection="0"/>
    <xf numFmtId="0" fontId="189"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189"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189"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189"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189"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189"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189" fillId="40" borderId="0" applyNumberFormat="0" applyBorder="0" applyAlignment="0" applyProtection="0"/>
    <xf numFmtId="0" fontId="189" fillId="43" borderId="0" applyNumberFormat="0" applyBorder="0" applyAlignment="0" applyProtection="0"/>
    <xf numFmtId="0" fontId="189" fillId="47" borderId="0" applyNumberFormat="0" applyBorder="0" applyAlignment="0" applyProtection="0"/>
    <xf numFmtId="0" fontId="189" fillId="47" borderId="0" applyNumberFormat="0" applyBorder="0" applyAlignment="0" applyProtection="0"/>
    <xf numFmtId="0" fontId="189" fillId="37" borderId="0" applyNumberFormat="0" applyBorder="0" applyAlignment="0" applyProtection="0"/>
    <xf numFmtId="0" fontId="189" fillId="40" borderId="0" applyNumberFormat="0" applyBorder="0" applyAlignment="0" applyProtection="0"/>
    <xf numFmtId="0" fontId="189" fillId="44" borderId="0" applyNumberFormat="0" applyBorder="0" applyAlignment="0" applyProtection="0"/>
    <xf numFmtId="0" fontId="189" fillId="42" borderId="0" applyNumberFormat="0" applyBorder="0" applyAlignment="0" applyProtection="0"/>
    <xf numFmtId="0" fontId="189" fillId="43" borderId="0" applyNumberFormat="0" applyBorder="0" applyAlignment="0" applyProtection="0"/>
    <xf numFmtId="0" fontId="189" fillId="45" borderId="0" applyNumberFormat="0" applyBorder="0" applyAlignment="0" applyProtection="0"/>
    <xf numFmtId="0" fontId="189" fillId="39" borderId="0" applyNumberFormat="0" applyBorder="0" applyAlignment="0" applyProtection="0"/>
    <xf numFmtId="0" fontId="189" fillId="42" borderId="0" applyNumberFormat="0" applyBorder="0" applyAlignment="0" applyProtection="0"/>
    <xf numFmtId="0" fontId="189" fillId="46" borderId="0" applyNumberFormat="0" applyBorder="0" applyAlignment="0" applyProtection="0"/>
    <xf numFmtId="211" fontId="207" fillId="0" borderId="0" applyFont="0" applyFill="0" applyBorder="0" applyAlignment="0" applyProtection="0"/>
    <xf numFmtId="0" fontId="190"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190"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190"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190"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190"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190"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190" fillId="40" borderId="0" applyNumberFormat="0" applyBorder="0" applyAlignment="0" applyProtection="0"/>
    <xf numFmtId="0" fontId="190" fillId="52" borderId="0" applyNumberFormat="0" applyBorder="0" applyAlignment="0" applyProtection="0"/>
    <xf numFmtId="0" fontId="190" fillId="46" borderId="0" applyNumberFormat="0" applyBorder="0" applyAlignment="0" applyProtection="0"/>
    <xf numFmtId="0" fontId="190" fillId="46" borderId="0" applyNumberFormat="0" applyBorder="0" applyAlignment="0" applyProtection="0"/>
    <xf numFmtId="0" fontId="190" fillId="37" borderId="0" applyNumberFormat="0" applyBorder="0" applyAlignment="0" applyProtection="0"/>
    <xf numFmtId="0" fontId="190" fillId="37" borderId="0" applyNumberFormat="0" applyBorder="0" applyAlignment="0" applyProtection="0"/>
    <xf numFmtId="0" fontId="190" fillId="40" borderId="0" applyNumberFormat="0" applyBorder="0" applyAlignment="0" applyProtection="0"/>
    <xf numFmtId="0" fontId="190" fillId="43" borderId="0" applyNumberFormat="0" applyBorder="0" applyAlignment="0" applyProtection="0"/>
    <xf numFmtId="0" fontId="190" fillId="43" borderId="0" applyNumberFormat="0" applyBorder="0" applyAlignment="0" applyProtection="0"/>
    <xf numFmtId="0" fontId="190" fillId="48" borderId="0" applyNumberFormat="0" applyBorder="0" applyAlignment="0" applyProtection="0"/>
    <xf numFmtId="0" fontId="190" fillId="43" borderId="0" applyNumberFormat="0" applyBorder="0" applyAlignment="0" applyProtection="0"/>
    <xf numFmtId="0" fontId="190" fillId="45" borderId="0" applyNumberFormat="0" applyBorder="0" applyAlignment="0" applyProtection="0"/>
    <xf numFmtId="0" fontId="190" fillId="49" borderId="0" applyNumberFormat="0" applyBorder="0" applyAlignment="0" applyProtection="0"/>
    <xf numFmtId="0" fontId="190" fillId="50" borderId="0" applyNumberFormat="0" applyBorder="0" applyAlignment="0" applyProtection="0"/>
    <xf numFmtId="0" fontId="190" fillId="51" borderId="0" applyNumberFormat="0" applyBorder="0" applyAlignment="0" applyProtection="0"/>
    <xf numFmtId="0" fontId="190"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190"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190"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190"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190"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190"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180" fillId="0" borderId="0" applyNumberFormat="0" applyFill="0" applyBorder="0" applyAlignment="0" applyProtection="0">
      <alignment vertical="top"/>
      <protection locked="0"/>
    </xf>
    <xf numFmtId="0" fontId="180" fillId="0" borderId="0" applyNumberFormat="0" applyFill="0" applyBorder="0" applyAlignment="0" applyProtection="0">
      <alignment vertical="top"/>
      <protection locked="0"/>
    </xf>
    <xf numFmtId="0" fontId="209" fillId="0" borderId="10">
      <protection hidden="1"/>
    </xf>
    <xf numFmtId="0" fontId="210" fillId="56" borderId="10" applyNumberFormat="0" applyFont="0" applyBorder="0" applyAlignment="0" applyProtection="0">
      <protection hidden="1"/>
    </xf>
    <xf numFmtId="0" fontId="211" fillId="0" borderId="10">
      <protection hidden="1"/>
    </xf>
    <xf numFmtId="0" fontId="201"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19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4" fillId="0" borderId="34" applyNumberFormat="0" applyFont="0" applyFill="0" applyAlignment="0" applyProtection="0"/>
    <xf numFmtId="0" fontId="198" fillId="57" borderId="35"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1" fontId="216" fillId="58" borderId="2">
      <alignment horizontal="right" vertical="center"/>
    </xf>
    <xf numFmtId="0" fontId="217" fillId="58" borderId="2">
      <alignment horizontal="right" vertical="center"/>
    </xf>
    <xf numFmtId="0" fontId="170" fillId="58" borderId="36"/>
    <xf numFmtId="0" fontId="216" fillId="59" borderId="2">
      <alignment horizontal="center" vertical="center"/>
    </xf>
    <xf numFmtId="1" fontId="216" fillId="58" borderId="2">
      <alignment horizontal="right" vertical="center"/>
    </xf>
    <xf numFmtId="0" fontId="170" fillId="58" borderId="0"/>
    <xf numFmtId="0" fontId="170" fillId="58" borderId="0"/>
    <xf numFmtId="0" fontId="218" fillId="58" borderId="2">
      <alignment horizontal="left" vertical="center"/>
    </xf>
    <xf numFmtId="0" fontId="218" fillId="58" borderId="37">
      <alignment vertical="center"/>
    </xf>
    <xf numFmtId="0" fontId="219" fillId="58" borderId="38">
      <alignment vertical="center"/>
    </xf>
    <xf numFmtId="0" fontId="218" fillId="58" borderId="2"/>
    <xf numFmtId="0" fontId="217" fillId="58" borderId="2">
      <alignment horizontal="right" vertical="center"/>
    </xf>
    <xf numFmtId="0" fontId="220" fillId="60" borderId="2">
      <alignment horizontal="left" vertical="center"/>
    </xf>
    <xf numFmtId="0" fontId="220" fillId="60" borderId="2">
      <alignment horizontal="left" vertical="center"/>
    </xf>
    <xf numFmtId="0" fontId="35" fillId="58" borderId="2">
      <alignment horizontal="left" vertical="center"/>
    </xf>
    <xf numFmtId="0" fontId="221" fillId="58" borderId="36"/>
    <xf numFmtId="0" fontId="216" fillId="59" borderId="2">
      <alignment horizontal="left" vertical="center"/>
    </xf>
    <xf numFmtId="212" fontId="222" fillId="0" borderId="0"/>
    <xf numFmtId="212" fontId="222" fillId="0" borderId="0"/>
    <xf numFmtId="212" fontId="222" fillId="0" borderId="0"/>
    <xf numFmtId="212" fontId="222" fillId="0" borderId="0"/>
    <xf numFmtId="212" fontId="222" fillId="0" borderId="0"/>
    <xf numFmtId="212" fontId="222" fillId="0" borderId="0"/>
    <xf numFmtId="212" fontId="222" fillId="0" borderId="0"/>
    <xf numFmtId="212" fontId="222" fillId="0" borderId="0"/>
    <xf numFmtId="41" fontId="223" fillId="0" borderId="0" applyFont="0" applyFill="0" applyBorder="0" applyAlignment="0" applyProtection="0"/>
    <xf numFmtId="201" fontId="35" fillId="0" borderId="0" applyFont="0" applyFill="0" applyBorder="0" applyAlignment="0" applyProtection="0"/>
    <xf numFmtId="230" fontId="266" fillId="0" borderId="0" applyFont="0" applyFill="0" applyBorder="0" applyAlignment="0" applyProtection="0"/>
    <xf numFmtId="199" fontId="35" fillId="0" borderId="0" applyFont="0" applyFill="0" applyBorder="0" applyAlignment="0" applyProtection="0"/>
    <xf numFmtId="43" fontId="170"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200" fontId="223" fillId="0" borderId="0" applyFont="0" applyFill="0" applyBorder="0" applyAlignment="0" applyProtection="0"/>
    <xf numFmtId="206" fontId="224" fillId="0" borderId="0">
      <alignment horizontal="right" vertical="top"/>
    </xf>
    <xf numFmtId="232" fontId="266" fillId="0" borderId="0" applyFont="0" applyFill="0" applyBorder="0" applyAlignment="0" applyProtection="0"/>
    <xf numFmtId="3" fontId="225" fillId="0" borderId="0" applyFont="0" applyFill="0" applyBorder="0" applyAlignment="0" applyProtection="0"/>
    <xf numFmtId="0" fontId="226" fillId="0" borderId="0"/>
    <xf numFmtId="3" fontId="170" fillId="0" borderId="0" applyFill="0" applyBorder="0" applyAlignment="0" applyProtection="0"/>
    <xf numFmtId="0" fontId="227" fillId="0" borderId="0"/>
    <xf numFmtId="0" fontId="227" fillId="0" borderId="0"/>
    <xf numFmtId="231" fontId="266" fillId="0" borderId="0" applyFont="0" applyFill="0" applyBorder="0" applyAlignment="0" applyProtection="0"/>
    <xf numFmtId="213" fontId="225" fillId="0" borderId="0" applyFont="0" applyFill="0" applyBorder="0" applyAlignment="0" applyProtection="0"/>
    <xf numFmtId="203" fontId="181" fillId="0" borderId="0">
      <protection locked="0"/>
    </xf>
    <xf numFmtId="0" fontId="214" fillId="0" borderId="0" applyFont="0" applyFill="0" applyBorder="0" applyAlignment="0" applyProtection="0"/>
    <xf numFmtId="214" fontId="228" fillId="0" borderId="0" applyFont="0" applyFill="0" applyBorder="0" applyAlignment="0" applyProtection="0"/>
    <xf numFmtId="0" fontId="202"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215" fontId="230" fillId="0" borderId="0" applyFont="0" applyFill="0" applyBorder="0" applyAlignment="0" applyProtection="0"/>
    <xf numFmtId="216" fontId="230" fillId="0" borderId="0" applyFont="0" applyFill="0" applyBorder="0" applyAlignment="0" applyProtection="0"/>
    <xf numFmtId="0" fontId="160" fillId="0" borderId="0">
      <protection locked="0"/>
    </xf>
    <xf numFmtId="0" fontId="160" fillId="0" borderId="0">
      <protection locked="0"/>
    </xf>
    <xf numFmtId="0" fontId="231" fillId="0" borderId="0">
      <protection locked="0"/>
    </xf>
    <xf numFmtId="0" fontId="160" fillId="0" borderId="0">
      <protection locked="0"/>
    </xf>
    <xf numFmtId="0" fontId="232" fillId="0" borderId="0"/>
    <xf numFmtId="0" fontId="160" fillId="0" borderId="0">
      <protection locked="0"/>
    </xf>
    <xf numFmtId="0" fontId="233" fillId="0" borderId="0"/>
    <xf numFmtId="0" fontId="160" fillId="0" borderId="0">
      <protection locked="0"/>
    </xf>
    <xf numFmtId="0" fontId="233" fillId="0" borderId="0"/>
    <xf numFmtId="0" fontId="231" fillId="0" borderId="0">
      <protection locked="0"/>
    </xf>
    <xf numFmtId="0" fontId="233" fillId="0" borderId="0"/>
    <xf numFmtId="3" fontId="214" fillId="0" borderId="0" applyFont="0" applyFill="0" applyBorder="0" applyAlignment="0" applyProtection="0"/>
    <xf numFmtId="3" fontId="214" fillId="0" borderId="0" applyFont="0" applyFill="0" applyBorder="0" applyAlignment="0" applyProtection="0"/>
    <xf numFmtId="203" fontId="181" fillId="0" borderId="0">
      <protection locked="0"/>
    </xf>
    <xf numFmtId="0" fontId="233" fillId="0" borderId="0"/>
    <xf numFmtId="0" fontId="234" fillId="0" borderId="0"/>
    <xf numFmtId="0" fontId="233" fillId="0" borderId="0"/>
    <xf numFmtId="0" fontId="226" fillId="0" borderId="0"/>
    <xf numFmtId="0" fontId="20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38" fontId="236" fillId="59" borderId="0" applyNumberFormat="0" applyBorder="0" applyAlignment="0" applyProtection="0"/>
    <xf numFmtId="0" fontId="194"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195"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196"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196"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203" fontId="182" fillId="0" borderId="0">
      <protection locked="0"/>
    </xf>
    <xf numFmtId="203" fontId="182" fillId="0" borderId="0">
      <protection locked="0"/>
    </xf>
    <xf numFmtId="0" fontId="240"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2" fillId="0" borderId="0" applyNumberFormat="0" applyFill="0" applyBorder="0" applyAlignment="0" applyProtection="0"/>
    <xf numFmtId="0" fontId="183" fillId="0" borderId="0"/>
    <xf numFmtId="0" fontId="35" fillId="0" borderId="0"/>
    <xf numFmtId="217" fontId="170" fillId="0" borderId="0" applyFont="0" applyFill="0" applyBorder="0" applyAlignment="0" applyProtection="0"/>
    <xf numFmtId="218" fontId="170" fillId="0" borderId="0" applyFont="0" applyFill="0" applyBorder="0" applyAlignment="0" applyProtection="0"/>
    <xf numFmtId="0" fontId="191" fillId="41" borderId="33" applyNumberFormat="0" applyAlignment="0" applyProtection="0"/>
    <xf numFmtId="10" fontId="236" fillId="58" borderId="2" applyNumberFormat="0" applyBorder="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185" fillId="0" borderId="0" applyNumberFormat="0" applyFill="0" applyBorder="0" applyAlignment="0" applyProtection="0">
      <alignment vertical="top"/>
      <protection locked="0"/>
    </xf>
    <xf numFmtId="0" fontId="185" fillId="0" borderId="0" applyNumberFormat="0" applyFill="0" applyBorder="0" applyAlignment="0" applyProtection="0">
      <alignment vertical="top"/>
      <protection locked="0"/>
    </xf>
    <xf numFmtId="195" fontId="244" fillId="0" borderId="0"/>
    <xf numFmtId="0" fontId="233" fillId="0" borderId="42"/>
    <xf numFmtId="0" fontId="203"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6" fillId="0" borderId="10">
      <alignment horizontal="left"/>
      <protection locked="0"/>
    </xf>
    <xf numFmtId="0" fontId="247" fillId="0" borderId="0" applyNumberFormat="0" applyFill="0" applyBorder="0" applyAlignment="0" applyProtection="0">
      <alignment vertical="top"/>
      <protection locked="0"/>
    </xf>
    <xf numFmtId="219" fontId="214" fillId="0" borderId="0" applyFont="0" applyFill="0" applyBorder="0" applyAlignment="0" applyProtection="0"/>
    <xf numFmtId="41" fontId="223" fillId="0" borderId="0" applyFont="0" applyFill="0" applyBorder="0" applyAlignment="0" applyProtection="0"/>
    <xf numFmtId="43" fontId="223" fillId="0" borderId="0" applyFont="0" applyFill="0" applyBorder="0" applyAlignment="0" applyProtection="0"/>
    <xf numFmtId="220" fontId="214" fillId="0" borderId="0" applyFont="0" applyFill="0" applyBorder="0" applyAlignment="0" applyProtection="0"/>
    <xf numFmtId="221" fontId="223" fillId="0" borderId="0" applyFont="0" applyFill="0" applyBorder="0" applyAlignment="0" applyProtection="0"/>
    <xf numFmtId="222" fontId="223" fillId="0" borderId="0" applyFont="0" applyFill="0" applyBorder="0" applyAlignment="0" applyProtection="0"/>
    <xf numFmtId="0" fontId="248" fillId="0" borderId="0"/>
    <xf numFmtId="0" fontId="200"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 fillId="0" borderId="0" applyNumberFormat="0" applyFill="0" applyBorder="0" applyAlignment="0" applyProtection="0"/>
    <xf numFmtId="0" fontId="250" fillId="0" borderId="0"/>
    <xf numFmtId="0" fontId="187" fillId="0" borderId="0"/>
    <xf numFmtId="0" fontId="187" fillId="0" borderId="0"/>
    <xf numFmtId="0" fontId="227" fillId="0" borderId="0"/>
    <xf numFmtId="0" fontId="227" fillId="0" borderId="0"/>
    <xf numFmtId="0" fontId="227" fillId="0" borderId="0"/>
    <xf numFmtId="0" fontId="227" fillId="0" borderId="0"/>
    <xf numFmtId="0" fontId="43" fillId="0" borderId="0"/>
    <xf numFmtId="0" fontId="43" fillId="0" borderId="0"/>
    <xf numFmtId="0" fontId="43" fillId="0" borderId="0"/>
    <xf numFmtId="0" fontId="43" fillId="0" borderId="0"/>
    <xf numFmtId="0" fontId="43" fillId="0" borderId="0"/>
    <xf numFmtId="0" fontId="43" fillId="0" borderId="0"/>
    <xf numFmtId="0" fontId="170" fillId="0" borderId="0"/>
    <xf numFmtId="0" fontId="170" fillId="0" borderId="0"/>
    <xf numFmtId="0" fontId="43" fillId="0" borderId="0"/>
    <xf numFmtId="0" fontId="43" fillId="0" borderId="0"/>
    <xf numFmtId="0" fontId="43" fillId="0" borderId="0"/>
    <xf numFmtId="0" fontId="43" fillId="0" borderId="0"/>
    <xf numFmtId="0" fontId="43" fillId="0" borderId="0"/>
    <xf numFmtId="0" fontId="43" fillId="0" borderId="0"/>
    <xf numFmtId="0" fontId="35" fillId="0" borderId="0"/>
    <xf numFmtId="0" fontId="170" fillId="0" borderId="0"/>
    <xf numFmtId="0" fontId="207" fillId="0" borderId="0"/>
    <xf numFmtId="0" fontId="129"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22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22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170" fillId="0" borderId="0"/>
    <xf numFmtId="223" fontId="223" fillId="0" borderId="0" applyFill="0" applyBorder="0" applyAlignment="0" applyProtection="0">
      <alignment horizontal="right"/>
    </xf>
    <xf numFmtId="0" fontId="230" fillId="0" borderId="0"/>
    <xf numFmtId="205" fontId="188" fillId="0" borderId="0"/>
    <xf numFmtId="0" fontId="251" fillId="0" borderId="0"/>
    <xf numFmtId="0" fontId="35" fillId="44" borderId="44" applyNumberFormat="0" applyFont="0" applyAlignment="0" applyProtection="0"/>
    <xf numFmtId="0" fontId="187" fillId="44" borderId="44" applyNumberFormat="0" applyFont="0" applyAlignment="0" applyProtection="0"/>
    <xf numFmtId="0" fontId="43"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49" fontId="252" fillId="0" borderId="0"/>
    <xf numFmtId="43" fontId="184" fillId="0" borderId="0" applyFont="0" applyFill="0" applyBorder="0" applyAlignment="0" applyProtection="0"/>
    <xf numFmtId="0" fontId="192" fillId="56" borderId="45" applyNumberFormat="0" applyAlignment="0" applyProtection="0"/>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224" fontId="230" fillId="0" borderId="0" applyFont="0" applyFill="0" applyBorder="0" applyAlignment="0" applyProtection="0"/>
    <xf numFmtId="225" fontId="230" fillId="0" borderId="0" applyFont="0" applyFill="0" applyBorder="0" applyAlignment="0" applyProtection="0"/>
    <xf numFmtId="0" fontId="226" fillId="0" borderId="0"/>
    <xf numFmtId="10" fontId="170" fillId="0" borderId="0" applyFont="0" applyFill="0" applyBorder="0" applyAlignment="0" applyProtection="0"/>
    <xf numFmtId="9" fontId="170"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226" fontId="170" fillId="0" borderId="0" applyFont="0" applyFill="0" applyBorder="0" applyAlignment="0" applyProtection="0"/>
    <xf numFmtId="227" fontId="207" fillId="0" borderId="0" applyFont="0" applyFill="0" applyBorder="0" applyAlignment="0" applyProtection="0"/>
    <xf numFmtId="228" fontId="207" fillId="0" borderId="0" applyFont="0" applyFill="0" applyBorder="0" applyAlignment="0" applyProtection="0"/>
    <xf numFmtId="2" fontId="214" fillId="0" borderId="0" applyFont="0" applyFill="0" applyBorder="0" applyAlignment="0" applyProtection="0"/>
    <xf numFmtId="229" fontId="223" fillId="0" borderId="0" applyFill="0" applyBorder="0" applyAlignment="0">
      <alignment horizontal="centerContinuous"/>
    </xf>
    <xf numFmtId="0" fontId="207" fillId="0" borderId="0"/>
    <xf numFmtId="0" fontId="254" fillId="0" borderId="10" applyNumberFormat="0" applyFill="0" applyBorder="0" applyAlignment="0" applyProtection="0">
      <protection hidden="1"/>
    </xf>
    <xf numFmtId="167" fontId="255" fillId="0" borderId="0"/>
    <xf numFmtId="0" fontId="256" fillId="0" borderId="0"/>
    <xf numFmtId="0" fontId="170" fillId="0" borderId="0" applyNumberFormat="0"/>
    <xf numFmtId="0" fontId="199"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5" fillId="56" borderId="10"/>
    <xf numFmtId="203" fontId="181" fillId="0" borderId="32">
      <protection locked="0"/>
    </xf>
    <xf numFmtId="0" fontId="258" fillId="0" borderId="46" applyNumberFormat="0" applyFill="0" applyAlignment="0" applyProtection="0"/>
    <xf numFmtId="0" fontId="160" fillId="0" borderId="32">
      <protection locked="0"/>
    </xf>
    <xf numFmtId="0" fontId="248" fillId="0" borderId="0"/>
    <xf numFmtId="0" fontId="204"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60" fillId="0" borderId="0" applyNumberFormat="0" applyFill="0" applyBorder="0" applyAlignment="0" applyProtection="0"/>
    <xf numFmtId="0" fontId="261" fillId="0" borderId="0" applyNumberFormat="0" applyFill="0" applyBorder="0" applyAlignment="0" applyProtection="0"/>
    <xf numFmtId="167" fontId="262" fillId="0" borderId="0">
      <alignment horizontal="right"/>
    </xf>
    <xf numFmtId="0" fontId="190" fillId="61" borderId="0" applyNumberFormat="0" applyBorder="0" applyAlignment="0" applyProtection="0"/>
    <xf numFmtId="0" fontId="190" fillId="52" borderId="0" applyNumberFormat="0" applyBorder="0" applyAlignment="0" applyProtection="0"/>
    <xf numFmtId="0" fontId="190" fillId="46" borderId="0" applyNumberFormat="0" applyBorder="0" applyAlignment="0" applyProtection="0"/>
    <xf numFmtId="0" fontId="190" fillId="62" borderId="0" applyNumberFormat="0" applyBorder="0" applyAlignment="0" applyProtection="0"/>
    <xf numFmtId="0" fontId="190" fillId="50" borderId="0" applyNumberFormat="0" applyBorder="0" applyAlignment="0" applyProtection="0"/>
    <xf numFmtId="0" fontId="190" fillId="54" borderId="0" applyNumberFormat="0" applyBorder="0" applyAlignment="0" applyProtection="0"/>
    <xf numFmtId="0" fontId="190" fillId="53" borderId="0" applyNumberFormat="0" applyBorder="0" applyAlignment="0" applyProtection="0"/>
    <xf numFmtId="0" fontId="190" fillId="54" borderId="0" applyNumberFormat="0" applyBorder="0" applyAlignment="0" applyProtection="0"/>
    <xf numFmtId="0" fontId="190" fillId="55" borderId="0" applyNumberFormat="0" applyBorder="0" applyAlignment="0" applyProtection="0"/>
    <xf numFmtId="0" fontId="190" fillId="49" borderId="0" applyNumberFormat="0" applyBorder="0" applyAlignment="0" applyProtection="0"/>
    <xf numFmtId="0" fontId="190" fillId="50" borderId="0" applyNumberFormat="0" applyBorder="0" applyAlignment="0" applyProtection="0"/>
    <xf numFmtId="0" fontId="190" fillId="52" borderId="0" applyNumberFormat="0" applyBorder="0" applyAlignment="0" applyProtection="0"/>
    <xf numFmtId="0" fontId="191" fillId="41" borderId="33" applyNumberFormat="0" applyAlignment="0" applyProtection="0"/>
    <xf numFmtId="0" fontId="191" fillId="47" borderId="33" applyNumberFormat="0" applyAlignment="0" applyProtection="0"/>
    <xf numFmtId="0" fontId="192" fillId="63" borderId="45" applyNumberFormat="0" applyAlignment="0" applyProtection="0"/>
    <xf numFmtId="0" fontId="267" fillId="63" borderId="33" applyNumberFormat="0" applyAlignment="0" applyProtection="0"/>
    <xf numFmtId="0" fontId="263" fillId="0" borderId="0" applyProtection="0"/>
    <xf numFmtId="204" fontId="41" fillId="0" borderId="0" applyFont="0" applyFill="0" applyBorder="0" applyAlignment="0" applyProtection="0"/>
    <xf numFmtId="0" fontId="205" fillId="38" borderId="0" applyNumberFormat="0" applyBorder="0" applyAlignment="0" applyProtection="0"/>
    <xf numFmtId="0" fontId="268" fillId="0" borderId="47" applyNumberFormat="0" applyFill="0" applyAlignment="0" applyProtection="0"/>
    <xf numFmtId="0" fontId="269" fillId="0" borderId="48" applyNumberFormat="0" applyFill="0" applyAlignment="0" applyProtection="0"/>
    <xf numFmtId="0" fontId="270" fillId="0" borderId="49" applyNumberFormat="0" applyFill="0" applyAlignment="0" applyProtection="0"/>
    <xf numFmtId="0" fontId="270" fillId="0" borderId="0" applyNumberFormat="0" applyFill="0" applyBorder="0" applyAlignment="0" applyProtection="0"/>
    <xf numFmtId="0" fontId="264" fillId="0" borderId="0" applyProtection="0"/>
    <xf numFmtId="0" fontId="265" fillId="0" borderId="0" applyProtection="0"/>
    <xf numFmtId="0" fontId="24" fillId="0" borderId="0">
      <alignment wrapText="1"/>
    </xf>
    <xf numFmtId="0" fontId="203" fillId="0" borderId="43" applyNumberFormat="0" applyFill="0" applyAlignment="0" applyProtection="0"/>
    <xf numFmtId="0" fontId="197" fillId="0" borderId="50" applyNumberFormat="0" applyFill="0" applyAlignment="0" applyProtection="0"/>
    <xf numFmtId="0" fontId="263" fillId="0" borderId="32" applyProtection="0"/>
    <xf numFmtId="0" fontId="198" fillId="57" borderId="35" applyNumberFormat="0" applyAlignment="0" applyProtection="0"/>
    <xf numFmtId="0" fontId="198" fillId="57" borderId="35" applyNumberFormat="0" applyAlignment="0" applyProtection="0"/>
    <xf numFmtId="0" fontId="199" fillId="0" borderId="0" applyNumberFormat="0" applyFill="0" applyBorder="0" applyAlignment="0" applyProtection="0"/>
    <xf numFmtId="0" fontId="271" fillId="0" borderId="0" applyNumberFormat="0" applyFill="0" applyBorder="0" applyAlignment="0" applyProtection="0"/>
    <xf numFmtId="0" fontId="272" fillId="47" borderId="0" applyNumberFormat="0" applyBorder="0" applyAlignment="0" applyProtection="0"/>
    <xf numFmtId="0" fontId="193" fillId="56" borderId="33" applyNumberFormat="0" applyAlignment="0" applyProtection="0"/>
    <xf numFmtId="0" fontId="189"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9" fillId="0" borderId="0"/>
    <xf numFmtId="0" fontId="189" fillId="0" borderId="0"/>
    <xf numFmtId="0" fontId="189" fillId="0" borderId="0"/>
    <xf numFmtId="0" fontId="189" fillId="0" borderId="0"/>
    <xf numFmtId="0" fontId="189"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29" fillId="0" borderId="0"/>
    <xf numFmtId="0" fontId="189" fillId="0" borderId="0"/>
    <xf numFmtId="0" fontId="24" fillId="0" borderId="0"/>
    <xf numFmtId="0" fontId="189"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35"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06" fillId="0" borderId="0"/>
    <xf numFmtId="0" fontId="129" fillId="0" borderId="0"/>
    <xf numFmtId="0" fontId="24" fillId="0" borderId="0"/>
    <xf numFmtId="0" fontId="35" fillId="0" borderId="0"/>
    <xf numFmtId="0" fontId="35" fillId="0" borderId="0"/>
    <xf numFmtId="0" fontId="189" fillId="0" borderId="0"/>
    <xf numFmtId="0" fontId="206" fillId="0" borderId="0"/>
    <xf numFmtId="0" fontId="206" fillId="0" borderId="0"/>
    <xf numFmtId="0" fontId="35"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xf numFmtId="0" fontId="35"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89" fillId="0" borderId="0"/>
    <xf numFmtId="0" fontId="24" fillId="0" borderId="0"/>
    <xf numFmtId="0" fontId="189" fillId="0" borderId="0"/>
    <xf numFmtId="0" fontId="189" fillId="0" borderId="0"/>
    <xf numFmtId="0" fontId="189" fillId="0" borderId="0"/>
    <xf numFmtId="0" fontId="197" fillId="0" borderId="46" applyNumberFormat="0" applyFill="0" applyAlignment="0" applyProtection="0"/>
    <xf numFmtId="0" fontId="201" fillId="39" borderId="0" applyNumberFormat="0" applyBorder="0" applyAlignment="0" applyProtection="0"/>
    <xf numFmtId="0" fontId="201" fillId="37" borderId="0" applyNumberFormat="0" applyBorder="0" applyAlignment="0" applyProtection="0"/>
    <xf numFmtId="0" fontId="202" fillId="0" borderId="0" applyNumberFormat="0" applyFill="0" applyBorder="0" applyAlignment="0" applyProtection="0"/>
    <xf numFmtId="0" fontId="266" fillId="44" borderId="44" applyNumberFormat="0" applyFont="0" applyAlignment="0" applyProtection="0"/>
    <xf numFmtId="0" fontId="189" fillId="44" borderId="44" applyNumberFormat="0" applyFont="0" applyAlignment="0" applyProtection="0"/>
    <xf numFmtId="0" fontId="35" fillId="44" borderId="44" applyNumberFormat="0" applyFon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9" fillId="0" borderId="0" applyFont="0" applyFill="0" applyBorder="0" applyAlignment="0" applyProtection="0"/>
    <xf numFmtId="0" fontId="192" fillId="56" borderId="45" applyNumberFormat="0" applyAlignment="0" applyProtection="0"/>
    <xf numFmtId="0" fontId="204" fillId="0" borderId="51" applyNumberFormat="0" applyFill="0" applyAlignment="0" applyProtection="0"/>
    <xf numFmtId="0" fontId="200" fillId="47" borderId="0" applyNumberFormat="0" applyBorder="0" applyAlignment="0" applyProtection="0"/>
    <xf numFmtId="0" fontId="188" fillId="0" borderId="0"/>
    <xf numFmtId="0" fontId="263" fillId="0" borderId="0"/>
    <xf numFmtId="0" fontId="204" fillId="0" borderId="0" applyNumberFormat="0" applyFill="0" applyBorder="0" applyAlignment="0" applyProtection="0"/>
    <xf numFmtId="0" fontId="202" fillId="0" borderId="0" applyNumberFormat="0" applyFill="0" applyBorder="0" applyAlignment="0" applyProtection="0"/>
    <xf numFmtId="0" fontId="204" fillId="0" borderId="0" applyNumberFormat="0" applyFill="0" applyBorder="0" applyAlignment="0" applyProtection="0"/>
    <xf numFmtId="2" fontId="263" fillId="0" borderId="0" applyProtection="0"/>
    <xf numFmtId="202" fontId="189" fillId="0" borderId="0" applyFont="0" applyFill="0" applyBorder="0" applyAlignment="0" applyProtection="0"/>
    <xf numFmtId="40" fontId="158" fillId="0" borderId="0" applyFont="0" applyFill="0" applyBorder="0" applyAlignment="0" applyProtection="0"/>
    <xf numFmtId="0" fontId="205" fillId="40" borderId="0" applyNumberFormat="0" applyBorder="0" applyAlignment="0" applyProtection="0"/>
    <xf numFmtId="200" fontId="35" fillId="0" borderId="0" applyFont="0" applyFill="0" applyBorder="0" applyAlignment="0" applyProtection="0"/>
    <xf numFmtId="0" fontId="35" fillId="0" borderId="0"/>
    <xf numFmtId="0" fontId="1" fillId="0" borderId="0"/>
    <xf numFmtId="9" fontId="35" fillId="0" borderId="0" applyFont="0" applyFill="0" applyBorder="0" applyAlignment="0" applyProtection="0"/>
    <xf numFmtId="0" fontId="186" fillId="0" borderId="0" applyNumberFormat="0" applyFill="0" applyBorder="0" applyAlignment="0" applyProtection="0"/>
    <xf numFmtId="0" fontId="122" fillId="0" borderId="0" applyNumberFormat="0" applyFill="0" applyBorder="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70" fillId="0" borderId="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6"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189" fillId="36" borderId="0" applyNumberFormat="0" applyBorder="0" applyAlignment="0" applyProtection="0"/>
    <xf numFmtId="0" fontId="189" fillId="37" borderId="0" applyNumberFormat="0" applyBorder="0" applyAlignment="0" applyProtection="0"/>
    <xf numFmtId="0" fontId="189" fillId="38" borderId="0" applyNumberFormat="0" applyBorder="0" applyAlignment="0" applyProtection="0"/>
    <xf numFmtId="0" fontId="189" fillId="39" borderId="0" applyNumberFormat="0" applyBorder="0" applyAlignment="0" applyProtection="0"/>
    <xf numFmtId="0" fontId="189" fillId="40" borderId="0" applyNumberFormat="0" applyBorder="0" applyAlignment="0" applyProtection="0"/>
    <xf numFmtId="0" fontId="189" fillId="40" borderId="0" applyNumberFormat="0" applyBorder="0" applyAlignment="0" applyProtection="0"/>
    <xf numFmtId="0" fontId="189" fillId="41" borderId="0" applyNumberFormat="0" applyBorder="0" applyAlignment="0" applyProtection="0"/>
    <xf numFmtId="0" fontId="189" fillId="41" borderId="0" applyNumberFormat="0" applyBorder="0" applyAlignment="0" applyProtection="0"/>
    <xf numFmtId="0" fontId="189" fillId="36" borderId="0" applyNumberFormat="0" applyBorder="0" applyAlignment="0" applyProtection="0"/>
    <xf numFmtId="0" fontId="189" fillId="37" borderId="0" applyNumberFormat="0" applyBorder="0" applyAlignment="0" applyProtection="0"/>
    <xf numFmtId="0" fontId="189" fillId="38" borderId="0" applyNumberFormat="0" applyBorder="0" applyAlignment="0" applyProtection="0"/>
    <xf numFmtId="0" fontId="189" fillId="39" borderId="0" applyNumberFormat="0" applyBorder="0" applyAlignment="0" applyProtection="0"/>
    <xf numFmtId="0" fontId="189" fillId="40" borderId="0" applyNumberFormat="0" applyBorder="0" applyAlignment="0" applyProtection="0"/>
    <xf numFmtId="0" fontId="189" fillId="41" borderId="0" applyNumberFormat="0" applyBorder="0" applyAlignment="0" applyProtection="0"/>
    <xf numFmtId="209" fontId="207" fillId="0" borderId="0" applyFont="0" applyFill="0" applyBorder="0" applyAlignment="0" applyProtection="0"/>
    <xf numFmtId="209" fontId="223" fillId="0" borderId="0" applyFont="0" applyFill="0" applyBorder="0" applyAlignment="0" applyProtection="0"/>
    <xf numFmtId="210" fontId="207" fillId="0" borderId="0" applyFont="0" applyFill="0" applyBorder="0" applyAlignment="0" applyProtection="0"/>
    <xf numFmtId="210" fontId="223" fillId="0" borderId="0" applyFont="0" applyFill="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189" fillId="42" borderId="0" applyNumberFormat="0" applyBorder="0" applyAlignment="0" applyProtection="0"/>
    <xf numFmtId="0" fontId="189" fillId="42" borderId="0" applyNumberFormat="0" applyBorder="0" applyAlignment="0" applyProtection="0"/>
    <xf numFmtId="0" fontId="189" fillId="43" borderId="0" applyNumberFormat="0" applyBorder="0" applyAlignment="0" applyProtection="0"/>
    <xf numFmtId="0" fontId="189" fillId="43" borderId="0" applyNumberFormat="0" applyBorder="0" applyAlignment="0" applyProtection="0"/>
    <xf numFmtId="0" fontId="189" fillId="45" borderId="0" applyNumberFormat="0" applyBorder="0" applyAlignment="0" applyProtection="0"/>
    <xf numFmtId="0" fontId="189" fillId="39" borderId="0" applyNumberFormat="0" applyBorder="0" applyAlignment="0" applyProtection="0"/>
    <xf numFmtId="0" fontId="189" fillId="39" borderId="0" applyNumberFormat="0" applyBorder="0" applyAlignment="0" applyProtection="0"/>
    <xf numFmtId="0" fontId="189" fillId="42" borderId="0" applyNumberFormat="0" applyBorder="0" applyAlignment="0" applyProtection="0"/>
    <xf numFmtId="0" fontId="189" fillId="42" borderId="0" applyNumberFormat="0" applyBorder="0" applyAlignment="0" applyProtection="0"/>
    <xf numFmtId="0" fontId="189" fillId="46" borderId="0" applyNumberFormat="0" applyBorder="0" applyAlignment="0" applyProtection="0"/>
    <xf numFmtId="0" fontId="189" fillId="46" borderId="0" applyNumberFormat="0" applyBorder="0" applyAlignment="0" applyProtection="0"/>
    <xf numFmtId="0" fontId="189" fillId="42" borderId="0" applyNumberFormat="0" applyBorder="0" applyAlignment="0" applyProtection="0"/>
    <xf numFmtId="0" fontId="189" fillId="43" borderId="0" applyNumberFormat="0" applyBorder="0" applyAlignment="0" applyProtection="0"/>
    <xf numFmtId="0" fontId="189" fillId="45" borderId="0" applyNumberFormat="0" applyBorder="0" applyAlignment="0" applyProtection="0"/>
    <xf numFmtId="0" fontId="189" fillId="39" borderId="0" applyNumberFormat="0" applyBorder="0" applyAlignment="0" applyProtection="0"/>
    <xf numFmtId="0" fontId="189" fillId="42" borderId="0" applyNumberFormat="0" applyBorder="0" applyAlignment="0" applyProtection="0"/>
    <xf numFmtId="0" fontId="189" fillId="46"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8"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3"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5"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208" fillId="51" borderId="0" applyNumberFormat="0" applyBorder="0" applyAlignment="0" applyProtection="0"/>
    <xf numFmtId="0" fontId="190" fillId="48" borderId="0" applyNumberFormat="0" applyBorder="0" applyAlignment="0" applyProtection="0"/>
    <xf numFmtId="0" fontId="190" fillId="48" borderId="0" applyNumberFormat="0" applyBorder="0" applyAlignment="0" applyProtection="0"/>
    <xf numFmtId="0" fontId="190" fillId="43" borderId="0" applyNumberFormat="0" applyBorder="0" applyAlignment="0" applyProtection="0"/>
    <xf numFmtId="0" fontId="190" fillId="43" borderId="0" applyNumberFormat="0" applyBorder="0" applyAlignment="0" applyProtection="0"/>
    <xf numFmtId="0" fontId="190" fillId="45" borderId="0" applyNumberFormat="0" applyBorder="0" applyAlignment="0" applyProtection="0"/>
    <xf numFmtId="0" fontId="190" fillId="49" borderId="0" applyNumberFormat="0" applyBorder="0" applyAlignment="0" applyProtection="0"/>
    <xf numFmtId="0" fontId="190" fillId="50" borderId="0" applyNumberFormat="0" applyBorder="0" applyAlignment="0" applyProtection="0"/>
    <xf numFmtId="0" fontId="190" fillId="50" borderId="0" applyNumberFormat="0" applyBorder="0" applyAlignment="0" applyProtection="0"/>
    <xf numFmtId="0" fontId="190" fillId="51" borderId="0" applyNumberFormat="0" applyBorder="0" applyAlignment="0" applyProtection="0"/>
    <xf numFmtId="0" fontId="190" fillId="48" borderId="0" applyNumberFormat="0" applyBorder="0" applyAlignment="0" applyProtection="0"/>
    <xf numFmtId="0" fontId="190" fillId="43" borderId="0" applyNumberFormat="0" applyBorder="0" applyAlignment="0" applyProtection="0"/>
    <xf numFmtId="0" fontId="190" fillId="45" borderId="0" applyNumberFormat="0" applyBorder="0" applyAlignment="0" applyProtection="0"/>
    <xf numFmtId="0" fontId="190" fillId="49" borderId="0" applyNumberFormat="0" applyBorder="0" applyAlignment="0" applyProtection="0"/>
    <xf numFmtId="0" fontId="190" fillId="50" borderId="0" applyNumberFormat="0" applyBorder="0" applyAlignment="0" applyProtection="0"/>
    <xf numFmtId="0" fontId="190" fillId="51"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3"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4"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55"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49"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0"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208" fillId="52" borderId="0" applyNumberFormat="0" applyBorder="0" applyAlignment="0" applyProtection="0"/>
    <xf numFmtId="0" fontId="180" fillId="0" borderId="0" applyNumberFormat="0" applyFill="0" applyBorder="0" applyAlignment="0" applyProtection="0">
      <alignment vertical="top"/>
      <protection locked="0"/>
    </xf>
    <xf numFmtId="0" fontId="180" fillId="0" borderId="0" applyNumberFormat="0" applyFill="0" applyBorder="0" applyAlignment="0" applyProtection="0">
      <alignment vertical="top"/>
      <protection locked="0"/>
    </xf>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0" fontId="212" fillId="37" borderId="0" applyNumberFormat="0" applyBorder="0" applyAlignment="0" applyProtection="0"/>
    <xf numFmtId="2" fontId="160" fillId="0" borderId="0">
      <protection locked="0"/>
    </xf>
    <xf numFmtId="2" fontId="231" fillId="0" borderId="0">
      <protection locked="0"/>
    </xf>
    <xf numFmtId="0" fontId="160" fillId="0" borderId="0">
      <protection locked="0"/>
    </xf>
    <xf numFmtId="0" fontId="160" fillId="0" borderId="0">
      <protection locked="0"/>
    </xf>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3" fillId="56" borderId="33"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0" fontId="215" fillId="57" borderId="35" applyNumberFormat="0" applyAlignment="0" applyProtection="0"/>
    <xf numFmtId="234" fontId="170" fillId="0" borderId="0"/>
    <xf numFmtId="0" fontId="273" fillId="58" borderId="2">
      <alignment horizontal="right" vertical="center"/>
    </xf>
    <xf numFmtId="0" fontId="217" fillId="58" borderId="2">
      <alignment horizontal="right" vertical="center"/>
    </xf>
    <xf numFmtId="0" fontId="170" fillId="58" borderId="36"/>
    <xf numFmtId="0" fontId="216" fillId="66" borderId="2">
      <alignment horizontal="center" vertical="center"/>
    </xf>
    <xf numFmtId="0" fontId="273" fillId="58" borderId="2">
      <alignment horizontal="right" vertical="center"/>
    </xf>
    <xf numFmtId="0" fontId="218" fillId="58" borderId="2">
      <alignment horizontal="left" vertical="center"/>
    </xf>
    <xf numFmtId="0" fontId="218" fillId="58" borderId="37">
      <alignment vertical="center"/>
    </xf>
    <xf numFmtId="0" fontId="219" fillId="58" borderId="38">
      <alignment vertical="center"/>
    </xf>
    <xf numFmtId="0" fontId="218" fillId="58" borderId="2"/>
    <xf numFmtId="0" fontId="217" fillId="58" borderId="2">
      <alignment horizontal="right" vertical="center"/>
    </xf>
    <xf numFmtId="0" fontId="220" fillId="60" borderId="2">
      <alignment horizontal="left" vertical="center"/>
    </xf>
    <xf numFmtId="0" fontId="220" fillId="60" borderId="2">
      <alignment horizontal="left" vertical="center"/>
    </xf>
    <xf numFmtId="0" fontId="274" fillId="58" borderId="2">
      <alignment horizontal="left" vertical="center"/>
    </xf>
    <xf numFmtId="0" fontId="221" fillId="58" borderId="36"/>
    <xf numFmtId="0" fontId="216" fillId="59" borderId="2">
      <alignment horizontal="left" vertical="center"/>
    </xf>
    <xf numFmtId="49" fontId="46" fillId="0" borderId="2">
      <alignment horizontal="center" vertical="center"/>
      <protection locked="0"/>
    </xf>
    <xf numFmtId="49" fontId="46" fillId="0" borderId="2">
      <alignment horizontal="center" vertical="center"/>
      <protection locked="0"/>
    </xf>
    <xf numFmtId="49" fontId="46" fillId="0" borderId="2">
      <alignment horizontal="center" vertical="center"/>
      <protection locked="0"/>
    </xf>
    <xf numFmtId="49" fontId="46" fillId="0" borderId="2">
      <alignment horizontal="center" vertical="center"/>
      <protection locked="0"/>
    </xf>
    <xf numFmtId="49" fontId="46" fillId="0" borderId="2">
      <alignment horizontal="center" vertical="center"/>
      <protection locked="0"/>
    </xf>
    <xf numFmtId="49" fontId="46" fillId="0" borderId="2">
      <alignment horizontal="center" vertical="center"/>
      <protection locked="0"/>
    </xf>
    <xf numFmtId="49" fontId="46" fillId="0" borderId="2">
      <alignment horizontal="center" vertical="center"/>
      <protection locked="0"/>
    </xf>
    <xf numFmtId="49" fontId="46" fillId="0" borderId="2">
      <alignment horizontal="center" vertical="center"/>
      <protection locked="0"/>
    </xf>
    <xf numFmtId="49" fontId="46" fillId="0" borderId="2">
      <alignment horizontal="center" vertical="center"/>
      <protection locked="0"/>
    </xf>
    <xf numFmtId="49" fontId="46" fillId="0" borderId="2">
      <alignment horizontal="center" vertical="center"/>
      <protection locked="0"/>
    </xf>
    <xf numFmtId="49" fontId="46" fillId="0" borderId="2">
      <alignment horizontal="center" vertical="center"/>
      <protection locked="0"/>
    </xf>
    <xf numFmtId="49" fontId="46" fillId="0" borderId="2">
      <alignment horizontal="center" vertical="center"/>
      <protection locked="0"/>
    </xf>
    <xf numFmtId="49" fontId="46" fillId="0" borderId="2">
      <alignment horizontal="center" vertical="center"/>
      <protection locked="0"/>
    </xf>
    <xf numFmtId="43" fontId="43" fillId="0" borderId="0" applyFont="0" applyFill="0" applyBorder="0" applyAlignment="0" applyProtection="0"/>
    <xf numFmtId="202" fontId="35" fillId="0" borderId="0" applyFont="0" applyFill="0" applyBorder="0" applyAlignment="0" applyProtection="0"/>
    <xf numFmtId="43" fontId="223" fillId="0" borderId="0" applyFont="0" applyFill="0" applyBorder="0" applyAlignment="0" applyProtection="0"/>
    <xf numFmtId="43" fontId="223" fillId="0" borderId="0" applyFont="0" applyFill="0" applyBorder="0" applyAlignment="0" applyProtection="0"/>
    <xf numFmtId="43" fontId="223" fillId="0" borderId="0" applyFont="0" applyFill="0" applyBorder="0" applyAlignment="0" applyProtection="0"/>
    <xf numFmtId="43" fontId="223" fillId="0" borderId="0" applyFont="0" applyFill="0" applyBorder="0" applyAlignment="0" applyProtection="0"/>
    <xf numFmtId="43" fontId="223" fillId="0" borderId="0" applyFont="0" applyFill="0" applyBorder="0" applyAlignment="0" applyProtection="0"/>
    <xf numFmtId="43" fontId="223" fillId="0" borderId="0" applyFont="0" applyFill="0" applyBorder="0" applyAlignment="0" applyProtection="0"/>
    <xf numFmtId="43" fontId="223" fillId="0" borderId="0" applyFont="0" applyFill="0" applyBorder="0" applyAlignment="0" applyProtection="0"/>
    <xf numFmtId="43" fontId="223" fillId="0" borderId="0" applyFont="0" applyFill="0" applyBorder="0" applyAlignment="0" applyProtection="0"/>
    <xf numFmtId="3" fontId="170" fillId="0" borderId="0" applyFont="0" applyFill="0" applyBorder="0" applyAlignment="0" applyProtection="0"/>
    <xf numFmtId="3" fontId="170" fillId="0" borderId="0" applyFont="0" applyFill="0" applyBorder="0" applyAlignment="0" applyProtection="0"/>
    <xf numFmtId="3" fontId="170" fillId="0" borderId="0" applyFont="0" applyFill="0" applyBorder="0" applyAlignment="0" applyProtection="0"/>
    <xf numFmtId="3" fontId="170" fillId="0" borderId="0" applyFont="0" applyFill="0" applyBorder="0" applyAlignment="0" applyProtection="0"/>
    <xf numFmtId="3" fontId="170" fillId="0" borderId="0" applyFont="0" applyFill="0" applyBorder="0" applyAlignment="0" applyProtection="0"/>
    <xf numFmtId="3" fontId="170" fillId="0" borderId="0" applyFont="0" applyFill="0" applyBorder="0" applyAlignment="0" applyProtection="0"/>
    <xf numFmtId="3" fontId="170" fillId="0" borderId="0" applyFont="0" applyFill="0" applyBorder="0" applyAlignment="0" applyProtection="0"/>
    <xf numFmtId="220" fontId="170" fillId="0" borderId="0" applyFont="0" applyFill="0" applyBorder="0" applyAlignment="0" applyProtection="0"/>
    <xf numFmtId="2" fontId="160" fillId="0" borderId="0">
      <protection locked="0"/>
    </xf>
    <xf numFmtId="0" fontId="170" fillId="0" borderId="0" applyFont="0" applyFill="0" applyBorder="0" applyAlignment="0" applyProtection="0"/>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49" fontId="24" fillId="0" borderId="2">
      <alignment horizontal="left" vertical="center"/>
      <protection locked="0"/>
    </xf>
    <xf numFmtId="167" fontId="275" fillId="0" borderId="0"/>
    <xf numFmtId="235" fontId="170" fillId="0" borderId="0" applyFont="0" applyFill="0" applyBorder="0" applyAlignment="0" applyProtection="0"/>
    <xf numFmtId="205" fontId="234" fillId="0" borderId="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0" fontId="229" fillId="0" borderId="0" applyNumberFormat="0" applyFill="0" applyBorder="0" applyAlignment="0" applyProtection="0"/>
    <xf numFmtId="195" fontId="170" fillId="0" borderId="0" applyFont="0" applyFill="0" applyBorder="0" applyAlignment="0" applyProtection="0"/>
    <xf numFmtId="195" fontId="170" fillId="0" borderId="0" applyFont="0" applyFill="0" applyBorder="0" applyAlignment="0" applyProtection="0"/>
    <xf numFmtId="195" fontId="170" fillId="0" borderId="0" applyFont="0" applyFill="0" applyBorder="0" applyAlignment="0" applyProtection="0"/>
    <xf numFmtId="0" fontId="232" fillId="0" borderId="0"/>
    <xf numFmtId="195" fontId="170" fillId="0" borderId="0" applyFont="0" applyFill="0" applyBorder="0" applyAlignment="0" applyProtection="0"/>
    <xf numFmtId="0" fontId="233" fillId="0" borderId="0"/>
    <xf numFmtId="195" fontId="170" fillId="0" borderId="0" applyFont="0" applyFill="0" applyBorder="0" applyAlignment="0" applyProtection="0"/>
    <xf numFmtId="0" fontId="233" fillId="0" borderId="0"/>
    <xf numFmtId="195" fontId="170" fillId="0" borderId="0" applyFont="0" applyFill="0" applyBorder="0" applyAlignment="0" applyProtection="0"/>
    <xf numFmtId="0" fontId="233" fillId="0" borderId="0"/>
    <xf numFmtId="195" fontId="170" fillId="0" borderId="0" applyFont="0" applyFill="0" applyBorder="0" applyAlignment="0" applyProtection="0"/>
    <xf numFmtId="0" fontId="230" fillId="0" borderId="0"/>
    <xf numFmtId="0" fontId="160" fillId="0" borderId="0">
      <protection locked="0"/>
    </xf>
    <xf numFmtId="236" fontId="160" fillId="0" borderId="0">
      <protection locked="0"/>
    </xf>
    <xf numFmtId="2" fontId="170" fillId="0" borderId="0" applyFont="0" applyFill="0" applyBorder="0" applyAlignment="0" applyProtection="0"/>
    <xf numFmtId="0" fontId="233" fillId="0" borderId="0"/>
    <xf numFmtId="0" fontId="234" fillId="0" borderId="0"/>
    <xf numFmtId="0" fontId="233" fillId="0" borderId="0"/>
    <xf numFmtId="236" fontId="160" fillId="0" borderId="0">
      <protection locked="0"/>
    </xf>
    <xf numFmtId="237" fontId="276" fillId="0" borderId="0" applyAlignment="0">
      <alignment wrapText="1"/>
    </xf>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5" fillId="38" borderId="0" applyNumberFormat="0" applyBorder="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7" fillId="0" borderId="39"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8" fillId="0" borderId="40"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41" applyNumberFormat="0" applyFill="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238" fontId="161" fillId="0" borderId="0">
      <protection locked="0"/>
    </xf>
    <xf numFmtId="238" fontId="161" fillId="0" borderId="0">
      <protection locked="0"/>
    </xf>
    <xf numFmtId="0" fontId="277" fillId="0" borderId="0" applyNumberFormat="0" applyFill="0" applyBorder="0" applyAlignment="0" applyProtection="0">
      <alignment vertical="top"/>
      <protection locked="0"/>
    </xf>
    <xf numFmtId="0" fontId="278" fillId="0" borderId="0" applyNumberFormat="0" applyFill="0" applyBorder="0" applyAlignment="0" applyProtection="0">
      <alignment vertical="top"/>
      <protection locked="0"/>
    </xf>
    <xf numFmtId="0" fontId="279" fillId="0" borderId="0" applyNumberFormat="0" applyFill="0" applyBorder="0" applyAlignment="0" applyProtection="0">
      <alignment vertical="top"/>
      <protection locked="0"/>
    </xf>
    <xf numFmtId="0" fontId="280"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2" fillId="0" borderId="0" applyNumberFormat="0" applyFill="0" applyBorder="0" applyAlignment="0" applyProtection="0">
      <alignment vertical="top"/>
      <protection locked="0"/>
    </xf>
    <xf numFmtId="0" fontId="281" fillId="0" borderId="0" applyNumberFormat="0" applyFill="0" applyBorder="0" applyAlignment="0" applyProtection="0">
      <alignment vertical="top"/>
      <protection locked="0"/>
    </xf>
    <xf numFmtId="0" fontId="282" fillId="0" borderId="0" applyNumberFormat="0" applyFill="0" applyBorder="0" applyAlignment="0" applyProtection="0">
      <alignment vertical="top"/>
      <protection locked="0"/>
    </xf>
    <xf numFmtId="195" fontId="207" fillId="0" borderId="0" applyFont="0" applyFill="0" applyBorder="0" applyAlignment="0" applyProtection="0"/>
    <xf numFmtId="195" fontId="223" fillId="0" borderId="0" applyFont="0" applyFill="0" applyBorder="0" applyAlignment="0" applyProtection="0"/>
    <xf numFmtId="3" fontId="207" fillId="0" borderId="0" applyFont="0" applyFill="0" applyBorder="0" applyAlignment="0" applyProtection="0"/>
    <xf numFmtId="3" fontId="223" fillId="0" borderId="0" applyFont="0" applyFill="0" applyBorder="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243" fillId="41" borderId="33" applyNumberFormat="0" applyAlignment="0" applyProtection="0"/>
    <xf numFmtId="0" fontId="185" fillId="0" borderId="0" applyNumberFormat="0" applyFill="0" applyBorder="0" applyAlignment="0" applyProtection="0">
      <alignment vertical="top"/>
      <protection locked="0"/>
    </xf>
    <xf numFmtId="0" fontId="185" fillId="0" borderId="0" applyNumberFormat="0" applyFill="0" applyBorder="0" applyAlignment="0" applyProtection="0">
      <alignment vertical="top"/>
      <protection locked="0"/>
    </xf>
    <xf numFmtId="15" fontId="170" fillId="0" borderId="0"/>
    <xf numFmtId="0" fontId="233" fillId="0" borderId="42"/>
    <xf numFmtId="49" fontId="24" fillId="0" borderId="0" applyNumberFormat="0" applyFont="0" applyAlignment="0">
      <alignment vertical="top" wrapText="1"/>
      <protection locked="0"/>
    </xf>
    <xf numFmtId="49" fontId="24" fillId="0" borderId="0" applyNumberFormat="0" applyFont="0" applyAlignment="0">
      <alignment vertical="top" wrapText="1"/>
    </xf>
    <xf numFmtId="49" fontId="24" fillId="0" borderId="0" applyNumberFormat="0" applyFont="0" applyAlignment="0">
      <alignment vertical="top" wrapText="1"/>
    </xf>
    <xf numFmtId="49" fontId="24" fillId="0" borderId="0" applyNumberFormat="0" applyFont="0" applyAlignment="0">
      <alignment vertical="top" wrapText="1"/>
      <protection locked="0"/>
    </xf>
    <xf numFmtId="49" fontId="24" fillId="0" borderId="0" applyNumberFormat="0" applyFont="0" applyAlignment="0">
      <alignment vertical="top" wrapText="1"/>
    </xf>
    <xf numFmtId="49" fontId="24" fillId="0" borderId="0" applyNumberFormat="0" applyFont="0" applyAlignment="0">
      <alignment vertical="top" wrapText="1"/>
      <protection locked="0"/>
    </xf>
    <xf numFmtId="49" fontId="24" fillId="0" borderId="0" applyNumberFormat="0" applyFont="0" applyAlignment="0">
      <alignment vertical="top" wrapText="1"/>
    </xf>
    <xf numFmtId="49" fontId="24" fillId="0" borderId="0" applyNumberFormat="0" applyFont="0" applyAlignment="0">
      <alignment vertical="top" wrapText="1"/>
      <protection locked="0"/>
    </xf>
    <xf numFmtId="49" fontId="24" fillId="0" borderId="0" applyNumberFormat="0" applyFont="0" applyAlignment="0">
      <alignment vertical="top" wrapText="1"/>
      <protection locked="0"/>
    </xf>
    <xf numFmtId="49" fontId="24" fillId="0" borderId="0" applyNumberFormat="0" applyFont="0" applyAlignment="0">
      <alignment vertical="top" wrapText="1"/>
      <protection locked="0"/>
    </xf>
    <xf numFmtId="49" fontId="24" fillId="0" borderId="0" applyNumberFormat="0" applyFont="0" applyAlignment="0">
      <alignment vertical="top" wrapText="1"/>
      <protection locked="0"/>
    </xf>
    <xf numFmtId="49" fontId="24" fillId="0" borderId="0" applyNumberFormat="0" applyFont="0" applyAlignment="0">
      <alignment vertical="top" wrapText="1"/>
      <protection locked="0"/>
    </xf>
    <xf numFmtId="49" fontId="24" fillId="0" borderId="0" applyNumberFormat="0" applyFont="0" applyAlignment="0">
      <alignment vertical="top" wrapText="1"/>
      <protection locked="0"/>
    </xf>
    <xf numFmtId="49" fontId="24" fillId="0" borderId="0" applyNumberFormat="0" applyFont="0" applyAlignment="0">
      <alignment vertical="top" wrapText="1"/>
      <protection locked="0"/>
    </xf>
    <xf numFmtId="49" fontId="24" fillId="0" borderId="0" applyNumberFormat="0" applyFont="0" applyAlignment="0">
      <alignment vertical="top" wrapText="1"/>
      <protection locked="0"/>
    </xf>
    <xf numFmtId="49" fontId="24" fillId="0" borderId="0" applyNumberFormat="0" applyFont="0" applyAlignment="0">
      <alignment vertical="top" wrapText="1"/>
      <protection locked="0"/>
    </xf>
    <xf numFmtId="49" fontId="24" fillId="0" borderId="0" applyNumberFormat="0" applyFont="0" applyAlignment="0">
      <alignment vertical="top" wrapText="1"/>
      <protection locked="0"/>
    </xf>
    <xf numFmtId="49" fontId="24" fillId="0" borderId="0" applyNumberFormat="0" applyFont="0" applyAlignment="0">
      <alignment vertical="top" wrapText="1"/>
      <protection locked="0"/>
    </xf>
    <xf numFmtId="49" fontId="24" fillId="0" borderId="0" applyNumberFormat="0" applyFont="0" applyAlignment="0">
      <alignment vertical="top" wrapText="1"/>
      <protection locked="0"/>
    </xf>
    <xf numFmtId="49" fontId="24" fillId="0" borderId="0" applyNumberFormat="0" applyFont="0" applyAlignment="0">
      <alignment vertical="top" wrapText="1"/>
      <protection locked="0"/>
    </xf>
    <xf numFmtId="49" fontId="60" fillId="58" borderId="54">
      <alignment horizontal="left" vertical="center"/>
      <protection locked="0"/>
    </xf>
    <xf numFmtId="49" fontId="60" fillId="58" borderId="54">
      <alignment horizontal="left" vertical="center"/>
    </xf>
    <xf numFmtId="4" fontId="60" fillId="58" borderId="54">
      <alignment horizontal="right" vertical="center"/>
      <protection locked="0"/>
    </xf>
    <xf numFmtId="4" fontId="60" fillId="58" borderId="54">
      <alignment horizontal="right" vertical="center"/>
    </xf>
    <xf numFmtId="4" fontId="283" fillId="58" borderId="54">
      <alignment horizontal="right" vertical="center"/>
      <protection locked="0"/>
    </xf>
    <xf numFmtId="49" fontId="284" fillId="58" borderId="2">
      <alignment horizontal="left" vertical="center"/>
      <protection locked="0"/>
    </xf>
    <xf numFmtId="49" fontId="284" fillId="58" borderId="2">
      <alignment horizontal="left" vertical="center"/>
    </xf>
    <xf numFmtId="49" fontId="285" fillId="58" borderId="2">
      <alignment horizontal="left" vertical="center"/>
      <protection locked="0"/>
    </xf>
    <xf numFmtId="49" fontId="285" fillId="58" borderId="2">
      <alignment horizontal="left" vertical="center"/>
    </xf>
    <xf numFmtId="4" fontId="284" fillId="58" borderId="2">
      <alignment horizontal="right" vertical="center"/>
      <protection locked="0"/>
    </xf>
    <xf numFmtId="4" fontId="284" fillId="58" borderId="2">
      <alignment horizontal="right" vertical="center"/>
    </xf>
    <xf numFmtId="4" fontId="286" fillId="58" borderId="2">
      <alignment horizontal="right" vertical="center"/>
      <protection locked="0"/>
    </xf>
    <xf numFmtId="49" fontId="46" fillId="58" borderId="2">
      <alignment horizontal="left" vertical="center"/>
      <protection locked="0"/>
    </xf>
    <xf numFmtId="49" fontId="46" fillId="58" borderId="2">
      <alignment horizontal="left" vertical="center"/>
      <protection locked="0"/>
    </xf>
    <xf numFmtId="49" fontId="46" fillId="58" borderId="2">
      <alignment horizontal="left" vertical="center"/>
    </xf>
    <xf numFmtId="49" fontId="46" fillId="58" borderId="2">
      <alignment horizontal="left" vertical="center"/>
    </xf>
    <xf numFmtId="49" fontId="283" fillId="58" borderId="2">
      <alignment horizontal="left" vertical="center"/>
      <protection locked="0"/>
    </xf>
    <xf numFmtId="49" fontId="283" fillId="58" borderId="2">
      <alignment horizontal="left" vertical="center"/>
    </xf>
    <xf numFmtId="4" fontId="46" fillId="58" borderId="2">
      <alignment horizontal="right" vertical="center"/>
      <protection locked="0"/>
    </xf>
    <xf numFmtId="4" fontId="46" fillId="58" borderId="2">
      <alignment horizontal="right" vertical="center"/>
      <protection locked="0"/>
    </xf>
    <xf numFmtId="4" fontId="46" fillId="58" borderId="2">
      <alignment horizontal="right" vertical="center"/>
    </xf>
    <xf numFmtId="4" fontId="46" fillId="58" borderId="2">
      <alignment horizontal="right" vertical="center"/>
    </xf>
    <xf numFmtId="4" fontId="283" fillId="58" borderId="2">
      <alignment horizontal="right" vertical="center"/>
      <protection locked="0"/>
    </xf>
    <xf numFmtId="49" fontId="54" fillId="58" borderId="2">
      <alignment horizontal="left" vertical="center"/>
      <protection locked="0"/>
    </xf>
    <xf numFmtId="49" fontId="54" fillId="58" borderId="2">
      <alignment horizontal="left" vertical="center"/>
    </xf>
    <xf numFmtId="49" fontId="287" fillId="58" borderId="2">
      <alignment horizontal="left" vertical="center"/>
      <protection locked="0"/>
    </xf>
    <xf numFmtId="49" fontId="287" fillId="58" borderId="2">
      <alignment horizontal="left" vertical="center"/>
    </xf>
    <xf numFmtId="4" fontId="54" fillId="58" borderId="2">
      <alignment horizontal="right" vertical="center"/>
      <protection locked="0"/>
    </xf>
    <xf numFmtId="4" fontId="54" fillId="58" borderId="2">
      <alignment horizontal="right" vertical="center"/>
    </xf>
    <xf numFmtId="4" fontId="288" fillId="58" borderId="2">
      <alignment horizontal="right" vertical="center"/>
      <protection locked="0"/>
    </xf>
    <xf numFmtId="49" fontId="289" fillId="0" borderId="2">
      <alignment horizontal="left" vertical="center"/>
      <protection locked="0"/>
    </xf>
    <xf numFmtId="49" fontId="289" fillId="0" borderId="2">
      <alignment horizontal="left" vertical="center"/>
    </xf>
    <xf numFmtId="49" fontId="290" fillId="0" borderId="2">
      <alignment horizontal="left" vertical="center"/>
      <protection locked="0"/>
    </xf>
    <xf numFmtId="49" fontId="290" fillId="0" borderId="2">
      <alignment horizontal="left" vertical="center"/>
    </xf>
    <xf numFmtId="4" fontId="289" fillId="0" borderId="2">
      <alignment horizontal="right" vertical="center"/>
      <protection locked="0"/>
    </xf>
    <xf numFmtId="4" fontId="289" fillId="0" borderId="2">
      <alignment horizontal="right" vertical="center"/>
    </xf>
    <xf numFmtId="4" fontId="290" fillId="0" borderId="2">
      <alignment horizontal="right" vertical="center"/>
      <protection locked="0"/>
    </xf>
    <xf numFmtId="49" fontId="56" fillId="0" borderId="2">
      <alignment horizontal="left" vertical="center"/>
      <protection locked="0"/>
    </xf>
    <xf numFmtId="49" fontId="56" fillId="0" borderId="2">
      <alignment horizontal="left" vertical="center"/>
    </xf>
    <xf numFmtId="49" fontId="291" fillId="0" borderId="2">
      <alignment horizontal="left" vertical="center"/>
      <protection locked="0"/>
    </xf>
    <xf numFmtId="49" fontId="291" fillId="0" borderId="2">
      <alignment horizontal="left" vertical="center"/>
    </xf>
    <xf numFmtId="4" fontId="56" fillId="0" borderId="2">
      <alignment horizontal="right" vertical="center"/>
      <protection locked="0"/>
    </xf>
    <xf numFmtId="4" fontId="56" fillId="0" borderId="2">
      <alignment horizontal="right" vertical="center"/>
    </xf>
    <xf numFmtId="49" fontId="289" fillId="0" borderId="2">
      <alignment horizontal="left" vertical="center"/>
      <protection locked="0"/>
    </xf>
    <xf numFmtId="49" fontId="290" fillId="0" borderId="2">
      <alignment horizontal="left" vertical="center"/>
      <protection locked="0"/>
    </xf>
    <xf numFmtId="4" fontId="289" fillId="0" borderId="2">
      <alignment horizontal="right" vertical="center"/>
      <protection locked="0"/>
    </xf>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0" fontId="245" fillId="0" borderId="43" applyNumberFormat="0" applyFill="0" applyAlignment="0" applyProtection="0"/>
    <xf numFmtId="1" fontId="223" fillId="0" borderId="0" applyNumberFormat="0" applyAlignment="0">
      <alignment horizontal="center"/>
    </xf>
    <xf numFmtId="239" fontId="292" fillId="0" borderId="0" applyNumberFormat="0">
      <alignment horizontal="centerContinuous"/>
    </xf>
    <xf numFmtId="41" fontId="223" fillId="0" borderId="0" applyFont="0" applyFill="0" applyBorder="0" applyAlignment="0" applyProtection="0"/>
    <xf numFmtId="43" fontId="223" fillId="0" borderId="0" applyFont="0" applyFill="0" applyBorder="0" applyAlignment="0" applyProtection="0"/>
    <xf numFmtId="240" fontId="230" fillId="0" borderId="0" applyFont="0" applyFill="0" applyBorder="0" applyAlignment="0" applyProtection="0"/>
    <xf numFmtId="241" fontId="230" fillId="0" borderId="0" applyFont="0" applyFill="0" applyBorder="0" applyAlignment="0" applyProtection="0"/>
    <xf numFmtId="242" fontId="160" fillId="0" borderId="0">
      <protection locked="0"/>
    </xf>
    <xf numFmtId="221" fontId="223" fillId="0" borderId="0" applyFont="0" applyFill="0" applyBorder="0" applyAlignment="0" applyProtection="0"/>
    <xf numFmtId="222" fontId="223" fillId="0" borderId="0" applyFont="0" applyFill="0" applyBorder="0" applyAlignment="0" applyProtection="0"/>
    <xf numFmtId="243" fontId="160" fillId="0" borderId="0">
      <protection locked="0"/>
    </xf>
    <xf numFmtId="244" fontId="160" fillId="0" borderId="0">
      <protection locked="0"/>
    </xf>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49" fillId="47" borderId="0" applyNumberFormat="0" applyBorder="0" applyAlignment="0" applyProtection="0"/>
    <xf numFmtId="0" fontId="293" fillId="0" borderId="0"/>
    <xf numFmtId="0" fontId="187" fillId="0" borderId="0"/>
    <xf numFmtId="0" fontId="294" fillId="0" borderId="0"/>
    <xf numFmtId="0" fontId="187" fillId="0" borderId="0"/>
    <xf numFmtId="0" fontId="234" fillId="0" borderId="0"/>
    <xf numFmtId="0" fontId="234" fillId="0" borderId="0"/>
    <xf numFmtId="0" fontId="43" fillId="0" borderId="0"/>
    <xf numFmtId="0" fontId="43" fillId="0" borderId="0"/>
    <xf numFmtId="0" fontId="223" fillId="0" borderId="0"/>
    <xf numFmtId="0" fontId="262" fillId="0" borderId="0"/>
    <xf numFmtId="0" fontId="170" fillId="0" borderId="0"/>
    <xf numFmtId="0" fontId="43" fillId="0" borderId="0"/>
    <xf numFmtId="0" fontId="129" fillId="0" borderId="0"/>
    <xf numFmtId="0" fontId="223" fillId="0" borderId="0"/>
    <xf numFmtId="0" fontId="223" fillId="0" borderId="0"/>
    <xf numFmtId="0" fontId="170" fillId="0" borderId="0"/>
    <xf numFmtId="0" fontId="295" fillId="0" borderId="0"/>
    <xf numFmtId="0" fontId="223" fillId="0" borderId="0"/>
    <xf numFmtId="0" fontId="223" fillId="0" borderId="0"/>
    <xf numFmtId="0" fontId="223" fillId="0" borderId="0"/>
    <xf numFmtId="0" fontId="223" fillId="0" borderId="0"/>
    <xf numFmtId="0" fontId="223" fillId="0" borderId="0"/>
    <xf numFmtId="0" fontId="223" fillId="0" borderId="0"/>
    <xf numFmtId="0" fontId="223" fillId="0" borderId="0"/>
    <xf numFmtId="0" fontId="223" fillId="0" borderId="0"/>
    <xf numFmtId="0" fontId="223" fillId="0" borderId="0" applyBorder="0"/>
    <xf numFmtId="0" fontId="170" fillId="0" borderId="0"/>
    <xf numFmtId="0" fontId="170" fillId="0" borderId="0"/>
    <xf numFmtId="0" fontId="223" fillId="0" borderId="0"/>
    <xf numFmtId="0" fontId="223" fillId="0" borderId="0"/>
    <xf numFmtId="0" fontId="35" fillId="0" borderId="0"/>
    <xf numFmtId="0" fontId="223" fillId="0" borderId="0"/>
    <xf numFmtId="0" fontId="296" fillId="0" borderId="0"/>
    <xf numFmtId="0" fontId="170" fillId="0" borderId="0"/>
    <xf numFmtId="0" fontId="223" fillId="0" borderId="0" applyBorder="0"/>
    <xf numFmtId="0" fontId="35" fillId="0" borderId="0"/>
    <xf numFmtId="0" fontId="43" fillId="0" borderId="0"/>
    <xf numFmtId="0" fontId="43" fillId="0" borderId="0"/>
    <xf numFmtId="245" fontId="297" fillId="0" borderId="0"/>
    <xf numFmtId="0" fontId="223" fillId="0" borderId="0"/>
    <xf numFmtId="0" fontId="189" fillId="0" borderId="0"/>
    <xf numFmtId="0" fontId="13" fillId="0" borderId="0"/>
    <xf numFmtId="0" fontId="13" fillId="0" borderId="0"/>
    <xf numFmtId="0" fontId="13" fillId="0" borderId="0"/>
    <xf numFmtId="0" fontId="187"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0" fontId="187" fillId="44" borderId="44" applyNumberFormat="0" applyFont="0" applyAlignment="0" applyProtection="0"/>
    <xf numFmtId="4" fontId="45" fillId="66" borderId="2">
      <alignment horizontal="right" vertical="center"/>
      <protection locked="0"/>
    </xf>
    <xf numFmtId="4" fontId="45" fillId="64" borderId="2">
      <alignment horizontal="right" vertical="center"/>
      <protection locked="0"/>
    </xf>
    <xf numFmtId="4" fontId="45" fillId="59" borderId="2">
      <alignment horizontal="right" vertical="center"/>
      <protection locked="0"/>
    </xf>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0" fontId="253" fillId="56" borderId="45" applyNumberFormat="0" applyAlignment="0" applyProtection="0"/>
    <xf numFmtId="9" fontId="223" fillId="0" borderId="0" applyFont="0" applyFill="0" applyBorder="0" applyAlignment="0" applyProtection="0"/>
    <xf numFmtId="9" fontId="170" fillId="0" borderId="0" applyFont="0" applyFill="0" applyBorder="0" applyAlignment="0" applyProtection="0"/>
    <xf numFmtId="9" fontId="170" fillId="0" borderId="0" applyFont="0" applyFill="0" applyBorder="0" applyAlignment="0" applyProtection="0"/>
    <xf numFmtId="9" fontId="43" fillId="0" borderId="0" applyFont="0" applyFill="0" applyBorder="0" applyAlignment="0" applyProtection="0"/>
    <xf numFmtId="226" fontId="223" fillId="0" borderId="0" applyFont="0" applyFill="0" applyBorder="0" applyAlignment="0" applyProtection="0"/>
    <xf numFmtId="246" fontId="160" fillId="0" borderId="0">
      <protection locked="0"/>
    </xf>
    <xf numFmtId="247" fontId="160" fillId="0" borderId="0">
      <protection locked="0"/>
    </xf>
    <xf numFmtId="248" fontId="170" fillId="0" borderId="0" applyFont="0" applyFill="0" applyBorder="0" applyAlignment="0" applyProtection="0"/>
    <xf numFmtId="246" fontId="160" fillId="0" borderId="0">
      <protection locked="0"/>
    </xf>
    <xf numFmtId="229" fontId="223" fillId="0" borderId="0" applyFill="0" applyBorder="0" applyAlignment="0">
      <alignment horizontal="centerContinuous"/>
    </xf>
    <xf numFmtId="247" fontId="160" fillId="0" borderId="0">
      <protection locked="0"/>
    </xf>
    <xf numFmtId="249" fontId="160" fillId="0" borderId="0">
      <protection locked="0"/>
    </xf>
    <xf numFmtId="49" fontId="46" fillId="0" borderId="2">
      <alignment horizontal="left" vertical="center" wrapText="1"/>
      <protection locked="0"/>
    </xf>
    <xf numFmtId="49" fontId="46" fillId="0" borderId="2">
      <alignment horizontal="left" vertical="center" wrapText="1"/>
      <protection locked="0"/>
    </xf>
    <xf numFmtId="4" fontId="298" fillId="67" borderId="55" applyNumberFormat="0" applyProtection="0">
      <alignment vertical="center"/>
    </xf>
    <xf numFmtId="4" fontId="299" fillId="67" borderId="55" applyNumberFormat="0" applyProtection="0">
      <alignment vertical="center"/>
    </xf>
    <xf numFmtId="4" fontId="300" fillId="0" borderId="0" applyNumberFormat="0" applyProtection="0">
      <alignment horizontal="left" vertical="center" indent="1"/>
    </xf>
    <xf numFmtId="4" fontId="301" fillId="68" borderId="55" applyNumberFormat="0" applyProtection="0">
      <alignment horizontal="left" vertical="center" indent="1"/>
    </xf>
    <xf numFmtId="4" fontId="302" fillId="69" borderId="55" applyNumberFormat="0" applyProtection="0">
      <alignment vertical="center"/>
    </xf>
    <xf numFmtId="4" fontId="303" fillId="66" borderId="55" applyNumberFormat="0" applyProtection="0">
      <alignment vertical="center"/>
    </xf>
    <xf numFmtId="4" fontId="302" fillId="70" borderId="55" applyNumberFormat="0" applyProtection="0">
      <alignment vertical="center"/>
    </xf>
    <xf numFmtId="4" fontId="304" fillId="69" borderId="55" applyNumberFormat="0" applyProtection="0">
      <alignment vertical="center"/>
    </xf>
    <xf numFmtId="4" fontId="305" fillId="71" borderId="55" applyNumberFormat="0" applyProtection="0">
      <alignment horizontal="left" vertical="center" indent="1"/>
    </xf>
    <xf numFmtId="4" fontId="305" fillId="64" borderId="55" applyNumberFormat="0" applyProtection="0">
      <alignment horizontal="left" vertical="center" indent="1"/>
    </xf>
    <xf numFmtId="4" fontId="306" fillId="68" borderId="55" applyNumberFormat="0" applyProtection="0">
      <alignment horizontal="left" vertical="center" indent="1"/>
    </xf>
    <xf numFmtId="4" fontId="307" fillId="65" borderId="55" applyNumberFormat="0" applyProtection="0">
      <alignment vertical="center"/>
    </xf>
    <xf numFmtId="4" fontId="308" fillId="58" borderId="55" applyNumberFormat="0" applyProtection="0">
      <alignment horizontal="left" vertical="center" indent="1"/>
    </xf>
    <xf numFmtId="4" fontId="309" fillId="64" borderId="55" applyNumberFormat="0" applyProtection="0">
      <alignment horizontal="left" vertical="center" indent="1"/>
    </xf>
    <xf numFmtId="4" fontId="310" fillId="68" borderId="55" applyNumberFormat="0" applyProtection="0">
      <alignment horizontal="left" vertical="center" indent="1"/>
    </xf>
    <xf numFmtId="4" fontId="311" fillId="58" borderId="55" applyNumberFormat="0" applyProtection="0">
      <alignment vertical="center"/>
    </xf>
    <xf numFmtId="4" fontId="312" fillId="58" borderId="55" applyNumberFormat="0" applyProtection="0">
      <alignment vertical="center"/>
    </xf>
    <xf numFmtId="4" fontId="305" fillId="64" borderId="55" applyNumberFormat="0" applyProtection="0">
      <alignment horizontal="left" vertical="center" indent="1"/>
    </xf>
    <xf numFmtId="4" fontId="313" fillId="58" borderId="55" applyNumberFormat="0" applyProtection="0">
      <alignment vertical="center"/>
    </xf>
    <xf numFmtId="4" fontId="314" fillId="58" borderId="55" applyNumberFormat="0" applyProtection="0">
      <alignment vertical="center"/>
    </xf>
    <xf numFmtId="4" fontId="236" fillId="0" borderId="0" applyNumberFormat="0" applyProtection="0">
      <alignment horizontal="left" vertical="center" indent="1"/>
    </xf>
    <xf numFmtId="4" fontId="315" fillId="58" borderId="55" applyNumberFormat="0" applyProtection="0">
      <alignment vertical="center"/>
    </xf>
    <xf numFmtId="4" fontId="316" fillId="58" borderId="55" applyNumberFormat="0" applyProtection="0">
      <alignment vertical="center"/>
    </xf>
    <xf numFmtId="4" fontId="305" fillId="72" borderId="55" applyNumberFormat="0" applyProtection="0">
      <alignment horizontal="left" vertical="center" indent="1"/>
    </xf>
    <xf numFmtId="4" fontId="317" fillId="65" borderId="55" applyNumberFormat="0" applyProtection="0">
      <alignment horizontal="left" indent="1"/>
    </xf>
    <xf numFmtId="4" fontId="318" fillId="58" borderId="55" applyNumberFormat="0" applyProtection="0">
      <alignment vertical="center"/>
    </xf>
    <xf numFmtId="38" fontId="230" fillId="0" borderId="52"/>
    <xf numFmtId="250" fontId="170" fillId="0" borderId="0">
      <protection locked="0"/>
    </xf>
    <xf numFmtId="38" fontId="230" fillId="0" borderId="0" applyFont="0" applyFill="0" applyBorder="0" applyAlignment="0" applyProtection="0"/>
    <xf numFmtId="40" fontId="230" fillId="0" borderId="0" applyFont="0" applyFill="0" applyBorder="0" applyAlignment="0" applyProtection="0"/>
    <xf numFmtId="0" fontId="319" fillId="0" borderId="0" applyNumberFormat="0" applyFill="0" applyBorder="0" applyAlignment="0" applyProtection="0"/>
    <xf numFmtId="0" fontId="170" fillId="0" borderId="0" applyNumberFormat="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0" fontId="257" fillId="0" borderId="0" applyNumberFormat="0" applyFill="0" applyBorder="0" applyAlignment="0" applyProtection="0"/>
    <xf numFmtId="2" fontId="161" fillId="0" borderId="0">
      <protection locked="0"/>
    </xf>
    <xf numFmtId="2" fontId="161" fillId="0" borderId="0">
      <protection locked="0"/>
    </xf>
    <xf numFmtId="247" fontId="160" fillId="0" borderId="0">
      <protection locked="0"/>
    </xf>
    <xf numFmtId="249" fontId="160" fillId="0" borderId="0">
      <protection locked="0"/>
    </xf>
    <xf numFmtId="0" fontId="230" fillId="0" borderId="0"/>
    <xf numFmtId="4" fontId="170" fillId="0" borderId="0" applyFon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320" fillId="0" borderId="0" applyNumberFormat="0" applyFont="0" applyFill="0" applyBorder="0" applyAlignment="0" applyProtection="0">
      <alignment vertical="top"/>
    </xf>
    <xf numFmtId="0" fontId="321" fillId="0" borderId="0" applyNumberFormat="0" applyFont="0" applyFill="0" applyBorder="0" applyAlignment="0" applyProtection="0">
      <alignment vertical="top"/>
    </xf>
    <xf numFmtId="0" fontId="321" fillId="0" borderId="0" applyNumberFormat="0" applyFont="0" applyFill="0" applyBorder="0" applyAlignment="0" applyProtection="0">
      <alignment vertical="top"/>
    </xf>
    <xf numFmtId="0" fontId="320" fillId="0" borderId="0" applyNumberFormat="0" applyFont="0" applyFill="0" applyBorder="0" applyAlignment="0" applyProtection="0"/>
    <xf numFmtId="0" fontId="320" fillId="0" borderId="0" applyNumberFormat="0" applyFont="0" applyFill="0" applyBorder="0" applyAlignment="0" applyProtection="0">
      <alignment horizontal="left" vertical="top"/>
    </xf>
    <xf numFmtId="0" fontId="320" fillId="0" borderId="0" applyNumberFormat="0" applyFont="0" applyFill="0" applyBorder="0" applyAlignment="0" applyProtection="0">
      <alignment horizontal="left" vertical="top"/>
    </xf>
    <xf numFmtId="0" fontId="320" fillId="0" borderId="0" applyNumberFormat="0" applyFont="0" applyFill="0" applyBorder="0" applyAlignment="0" applyProtection="0">
      <alignment horizontal="left" vertical="top"/>
    </xf>
    <xf numFmtId="0" fontId="223" fillId="0" borderId="0"/>
    <xf numFmtId="0" fontId="322" fillId="0" borderId="0">
      <alignment horizontal="left" wrapText="1"/>
    </xf>
    <xf numFmtId="0" fontId="323" fillId="0" borderId="1" applyNumberFormat="0" applyFont="0" applyFill="0" applyBorder="0" applyAlignment="0" applyProtection="0">
      <alignment horizontal="center" wrapText="1"/>
    </xf>
    <xf numFmtId="251" fontId="207" fillId="0" borderId="0" applyNumberFormat="0" applyFont="0" applyFill="0" applyBorder="0" applyAlignment="0" applyProtection="0">
      <alignment horizontal="right"/>
    </xf>
    <xf numFmtId="0" fontId="323" fillId="0" borderId="0" applyNumberFormat="0" applyFont="0" applyFill="0" applyBorder="0" applyAlignment="0" applyProtection="0">
      <alignment horizontal="left" indent="1"/>
    </xf>
    <xf numFmtId="252" fontId="323" fillId="0" borderId="0" applyNumberFormat="0" applyFont="0" applyFill="0" applyBorder="0" applyAlignment="0" applyProtection="0"/>
    <xf numFmtId="0" fontId="223" fillId="0" borderId="1" applyNumberFormat="0" applyFont="0" applyFill="0" applyAlignment="0" applyProtection="0">
      <alignment horizontal="center"/>
    </xf>
    <xf numFmtId="0" fontId="223" fillId="0" borderId="0" applyNumberFormat="0" applyFont="0" applyFill="0" applyBorder="0" applyAlignment="0" applyProtection="0">
      <alignment horizontal="left" wrapText="1" indent="1"/>
    </xf>
    <xf numFmtId="0" fontId="323" fillId="0" borderId="0" applyNumberFormat="0" applyFont="0" applyFill="0" applyBorder="0" applyAlignment="0" applyProtection="0">
      <alignment horizontal="left" indent="1"/>
    </xf>
    <xf numFmtId="0" fontId="223" fillId="0" borderId="0" applyNumberFormat="0" applyFont="0" applyFill="0" applyBorder="0" applyAlignment="0" applyProtection="0">
      <alignment horizontal="left" wrapText="1" indent="2"/>
    </xf>
    <xf numFmtId="253" fontId="223" fillId="0" borderId="0">
      <alignment horizontal="right"/>
    </xf>
    <xf numFmtId="0" fontId="190" fillId="53" borderId="0" applyNumberFormat="0" applyBorder="0" applyAlignment="0" applyProtection="0"/>
    <xf numFmtId="0" fontId="190" fillId="53" borderId="0" applyNumberFormat="0" applyBorder="0" applyAlignment="0" applyProtection="0"/>
    <xf numFmtId="0" fontId="190" fillId="54" borderId="0" applyNumberFormat="0" applyBorder="0" applyAlignment="0" applyProtection="0"/>
    <xf numFmtId="0" fontId="190" fillId="54" borderId="0" applyNumberFormat="0" applyBorder="0" applyAlignment="0" applyProtection="0"/>
    <xf numFmtId="0" fontId="190" fillId="55" borderId="0" applyNumberFormat="0" applyBorder="0" applyAlignment="0" applyProtection="0"/>
    <xf numFmtId="0" fontId="190" fillId="55" borderId="0" applyNumberFormat="0" applyBorder="0" applyAlignment="0" applyProtection="0"/>
    <xf numFmtId="0" fontId="190" fillId="49" borderId="0" applyNumberFormat="0" applyBorder="0" applyAlignment="0" applyProtection="0"/>
    <xf numFmtId="0" fontId="190" fillId="49" borderId="0" applyNumberFormat="0" applyBorder="0" applyAlignment="0" applyProtection="0"/>
    <xf numFmtId="0" fontId="190" fillId="50" borderId="0" applyNumberFormat="0" applyBorder="0" applyAlignment="0" applyProtection="0"/>
    <xf numFmtId="0" fontId="190" fillId="50" borderId="0" applyNumberFormat="0" applyBorder="0" applyAlignment="0" applyProtection="0"/>
    <xf numFmtId="0" fontId="190" fillId="52" borderId="0" applyNumberFormat="0" applyBorder="0" applyAlignment="0" applyProtection="0"/>
    <xf numFmtId="0" fontId="190" fillId="52" borderId="0" applyNumberFormat="0" applyBorder="0" applyAlignment="0" applyProtection="0"/>
    <xf numFmtId="0" fontId="190" fillId="53" borderId="0" applyNumberFormat="0" applyBorder="0" applyAlignment="0" applyProtection="0"/>
    <xf numFmtId="0" fontId="190" fillId="54" borderId="0" applyNumberFormat="0" applyBorder="0" applyAlignment="0" applyProtection="0"/>
    <xf numFmtId="0" fontId="190" fillId="55" borderId="0" applyNumberFormat="0" applyBorder="0" applyAlignment="0" applyProtection="0"/>
    <xf numFmtId="0" fontId="190" fillId="49" borderId="0" applyNumberFormat="0" applyBorder="0" applyAlignment="0" applyProtection="0"/>
    <xf numFmtId="0" fontId="190" fillId="50" borderId="0" applyNumberFormat="0" applyBorder="0" applyAlignment="0" applyProtection="0"/>
    <xf numFmtId="0" fontId="190" fillId="52" borderId="0" applyNumberFormat="0" applyBorder="0" applyAlignment="0" applyProtection="0"/>
    <xf numFmtId="0" fontId="191" fillId="41" borderId="33" applyNumberFormat="0" applyAlignment="0" applyProtection="0"/>
    <xf numFmtId="0" fontId="191" fillId="41" borderId="33" applyNumberFormat="0" applyAlignment="0" applyProtection="0"/>
    <xf numFmtId="245" fontId="191" fillId="41" borderId="33" applyNumberFormat="0" applyAlignment="0" applyProtection="0"/>
    <xf numFmtId="0" fontId="192" fillId="56" borderId="45" applyNumberFormat="0" applyAlignment="0" applyProtection="0"/>
    <xf numFmtId="0" fontId="192" fillId="56" borderId="45" applyNumberFormat="0" applyAlignment="0" applyProtection="0"/>
    <xf numFmtId="0" fontId="193" fillId="56" borderId="33" applyNumberFormat="0" applyAlignment="0" applyProtection="0"/>
    <xf numFmtId="0" fontId="193" fillId="56" borderId="33" applyNumberFormat="0" applyAlignment="0" applyProtection="0"/>
    <xf numFmtId="0" fontId="263" fillId="0" borderId="0" applyProtection="0"/>
    <xf numFmtId="222" fontId="24" fillId="0" borderId="0" applyFont="0" applyFill="0" applyBorder="0" applyAlignment="0" applyProtection="0"/>
    <xf numFmtId="0" fontId="205" fillId="38" borderId="0" applyNumberFormat="0" applyBorder="0" applyAlignment="0" applyProtection="0"/>
    <xf numFmtId="0" fontId="194" fillId="0" borderId="39" applyNumberFormat="0" applyFill="0" applyAlignment="0" applyProtection="0"/>
    <xf numFmtId="0" fontId="194" fillId="0" borderId="39" applyNumberFormat="0" applyFill="0" applyAlignment="0" applyProtection="0"/>
    <xf numFmtId="0" fontId="195" fillId="0" borderId="40" applyNumberFormat="0" applyFill="0" applyAlignment="0" applyProtection="0"/>
    <xf numFmtId="0" fontId="195" fillId="0" borderId="40" applyNumberFormat="0" applyFill="0" applyAlignment="0" applyProtection="0"/>
    <xf numFmtId="0" fontId="196" fillId="0" borderId="41" applyNumberFormat="0" applyFill="0" applyAlignment="0" applyProtection="0"/>
    <xf numFmtId="0" fontId="196" fillId="0" borderId="41" applyNumberFormat="0" applyFill="0" applyAlignment="0" applyProtection="0"/>
    <xf numFmtId="0" fontId="196" fillId="0" borderId="0" applyNumberFormat="0" applyFill="0" applyBorder="0" applyAlignment="0" applyProtection="0"/>
    <xf numFmtId="0" fontId="196" fillId="0" borderId="0" applyNumberFormat="0" applyFill="0" applyBorder="0" applyAlignment="0" applyProtection="0"/>
    <xf numFmtId="0" fontId="264" fillId="0" borderId="0" applyProtection="0"/>
    <xf numFmtId="0" fontId="265" fillId="0" borderId="0" applyProtection="0"/>
    <xf numFmtId="0" fontId="203" fillId="0" borderId="43" applyNumberFormat="0" applyFill="0" applyAlignment="0" applyProtection="0"/>
    <xf numFmtId="0" fontId="197" fillId="0" borderId="46" applyNumberFormat="0" applyFill="0" applyAlignment="0" applyProtection="0"/>
    <xf numFmtId="0" fontId="197" fillId="0" borderId="46" applyNumberFormat="0" applyFill="0" applyAlignment="0" applyProtection="0"/>
    <xf numFmtId="0" fontId="263" fillId="0" borderId="32" applyProtection="0"/>
    <xf numFmtId="0" fontId="198" fillId="57" borderId="35" applyNumberFormat="0" applyAlignment="0" applyProtection="0"/>
    <xf numFmtId="0" fontId="198" fillId="57" borderId="35" applyNumberFormat="0" applyAlignment="0" applyProtection="0"/>
    <xf numFmtId="0" fontId="198" fillId="57" borderId="35" applyNumberFormat="0" applyAlignment="0" applyProtection="0"/>
    <xf numFmtId="0" fontId="199" fillId="0" borderId="0" applyNumberFormat="0" applyFill="0" applyBorder="0" applyAlignment="0" applyProtection="0"/>
    <xf numFmtId="0" fontId="199" fillId="0" borderId="0" applyNumberFormat="0" applyFill="0" applyBorder="0" applyAlignment="0" applyProtection="0"/>
    <xf numFmtId="0" fontId="199" fillId="0" borderId="0" applyNumberFormat="0" applyFill="0" applyBorder="0" applyAlignment="0" applyProtection="0"/>
    <xf numFmtId="0" fontId="200" fillId="47" borderId="0" applyNumberFormat="0" applyBorder="0" applyAlignment="0" applyProtection="0"/>
    <xf numFmtId="0" fontId="200" fillId="47" borderId="0" applyNumberFormat="0" applyBorder="0" applyAlignment="0" applyProtection="0"/>
    <xf numFmtId="0" fontId="193" fillId="56" borderId="33" applyNumberFormat="0" applyAlignment="0" applyProtection="0"/>
    <xf numFmtId="0" fontId="189"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24"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35" fillId="0" borderId="0"/>
    <xf numFmtId="0" fontId="35" fillId="0" borderId="0"/>
    <xf numFmtId="0" fontId="35"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89"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24"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189"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35"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06" fillId="0" borderId="0"/>
    <xf numFmtId="0" fontId="24" fillId="0" borderId="0"/>
    <xf numFmtId="0" fontId="206" fillId="0" borderId="0"/>
    <xf numFmtId="0" fontId="206" fillId="0" borderId="0"/>
    <xf numFmtId="0" fontId="35"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245" fontId="296" fillId="0" borderId="0"/>
    <xf numFmtId="245" fontId="296" fillId="0" borderId="0"/>
    <xf numFmtId="245" fontId="296" fillId="0" borderId="0"/>
    <xf numFmtId="0" fontId="1" fillId="0" borderId="0"/>
    <xf numFmtId="0" fontId="1" fillId="0" borderId="0"/>
    <xf numFmtId="0" fontId="24" fillId="0" borderId="0"/>
    <xf numFmtId="0" fontId="24" fillId="0" borderId="0" applyNumberFormat="0" applyFont="0" applyFill="0" applyBorder="0" applyAlignment="0" applyProtection="0">
      <alignment vertical="top"/>
    </xf>
    <xf numFmtId="0" fontId="35" fillId="0" borderId="0"/>
    <xf numFmtId="0" fontId="24" fillId="0" borderId="0" applyNumberFormat="0" applyFont="0" applyFill="0" applyBorder="0" applyAlignment="0" applyProtection="0">
      <alignment vertical="top"/>
    </xf>
    <xf numFmtId="0" fontId="1" fillId="0" borderId="0"/>
    <xf numFmtId="0" fontId="35" fillId="0" borderId="0"/>
    <xf numFmtId="0" fontId="189" fillId="0" borderId="0"/>
    <xf numFmtId="0" fontId="24" fillId="0" borderId="0"/>
    <xf numFmtId="0" fontId="197" fillId="0" borderId="46" applyNumberFormat="0" applyFill="0" applyAlignment="0" applyProtection="0"/>
    <xf numFmtId="0" fontId="201" fillId="37" borderId="0" applyNumberFormat="0" applyBorder="0" applyAlignment="0" applyProtection="0"/>
    <xf numFmtId="0" fontId="201" fillId="37" borderId="0" applyNumberFormat="0" applyBorder="0" applyAlignment="0" applyProtection="0"/>
    <xf numFmtId="0" fontId="201" fillId="37" borderId="0" applyNumberFormat="0" applyBorder="0" applyAlignment="0" applyProtection="0"/>
    <xf numFmtId="0" fontId="202" fillId="0" borderId="0" applyNumberFormat="0" applyFill="0" applyBorder="0" applyAlignment="0" applyProtection="0"/>
    <xf numFmtId="0" fontId="202" fillId="0" borderId="0" applyNumberFormat="0" applyFill="0" applyBorder="0" applyAlignment="0" applyProtection="0"/>
    <xf numFmtId="0" fontId="24" fillId="44" borderId="44" applyNumberFormat="0" applyFont="0" applyAlignment="0" applyProtection="0"/>
    <xf numFmtId="0" fontId="35" fillId="44" borderId="44" applyNumberFormat="0" applyFon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29" fillId="0" borderId="0" applyFont="0" applyFill="0" applyBorder="0" applyAlignment="0" applyProtection="0"/>
    <xf numFmtId="0" fontId="192" fillId="56" borderId="45" applyNumberFormat="0" applyAlignment="0" applyProtection="0"/>
    <xf numFmtId="0" fontId="203" fillId="0" borderId="43" applyNumberFormat="0" applyFill="0" applyAlignment="0" applyProtection="0"/>
    <xf numFmtId="0" fontId="203" fillId="0" borderId="43" applyNumberFormat="0" applyFill="0" applyAlignment="0" applyProtection="0"/>
    <xf numFmtId="0" fontId="200" fillId="47" borderId="0" applyNumberFormat="0" applyBorder="0" applyAlignment="0" applyProtection="0"/>
    <xf numFmtId="0" fontId="226" fillId="0" borderId="0"/>
    <xf numFmtId="0" fontId="226" fillId="0" borderId="0"/>
    <xf numFmtId="0" fontId="226" fillId="0" borderId="0"/>
    <xf numFmtId="0" fontId="226" fillId="0" borderId="0"/>
    <xf numFmtId="0" fontId="226" fillId="0" borderId="0"/>
    <xf numFmtId="0" fontId="226" fillId="0" borderId="0"/>
    <xf numFmtId="0" fontId="263" fillId="0" borderId="0"/>
    <xf numFmtId="0" fontId="204" fillId="0" borderId="0" applyNumberFormat="0" applyFill="0" applyBorder="0" applyAlignment="0" applyProtection="0"/>
    <xf numFmtId="0" fontId="202" fillId="0" borderId="0" applyNumberFormat="0" applyFill="0" applyBorder="0" applyAlignment="0" applyProtection="0"/>
    <xf numFmtId="0" fontId="204" fillId="0" borderId="0" applyNumberFormat="0" applyFill="0" applyBorder="0" applyAlignment="0" applyProtection="0"/>
    <xf numFmtId="0" fontId="204" fillId="0" borderId="0" applyNumberFormat="0" applyFill="0" applyBorder="0" applyAlignment="0" applyProtection="0"/>
    <xf numFmtId="41" fontId="324" fillId="0" borderId="0" applyFont="0" applyFill="0" applyBorder="0" applyAlignment="0" applyProtection="0"/>
    <xf numFmtId="43" fontId="324" fillId="0" borderId="0" applyFont="0" applyFill="0" applyBorder="0" applyAlignment="0" applyProtection="0"/>
    <xf numFmtId="254" fontId="122" fillId="0" borderId="0" applyNumberFormat="0" applyFill="0" applyBorder="0" applyAlignment="0" applyProtection="0"/>
    <xf numFmtId="254" fontId="122" fillId="0" borderId="0" applyNumberForma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98" fontId="189" fillId="0" borderId="0" applyFont="0" applyFill="0" applyBorder="0" applyAlignment="0" applyProtection="0"/>
    <xf numFmtId="198" fontId="189" fillId="0" borderId="0" applyFont="0" applyFill="0" applyBorder="0" applyAlignment="0" applyProtection="0"/>
    <xf numFmtId="198"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43" fontId="223"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173" fontId="189" fillId="0" borderId="0" applyFont="0" applyFill="0" applyBorder="0" applyAlignment="0" applyProtection="0"/>
    <xf numFmtId="233" fontId="35" fillId="0" borderId="0" applyFont="0" applyFill="0" applyBorder="0" applyAlignment="0" applyProtection="0"/>
    <xf numFmtId="200" fontId="35" fillId="0" borderId="0" applyFont="0" applyFill="0" applyBorder="0" applyAlignment="0" applyProtection="0"/>
    <xf numFmtId="202" fontId="189" fillId="0" borderId="0" applyFont="0" applyFill="0" applyBorder="0" applyAlignment="0" applyProtection="0"/>
    <xf numFmtId="202" fontId="189" fillId="0" borderId="0" applyFont="0" applyFill="0" applyBorder="0" applyAlignment="0" applyProtection="0"/>
    <xf numFmtId="202" fontId="189" fillId="0" borderId="0" applyFont="0" applyFill="0" applyBorder="0" applyAlignment="0" applyProtection="0"/>
    <xf numFmtId="202" fontId="189" fillId="0" borderId="0" applyFont="0" applyFill="0" applyBorder="0" applyAlignment="0" applyProtection="0"/>
    <xf numFmtId="202" fontId="189" fillId="0" borderId="0" applyFont="0" applyFill="0" applyBorder="0" applyAlignment="0" applyProtection="0"/>
    <xf numFmtId="202" fontId="189" fillId="0" borderId="0" applyFont="0" applyFill="0" applyBorder="0" applyAlignment="0" applyProtection="0"/>
    <xf numFmtId="202" fontId="189" fillId="0" borderId="0" applyFont="0" applyFill="0" applyBorder="0" applyAlignment="0" applyProtection="0"/>
    <xf numFmtId="202" fontId="189" fillId="0" borderId="0" applyFont="0" applyFill="0" applyBorder="0" applyAlignment="0" applyProtection="0"/>
    <xf numFmtId="202" fontId="189" fillId="0" borderId="0" applyFont="0" applyFill="0" applyBorder="0" applyAlignment="0" applyProtection="0"/>
    <xf numFmtId="202" fontId="189" fillId="0" borderId="0" applyFont="0" applyFill="0" applyBorder="0" applyAlignment="0" applyProtection="0"/>
    <xf numFmtId="197" fontId="35" fillId="0" borderId="0" applyFont="0" applyFill="0" applyBorder="0" applyAlignment="0" applyProtection="0"/>
    <xf numFmtId="202" fontId="35" fillId="0" borderId="0" applyFont="0" applyFill="0" applyBorder="0" applyAlignment="0" applyProtection="0"/>
    <xf numFmtId="202" fontId="189" fillId="0" borderId="0" applyFont="0" applyFill="0" applyBorder="0" applyAlignment="0" applyProtection="0"/>
    <xf numFmtId="197" fontId="129" fillId="0" borderId="0" applyFont="0" applyFill="0" applyBorder="0" applyAlignment="0" applyProtection="0"/>
    <xf numFmtId="0" fontId="205" fillId="38" borderId="0" applyNumberFormat="0" applyBorder="0" applyAlignment="0" applyProtection="0"/>
    <xf numFmtId="0" fontId="205" fillId="38" borderId="0" applyNumberFormat="0" applyBorder="0" applyAlignment="0" applyProtection="0"/>
    <xf numFmtId="255" fontId="325" fillId="58" borderId="53" applyFill="0" applyBorder="0">
      <alignment horizontal="center" vertical="center" wrapText="1"/>
      <protection locked="0"/>
    </xf>
    <xf numFmtId="237" fontId="326" fillId="0" borderId="0">
      <alignment wrapText="1"/>
    </xf>
    <xf numFmtId="237" fontId="276" fillId="0" borderId="0">
      <alignment wrapText="1"/>
    </xf>
    <xf numFmtId="199" fontId="129" fillId="0" borderId="0" applyFont="0" applyFill="0" applyBorder="0" applyAlignment="0" applyProtection="0"/>
    <xf numFmtId="199" fontId="129" fillId="0" borderId="0" applyFont="0" applyFill="0" applyBorder="0" applyAlignment="0" applyProtection="0"/>
    <xf numFmtId="0" fontId="13" fillId="0" borderId="0"/>
  </cellStyleXfs>
  <cellXfs count="974">
    <xf numFmtId="0" fontId="0" fillId="0" borderId="0" xfId="0"/>
    <xf numFmtId="0" fontId="12" fillId="0" borderId="0" xfId="2"/>
    <xf numFmtId="166" fontId="0" fillId="0" borderId="0" xfId="1" applyNumberFormat="1" applyFont="1" applyAlignment="1">
      <alignment horizontal="center" vertical="center"/>
    </xf>
    <xf numFmtId="167" fontId="0" fillId="0" borderId="0" xfId="0" applyNumberFormat="1" applyAlignment="1">
      <alignment horizontal="center" vertical="center"/>
    </xf>
    <xf numFmtId="166" fontId="0" fillId="0" borderId="0" xfId="1" applyNumberFormat="1" applyFont="1" applyFill="1"/>
    <xf numFmtId="168" fontId="0" fillId="0" borderId="0" xfId="0" applyNumberFormat="1"/>
    <xf numFmtId="0" fontId="0" fillId="0" borderId="0" xfId="0" applyAlignment="1">
      <alignment horizontal="center" vertical="center"/>
    </xf>
    <xf numFmtId="166" fontId="0" fillId="0" borderId="0" xfId="0" applyNumberFormat="1" applyAlignment="1">
      <alignment horizontal="center" vertical="center"/>
    </xf>
    <xf numFmtId="2" fontId="0" fillId="0" borderId="0" xfId="0" applyNumberFormat="1"/>
    <xf numFmtId="166" fontId="0" fillId="2" borderId="0" xfId="1" applyNumberFormat="1" applyFont="1" applyFill="1"/>
    <xf numFmtId="166" fontId="0" fillId="0" borderId="0" xfId="1" applyNumberFormat="1" applyFont="1" applyAlignment="1">
      <alignment horizontal="center"/>
    </xf>
    <xf numFmtId="166" fontId="0" fillId="0" borderId="1" xfId="1" applyNumberFormat="1" applyFont="1" applyBorder="1" applyAlignment="1">
      <alignment horizontal="center" vertical="center"/>
    </xf>
    <xf numFmtId="167" fontId="0" fillId="0" borderId="1" xfId="0" applyNumberFormat="1" applyBorder="1"/>
    <xf numFmtId="0" fontId="0" fillId="0" borderId="1" xfId="0" applyBorder="1"/>
    <xf numFmtId="2" fontId="0" fillId="0" borderId="1" xfId="0" applyNumberFormat="1" applyBorder="1"/>
    <xf numFmtId="166" fontId="0" fillId="2" borderId="0" xfId="0" applyNumberFormat="1" applyFill="1" applyAlignment="1">
      <alignment horizontal="center"/>
    </xf>
    <xf numFmtId="0" fontId="0" fillId="0" borderId="0" xfId="0" applyAlignment="1">
      <alignment horizontal="center"/>
    </xf>
    <xf numFmtId="166" fontId="0" fillId="2" borderId="0" xfId="1" applyNumberFormat="1" applyFont="1" applyFill="1" applyAlignment="1">
      <alignment horizontal="center" vertical="center"/>
    </xf>
    <xf numFmtId="167" fontId="12" fillId="0" borderId="0" xfId="2" applyNumberFormat="1" applyAlignment="1">
      <alignment horizontal="center"/>
    </xf>
    <xf numFmtId="167" fontId="0" fillId="0" borderId="0" xfId="0" applyNumberFormat="1"/>
    <xf numFmtId="0" fontId="0" fillId="2" borderId="0" xfId="0" applyFill="1"/>
    <xf numFmtId="0" fontId="12" fillId="0" borderId="0" xfId="0" applyFont="1" applyAlignment="1">
      <alignment horizontal="center"/>
    </xf>
    <xf numFmtId="167" fontId="12" fillId="2" borderId="0" xfId="0" applyNumberFormat="1" applyFont="1" applyFill="1" applyAlignment="1">
      <alignment horizontal="center"/>
    </xf>
    <xf numFmtId="168" fontId="0" fillId="2" borderId="0" xfId="0" applyNumberFormat="1" applyFill="1"/>
    <xf numFmtId="3" fontId="12" fillId="0" borderId="0" xfId="0" applyNumberFormat="1" applyFont="1" applyAlignment="1">
      <alignment horizontal="center"/>
    </xf>
    <xf numFmtId="0" fontId="16" fillId="4" borderId="2" xfId="0" applyFont="1" applyFill="1" applyBorder="1" applyAlignment="1">
      <alignment horizontal="center" vertical="center"/>
    </xf>
    <xf numFmtId="0" fontId="16" fillId="4" borderId="2" xfId="0" applyFont="1" applyFill="1" applyBorder="1" applyAlignment="1">
      <alignment horizontal="center" vertical="center" wrapText="1"/>
    </xf>
    <xf numFmtId="166" fontId="12" fillId="0" borderId="0" xfId="1" applyNumberFormat="1" applyFont="1" applyAlignment="1">
      <alignment horizontal="center"/>
    </xf>
    <xf numFmtId="166" fontId="12" fillId="0" borderId="0" xfId="0" applyNumberFormat="1" applyFont="1" applyAlignment="1">
      <alignment horizontal="center"/>
    </xf>
    <xf numFmtId="166" fontId="0" fillId="0" borderId="0" xfId="0" applyNumberFormat="1"/>
    <xf numFmtId="166" fontId="0" fillId="0" borderId="1" xfId="1" applyNumberFormat="1" applyFont="1" applyBorder="1"/>
    <xf numFmtId="166" fontId="0" fillId="0" borderId="1" xfId="0" applyNumberFormat="1" applyBorder="1"/>
    <xf numFmtId="169" fontId="0" fillId="0" borderId="1" xfId="0" applyNumberFormat="1" applyBorder="1"/>
    <xf numFmtId="166" fontId="0" fillId="0" borderId="0" xfId="1" applyNumberFormat="1" applyFont="1"/>
    <xf numFmtId="0" fontId="19" fillId="0" borderId="0" xfId="0" applyFont="1" applyAlignment="1">
      <alignment horizontal="center"/>
    </xf>
    <xf numFmtId="166" fontId="0" fillId="0" borderId="0" xfId="1" applyNumberFormat="1" applyFont="1" applyBorder="1"/>
    <xf numFmtId="0" fontId="0" fillId="3" borderId="0" xfId="0" applyFill="1"/>
    <xf numFmtId="3" fontId="0" fillId="0" borderId="0" xfId="0" applyNumberFormat="1"/>
    <xf numFmtId="3" fontId="20" fillId="0" borderId="0" xfId="0" applyNumberFormat="1" applyFont="1"/>
    <xf numFmtId="3" fontId="21" fillId="0" borderId="4" xfId="0" applyNumberFormat="1" applyFont="1" applyBorder="1" applyAlignment="1">
      <alignment horizontal="right" vertical="center" wrapText="1"/>
    </xf>
    <xf numFmtId="0" fontId="22" fillId="0" borderId="4" xfId="0" applyFont="1" applyBorder="1" applyAlignment="1">
      <alignment wrapText="1"/>
    </xf>
    <xf numFmtId="10" fontId="0" fillId="0" borderId="1" xfId="0" applyNumberFormat="1" applyBorder="1"/>
    <xf numFmtId="166" fontId="0" fillId="2" borderId="1" xfId="1" applyNumberFormat="1" applyFont="1" applyFill="1" applyBorder="1" applyAlignment="1">
      <alignment horizontal="center" vertical="center"/>
    </xf>
    <xf numFmtId="0" fontId="0" fillId="2" borderId="1" xfId="0" applyFill="1" applyBorder="1"/>
    <xf numFmtId="166" fontId="0" fillId="2" borderId="1" xfId="1" applyNumberFormat="1" applyFont="1" applyFill="1" applyBorder="1"/>
    <xf numFmtId="0" fontId="14" fillId="3" borderId="0" xfId="0" applyFont="1" applyFill="1"/>
    <xf numFmtId="170" fontId="0" fillId="2" borderId="0" xfId="3" applyNumberFormat="1" applyFont="1" applyFill="1" applyAlignment="1">
      <alignment horizontal="center" vertical="center"/>
    </xf>
    <xf numFmtId="170" fontId="0" fillId="2" borderId="1" xfId="3" applyNumberFormat="1" applyFont="1" applyFill="1" applyBorder="1" applyAlignment="1">
      <alignment horizontal="center" vertical="center"/>
    </xf>
    <xf numFmtId="169" fontId="0" fillId="0" borderId="0" xfId="0" applyNumberFormat="1"/>
    <xf numFmtId="0" fontId="0" fillId="0" borderId="1" xfId="0" applyBorder="1" applyAlignment="1">
      <alignment horizontal="center" vertical="center"/>
    </xf>
    <xf numFmtId="0" fontId="13" fillId="0" borderId="0" xfId="4"/>
    <xf numFmtId="0" fontId="13" fillId="4" borderId="0" xfId="4" applyFill="1"/>
    <xf numFmtId="0" fontId="23" fillId="5" borderId="0" xfId="4" applyFont="1" applyFill="1" applyAlignment="1">
      <alignment horizontal="center"/>
    </xf>
    <xf numFmtId="0" fontId="24" fillId="0" borderId="0" xfId="5" applyAlignment="1">
      <alignment horizontal="center"/>
    </xf>
    <xf numFmtId="0" fontId="13" fillId="6" borderId="0" xfId="4" applyFill="1"/>
    <xf numFmtId="9" fontId="0" fillId="0" borderId="0" xfId="6" applyFont="1"/>
    <xf numFmtId="9" fontId="13" fillId="0" borderId="0" xfId="4" applyNumberFormat="1"/>
    <xf numFmtId="167" fontId="23" fillId="5" borderId="0" xfId="4" applyNumberFormat="1" applyFont="1" applyFill="1" applyAlignment="1">
      <alignment horizontal="center"/>
    </xf>
    <xf numFmtId="167" fontId="13" fillId="0" borderId="0" xfId="4" applyNumberFormat="1" applyAlignment="1">
      <alignment horizontal="center"/>
    </xf>
    <xf numFmtId="167" fontId="13" fillId="0" borderId="0" xfId="4" applyNumberFormat="1"/>
    <xf numFmtId="0" fontId="24" fillId="0" borderId="1" xfId="5" applyBorder="1" applyAlignment="1">
      <alignment horizontal="center"/>
    </xf>
    <xf numFmtId="0" fontId="13" fillId="6" borderId="1" xfId="4" applyFill="1" applyBorder="1"/>
    <xf numFmtId="167" fontId="11" fillId="0" borderId="0" xfId="4" applyNumberFormat="1" applyFont="1"/>
    <xf numFmtId="2" fontId="13" fillId="0" borderId="0" xfId="4" applyNumberFormat="1"/>
    <xf numFmtId="0" fontId="24" fillId="3" borderId="0" xfId="5" applyFill="1" applyAlignment="1">
      <alignment horizontal="center"/>
    </xf>
    <xf numFmtId="0" fontId="13" fillId="3" borderId="0" xfId="4" applyFill="1"/>
    <xf numFmtId="0" fontId="12" fillId="0" borderId="5" xfId="2" applyBorder="1"/>
    <xf numFmtId="0" fontId="0" fillId="0" borderId="5" xfId="0" applyBorder="1"/>
    <xf numFmtId="166" fontId="0" fillId="0" borderId="5" xfId="1" applyNumberFormat="1" applyFont="1" applyBorder="1" applyAlignment="1">
      <alignment horizontal="center" vertical="center"/>
    </xf>
    <xf numFmtId="0" fontId="0" fillId="0" borderId="5" xfId="0" applyBorder="1" applyAlignment="1">
      <alignment horizontal="center" vertical="center"/>
    </xf>
    <xf numFmtId="168" fontId="0" fillId="0" borderId="5" xfId="0" applyNumberFormat="1" applyBorder="1"/>
    <xf numFmtId="166" fontId="0" fillId="2" borderId="5" xfId="1" applyNumberFormat="1" applyFont="1" applyFill="1" applyBorder="1" applyAlignment="1">
      <alignment horizontal="center" vertical="center"/>
    </xf>
    <xf numFmtId="167" fontId="12" fillId="0" borderId="5" xfId="2" applyNumberFormat="1" applyBorder="1" applyAlignment="1">
      <alignment horizontal="center"/>
    </xf>
    <xf numFmtId="0" fontId="0" fillId="2" borderId="5" xfId="0" applyFill="1" applyBorder="1"/>
    <xf numFmtId="0" fontId="25" fillId="0" borderId="0" xfId="0" applyFont="1" applyAlignment="1">
      <alignment horizontal="center"/>
    </xf>
    <xf numFmtId="3" fontId="12" fillId="0" borderId="5" xfId="0" applyNumberFormat="1" applyFont="1" applyBorder="1" applyAlignment="1">
      <alignment horizontal="center"/>
    </xf>
    <xf numFmtId="167" fontId="12" fillId="2" borderId="5" xfId="0" applyNumberFormat="1" applyFont="1" applyFill="1" applyBorder="1" applyAlignment="1">
      <alignment horizontal="center"/>
    </xf>
    <xf numFmtId="168" fontId="0" fillId="2" borderId="5" xfId="0" applyNumberFormat="1" applyFill="1" applyBorder="1"/>
    <xf numFmtId="1" fontId="26" fillId="0" borderId="2" xfId="7" applyNumberFormat="1" applyFont="1" applyBorder="1" applyAlignment="1">
      <alignment horizontal="right" wrapText="1"/>
    </xf>
    <xf numFmtId="167" fontId="0" fillId="0" borderId="0" xfId="0" applyNumberFormat="1" applyAlignment="1">
      <alignment horizontal="center"/>
    </xf>
    <xf numFmtId="0" fontId="27" fillId="0" borderId="0" xfId="0" applyFont="1" applyAlignment="1">
      <alignment horizontal="center" vertical="center"/>
    </xf>
    <xf numFmtId="169" fontId="0" fillId="2" borderId="0" xfId="0" applyNumberFormat="1" applyFill="1"/>
    <xf numFmtId="9" fontId="0" fillId="0" borderId="0" xfId="1" applyFont="1"/>
    <xf numFmtId="171" fontId="0" fillId="0" borderId="0" xfId="0" applyNumberFormat="1"/>
    <xf numFmtId="171" fontId="0" fillId="2" borderId="0" xfId="0" applyNumberFormat="1" applyFill="1"/>
    <xf numFmtId="167" fontId="0" fillId="2" borderId="0" xfId="0" applyNumberFormat="1" applyFill="1"/>
    <xf numFmtId="0" fontId="0" fillId="0" borderId="0" xfId="0" applyAlignment="1">
      <alignment vertical="center"/>
    </xf>
    <xf numFmtId="0" fontId="15" fillId="3" borderId="0" xfId="0" applyFont="1" applyFill="1" applyAlignment="1">
      <alignment vertical="center"/>
    </xf>
    <xf numFmtId="0" fontId="17" fillId="4" borderId="0" xfId="0" applyFont="1" applyFill="1" applyAlignment="1">
      <alignment horizontal="center" vertical="center" wrapText="1"/>
    </xf>
    <xf numFmtId="0" fontId="18" fillId="4" borderId="0" xfId="0" applyFont="1" applyFill="1" applyAlignment="1">
      <alignment horizontal="center" vertical="center" wrapText="1"/>
    </xf>
    <xf numFmtId="0" fontId="19" fillId="0" borderId="0" xfId="0" applyFont="1" applyAlignment="1">
      <alignment horizontal="center" vertical="center"/>
    </xf>
    <xf numFmtId="0" fontId="19" fillId="0" borderId="0" xfId="0" applyFont="1" applyAlignment="1">
      <alignment horizontal="center" vertical="center" wrapText="1"/>
    </xf>
    <xf numFmtId="0" fontId="19" fillId="0" borderId="0" xfId="0" applyFont="1" applyAlignment="1">
      <alignment vertical="center"/>
    </xf>
    <xf numFmtId="166" fontId="10" fillId="2" borderId="0" xfId="1" applyNumberFormat="1" applyFont="1" applyFill="1" applyAlignment="1">
      <alignment horizontal="center"/>
    </xf>
    <xf numFmtId="166" fontId="28" fillId="0" borderId="0" xfId="1" applyNumberFormat="1" applyFont="1"/>
    <xf numFmtId="166" fontId="12" fillId="2" borderId="0" xfId="1" applyNumberFormat="1" applyFont="1" applyFill="1" applyAlignment="1">
      <alignment horizontal="center"/>
    </xf>
    <xf numFmtId="166" fontId="28" fillId="7" borderId="0" xfId="1" applyNumberFormat="1" applyFont="1" applyFill="1"/>
    <xf numFmtId="166" fontId="12" fillId="3" borderId="0" xfId="1" applyNumberFormat="1" applyFont="1" applyFill="1" applyAlignment="1">
      <alignment horizontal="center"/>
    </xf>
    <xf numFmtId="9" fontId="0" fillId="0" borderId="0" xfId="0" applyNumberFormat="1"/>
    <xf numFmtId="165" fontId="0" fillId="0" borderId="0" xfId="3" applyFont="1"/>
    <xf numFmtId="172" fontId="0" fillId="0" borderId="0" xfId="0" applyNumberFormat="1"/>
    <xf numFmtId="173" fontId="0" fillId="0" borderId="0" xfId="0" applyNumberFormat="1"/>
    <xf numFmtId="166" fontId="10" fillId="9" borderId="0" xfId="1" applyNumberFormat="1" applyFont="1" applyFill="1" applyAlignment="1">
      <alignment horizontal="center"/>
    </xf>
    <xf numFmtId="166" fontId="19" fillId="0" borderId="0" xfId="1" applyNumberFormat="1" applyFont="1"/>
    <xf numFmtId="166" fontId="29" fillId="0" borderId="0" xfId="1" applyNumberFormat="1" applyFont="1"/>
    <xf numFmtId="168" fontId="0" fillId="10" borderId="0" xfId="0" applyNumberFormat="1" applyFill="1"/>
    <xf numFmtId="2" fontId="0" fillId="10" borderId="0" xfId="0" applyNumberFormat="1" applyFill="1"/>
    <xf numFmtId="0" fontId="0" fillId="10" borderId="0" xfId="0" applyFill="1"/>
    <xf numFmtId="166" fontId="0" fillId="10" borderId="0" xfId="0" applyNumberFormat="1" applyFill="1"/>
    <xf numFmtId="166" fontId="0" fillId="3" borderId="0" xfId="1" applyNumberFormat="1" applyFont="1" applyFill="1"/>
    <xf numFmtId="166" fontId="12" fillId="2" borderId="1" xfId="1" applyNumberFormat="1" applyFont="1" applyFill="1" applyBorder="1" applyAlignment="1">
      <alignment horizontal="center"/>
    </xf>
    <xf numFmtId="166" fontId="10" fillId="9" borderId="1" xfId="1" applyNumberFormat="1" applyFont="1" applyFill="1" applyBorder="1" applyAlignment="1">
      <alignment horizontal="center"/>
    </xf>
    <xf numFmtId="166" fontId="0" fillId="12" borderId="0" xfId="0" applyNumberFormat="1" applyFill="1" applyAlignment="1">
      <alignment horizontal="center" vertical="center"/>
    </xf>
    <xf numFmtId="166" fontId="0" fillId="12" borderId="0" xfId="1" applyNumberFormat="1" applyFont="1" applyFill="1" applyAlignment="1">
      <alignment horizontal="center" vertical="center"/>
    </xf>
    <xf numFmtId="9" fontId="0" fillId="2" borderId="0" xfId="1" applyFont="1" applyFill="1" applyAlignment="1">
      <alignment horizontal="center" vertical="center"/>
    </xf>
    <xf numFmtId="0" fontId="0" fillId="13" borderId="0" xfId="0" applyFill="1"/>
    <xf numFmtId="166" fontId="0" fillId="13" borderId="0" xfId="1" applyNumberFormat="1" applyFont="1" applyFill="1" applyAlignment="1">
      <alignment horizontal="center" vertical="center"/>
    </xf>
    <xf numFmtId="0" fontId="0" fillId="0" borderId="0" xfId="0" applyAlignment="1">
      <alignment wrapText="1"/>
    </xf>
    <xf numFmtId="0" fontId="0" fillId="8" borderId="0" xfId="0" applyFill="1" applyAlignment="1">
      <alignment wrapText="1"/>
    </xf>
    <xf numFmtId="164" fontId="0" fillId="0" borderId="0" xfId="0" applyNumberFormat="1"/>
    <xf numFmtId="174" fontId="0" fillId="0" borderId="0" xfId="3" applyNumberFormat="1" applyFont="1"/>
    <xf numFmtId="0" fontId="31" fillId="14" borderId="0" xfId="0" applyFont="1" applyFill="1" applyAlignment="1">
      <alignment horizontal="center" vertical="center"/>
    </xf>
    <xf numFmtId="170" fontId="19" fillId="2" borderId="0" xfId="3" applyNumberFormat="1" applyFont="1" applyFill="1" applyAlignment="1">
      <alignment horizontal="center" vertical="center"/>
    </xf>
    <xf numFmtId="10" fontId="0" fillId="0" borderId="0" xfId="1" applyNumberFormat="1" applyFont="1"/>
    <xf numFmtId="165" fontId="0" fillId="0" borderId="0" xfId="0" applyNumberFormat="1"/>
    <xf numFmtId="175" fontId="19" fillId="0" borderId="0" xfId="3" applyNumberFormat="1" applyFont="1"/>
    <xf numFmtId="10" fontId="0" fillId="0" borderId="0" xfId="0" applyNumberFormat="1"/>
    <xf numFmtId="166" fontId="9" fillId="2" borderId="0" xfId="1" applyNumberFormat="1" applyFont="1" applyFill="1" applyAlignment="1">
      <alignment horizontal="center"/>
    </xf>
    <xf numFmtId="0" fontId="33" fillId="14" borderId="0" xfId="0" applyFont="1" applyFill="1" applyAlignment="1">
      <alignment horizontal="center" vertical="center" wrapText="1"/>
    </xf>
    <xf numFmtId="9" fontId="0" fillId="3" borderId="0" xfId="1" applyFont="1" applyFill="1" applyAlignment="1">
      <alignment horizontal="center" vertical="center"/>
    </xf>
    <xf numFmtId="177" fontId="0" fillId="0" borderId="0" xfId="0" applyNumberFormat="1"/>
    <xf numFmtId="0" fontId="14" fillId="0" borderId="0" xfId="0" applyFont="1" applyAlignment="1">
      <alignment horizontal="center" vertical="center" wrapText="1"/>
    </xf>
    <xf numFmtId="9" fontId="0" fillId="0" borderId="1" xfId="1" applyFont="1" applyBorder="1"/>
    <xf numFmtId="0" fontId="36" fillId="0" borderId="0" xfId="0" applyFont="1" applyAlignment="1">
      <alignment horizontal="center" vertical="center" wrapText="1"/>
    </xf>
    <xf numFmtId="175" fontId="19" fillId="13" borderId="0" xfId="3" applyNumberFormat="1" applyFont="1" applyFill="1"/>
    <xf numFmtId="176" fontId="0" fillId="13" borderId="0" xfId="0" applyNumberFormat="1" applyFill="1"/>
    <xf numFmtId="178" fontId="0" fillId="13" borderId="0" xfId="3" applyNumberFormat="1" applyFont="1" applyFill="1"/>
    <xf numFmtId="179" fontId="0" fillId="0" borderId="0" xfId="3" applyNumberFormat="1" applyFont="1"/>
    <xf numFmtId="0" fontId="27" fillId="0" borderId="0" xfId="0" applyFont="1" applyAlignment="1">
      <alignment horizontal="center" wrapText="1"/>
    </xf>
    <xf numFmtId="0" fontId="0" fillId="0" borderId="0" xfId="0" applyAlignment="1">
      <alignment horizontal="center" vertical="center" wrapText="1"/>
    </xf>
    <xf numFmtId="178" fontId="0" fillId="0" borderId="0" xfId="3" applyNumberFormat="1" applyFont="1"/>
    <xf numFmtId="0" fontId="0" fillId="7" borderId="0" xfId="0" applyFill="1" applyAlignment="1">
      <alignment horizontal="center" vertical="center" wrapText="1"/>
    </xf>
    <xf numFmtId="9" fontId="29" fillId="0" borderId="0" xfId="1" applyFont="1"/>
    <xf numFmtId="9" fontId="0" fillId="0" borderId="0" xfId="1" applyFont="1" applyAlignment="1">
      <alignment horizontal="center" vertical="center"/>
    </xf>
    <xf numFmtId="9" fontId="0" fillId="0" borderId="1" xfId="1" applyFont="1" applyBorder="1" applyAlignment="1">
      <alignment horizontal="center" vertical="center"/>
    </xf>
    <xf numFmtId="9" fontId="29" fillId="0" borderId="0" xfId="1" applyFont="1" applyAlignment="1">
      <alignment horizontal="center" vertical="center"/>
    </xf>
    <xf numFmtId="178" fontId="0" fillId="0" borderId="0" xfId="0" applyNumberFormat="1"/>
    <xf numFmtId="0" fontId="37" fillId="14" borderId="0" xfId="0" applyFont="1" applyFill="1" applyAlignment="1">
      <alignment horizontal="center" wrapText="1"/>
    </xf>
    <xf numFmtId="166" fontId="12" fillId="8" borderId="0" xfId="1" applyNumberFormat="1" applyFont="1" applyFill="1" applyAlignment="1">
      <alignment horizontal="center"/>
    </xf>
    <xf numFmtId="180" fontId="0" fillId="8" borderId="0" xfId="3" applyNumberFormat="1" applyFont="1" applyFill="1" applyAlignment="1">
      <alignment horizontal="center" vertical="center"/>
    </xf>
    <xf numFmtId="0" fontId="14" fillId="0" borderId="0" xfId="0" applyFont="1" applyAlignment="1">
      <alignment horizontal="center" vertical="center"/>
    </xf>
    <xf numFmtId="0" fontId="39" fillId="0" borderId="0" xfId="0" applyFont="1" applyAlignment="1">
      <alignment horizontal="center" vertical="center"/>
    </xf>
    <xf numFmtId="9" fontId="40" fillId="0" borderId="0" xfId="0" applyNumberFormat="1" applyFont="1"/>
    <xf numFmtId="0" fontId="15" fillId="0" borderId="0" xfId="0" applyFont="1"/>
    <xf numFmtId="10" fontId="15" fillId="0" borderId="0" xfId="0" applyNumberFormat="1" applyFont="1"/>
    <xf numFmtId="165" fontId="15" fillId="0" borderId="0" xfId="3" applyFont="1"/>
    <xf numFmtId="179" fontId="0" fillId="0" borderId="0" xfId="0" applyNumberFormat="1"/>
    <xf numFmtId="0" fontId="30" fillId="11" borderId="0" xfId="0" applyFont="1" applyFill="1" applyAlignment="1">
      <alignment horizontal="center" vertical="center" wrapText="1"/>
    </xf>
    <xf numFmtId="1" fontId="0" fillId="0" borderId="0" xfId="0" applyNumberFormat="1"/>
    <xf numFmtId="0" fontId="19" fillId="0" borderId="0" xfId="0" applyFont="1"/>
    <xf numFmtId="0" fontId="42" fillId="0" borderId="0" xfId="9" applyFont="1"/>
    <xf numFmtId="0" fontId="24" fillId="0" borderId="0" xfId="10" applyFont="1"/>
    <xf numFmtId="0" fontId="44" fillId="0" borderId="0" xfId="10" applyFont="1"/>
    <xf numFmtId="0" fontId="45" fillId="0" borderId="0" xfId="11" applyFont="1" applyAlignment="1">
      <alignment horizontal="left"/>
    </xf>
    <xf numFmtId="0" fontId="45" fillId="0" borderId="0" xfId="10" applyFont="1" applyAlignment="1">
      <alignment horizontal="centerContinuous"/>
    </xf>
    <xf numFmtId="0" fontId="45" fillId="0" borderId="0" xfId="10" applyFont="1"/>
    <xf numFmtId="0" fontId="46" fillId="0" borderId="0" xfId="10" applyFont="1"/>
    <xf numFmtId="181" fontId="24" fillId="0" borderId="0" xfId="12" applyNumberFormat="1" applyFont="1" applyAlignment="1">
      <alignment horizontal="left"/>
    </xf>
    <xf numFmtId="0" fontId="45" fillId="0" borderId="0" xfId="10" applyFont="1" applyAlignment="1">
      <alignment horizontal="center"/>
    </xf>
    <xf numFmtId="181" fontId="24" fillId="0" borderId="0" xfId="12" applyNumberFormat="1" applyFont="1" applyAlignment="1">
      <alignment horizontal="right"/>
    </xf>
    <xf numFmtId="0" fontId="45" fillId="0" borderId="7" xfId="11" applyFont="1" applyBorder="1" applyAlignment="1">
      <alignment horizontal="left" wrapText="1" indent="1"/>
    </xf>
    <xf numFmtId="1" fontId="45" fillId="0" borderId="7" xfId="10" applyNumberFormat="1" applyFont="1" applyBorder="1" applyAlignment="1">
      <alignment horizontal="center" vertical="center"/>
    </xf>
    <xf numFmtId="1" fontId="45" fillId="3" borderId="7" xfId="10" applyNumberFormat="1" applyFont="1" applyFill="1" applyBorder="1" applyAlignment="1">
      <alignment horizontal="centerContinuous" vertical="center"/>
    </xf>
    <xf numFmtId="1" fontId="45" fillId="0" borderId="7" xfId="10" applyNumberFormat="1" applyFont="1" applyBorder="1" applyAlignment="1">
      <alignment horizontal="centerContinuous" vertical="center"/>
    </xf>
    <xf numFmtId="9" fontId="48" fillId="0" borderId="0" xfId="10" applyNumberFormat="1" applyFont="1"/>
    <xf numFmtId="9" fontId="24" fillId="0" borderId="0" xfId="10" applyNumberFormat="1" applyFont="1"/>
    <xf numFmtId="0" fontId="24" fillId="0" borderId="0" xfId="11" applyFont="1"/>
    <xf numFmtId="0" fontId="54" fillId="0" borderId="0" xfId="10" applyFont="1"/>
    <xf numFmtId="0" fontId="58" fillId="0" borderId="0" xfId="11" applyFont="1" applyAlignment="1">
      <alignment horizontal="right"/>
    </xf>
    <xf numFmtId="166" fontId="24" fillId="0" borderId="0" xfId="14" applyNumberFormat="1" applyFont="1" applyFill="1"/>
    <xf numFmtId="166" fontId="24" fillId="0" borderId="0" xfId="10" applyNumberFormat="1" applyFont="1"/>
    <xf numFmtId="9" fontId="24" fillId="0" borderId="0" xfId="14" applyFont="1" applyFill="1"/>
    <xf numFmtId="0" fontId="8" fillId="0" borderId="0" xfId="15"/>
    <xf numFmtId="0" fontId="24" fillId="3" borderId="0" xfId="10" applyFont="1" applyFill="1"/>
    <xf numFmtId="0" fontId="54" fillId="0" borderId="0" xfId="11" applyFont="1"/>
    <xf numFmtId="1" fontId="24" fillId="0" borderId="0" xfId="10" applyNumberFormat="1" applyFont="1"/>
    <xf numFmtId="9" fontId="59" fillId="0" borderId="0" xfId="10" applyNumberFormat="1" applyFont="1"/>
    <xf numFmtId="0" fontId="50" fillId="7" borderId="0" xfId="11" applyFont="1" applyFill="1" applyAlignment="1">
      <alignment vertical="top" wrapText="1"/>
    </xf>
    <xf numFmtId="1" fontId="45" fillId="7" borderId="7" xfId="10" applyNumberFormat="1" applyFont="1" applyFill="1" applyBorder="1" applyAlignment="1">
      <alignment horizontal="center" vertical="center"/>
    </xf>
    <xf numFmtId="1" fontId="45" fillId="7" borderId="7" xfId="10" applyNumberFormat="1" applyFont="1" applyFill="1" applyBorder="1" applyAlignment="1">
      <alignment horizontal="centerContinuous" vertical="center"/>
    </xf>
    <xf numFmtId="1" fontId="45" fillId="7" borderId="7" xfId="10" applyNumberFormat="1" applyFont="1" applyFill="1" applyBorder="1" applyAlignment="1">
      <alignment horizontal="centerContinuous" vertical="center" wrapText="1"/>
    </xf>
    <xf numFmtId="0" fontId="51" fillId="7" borderId="0" xfId="11" applyFont="1" applyFill="1" applyAlignment="1">
      <alignment horizontal="center" vertical="center" wrapText="1"/>
    </xf>
    <xf numFmtId="43" fontId="24" fillId="7" borderId="0" xfId="13" applyFont="1" applyFill="1"/>
    <xf numFmtId="0" fontId="48" fillId="7" borderId="0" xfId="11" applyFont="1" applyFill="1"/>
    <xf numFmtId="0" fontId="52" fillId="7" borderId="0" xfId="11" applyFont="1" applyFill="1"/>
    <xf numFmtId="0" fontId="53" fillId="7" borderId="0" xfId="11" applyFont="1" applyFill="1" applyAlignment="1">
      <alignment horizontal="right" vertical="center" wrapText="1"/>
    </xf>
    <xf numFmtId="10" fontId="24" fillId="7" borderId="0" xfId="14" applyNumberFormat="1" applyFont="1" applyFill="1"/>
    <xf numFmtId="0" fontId="54" fillId="7" borderId="0" xfId="10" applyFont="1" applyFill="1"/>
    <xf numFmtId="0" fontId="24" fillId="7" borderId="0" xfId="10" applyFont="1" applyFill="1"/>
    <xf numFmtId="182" fontId="24" fillId="7" borderId="0" xfId="13" applyNumberFormat="1" applyFont="1" applyFill="1"/>
    <xf numFmtId="1" fontId="55" fillId="7" borderId="0" xfId="10" applyNumberFormat="1" applyFont="1" applyFill="1"/>
    <xf numFmtId="0" fontId="56" fillId="7" borderId="0" xfId="10" applyFont="1" applyFill="1" applyAlignment="1">
      <alignment horizontal="right"/>
    </xf>
    <xf numFmtId="166" fontId="57" fillId="7" borderId="0" xfId="14" applyNumberFormat="1" applyFont="1" applyFill="1"/>
    <xf numFmtId="0" fontId="58" fillId="7" borderId="0" xfId="11" applyFont="1" applyFill="1" applyAlignment="1">
      <alignment horizontal="right"/>
    </xf>
    <xf numFmtId="0" fontId="24" fillId="7" borderId="0" xfId="11" applyFont="1" applyFill="1"/>
    <xf numFmtId="166" fontId="24" fillId="7" borderId="0" xfId="14" applyNumberFormat="1" applyFont="1" applyFill="1"/>
    <xf numFmtId="0" fontId="24" fillId="7" borderId="0" xfId="11" applyFont="1" applyFill="1" applyAlignment="1">
      <alignment wrapText="1"/>
    </xf>
    <xf numFmtId="10" fontId="24" fillId="7" borderId="0" xfId="10" applyNumberFormat="1" applyFont="1" applyFill="1"/>
    <xf numFmtId="166" fontId="48" fillId="7" borderId="0" xfId="14" applyNumberFormat="1" applyFont="1" applyFill="1"/>
    <xf numFmtId="166" fontId="48" fillId="7" borderId="0" xfId="10" applyNumberFormat="1" applyFont="1" applyFill="1"/>
    <xf numFmtId="166" fontId="24" fillId="7" borderId="0" xfId="10" applyNumberFormat="1" applyFont="1" applyFill="1"/>
    <xf numFmtId="0" fontId="46" fillId="0" borderId="0" xfId="11" applyFont="1"/>
    <xf numFmtId="0" fontId="24" fillId="0" borderId="2" xfId="10" applyFont="1" applyBorder="1"/>
    <xf numFmtId="0" fontId="24" fillId="0" borderId="2" xfId="10" applyFont="1" applyBorder="1" applyAlignment="1">
      <alignment horizontal="center" vertical="center"/>
    </xf>
    <xf numFmtId="0" fontId="44" fillId="0" borderId="0" xfId="11" applyFont="1"/>
    <xf numFmtId="166" fontId="24" fillId="0" borderId="0" xfId="1" applyNumberFormat="1" applyFont="1"/>
    <xf numFmtId="0" fontId="24" fillId="0" borderId="0" xfId="11" applyFont="1" applyAlignment="1">
      <alignment horizontal="center" vertical="center"/>
    </xf>
    <xf numFmtId="0" fontId="54" fillId="0" borderId="0" xfId="11" applyFont="1" applyAlignment="1">
      <alignment horizontal="center" vertical="center"/>
    </xf>
    <xf numFmtId="165" fontId="24" fillId="0" borderId="0" xfId="10" applyNumberFormat="1" applyFont="1"/>
    <xf numFmtId="178" fontId="24" fillId="0" borderId="0" xfId="3" applyNumberFormat="1" applyFont="1"/>
    <xf numFmtId="0" fontId="61" fillId="0" borderId="2" xfId="11" applyFont="1" applyBorder="1"/>
    <xf numFmtId="0" fontId="24" fillId="0" borderId="2" xfId="11" applyFont="1" applyBorder="1"/>
    <xf numFmtId="0" fontId="15" fillId="0" borderId="2" xfId="0" applyFont="1" applyBorder="1" applyAlignment="1">
      <alignment wrapText="1"/>
    </xf>
    <xf numFmtId="178" fontId="0" fillId="0" borderId="2" xfId="3" applyNumberFormat="1" applyFont="1" applyBorder="1"/>
    <xf numFmtId="0" fontId="44" fillId="0" borderId="2" xfId="11" applyFont="1" applyBorder="1"/>
    <xf numFmtId="166" fontId="24" fillId="0" borderId="2" xfId="1" applyNumberFormat="1" applyFont="1" applyBorder="1"/>
    <xf numFmtId="0" fontId="54" fillId="0" borderId="2" xfId="11" applyFont="1" applyBorder="1" applyAlignment="1">
      <alignment horizontal="center" vertical="center"/>
    </xf>
    <xf numFmtId="165" fontId="24" fillId="0" borderId="2" xfId="3" applyFont="1" applyBorder="1"/>
    <xf numFmtId="0" fontId="24" fillId="0" borderId="0" xfId="10" applyFont="1" applyAlignment="1">
      <alignment horizontal="center" vertical="center"/>
    </xf>
    <xf numFmtId="178" fontId="24" fillId="3" borderId="2" xfId="3" applyNumberFormat="1" applyFont="1" applyFill="1" applyBorder="1"/>
    <xf numFmtId="166" fontId="24" fillId="3" borderId="2" xfId="1" applyNumberFormat="1" applyFont="1" applyFill="1" applyBorder="1"/>
    <xf numFmtId="9" fontId="24" fillId="3" borderId="2" xfId="10" applyNumberFormat="1" applyFont="1" applyFill="1" applyBorder="1"/>
    <xf numFmtId="178" fontId="24" fillId="0" borderId="0" xfId="10" applyNumberFormat="1" applyFont="1"/>
    <xf numFmtId="0" fontId="47" fillId="0" borderId="0" xfId="11" applyFont="1"/>
    <xf numFmtId="0" fontId="49" fillId="0" borderId="0" xfId="11" applyFont="1" applyAlignment="1">
      <alignment horizontal="center" vertical="center"/>
    </xf>
    <xf numFmtId="178" fontId="54" fillId="0" borderId="0" xfId="10" applyNumberFormat="1" applyFont="1"/>
    <xf numFmtId="0" fontId="46" fillId="0" borderId="0" xfId="11" applyFont="1" applyAlignment="1">
      <alignment horizontal="center" vertical="center"/>
    </xf>
    <xf numFmtId="0" fontId="60" fillId="0" borderId="0" xfId="11" applyFont="1" applyAlignment="1">
      <alignment horizontal="center" vertical="center"/>
    </xf>
    <xf numFmtId="166" fontId="46" fillId="0" borderId="0" xfId="10" applyNumberFormat="1" applyFont="1"/>
    <xf numFmtId="178" fontId="58" fillId="0" borderId="0" xfId="3" applyNumberFormat="1" applyFont="1"/>
    <xf numFmtId="178" fontId="62" fillId="0" borderId="0" xfId="10" applyNumberFormat="1" applyFont="1"/>
    <xf numFmtId="178" fontId="46" fillId="0" borderId="0" xfId="10" applyNumberFormat="1" applyFont="1" applyAlignment="1">
      <alignment horizontal="center" vertical="center"/>
    </xf>
    <xf numFmtId="178" fontId="63" fillId="0" borderId="0" xfId="10" applyNumberFormat="1" applyFont="1" applyAlignment="1">
      <alignment horizontal="center" vertical="center"/>
    </xf>
    <xf numFmtId="0" fontId="58" fillId="0" borderId="2" xfId="11" applyFont="1" applyBorder="1" applyAlignment="1">
      <alignment horizontal="right"/>
    </xf>
    <xf numFmtId="0" fontId="60" fillId="0" borderId="0" xfId="11" applyFont="1" applyAlignment="1">
      <alignment horizontal="center" vertical="center" wrapText="1"/>
    </xf>
    <xf numFmtId="166" fontId="45" fillId="0" borderId="0" xfId="10" applyNumberFormat="1" applyFont="1" applyAlignment="1">
      <alignment horizontal="center" vertical="center"/>
    </xf>
    <xf numFmtId="183" fontId="24" fillId="0" borderId="0" xfId="10" applyNumberFormat="1" applyFont="1"/>
    <xf numFmtId="9" fontId="24" fillId="0" borderId="0" xfId="1" applyFont="1"/>
    <xf numFmtId="0" fontId="28" fillId="7" borderId="6" xfId="0" applyFont="1" applyFill="1" applyBorder="1"/>
    <xf numFmtId="165" fontId="28" fillId="7" borderId="0" xfId="3" applyFont="1" applyFill="1"/>
    <xf numFmtId="165" fontId="28" fillId="7" borderId="0" xfId="0" applyNumberFormat="1" applyFont="1" applyFill="1"/>
    <xf numFmtId="10" fontId="0" fillId="0" borderId="0" xfId="1" applyNumberFormat="1" applyFont="1" applyFill="1" applyBorder="1"/>
    <xf numFmtId="10" fontId="0" fillId="8" borderId="0" xfId="1" applyNumberFormat="1" applyFont="1" applyFill="1"/>
    <xf numFmtId="0" fontId="0" fillId="7" borderId="0" xfId="0" applyFill="1"/>
    <xf numFmtId="174" fontId="0" fillId="7" borderId="0" xfId="3" applyNumberFormat="1" applyFont="1" applyFill="1"/>
    <xf numFmtId="166" fontId="19" fillId="13" borderId="0" xfId="1" applyNumberFormat="1" applyFont="1" applyFill="1"/>
    <xf numFmtId="166" fontId="0" fillId="13" borderId="0" xfId="0" applyNumberFormat="1" applyFill="1"/>
    <xf numFmtId="9" fontId="0" fillId="13" borderId="0" xfId="0" applyNumberFormat="1" applyFill="1"/>
    <xf numFmtId="0" fontId="65" fillId="0" borderId="0" xfId="0" applyFont="1" applyAlignment="1">
      <alignment horizontal="center" vertical="center"/>
    </xf>
    <xf numFmtId="0" fontId="66" fillId="0" borderId="0" xfId="0" applyFont="1"/>
    <xf numFmtId="166" fontId="66" fillId="0" borderId="0" xfId="0" applyNumberFormat="1" applyFont="1"/>
    <xf numFmtId="0" fontId="65" fillId="0" borderId="0" xfId="0" applyFont="1" applyAlignment="1">
      <alignment horizontal="center" vertical="center" wrapText="1"/>
    </xf>
    <xf numFmtId="0" fontId="31" fillId="15" borderId="0" xfId="0" applyFont="1" applyFill="1" applyAlignment="1">
      <alignment vertical="center"/>
    </xf>
    <xf numFmtId="184" fontId="0" fillId="0" borderId="0" xfId="0" applyNumberFormat="1"/>
    <xf numFmtId="185" fontId="19" fillId="0" borderId="0" xfId="0" applyNumberFormat="1" applyFont="1"/>
    <xf numFmtId="0" fontId="67" fillId="0" borderId="0" xfId="0" applyFont="1" applyAlignment="1">
      <alignment horizontal="center" vertical="center"/>
    </xf>
    <xf numFmtId="0" fontId="69" fillId="0" borderId="0" xfId="11" applyFont="1"/>
    <xf numFmtId="0" fontId="70" fillId="0" borderId="0" xfId="0" applyFont="1"/>
    <xf numFmtId="0" fontId="68" fillId="0" borderId="0" xfId="11" applyFont="1" applyAlignment="1">
      <alignment horizontal="right"/>
    </xf>
    <xf numFmtId="1" fontId="70" fillId="0" borderId="0" xfId="0" applyNumberFormat="1" applyFont="1"/>
    <xf numFmtId="0" fontId="71" fillId="0" borderId="0" xfId="11" applyFont="1" applyAlignment="1">
      <alignment horizontal="right"/>
    </xf>
    <xf numFmtId="0" fontId="72" fillId="16" borderId="2" xfId="0" applyFont="1" applyFill="1" applyBorder="1" applyAlignment="1">
      <alignment horizontal="right" vertical="center"/>
    </xf>
    <xf numFmtId="178" fontId="24" fillId="7" borderId="2" xfId="3" applyNumberFormat="1" applyFont="1" applyFill="1" applyBorder="1"/>
    <xf numFmtId="165" fontId="24" fillId="3" borderId="2" xfId="3" applyFont="1" applyFill="1" applyBorder="1"/>
    <xf numFmtId="164" fontId="24" fillId="0" borderId="0" xfId="10" applyNumberFormat="1" applyFont="1"/>
    <xf numFmtId="10" fontId="24" fillId="0" borderId="0" xfId="1" applyNumberFormat="1" applyFont="1"/>
    <xf numFmtId="0" fontId="60" fillId="0" borderId="0" xfId="11" applyFont="1" applyAlignment="1">
      <alignment horizontal="left" vertical="top" wrapText="1"/>
    </xf>
    <xf numFmtId="166" fontId="54" fillId="0" borderId="0" xfId="10" applyNumberFormat="1" applyFont="1"/>
    <xf numFmtId="0" fontId="45" fillId="3" borderId="0" xfId="10" applyFont="1" applyFill="1" applyAlignment="1">
      <alignment horizontal="center" vertical="center" wrapText="1"/>
    </xf>
    <xf numFmtId="0" fontId="54" fillId="3" borderId="0" xfId="10" applyFont="1" applyFill="1"/>
    <xf numFmtId="0" fontId="12" fillId="0" borderId="1" xfId="2" applyBorder="1"/>
    <xf numFmtId="10" fontId="0" fillId="0" borderId="1" xfId="1" applyNumberFormat="1" applyFont="1" applyBorder="1"/>
    <xf numFmtId="166" fontId="19" fillId="0" borderId="1" xfId="1" applyNumberFormat="1" applyFont="1" applyBorder="1"/>
    <xf numFmtId="166" fontId="0" fillId="0" borderId="1" xfId="1" applyNumberFormat="1" applyFont="1" applyBorder="1" applyAlignment="1">
      <alignment horizontal="center"/>
    </xf>
    <xf numFmtId="0" fontId="74" fillId="0" borderId="0" xfId="0" applyFont="1" applyAlignment="1">
      <alignment horizontal="center" vertical="center"/>
    </xf>
    <xf numFmtId="9" fontId="12" fillId="0" borderId="0" xfId="1" applyFont="1" applyAlignment="1">
      <alignment horizontal="center"/>
    </xf>
    <xf numFmtId="9" fontId="75" fillId="0" borderId="0" xfId="1" applyFont="1" applyAlignment="1">
      <alignment horizontal="center"/>
    </xf>
    <xf numFmtId="165" fontId="12" fillId="0" borderId="0" xfId="3" applyFont="1" applyFill="1" applyAlignment="1">
      <alignment horizontal="center"/>
    </xf>
    <xf numFmtId="9" fontId="12" fillId="0" borderId="0" xfId="1" applyFont="1" applyFill="1" applyAlignment="1">
      <alignment horizontal="center"/>
    </xf>
    <xf numFmtId="165" fontId="0" fillId="7" borderId="0" xfId="3" applyFont="1" applyFill="1"/>
    <xf numFmtId="180" fontId="13" fillId="9" borderId="0" xfId="3" applyNumberFormat="1" applyFont="1" applyFill="1"/>
    <xf numFmtId="179" fontId="0" fillId="9" borderId="0" xfId="3" applyNumberFormat="1" applyFont="1" applyFill="1"/>
    <xf numFmtId="0" fontId="76" fillId="0" borderId="0" xfId="0" applyFont="1" applyAlignment="1">
      <alignment horizontal="center" vertical="center"/>
    </xf>
    <xf numFmtId="0" fontId="76" fillId="0" borderId="0" xfId="0" applyFont="1"/>
    <xf numFmtId="178" fontId="24" fillId="3" borderId="0" xfId="10" applyNumberFormat="1" applyFont="1" applyFill="1"/>
    <xf numFmtId="178" fontId="0" fillId="18" borderId="0" xfId="3" applyNumberFormat="1" applyFont="1" applyFill="1"/>
    <xf numFmtId="10" fontId="0" fillId="3" borderId="0" xfId="1" applyNumberFormat="1" applyFont="1" applyFill="1"/>
    <xf numFmtId="9" fontId="77" fillId="0" borderId="0" xfId="0" applyNumberFormat="1" applyFont="1"/>
    <xf numFmtId="180" fontId="24" fillId="0" borderId="0" xfId="3" applyNumberFormat="1" applyFont="1"/>
    <xf numFmtId="0" fontId="22" fillId="0" borderId="0" xfId="0" applyFont="1"/>
    <xf numFmtId="0" fontId="22" fillId="0" borderId="0" xfId="0" applyFont="1" applyAlignment="1">
      <alignment horizontal="right" vertical="center"/>
    </xf>
    <xf numFmtId="0" fontId="78" fillId="0" borderId="4" xfId="0" applyFont="1" applyBorder="1" applyAlignment="1">
      <alignment horizontal="center" vertical="center" wrapText="1"/>
    </xf>
    <xf numFmtId="0" fontId="22" fillId="0" borderId="4" xfId="0" applyFont="1" applyBorder="1" applyAlignment="1">
      <alignment horizontal="center" vertical="center" wrapText="1"/>
    </xf>
    <xf numFmtId="0" fontId="20" fillId="0" borderId="4" xfId="0" applyFont="1" applyBorder="1" applyAlignment="1">
      <alignment vertical="center" wrapText="1"/>
    </xf>
    <xf numFmtId="0" fontId="78" fillId="0" borderId="4" xfId="0" applyFont="1" applyBorder="1" applyAlignment="1">
      <alignment vertical="center" wrapText="1"/>
    </xf>
    <xf numFmtId="0" fontId="78" fillId="0" borderId="4" xfId="0" applyFont="1" applyBorder="1" applyAlignment="1">
      <alignment horizontal="left" vertical="center" wrapText="1"/>
    </xf>
    <xf numFmtId="180" fontId="0" fillId="0" borderId="0" xfId="3" applyNumberFormat="1" applyFont="1"/>
    <xf numFmtId="0" fontId="78" fillId="3" borderId="4" xfId="0" applyFont="1" applyFill="1" applyBorder="1" applyAlignment="1">
      <alignment vertical="center" wrapText="1"/>
    </xf>
    <xf numFmtId="0" fontId="64" fillId="0" borderId="0" xfId="0" applyFont="1" applyAlignment="1">
      <alignment vertical="center"/>
    </xf>
    <xf numFmtId="0" fontId="64" fillId="0" borderId="0" xfId="0" applyFont="1"/>
    <xf numFmtId="0" fontId="64" fillId="0" borderId="0" xfId="0" applyFont="1" applyAlignment="1">
      <alignment horizontal="center" vertical="center"/>
    </xf>
    <xf numFmtId="0" fontId="79" fillId="0" borderId="0" xfId="0" applyFont="1" applyAlignment="1">
      <alignment vertical="center"/>
    </xf>
    <xf numFmtId="171" fontId="0" fillId="18" borderId="0" xfId="0" applyNumberFormat="1" applyFill="1"/>
    <xf numFmtId="166" fontId="0" fillId="9" borderId="0" xfId="0" applyNumberFormat="1" applyFill="1"/>
    <xf numFmtId="167" fontId="81" fillId="0" borderId="0" xfId="0" applyNumberFormat="1" applyFont="1" applyAlignment="1">
      <alignment horizontal="right" vertical="center" wrapText="1"/>
    </xf>
    <xf numFmtId="0" fontId="7" fillId="0" borderId="0" xfId="0" applyFont="1"/>
    <xf numFmtId="17" fontId="80" fillId="0" borderId="0" xfId="0" applyNumberFormat="1" applyFont="1"/>
    <xf numFmtId="0" fontId="80" fillId="0" borderId="0" xfId="0" applyFont="1"/>
    <xf numFmtId="0" fontId="82" fillId="0" borderId="0" xfId="0" applyFont="1" applyAlignment="1">
      <alignment horizontal="left" vertical="top"/>
    </xf>
    <xf numFmtId="178" fontId="80" fillId="0" borderId="0" xfId="3" applyNumberFormat="1" applyFont="1"/>
    <xf numFmtId="167" fontId="81" fillId="0" borderId="0" xfId="0" applyNumberFormat="1" applyFont="1" applyAlignment="1" applyProtection="1">
      <alignment horizontal="center" vertical="center" wrapText="1"/>
      <protection hidden="1"/>
    </xf>
    <xf numFmtId="167" fontId="81" fillId="0" borderId="0" xfId="0" applyNumberFormat="1" applyFont="1" applyAlignment="1">
      <alignment horizontal="center" vertical="center" wrapText="1"/>
    </xf>
    <xf numFmtId="0" fontId="7" fillId="0" borderId="0" xfId="0" applyFont="1" applyAlignment="1">
      <alignment horizontal="center"/>
    </xf>
    <xf numFmtId="166" fontId="15" fillId="0" borderId="0" xfId="1" applyNumberFormat="1" applyFont="1"/>
    <xf numFmtId="0" fontId="84" fillId="0" borderId="0" xfId="16" applyAlignment="1">
      <alignment vertical="center"/>
    </xf>
    <xf numFmtId="179" fontId="85" fillId="0" borderId="0" xfId="3" applyNumberFormat="1" applyFont="1"/>
    <xf numFmtId="10" fontId="19" fillId="0" borderId="0" xfId="1" applyNumberFormat="1" applyFont="1"/>
    <xf numFmtId="10" fontId="19" fillId="0" borderId="1" xfId="1" applyNumberFormat="1" applyFont="1" applyBorder="1"/>
    <xf numFmtId="9" fontId="86" fillId="0" borderId="0" xfId="1" applyFont="1" applyAlignment="1">
      <alignment horizontal="center" vertical="center"/>
    </xf>
    <xf numFmtId="166" fontId="45" fillId="0" borderId="0" xfId="1" applyNumberFormat="1" applyFont="1"/>
    <xf numFmtId="0" fontId="87" fillId="0" borderId="0" xfId="10" applyFont="1"/>
    <xf numFmtId="165" fontId="88" fillId="0" borderId="0" xfId="3" applyFont="1"/>
    <xf numFmtId="166" fontId="80" fillId="0" borderId="0" xfId="1" applyNumberFormat="1" applyFont="1"/>
    <xf numFmtId="10" fontId="0" fillId="3" borderId="1" xfId="1" applyNumberFormat="1" applyFont="1" applyFill="1" applyBorder="1"/>
    <xf numFmtId="10" fontId="0" fillId="10" borderId="0" xfId="1" applyNumberFormat="1" applyFont="1" applyFill="1"/>
    <xf numFmtId="166" fontId="32" fillId="0" borderId="0" xfId="1" applyNumberFormat="1" applyFont="1"/>
    <xf numFmtId="10" fontId="24" fillId="0" borderId="0" xfId="10" applyNumberFormat="1" applyFont="1"/>
    <xf numFmtId="0" fontId="89" fillId="0" borderId="2" xfId="0" applyFont="1" applyBorder="1"/>
    <xf numFmtId="178" fontId="88" fillId="0" borderId="0" xfId="10" applyNumberFormat="1" applyFont="1"/>
    <xf numFmtId="165" fontId="88" fillId="8" borderId="0" xfId="3" applyFont="1" applyFill="1"/>
    <xf numFmtId="0" fontId="6" fillId="0" borderId="0" xfId="17"/>
    <xf numFmtId="0" fontId="14" fillId="0" borderId="0" xfId="17" applyFont="1"/>
    <xf numFmtId="1" fontId="22" fillId="0" borderId="0" xfId="17" applyNumberFormat="1" applyFont="1" applyAlignment="1">
      <alignment horizontal="right" wrapText="1"/>
    </xf>
    <xf numFmtId="1" fontId="6" fillId="0" borderId="0" xfId="17" applyNumberFormat="1"/>
    <xf numFmtId="167" fontId="22" fillId="0" borderId="4" xfId="17" applyNumberFormat="1" applyFont="1" applyBorder="1" applyAlignment="1">
      <alignment horizontal="right" wrapText="1"/>
    </xf>
    <xf numFmtId="0" fontId="78" fillId="0" borderId="4" xfId="17" applyFont="1" applyBorder="1" applyAlignment="1">
      <alignment vertical="center" wrapText="1"/>
    </xf>
    <xf numFmtId="0" fontId="78" fillId="0" borderId="4" xfId="17" applyFont="1" applyBorder="1" applyAlignment="1">
      <alignment horizontal="left" vertical="center" wrapText="1" indent="1"/>
    </xf>
    <xf numFmtId="167" fontId="21" fillId="0" borderId="4" xfId="17" applyNumberFormat="1" applyFont="1" applyBorder="1" applyAlignment="1">
      <alignment horizontal="right" wrapText="1"/>
    </xf>
    <xf numFmtId="0" fontId="20" fillId="0" borderId="4" xfId="17" applyFont="1" applyBorder="1" applyAlignment="1">
      <alignment vertical="center" wrapText="1"/>
    </xf>
    <xf numFmtId="167" fontId="6" fillId="0" borderId="0" xfId="17" applyNumberFormat="1"/>
    <xf numFmtId="0" fontId="30" fillId="0" borderId="0" xfId="17" applyFont="1"/>
    <xf numFmtId="166" fontId="0" fillId="0" borderId="0" xfId="18" applyNumberFormat="1" applyFont="1"/>
    <xf numFmtId="10" fontId="0" fillId="0" borderId="0" xfId="18" applyNumberFormat="1" applyFont="1"/>
    <xf numFmtId="0" fontId="78" fillId="0" borderId="0" xfId="17" applyFont="1" applyAlignment="1">
      <alignment vertical="center" wrapText="1"/>
    </xf>
    <xf numFmtId="167" fontId="22" fillId="0" borderId="0" xfId="17" applyNumberFormat="1" applyFont="1" applyAlignment="1">
      <alignment horizontal="right" wrapText="1"/>
    </xf>
    <xf numFmtId="167" fontId="21" fillId="3" borderId="0" xfId="17" applyNumberFormat="1" applyFont="1" applyFill="1" applyAlignment="1">
      <alignment horizontal="right" wrapText="1"/>
    </xf>
    <xf numFmtId="167" fontId="21" fillId="3" borderId="4" xfId="17" applyNumberFormat="1" applyFont="1" applyFill="1" applyBorder="1" applyAlignment="1">
      <alignment horizontal="right" wrapText="1"/>
    </xf>
    <xf numFmtId="0" fontId="20" fillId="0" borderId="11" xfId="17" applyFont="1" applyBorder="1" applyAlignment="1">
      <alignment vertical="center" wrapText="1"/>
    </xf>
    <xf numFmtId="0" fontId="78" fillId="0" borderId="12" xfId="17" applyFont="1" applyBorder="1" applyAlignment="1">
      <alignment horizontal="center" vertical="center" wrapText="1"/>
    </xf>
    <xf numFmtId="0" fontId="78" fillId="0" borderId="4" xfId="17" applyFont="1" applyBorder="1" applyAlignment="1">
      <alignment horizontal="center" vertical="center" wrapText="1"/>
    </xf>
    <xf numFmtId="0" fontId="22" fillId="0" borderId="0" xfId="17" applyFont="1" applyAlignment="1">
      <alignment horizontal="right" vertical="center"/>
    </xf>
    <xf numFmtId="0" fontId="22" fillId="0" borderId="0" xfId="17" applyFont="1"/>
    <xf numFmtId="165" fontId="24" fillId="19" borderId="2" xfId="3" applyFont="1" applyFill="1" applyBorder="1"/>
    <xf numFmtId="176" fontId="0" fillId="19" borderId="0" xfId="0" applyNumberFormat="1" applyFill="1"/>
    <xf numFmtId="0" fontId="0" fillId="19" borderId="0" xfId="0" applyFill="1"/>
    <xf numFmtId="9" fontId="19" fillId="0" borderId="0" xfId="0" applyNumberFormat="1" applyFont="1"/>
    <xf numFmtId="10" fontId="80" fillId="0" borderId="0" xfId="0" applyNumberFormat="1" applyFont="1"/>
    <xf numFmtId="165" fontId="60" fillId="0" borderId="0" xfId="10" applyNumberFormat="1" applyFont="1"/>
    <xf numFmtId="0" fontId="85" fillId="0" borderId="0" xfId="0" applyFont="1"/>
    <xf numFmtId="166" fontId="40" fillId="0" borderId="0" xfId="0" applyNumberFormat="1" applyFont="1"/>
    <xf numFmtId="166" fontId="0" fillId="20" borderId="0" xfId="1" applyNumberFormat="1" applyFont="1" applyFill="1"/>
    <xf numFmtId="166" fontId="95" fillId="0" borderId="0" xfId="0" applyNumberFormat="1" applyFont="1"/>
    <xf numFmtId="9" fontId="96" fillId="0" borderId="0" xfId="1" applyFont="1" applyAlignment="1">
      <alignment horizontal="center" vertical="center"/>
    </xf>
    <xf numFmtId="0" fontId="0" fillId="21" borderId="0" xfId="0" applyFill="1"/>
    <xf numFmtId="166" fontId="0" fillId="21" borderId="0" xfId="1" applyNumberFormat="1" applyFont="1" applyFill="1"/>
    <xf numFmtId="168" fontId="19" fillId="0" borderId="0" xfId="0" applyNumberFormat="1" applyFont="1"/>
    <xf numFmtId="0" fontId="12" fillId="6" borderId="0" xfId="2" applyFill="1"/>
    <xf numFmtId="0" fontId="0" fillId="6" borderId="0" xfId="0" applyFill="1"/>
    <xf numFmtId="0" fontId="19" fillId="6" borderId="0" xfId="0" applyFont="1" applyFill="1"/>
    <xf numFmtId="176" fontId="0" fillId="6" borderId="0" xfId="0" applyNumberFormat="1" applyFill="1"/>
    <xf numFmtId="1" fontId="0" fillId="6" borderId="0" xfId="0" applyNumberFormat="1" applyFill="1"/>
    <xf numFmtId="166" fontId="0" fillId="6" borderId="0" xfId="1" applyNumberFormat="1" applyFont="1" applyFill="1"/>
    <xf numFmtId="165" fontId="0" fillId="0" borderId="1" xfId="3" applyFont="1" applyBorder="1"/>
    <xf numFmtId="166" fontId="0" fillId="12" borderId="1" xfId="1" applyNumberFormat="1" applyFont="1" applyFill="1" applyBorder="1" applyAlignment="1">
      <alignment horizontal="center" vertical="center"/>
    </xf>
    <xf numFmtId="165" fontId="28" fillId="7" borderId="1" xfId="0" applyNumberFormat="1" applyFont="1" applyFill="1" applyBorder="1"/>
    <xf numFmtId="10" fontId="0" fillId="8" borderId="1" xfId="1" applyNumberFormat="1" applyFont="1" applyFill="1" applyBorder="1"/>
    <xf numFmtId="166" fontId="0" fillId="0" borderId="1" xfId="1" applyNumberFormat="1" applyFont="1" applyFill="1" applyBorder="1"/>
    <xf numFmtId="0" fontId="0" fillId="10" borderId="1" xfId="0" applyFill="1" applyBorder="1"/>
    <xf numFmtId="173" fontId="0" fillId="0" borderId="1" xfId="0" applyNumberFormat="1" applyBorder="1"/>
    <xf numFmtId="164" fontId="0" fillId="0" borderId="1" xfId="0" applyNumberFormat="1" applyBorder="1"/>
    <xf numFmtId="178" fontId="0" fillId="0" borderId="1" xfId="3" applyNumberFormat="1" applyFont="1" applyBorder="1"/>
    <xf numFmtId="186" fontId="0" fillId="0" borderId="0" xfId="0" applyNumberFormat="1"/>
    <xf numFmtId="2" fontId="0" fillId="6" borderId="0" xfId="0" applyNumberFormat="1" applyFill="1"/>
    <xf numFmtId="166" fontId="19" fillId="6" borderId="0" xfId="1" applyNumberFormat="1" applyFont="1" applyFill="1"/>
    <xf numFmtId="10" fontId="0" fillId="6" borderId="0" xfId="1" applyNumberFormat="1" applyFont="1" applyFill="1"/>
    <xf numFmtId="9" fontId="86" fillId="6" borderId="0" xfId="1" applyFont="1" applyFill="1" applyAlignment="1">
      <alignment horizontal="center" vertical="center"/>
    </xf>
    <xf numFmtId="166" fontId="0" fillId="6" borderId="0" xfId="0" applyNumberFormat="1" applyFill="1"/>
    <xf numFmtId="166" fontId="95" fillId="6" borderId="0" xfId="0" applyNumberFormat="1" applyFont="1" applyFill="1"/>
    <xf numFmtId="185" fontId="19" fillId="6" borderId="0" xfId="0" applyNumberFormat="1" applyFont="1" applyFill="1"/>
    <xf numFmtId="0" fontId="64" fillId="0" borderId="1" xfId="0" applyFont="1" applyBorder="1"/>
    <xf numFmtId="165" fontId="0" fillId="21" borderId="0" xfId="3" applyFont="1" applyFill="1"/>
    <xf numFmtId="166" fontId="0" fillId="7" borderId="0" xfId="1" applyNumberFormat="1" applyFont="1" applyFill="1"/>
    <xf numFmtId="0" fontId="46" fillId="0" borderId="8" xfId="10" applyFont="1" applyBorder="1" applyAlignment="1">
      <alignment horizontal="center" vertical="center"/>
    </xf>
    <xf numFmtId="182" fontId="24" fillId="0" borderId="0" xfId="19" applyNumberFormat="1" applyFont="1"/>
    <xf numFmtId="43" fontId="24" fillId="7" borderId="0" xfId="20" applyFont="1" applyFill="1"/>
    <xf numFmtId="43" fontId="52" fillId="7" borderId="0" xfId="19" applyFont="1" applyFill="1"/>
    <xf numFmtId="2" fontId="52" fillId="7" borderId="0" xfId="11" applyNumberFormat="1" applyFont="1" applyFill="1"/>
    <xf numFmtId="10" fontId="24" fillId="7" borderId="0" xfId="21" applyNumberFormat="1" applyFont="1" applyFill="1"/>
    <xf numFmtId="182" fontId="24" fillId="7" borderId="0" xfId="20" applyNumberFormat="1" applyFont="1" applyFill="1"/>
    <xf numFmtId="166" fontId="57" fillId="7" borderId="0" xfId="21" applyNumberFormat="1" applyFont="1" applyFill="1"/>
    <xf numFmtId="166" fontId="24" fillId="7" borderId="0" xfId="21" applyNumberFormat="1" applyFont="1" applyFill="1"/>
    <xf numFmtId="166" fontId="48" fillId="7" borderId="0" xfId="21" applyNumberFormat="1" applyFont="1" applyFill="1"/>
    <xf numFmtId="0" fontId="5" fillId="0" borderId="0" xfId="22"/>
    <xf numFmtId="178" fontId="24" fillId="0" borderId="0" xfId="23" applyNumberFormat="1" applyFont="1"/>
    <xf numFmtId="166" fontId="24" fillId="0" borderId="0" xfId="21" applyNumberFormat="1" applyFont="1" applyFill="1"/>
    <xf numFmtId="9" fontId="24" fillId="0" borderId="0" xfId="21" applyFont="1" applyFill="1"/>
    <xf numFmtId="0" fontId="15" fillId="0" borderId="2" xfId="0" applyFont="1" applyBorder="1" applyAlignment="1">
      <alignment vertical="center" wrapText="1"/>
    </xf>
    <xf numFmtId="178" fontId="0" fillId="0" borderId="2" xfId="23" applyNumberFormat="1" applyFont="1" applyBorder="1"/>
    <xf numFmtId="178" fontId="24" fillId="18" borderId="2" xfId="23" applyNumberFormat="1" applyFont="1" applyFill="1" applyBorder="1"/>
    <xf numFmtId="178" fontId="24" fillId="3" borderId="2" xfId="23" applyNumberFormat="1" applyFont="1" applyFill="1" applyBorder="1"/>
    <xf numFmtId="178" fontId="24" fillId="2" borderId="2" xfId="23" applyNumberFormat="1" applyFont="1" applyFill="1" applyBorder="1"/>
    <xf numFmtId="9" fontId="24" fillId="2" borderId="0" xfId="1" applyFont="1" applyFill="1"/>
    <xf numFmtId="9" fontId="47" fillId="2" borderId="0" xfId="10" applyNumberFormat="1" applyFont="1" applyFill="1"/>
    <xf numFmtId="166" fontId="48" fillId="3" borderId="2" xfId="1" applyNumberFormat="1" applyFont="1" applyFill="1" applyBorder="1"/>
    <xf numFmtId="165" fontId="24" fillId="0" borderId="2" xfId="23" applyFont="1" applyBorder="1"/>
    <xf numFmtId="2" fontId="24" fillId="18" borderId="2" xfId="10" applyNumberFormat="1" applyFont="1" applyFill="1" applyBorder="1"/>
    <xf numFmtId="2" fontId="24" fillId="18" borderId="2" xfId="23" applyNumberFormat="1" applyFont="1" applyFill="1" applyBorder="1"/>
    <xf numFmtId="2" fontId="49" fillId="2" borderId="0" xfId="1" applyNumberFormat="1" applyFont="1" applyFill="1"/>
    <xf numFmtId="2" fontId="24" fillId="2" borderId="0" xfId="1" applyNumberFormat="1" applyFont="1" applyFill="1"/>
    <xf numFmtId="2" fontId="47" fillId="2" borderId="0" xfId="10" applyNumberFormat="1" applyFont="1" applyFill="1"/>
    <xf numFmtId="2" fontId="24" fillId="0" borderId="0" xfId="10" applyNumberFormat="1" applyFont="1"/>
    <xf numFmtId="0" fontId="54" fillId="13" borderId="2" xfId="11" applyFont="1" applyFill="1" applyBorder="1" applyAlignment="1">
      <alignment horizontal="center" vertical="center"/>
    </xf>
    <xf numFmtId="0" fontId="24" fillId="13" borderId="2" xfId="10" applyFont="1" applyFill="1" applyBorder="1"/>
    <xf numFmtId="43" fontId="24" fillId="13" borderId="0" xfId="19" applyFont="1" applyFill="1"/>
    <xf numFmtId="43" fontId="24" fillId="13" borderId="2" xfId="10" applyNumberFormat="1" applyFont="1" applyFill="1" applyBorder="1"/>
    <xf numFmtId="0" fontId="15" fillId="13" borderId="2" xfId="0" applyFont="1" applyFill="1" applyBorder="1" applyAlignment="1">
      <alignment wrapText="1"/>
    </xf>
    <xf numFmtId="178" fontId="24" fillId="13" borderId="0" xfId="23" applyNumberFormat="1" applyFont="1" applyFill="1"/>
    <xf numFmtId="174" fontId="24" fillId="13" borderId="0" xfId="19" applyNumberFormat="1" applyFont="1" applyFill="1"/>
    <xf numFmtId="1" fontId="24" fillId="13" borderId="0" xfId="10" applyNumberFormat="1" applyFont="1" applyFill="1"/>
    <xf numFmtId="0" fontId="15" fillId="9" borderId="2" xfId="0" applyFont="1" applyFill="1" applyBorder="1" applyAlignment="1">
      <alignment wrapText="1"/>
    </xf>
    <xf numFmtId="178" fontId="24" fillId="9" borderId="0" xfId="23" applyNumberFormat="1" applyFont="1" applyFill="1"/>
    <xf numFmtId="178" fontId="24" fillId="2" borderId="0" xfId="10" applyNumberFormat="1" applyFont="1" applyFill="1"/>
    <xf numFmtId="0" fontId="60" fillId="0" borderId="0" xfId="11" applyFont="1" applyAlignment="1">
      <alignment horizontal="left" wrapText="1"/>
    </xf>
    <xf numFmtId="0" fontId="45" fillId="3" borderId="0" xfId="10" applyFont="1" applyFill="1" applyAlignment="1">
      <alignment horizontal="center" wrapText="1"/>
    </xf>
    <xf numFmtId="9" fontId="54" fillId="0" borderId="0" xfId="10" applyNumberFormat="1" applyFont="1"/>
    <xf numFmtId="0" fontId="97" fillId="0" borderId="0" xfId="11" applyFont="1" applyAlignment="1">
      <alignment horizontal="right"/>
    </xf>
    <xf numFmtId="178" fontId="58" fillId="0" borderId="0" xfId="23" applyNumberFormat="1" applyFont="1"/>
    <xf numFmtId="0" fontId="24" fillId="2" borderId="2" xfId="10" applyFont="1" applyFill="1" applyBorder="1" applyAlignment="1">
      <alignment horizontal="center" vertical="center"/>
    </xf>
    <xf numFmtId="0" fontId="24" fillId="9" borderId="2" xfId="10" applyFont="1" applyFill="1" applyBorder="1" applyAlignment="1">
      <alignment horizontal="center" vertical="center"/>
    </xf>
    <xf numFmtId="0" fontId="46" fillId="13" borderId="0" xfId="11" applyFont="1" applyFill="1"/>
    <xf numFmtId="165" fontId="88" fillId="0" borderId="0" xfId="23" applyFont="1"/>
    <xf numFmtId="180" fontId="60" fillId="13" borderId="0" xfId="10" applyNumberFormat="1" applyFont="1" applyFill="1"/>
    <xf numFmtId="165" fontId="60" fillId="13" borderId="0" xfId="10" applyNumberFormat="1" applyFont="1" applyFill="1"/>
    <xf numFmtId="43" fontId="24" fillId="0" borderId="0" xfId="19" applyFont="1"/>
    <xf numFmtId="0" fontId="49" fillId="0" borderId="0" xfId="10" applyFont="1"/>
    <xf numFmtId="168" fontId="24" fillId="0" borderId="0" xfId="19" applyNumberFormat="1" applyFont="1"/>
    <xf numFmtId="0" fontId="24" fillId="22" borderId="2" xfId="10" applyFont="1" applyFill="1" applyBorder="1" applyAlignment="1">
      <alignment horizontal="center" vertical="center"/>
    </xf>
    <xf numFmtId="0" fontId="24" fillId="17" borderId="2" xfId="10" applyFont="1" applyFill="1" applyBorder="1" applyAlignment="1">
      <alignment horizontal="center" vertical="center"/>
    </xf>
    <xf numFmtId="1" fontId="76" fillId="0" borderId="0" xfId="0" applyNumberFormat="1" applyFont="1"/>
    <xf numFmtId="0" fontId="80" fillId="18" borderId="0" xfId="0" applyFont="1" applyFill="1" applyAlignment="1">
      <alignment horizontal="center" wrapText="1"/>
    </xf>
    <xf numFmtId="167" fontId="67" fillId="0" borderId="0" xfId="0" applyNumberFormat="1" applyFont="1" applyAlignment="1">
      <alignment horizontal="center"/>
    </xf>
    <xf numFmtId="167" fontId="65" fillId="2" borderId="0" xfId="1" applyNumberFormat="1" applyFont="1" applyFill="1" applyAlignment="1">
      <alignment horizontal="center" vertical="center"/>
    </xf>
    <xf numFmtId="167" fontId="65" fillId="2" borderId="1" xfId="1" applyNumberFormat="1" applyFont="1" applyFill="1" applyBorder="1" applyAlignment="1">
      <alignment horizontal="center" vertical="center"/>
    </xf>
    <xf numFmtId="167" fontId="65" fillId="2" borderId="0" xfId="1" applyNumberFormat="1" applyFont="1" applyFill="1" applyBorder="1" applyAlignment="1">
      <alignment horizontal="center" vertical="center"/>
    </xf>
    <xf numFmtId="167" fontId="65" fillId="0" borderId="0" xfId="0" applyNumberFormat="1" applyFont="1"/>
    <xf numFmtId="9" fontId="65" fillId="0" borderId="0" xfId="1" applyFont="1"/>
    <xf numFmtId="2" fontId="48" fillId="0" borderId="0" xfId="10" applyNumberFormat="1" applyFont="1"/>
    <xf numFmtId="166" fontId="44" fillId="0" borderId="0" xfId="1" applyNumberFormat="1" applyFont="1"/>
    <xf numFmtId="0" fontId="80" fillId="3" borderId="0" xfId="0" applyFont="1" applyFill="1" applyAlignment="1">
      <alignment horizontal="center" vertical="center"/>
    </xf>
    <xf numFmtId="0" fontId="80" fillId="3" borderId="1" xfId="0" applyFont="1" applyFill="1" applyBorder="1" applyAlignment="1">
      <alignment horizontal="center" vertical="center"/>
    </xf>
    <xf numFmtId="2" fontId="80" fillId="6" borderId="0" xfId="0" applyNumberFormat="1" applyFont="1" applyFill="1"/>
    <xf numFmtId="1" fontId="80" fillId="6" borderId="0" xfId="0" applyNumberFormat="1" applyFont="1" applyFill="1"/>
    <xf numFmtId="178" fontId="0" fillId="6" borderId="0" xfId="3" applyNumberFormat="1" applyFont="1" applyFill="1"/>
    <xf numFmtId="178" fontId="80" fillId="6" borderId="0" xfId="3" applyNumberFormat="1" applyFont="1" applyFill="1"/>
    <xf numFmtId="0" fontId="37" fillId="0" borderId="0" xfId="0" applyFont="1" applyAlignment="1">
      <alignment horizontal="center" wrapText="1"/>
    </xf>
    <xf numFmtId="166" fontId="0" fillId="0" borderId="0" xfId="1" applyNumberFormat="1" applyFont="1" applyFill="1" applyAlignment="1">
      <alignment horizontal="center" vertical="center"/>
    </xf>
    <xf numFmtId="166" fontId="0" fillId="0" borderId="1" xfId="1" applyNumberFormat="1" applyFont="1" applyFill="1" applyBorder="1" applyAlignment="1">
      <alignment horizontal="center" vertical="center"/>
    </xf>
    <xf numFmtId="9" fontId="0" fillId="0" borderId="0" xfId="1" applyFont="1" applyFill="1" applyAlignment="1">
      <alignment horizontal="center" vertical="center"/>
    </xf>
    <xf numFmtId="9" fontId="0" fillId="0" borderId="1" xfId="1" applyFont="1" applyFill="1" applyBorder="1" applyAlignment="1">
      <alignment horizontal="center" vertical="center"/>
    </xf>
    <xf numFmtId="10" fontId="0" fillId="0" borderId="0" xfId="1" applyNumberFormat="1" applyFont="1" applyFill="1"/>
    <xf numFmtId="2" fontId="85" fillId="6" borderId="0" xfId="0" applyNumberFormat="1" applyFont="1" applyFill="1"/>
    <xf numFmtId="166" fontId="0" fillId="0" borderId="0" xfId="1" applyNumberFormat="1" applyFont="1" applyAlignment="1"/>
    <xf numFmtId="166" fontId="19" fillId="0" borderId="0" xfId="0" applyNumberFormat="1" applyFont="1"/>
    <xf numFmtId="0" fontId="25" fillId="0" borderId="0" xfId="0" applyFont="1" applyAlignment="1">
      <alignment horizontal="center" vertical="center" wrapText="1"/>
    </xf>
    <xf numFmtId="9" fontId="19" fillId="3" borderId="0" xfId="0" applyNumberFormat="1" applyFont="1" applyFill="1"/>
    <xf numFmtId="9" fontId="19" fillId="3" borderId="0" xfId="1" applyFont="1" applyFill="1"/>
    <xf numFmtId="166" fontId="0" fillId="23" borderId="0" xfId="1" applyNumberFormat="1" applyFont="1" applyFill="1"/>
    <xf numFmtId="0" fontId="27" fillId="0" borderId="1" xfId="0" applyFont="1" applyBorder="1" applyAlignment="1">
      <alignment horizontal="center" vertical="center"/>
    </xf>
    <xf numFmtId="0" fontId="19" fillId="0" borderId="1" xfId="0" applyFont="1" applyBorder="1" applyAlignment="1">
      <alignment horizontal="center"/>
    </xf>
    <xf numFmtId="167" fontId="0" fillId="0" borderId="1" xfId="0" applyNumberFormat="1" applyBorder="1" applyAlignment="1">
      <alignment horizontal="center" vertical="center"/>
    </xf>
    <xf numFmtId="168" fontId="0" fillId="0" borderId="1" xfId="0" applyNumberFormat="1" applyBorder="1"/>
    <xf numFmtId="0" fontId="27" fillId="0" borderId="0" xfId="0" applyFont="1" applyAlignment="1">
      <alignment horizontal="center"/>
    </xf>
    <xf numFmtId="0" fontId="29" fillId="23" borderId="0" xfId="0" applyFont="1" applyFill="1" applyAlignment="1">
      <alignment horizontal="center" wrapText="1"/>
    </xf>
    <xf numFmtId="9" fontId="80" fillId="23" borderId="0" xfId="0" applyNumberFormat="1" applyFont="1" applyFill="1"/>
    <xf numFmtId="0" fontId="27" fillId="24" borderId="0" xfId="0" applyFont="1" applyFill="1" applyAlignment="1">
      <alignment horizontal="center"/>
    </xf>
    <xf numFmtId="0" fontId="37" fillId="24" borderId="0" xfId="0" applyFont="1" applyFill="1" applyAlignment="1">
      <alignment horizontal="center" wrapText="1"/>
    </xf>
    <xf numFmtId="166" fontId="98" fillId="24" borderId="0" xfId="1" applyNumberFormat="1" applyFont="1" applyFill="1"/>
    <xf numFmtId="0" fontId="0" fillId="0" borderId="2" xfId="0" applyBorder="1"/>
    <xf numFmtId="0" fontId="0" fillId="0" borderId="2" xfId="0" applyBorder="1" applyAlignment="1">
      <alignment horizontal="center" vertical="center"/>
    </xf>
    <xf numFmtId="166" fontId="0" fillId="7" borderId="2" xfId="1" applyNumberFormat="1" applyFont="1" applyFill="1" applyBorder="1"/>
    <xf numFmtId="166" fontId="0" fillId="21" borderId="2" xfId="1" applyNumberFormat="1" applyFont="1" applyFill="1" applyBorder="1"/>
    <xf numFmtId="165" fontId="0" fillId="7" borderId="2" xfId="3" applyFont="1" applyFill="1" applyBorder="1"/>
    <xf numFmtId="165" fontId="0" fillId="21" borderId="2" xfId="3" applyFont="1" applyFill="1" applyBorder="1"/>
    <xf numFmtId="0" fontId="98" fillId="25" borderId="2" xfId="0" applyFont="1" applyFill="1" applyBorder="1" applyAlignment="1">
      <alignment horizontal="center"/>
    </xf>
    <xf numFmtId="0" fontId="0" fillId="25" borderId="2" xfId="0" applyFill="1" applyBorder="1"/>
    <xf numFmtId="187" fontId="0" fillId="0" borderId="0" xfId="0" applyNumberFormat="1"/>
    <xf numFmtId="0" fontId="101" fillId="15" borderId="18" xfId="0" applyFont="1" applyFill="1" applyBorder="1" applyAlignment="1">
      <alignment horizontal="center" vertical="center" wrapText="1"/>
    </xf>
    <xf numFmtId="0" fontId="0" fillId="0" borderId="19" xfId="0" applyBorder="1"/>
    <xf numFmtId="0" fontId="0" fillId="13" borderId="19" xfId="0" applyFill="1" applyBorder="1"/>
    <xf numFmtId="0" fontId="0" fillId="0" borderId="20" xfId="0" applyBorder="1"/>
    <xf numFmtId="9" fontId="0" fillId="0" borderId="20" xfId="1" applyFont="1" applyBorder="1"/>
    <xf numFmtId="166" fontId="0" fillId="0" borderId="19" xfId="1" applyNumberFormat="1" applyFont="1" applyBorder="1"/>
    <xf numFmtId="166" fontId="0" fillId="0" borderId="20" xfId="1" applyNumberFormat="1" applyFont="1" applyBorder="1"/>
    <xf numFmtId="165" fontId="0" fillId="0" borderId="19" xfId="3" applyFont="1" applyBorder="1"/>
    <xf numFmtId="165" fontId="80" fillId="0" borderId="19" xfId="3" applyFont="1" applyBorder="1"/>
    <xf numFmtId="165" fontId="80" fillId="0" borderId="21" xfId="3" applyFont="1" applyBorder="1"/>
    <xf numFmtId="0" fontId="31" fillId="15" borderId="18" xfId="0" applyFont="1" applyFill="1" applyBorder="1" applyAlignment="1">
      <alignment horizontal="center" vertical="center"/>
    </xf>
    <xf numFmtId="0" fontId="0" fillId="0" borderId="22" xfId="0" applyBorder="1"/>
    <xf numFmtId="165" fontId="0" fillId="0" borderId="20" xfId="3" applyFont="1" applyBorder="1"/>
    <xf numFmtId="0" fontId="100" fillId="15" borderId="23" xfId="0" applyFont="1" applyFill="1" applyBorder="1" applyAlignment="1">
      <alignment horizontal="center" vertical="center"/>
    </xf>
    <xf numFmtId="0" fontId="102" fillId="13" borderId="18" xfId="0" applyFont="1" applyFill="1" applyBorder="1" applyAlignment="1">
      <alignment horizontal="center" vertical="center" wrapText="1"/>
    </xf>
    <xf numFmtId="166" fontId="19" fillId="0" borderId="19" xfId="1" applyNumberFormat="1" applyFont="1" applyBorder="1"/>
    <xf numFmtId="166" fontId="104" fillId="0" borderId="19" xfId="1" applyNumberFormat="1" applyFont="1" applyBorder="1"/>
    <xf numFmtId="166" fontId="104" fillId="0" borderId="21" xfId="1" applyNumberFormat="1" applyFont="1" applyBorder="1"/>
    <xf numFmtId="180" fontId="104" fillId="0" borderId="19" xfId="3" applyNumberFormat="1" applyFont="1" applyBorder="1"/>
    <xf numFmtId="180" fontId="104" fillId="0" borderId="21" xfId="3" applyNumberFormat="1" applyFont="1" applyBorder="1"/>
    <xf numFmtId="0" fontId="31" fillId="14" borderId="18" xfId="0" applyFont="1" applyFill="1" applyBorder="1" applyAlignment="1">
      <alignment horizontal="center" vertical="center"/>
    </xf>
    <xf numFmtId="10" fontId="0" fillId="0" borderId="19" xfId="1" applyNumberFormat="1" applyFont="1" applyBorder="1"/>
    <xf numFmtId="10" fontId="0" fillId="0" borderId="20" xfId="1" applyNumberFormat="1" applyFont="1" applyBorder="1"/>
    <xf numFmtId="10" fontId="28" fillId="0" borderId="19" xfId="1" applyNumberFormat="1" applyFont="1" applyBorder="1"/>
    <xf numFmtId="10" fontId="19" fillId="0" borderId="19" xfId="1" applyNumberFormat="1" applyFont="1" applyBorder="1"/>
    <xf numFmtId="10" fontId="19" fillId="0" borderId="21" xfId="1" applyNumberFormat="1" applyFont="1" applyBorder="1"/>
    <xf numFmtId="166" fontId="64" fillId="0" borderId="19" xfId="1" applyNumberFormat="1" applyFont="1" applyBorder="1"/>
    <xf numFmtId="166" fontId="64" fillId="0" borderId="21" xfId="1" applyNumberFormat="1" applyFont="1" applyBorder="1"/>
    <xf numFmtId="180" fontId="104" fillId="0" borderId="19" xfId="3" applyNumberFormat="1" applyFont="1" applyBorder="1" applyAlignment="1">
      <alignment horizontal="center" vertical="center"/>
    </xf>
    <xf numFmtId="180" fontId="104" fillId="0" borderId="21" xfId="3" applyNumberFormat="1" applyFont="1" applyBorder="1" applyAlignment="1">
      <alignment horizontal="center" vertical="center"/>
    </xf>
    <xf numFmtId="0" fontId="0" fillId="0" borderId="7" xfId="0" applyBorder="1" applyAlignment="1">
      <alignment vertical="center"/>
    </xf>
    <xf numFmtId="0" fontId="0" fillId="0" borderId="10" xfId="0" applyBorder="1" applyAlignment="1">
      <alignment vertical="center"/>
    </xf>
    <xf numFmtId="0" fontId="0" fillId="0" borderId="3" xfId="0" applyBorder="1" applyAlignment="1">
      <alignment vertical="center"/>
    </xf>
    <xf numFmtId="9" fontId="85" fillId="0" borderId="0" xfId="1" applyFont="1" applyFill="1" applyAlignment="1">
      <alignment horizontal="center"/>
    </xf>
    <xf numFmtId="0" fontId="99" fillId="0" borderId="0" xfId="0" applyFont="1"/>
    <xf numFmtId="0" fontId="103" fillId="0" borderId="0" xfId="0" applyFont="1"/>
    <xf numFmtId="166" fontId="0" fillId="0" borderId="2" xfId="1" applyNumberFormat="1" applyFont="1" applyBorder="1" applyAlignment="1">
      <alignment horizontal="center" vertical="center"/>
    </xf>
    <xf numFmtId="167" fontId="0" fillId="0" borderId="2" xfId="0" applyNumberFormat="1" applyBorder="1" applyAlignment="1">
      <alignment horizontal="center" vertical="center"/>
    </xf>
    <xf numFmtId="166" fontId="19" fillId="0" borderId="2" xfId="1" applyNumberFormat="1" applyFont="1" applyBorder="1" applyAlignment="1">
      <alignment horizontal="center" vertical="center"/>
    </xf>
    <xf numFmtId="10" fontId="64" fillId="0" borderId="0" xfId="1" applyNumberFormat="1" applyFont="1"/>
    <xf numFmtId="180" fontId="24" fillId="0" borderId="0" xfId="3" applyNumberFormat="1" applyFont="1" applyAlignment="1">
      <alignment horizontal="center" vertical="center"/>
    </xf>
    <xf numFmtId="178" fontId="24" fillId="0" borderId="0" xfId="3" applyNumberFormat="1" applyFont="1" applyAlignment="1">
      <alignment horizontal="center" vertical="center"/>
    </xf>
    <xf numFmtId="180" fontId="24" fillId="3" borderId="0" xfId="3" applyNumberFormat="1" applyFont="1" applyFill="1" applyAlignment="1">
      <alignment horizontal="center" vertical="center"/>
    </xf>
    <xf numFmtId="166" fontId="0" fillId="3" borderId="0" xfId="0" applyNumberFormat="1" applyFill="1"/>
    <xf numFmtId="165" fontId="12" fillId="3" borderId="0" xfId="3" applyFont="1" applyFill="1" applyAlignment="1">
      <alignment horizontal="center"/>
    </xf>
    <xf numFmtId="166" fontId="80" fillId="3" borderId="0" xfId="1" applyNumberFormat="1" applyFont="1" applyFill="1"/>
    <xf numFmtId="0" fontId="64" fillId="0" borderId="7" xfId="0" applyFont="1" applyBorder="1" applyAlignment="1">
      <alignment vertical="center"/>
    </xf>
    <xf numFmtId="0" fontId="0" fillId="0" borderId="3" xfId="0" applyBorder="1"/>
    <xf numFmtId="0" fontId="105" fillId="0" borderId="0" xfId="0" applyFont="1" applyAlignment="1">
      <alignment horizontal="center" vertical="center"/>
    </xf>
    <xf numFmtId="0" fontId="98" fillId="26" borderId="2" xfId="0" applyFont="1" applyFill="1" applyBorder="1" applyAlignment="1">
      <alignment horizontal="center" vertical="center"/>
    </xf>
    <xf numFmtId="166" fontId="0" fillId="0" borderId="2" xfId="0" applyNumberFormat="1" applyBorder="1"/>
    <xf numFmtId="0" fontId="64" fillId="0" borderId="2" xfId="0" applyFont="1" applyBorder="1" applyAlignment="1">
      <alignment vertical="center"/>
    </xf>
    <xf numFmtId="166" fontId="0" fillId="23" borderId="2" xfId="1" applyNumberFormat="1" applyFont="1" applyFill="1" applyBorder="1"/>
    <xf numFmtId="166" fontId="0" fillId="18" borderId="2" xfId="1" applyNumberFormat="1" applyFont="1" applyFill="1" applyBorder="1"/>
    <xf numFmtId="166" fontId="0" fillId="0" borderId="2" xfId="1" applyNumberFormat="1" applyFont="1" applyBorder="1"/>
    <xf numFmtId="166" fontId="0" fillId="3" borderId="2" xfId="0" applyNumberFormat="1" applyFill="1" applyBorder="1"/>
    <xf numFmtId="167" fontId="0" fillId="0" borderId="2" xfId="0" applyNumberFormat="1" applyBorder="1"/>
    <xf numFmtId="166" fontId="0" fillId="0" borderId="2" xfId="1" applyNumberFormat="1" applyFont="1" applyFill="1" applyBorder="1"/>
    <xf numFmtId="166" fontId="0" fillId="2" borderId="2" xfId="1" applyNumberFormat="1" applyFont="1" applyFill="1" applyBorder="1"/>
    <xf numFmtId="0" fontId="0" fillId="0" borderId="2" xfId="0" applyBorder="1" applyAlignment="1">
      <alignment horizontal="center" vertical="center" wrapText="1"/>
    </xf>
    <xf numFmtId="0" fontId="64" fillId="0" borderId="2" xfId="0" applyFont="1" applyBorder="1" applyAlignment="1">
      <alignment horizontal="center" vertical="center"/>
    </xf>
    <xf numFmtId="0" fontId="74" fillId="0" borderId="2" xfId="0" applyFont="1" applyBorder="1" applyAlignment="1">
      <alignment horizontal="right" vertical="center"/>
    </xf>
    <xf numFmtId="0" fontId="64" fillId="27" borderId="2" xfId="0" applyFont="1" applyFill="1" applyBorder="1" applyAlignment="1">
      <alignment horizontal="center" vertical="center"/>
    </xf>
    <xf numFmtId="166" fontId="64" fillId="27" borderId="2" xfId="1" applyNumberFormat="1" applyFont="1" applyFill="1" applyBorder="1" applyAlignment="1">
      <alignment horizontal="center" vertical="center"/>
    </xf>
    <xf numFmtId="0" fontId="98" fillId="25" borderId="2" xfId="0" applyFont="1" applyFill="1" applyBorder="1" applyAlignment="1">
      <alignment horizontal="center" vertical="center" wrapText="1"/>
    </xf>
    <xf numFmtId="166" fontId="74" fillId="0" borderId="2" xfId="0" applyNumberFormat="1" applyFont="1" applyBorder="1" applyAlignment="1">
      <alignment horizontal="right"/>
    </xf>
    <xf numFmtId="166" fontId="80" fillId="0" borderId="0" xfId="1" applyNumberFormat="1" applyFont="1" applyFill="1"/>
    <xf numFmtId="9" fontId="80" fillId="0" borderId="0" xfId="1" applyFont="1" applyFill="1"/>
    <xf numFmtId="188" fontId="64" fillId="13" borderId="0" xfId="0" applyNumberFormat="1" applyFont="1" applyFill="1"/>
    <xf numFmtId="166" fontId="0" fillId="13" borderId="2" xfId="1" applyNumberFormat="1" applyFont="1" applyFill="1" applyBorder="1"/>
    <xf numFmtId="0" fontId="106" fillId="14" borderId="0" xfId="0" applyFont="1" applyFill="1" applyAlignment="1">
      <alignment horizontal="center" vertical="center"/>
    </xf>
    <xf numFmtId="166" fontId="106" fillId="0" borderId="0" xfId="1" applyNumberFormat="1" applyFont="1" applyFill="1"/>
    <xf numFmtId="189" fontId="0" fillId="13" borderId="0" xfId="0" applyNumberFormat="1" applyFill="1"/>
    <xf numFmtId="9" fontId="107" fillId="0" borderId="0" xfId="0" applyNumberFormat="1" applyFont="1"/>
    <xf numFmtId="176" fontId="107" fillId="19" borderId="0" xfId="0" applyNumberFormat="1" applyFont="1" applyFill="1"/>
    <xf numFmtId="0" fontId="106" fillId="0" borderId="0" xfId="0" applyFont="1" applyAlignment="1">
      <alignment horizontal="center" vertical="center"/>
    </xf>
    <xf numFmtId="166" fontId="108" fillId="0" borderId="0" xfId="1" applyNumberFormat="1" applyFont="1"/>
    <xf numFmtId="0" fontId="108" fillId="0" borderId="0" xfId="0" applyFont="1"/>
    <xf numFmtId="0" fontId="109" fillId="0" borderId="0" xfId="0" applyFont="1"/>
    <xf numFmtId="180" fontId="106" fillId="28" borderId="0" xfId="3" applyNumberFormat="1" applyFont="1" applyFill="1" applyAlignment="1">
      <alignment horizontal="center" vertical="center"/>
    </xf>
    <xf numFmtId="165" fontId="106" fillId="28" borderId="0" xfId="3" applyFont="1" applyFill="1" applyAlignment="1">
      <alignment horizontal="center"/>
    </xf>
    <xf numFmtId="166" fontId="19" fillId="0" borderId="0" xfId="1" applyNumberFormat="1" applyFont="1" applyFill="1"/>
    <xf numFmtId="165" fontId="106" fillId="0" borderId="0" xfId="3" applyFont="1"/>
    <xf numFmtId="166" fontId="106" fillId="0" borderId="0" xfId="0" applyNumberFormat="1" applyFont="1"/>
    <xf numFmtId="165" fontId="0" fillId="0" borderId="2" xfId="3" applyFont="1" applyBorder="1"/>
    <xf numFmtId="166" fontId="108" fillId="23" borderId="2" xfId="0" applyNumberFormat="1" applyFont="1" applyFill="1" applyBorder="1"/>
    <xf numFmtId="0" fontId="111" fillId="25" borderId="2" xfId="0" applyFont="1" applyFill="1" applyBorder="1"/>
    <xf numFmtId="0" fontId="110" fillId="25" borderId="2" xfId="0" applyFont="1" applyFill="1" applyBorder="1" applyAlignment="1">
      <alignment horizontal="center" vertical="center"/>
    </xf>
    <xf numFmtId="0" fontId="112" fillId="0" borderId="0" xfId="0" applyFont="1"/>
    <xf numFmtId="166" fontId="14" fillId="0" borderId="2" xfId="1" applyNumberFormat="1" applyFont="1" applyBorder="1" applyAlignment="1">
      <alignment horizontal="center" vertical="center"/>
    </xf>
    <xf numFmtId="165" fontId="106" fillId="0" borderId="2" xfId="3" applyFont="1" applyBorder="1"/>
    <xf numFmtId="0" fontId="108" fillId="0" borderId="2" xfId="0" applyFont="1" applyBorder="1" applyAlignment="1">
      <alignment horizontal="center" vertical="center"/>
    </xf>
    <xf numFmtId="0" fontId="14" fillId="0" borderId="2" xfId="0" applyFont="1" applyBorder="1" applyAlignment="1">
      <alignment horizontal="center" vertical="center"/>
    </xf>
    <xf numFmtId="9" fontId="14" fillId="0" borderId="2" xfId="1" applyFont="1" applyBorder="1" applyAlignment="1">
      <alignment horizontal="center" vertical="center"/>
    </xf>
    <xf numFmtId="166" fontId="14" fillId="23" borderId="2" xfId="0" applyNumberFormat="1" applyFont="1" applyFill="1" applyBorder="1" applyAlignment="1">
      <alignment horizontal="center" vertical="center"/>
    </xf>
    <xf numFmtId="166" fontId="113" fillId="28" borderId="0" xfId="1" applyNumberFormat="1" applyFont="1" applyFill="1"/>
    <xf numFmtId="180" fontId="64" fillId="0" borderId="0" xfId="3" applyNumberFormat="1" applyFont="1"/>
    <xf numFmtId="10" fontId="0" fillId="0" borderId="22" xfId="1" applyNumberFormat="1" applyFont="1" applyBorder="1"/>
    <xf numFmtId="166" fontId="107" fillId="0" borderId="0" xfId="0" applyNumberFormat="1" applyFont="1"/>
    <xf numFmtId="0" fontId="106" fillId="0" borderId="0" xfId="0" applyFont="1"/>
    <xf numFmtId="183" fontId="0" fillId="0" borderId="0" xfId="0" applyNumberFormat="1"/>
    <xf numFmtId="9" fontId="0" fillId="0" borderId="2" xfId="0" applyNumberFormat="1" applyBorder="1"/>
    <xf numFmtId="0" fontId="106" fillId="0" borderId="2" xfId="0" applyFont="1" applyBorder="1" applyAlignment="1">
      <alignment horizontal="center" vertical="center"/>
    </xf>
    <xf numFmtId="167" fontId="24" fillId="0" borderId="0" xfId="10" applyNumberFormat="1" applyFont="1"/>
    <xf numFmtId="178" fontId="24" fillId="3" borderId="0" xfId="3" applyNumberFormat="1" applyFont="1" applyFill="1" applyAlignment="1">
      <alignment horizontal="center" vertical="center"/>
    </xf>
    <xf numFmtId="0" fontId="45" fillId="0" borderId="0" xfId="11" applyFont="1"/>
    <xf numFmtId="180" fontId="24" fillId="0" borderId="0" xfId="10" applyNumberFormat="1" applyFont="1"/>
    <xf numFmtId="0" fontId="107" fillId="0" borderId="0" xfId="0" applyFont="1" applyAlignment="1">
      <alignment horizontal="center" vertical="center"/>
    </xf>
    <xf numFmtId="0" fontId="106" fillId="3" borderId="0" xfId="0" applyFont="1" applyFill="1"/>
    <xf numFmtId="166" fontId="106" fillId="28" borderId="0" xfId="0" applyNumberFormat="1" applyFont="1" applyFill="1"/>
    <xf numFmtId="10" fontId="106" fillId="0" borderId="0" xfId="0" applyNumberFormat="1" applyFont="1"/>
    <xf numFmtId="0" fontId="107" fillId="0" borderId="0" xfId="0" applyFont="1"/>
    <xf numFmtId="0" fontId="115" fillId="0" borderId="0" xfId="0" applyFont="1" applyAlignment="1">
      <alignment horizontal="left" vertical="center" readingOrder="1"/>
    </xf>
    <xf numFmtId="0" fontId="114" fillId="0" borderId="0" xfId="0" applyFont="1" applyAlignment="1">
      <alignment horizontal="left" vertical="center"/>
    </xf>
    <xf numFmtId="0" fontId="116" fillId="0" borderId="0" xfId="0" applyFont="1"/>
    <xf numFmtId="0" fontId="35" fillId="0" borderId="0" xfId="11"/>
    <xf numFmtId="0" fontId="35" fillId="0" borderId="1" xfId="11" applyBorder="1"/>
    <xf numFmtId="2" fontId="117" fillId="0" borderId="1" xfId="11" applyNumberFormat="1" applyFont="1" applyBorder="1" applyAlignment="1">
      <alignment horizontal="center"/>
    </xf>
    <xf numFmtId="190" fontId="35" fillId="0" borderId="1" xfId="11" applyNumberFormat="1" applyBorder="1"/>
    <xf numFmtId="0" fontId="35" fillId="0" borderId="24" xfId="11" applyBorder="1"/>
    <xf numFmtId="2" fontId="117" fillId="0" borderId="0" xfId="11" applyNumberFormat="1" applyFont="1" applyAlignment="1">
      <alignment horizontal="center"/>
    </xf>
    <xf numFmtId="2" fontId="117" fillId="0" borderId="24" xfId="11" applyNumberFormat="1" applyFont="1" applyBorder="1" applyAlignment="1">
      <alignment horizontal="center"/>
    </xf>
    <xf numFmtId="190" fontId="35" fillId="0" borderId="24" xfId="11" applyNumberFormat="1" applyBorder="1"/>
    <xf numFmtId="190" fontId="35" fillId="0" borderId="7" xfId="11" applyNumberFormat="1" applyBorder="1"/>
    <xf numFmtId="0" fontId="35" fillId="0" borderId="8" xfId="11" applyBorder="1"/>
    <xf numFmtId="0" fontId="118" fillId="0" borderId="0" xfId="11" applyFont="1"/>
    <xf numFmtId="2" fontId="117" fillId="0" borderId="8" xfId="11" applyNumberFormat="1" applyFont="1" applyBorder="1" applyAlignment="1">
      <alignment horizontal="center"/>
    </xf>
    <xf numFmtId="0" fontId="117" fillId="0" borderId="8" xfId="11" applyFont="1" applyBorder="1" applyAlignment="1">
      <alignment horizontal="center"/>
    </xf>
    <xf numFmtId="0" fontId="117" fillId="0" borderId="10" xfId="11" applyFont="1" applyBorder="1" applyAlignment="1">
      <alignment horizontal="center"/>
    </xf>
    <xf numFmtId="0" fontId="35" fillId="0" borderId="25" xfId="11" applyBorder="1"/>
    <xf numFmtId="0" fontId="118" fillId="0" borderId="1" xfId="11" applyFont="1" applyBorder="1"/>
    <xf numFmtId="190" fontId="120" fillId="0" borderId="3" xfId="11" applyNumberFormat="1" applyFont="1" applyBorder="1" applyAlignment="1">
      <alignment horizontal="center"/>
    </xf>
    <xf numFmtId="190" fontId="120" fillId="0" borderId="26" xfId="11" applyNumberFormat="1" applyFont="1" applyBorder="1" applyAlignment="1">
      <alignment horizontal="center"/>
    </xf>
    <xf numFmtId="0" fontId="118" fillId="0" borderId="27" xfId="11" applyFont="1" applyBorder="1"/>
    <xf numFmtId="190" fontId="118" fillId="0" borderId="27" xfId="11" applyNumberFormat="1" applyFont="1" applyBorder="1"/>
    <xf numFmtId="190" fontId="35" fillId="0" borderId="27" xfId="11" applyNumberFormat="1" applyBorder="1"/>
    <xf numFmtId="49" fontId="121" fillId="0" borderId="8" xfId="11" applyNumberFormat="1" applyFont="1" applyBorder="1" applyAlignment="1">
      <alignment horizontal="right"/>
    </xf>
    <xf numFmtId="0" fontId="121" fillId="0" borderId="9" xfId="11" applyFont="1" applyBorder="1" applyAlignment="1">
      <alignment horizontal="left"/>
    </xf>
    <xf numFmtId="190" fontId="122" fillId="0" borderId="9" xfId="11" applyNumberFormat="1" applyFont="1" applyBorder="1" applyAlignment="1" applyProtection="1">
      <alignment horizontal="center" vertical="justify"/>
      <protection locked="0"/>
    </xf>
    <xf numFmtId="190" fontId="122" fillId="0" borderId="9" xfId="11" applyNumberFormat="1" applyFont="1" applyBorder="1" applyAlignment="1" applyProtection="1">
      <alignment horizontal="center"/>
      <protection locked="0"/>
    </xf>
    <xf numFmtId="2" fontId="121" fillId="0" borderId="9" xfId="11" applyNumberFormat="1" applyFont="1" applyBorder="1" applyAlignment="1">
      <alignment horizontal="left"/>
    </xf>
    <xf numFmtId="49" fontId="123" fillId="0" borderId="8" xfId="11" applyNumberFormat="1" applyFont="1" applyBorder="1" applyAlignment="1">
      <alignment horizontal="right" wrapText="1"/>
    </xf>
    <xf numFmtId="2" fontId="124" fillId="0" borderId="9" xfId="11" applyNumberFormat="1" applyFont="1" applyBorder="1" applyAlignment="1">
      <alignment horizontal="left"/>
    </xf>
    <xf numFmtId="190" fontId="35" fillId="0" borderId="9" xfId="11" applyNumberFormat="1" applyBorder="1" applyAlignment="1" applyProtection="1">
      <alignment horizontal="center" vertical="justify"/>
      <protection locked="0"/>
    </xf>
    <xf numFmtId="190" fontId="35" fillId="0" borderId="9" xfId="11" applyNumberFormat="1" applyBorder="1" applyAlignment="1" applyProtection="1">
      <alignment horizontal="center"/>
      <protection locked="0"/>
    </xf>
    <xf numFmtId="0" fontId="122" fillId="0" borderId="0" xfId="11" applyFont="1"/>
    <xf numFmtId="190" fontId="35" fillId="0" borderId="9" xfId="11" applyNumberFormat="1" applyBorder="1" applyAlignment="1">
      <alignment horizontal="center" vertical="justify"/>
    </xf>
    <xf numFmtId="49" fontId="124" fillId="0" borderId="8" xfId="11" applyNumberFormat="1" applyFont="1" applyBorder="1" applyAlignment="1">
      <alignment horizontal="right"/>
    </xf>
    <xf numFmtId="190" fontId="122" fillId="0" borderId="9" xfId="11" applyNumberFormat="1" applyFont="1" applyBorder="1" applyAlignment="1">
      <alignment horizontal="center" vertical="justify"/>
    </xf>
    <xf numFmtId="190" fontId="35" fillId="0" borderId="9" xfId="11" applyNumberFormat="1" applyBorder="1" applyAlignment="1">
      <alignment horizontal="center"/>
    </xf>
    <xf numFmtId="190" fontId="122" fillId="0" borderId="9" xfId="11" applyNumberFormat="1" applyFont="1" applyBorder="1" applyAlignment="1">
      <alignment horizontal="center"/>
    </xf>
    <xf numFmtId="2" fontId="124" fillId="0" borderId="0" xfId="11" applyNumberFormat="1" applyFont="1" applyAlignment="1">
      <alignment horizontal="left"/>
    </xf>
    <xf numFmtId="190" fontId="35" fillId="0" borderId="8" xfId="11" applyNumberFormat="1" applyBorder="1" applyAlignment="1" applyProtection="1">
      <alignment horizontal="center"/>
      <protection locked="0"/>
    </xf>
    <xf numFmtId="190" fontId="35" fillId="0" borderId="8" xfId="11" applyNumberFormat="1" applyBorder="1" applyAlignment="1">
      <alignment horizontal="center"/>
    </xf>
    <xf numFmtId="190" fontId="35" fillId="0" borderId="10" xfId="11" applyNumberFormat="1" applyBorder="1" applyAlignment="1">
      <alignment horizontal="center"/>
    </xf>
    <xf numFmtId="190" fontId="35" fillId="0" borderId="0" xfId="11" applyNumberFormat="1" applyAlignment="1">
      <alignment horizontal="center"/>
    </xf>
    <xf numFmtId="2" fontId="121" fillId="0" borderId="0" xfId="11" applyNumberFormat="1" applyFont="1" applyAlignment="1">
      <alignment horizontal="left"/>
    </xf>
    <xf numFmtId="190" fontId="122" fillId="0" borderId="8" xfId="11" applyNumberFormat="1" applyFont="1" applyBorder="1" applyAlignment="1" applyProtection="1">
      <alignment horizontal="center"/>
      <protection locked="0"/>
    </xf>
    <xf numFmtId="190" fontId="122" fillId="0" borderId="8" xfId="11" applyNumberFormat="1" applyFont="1" applyBorder="1" applyAlignment="1">
      <alignment horizontal="center"/>
    </xf>
    <xf numFmtId="190" fontId="122" fillId="0" borderId="10" xfId="11" applyNumberFormat="1" applyFont="1" applyBorder="1" applyAlignment="1">
      <alignment horizontal="center"/>
    </xf>
    <xf numFmtId="190" fontId="35" fillId="0" borderId="10" xfId="11" applyNumberFormat="1" applyBorder="1" applyAlignment="1" applyProtection="1">
      <alignment horizontal="center"/>
      <protection locked="0"/>
    </xf>
    <xf numFmtId="190" fontId="122" fillId="0" borderId="10" xfId="11" applyNumberFormat="1" applyFont="1" applyBorder="1" applyAlignment="1" applyProtection="1">
      <alignment horizontal="center"/>
      <protection locked="0"/>
    </xf>
    <xf numFmtId="49" fontId="124" fillId="0" borderId="25" xfId="11" applyNumberFormat="1" applyFont="1" applyBorder="1" applyAlignment="1">
      <alignment horizontal="right"/>
    </xf>
    <xf numFmtId="2" fontId="124" fillId="0" borderId="1" xfId="11" applyNumberFormat="1" applyFont="1" applyBorder="1" applyAlignment="1">
      <alignment horizontal="left"/>
    </xf>
    <xf numFmtId="190" fontId="35" fillId="0" borderId="25" xfId="11" applyNumberFormat="1" applyBorder="1" applyAlignment="1" applyProtection="1">
      <alignment horizontal="center"/>
      <protection locked="0"/>
    </xf>
    <xf numFmtId="190" fontId="35" fillId="0" borderId="3" xfId="11" applyNumberFormat="1" applyBorder="1" applyAlignment="1" applyProtection="1">
      <alignment horizontal="center"/>
      <protection locked="0"/>
    </xf>
    <xf numFmtId="190" fontId="124" fillId="0" borderId="0" xfId="11" applyNumberFormat="1" applyFont="1" applyProtection="1">
      <protection locked="0"/>
    </xf>
    <xf numFmtId="190" fontId="35" fillId="0" borderId="0" xfId="11" applyNumberFormat="1"/>
    <xf numFmtId="0" fontId="125" fillId="0" borderId="0" xfId="11" applyFont="1" applyAlignment="1">
      <alignment horizontal="left" vertical="center"/>
    </xf>
    <xf numFmtId="190" fontId="124" fillId="0" borderId="0" xfId="11" applyNumberFormat="1" applyFont="1"/>
    <xf numFmtId="0" fontId="35" fillId="0" borderId="0" xfId="11" applyAlignment="1">
      <alignment vertical="center"/>
    </xf>
    <xf numFmtId="191" fontId="126" fillId="0" borderId="2" xfId="25" applyNumberFormat="1" applyFont="1" applyFill="1" applyBorder="1" applyAlignment="1" applyProtection="1">
      <alignment horizontal="center" vertical="center"/>
      <protection hidden="1"/>
    </xf>
    <xf numFmtId="0" fontId="35" fillId="0" borderId="0" xfId="11" applyAlignment="1">
      <alignment horizontal="center" vertical="center"/>
    </xf>
    <xf numFmtId="167" fontId="128" fillId="29" borderId="0" xfId="11" applyNumberFormat="1" applyFont="1" applyFill="1" applyAlignment="1">
      <alignment horizontal="right" vertical="center" wrapText="1"/>
    </xf>
    <xf numFmtId="0" fontId="131" fillId="18" borderId="10" xfId="11" applyFont="1" applyFill="1" applyBorder="1" applyAlignment="1" applyProtection="1">
      <alignment vertical="center" wrapText="1"/>
      <protection hidden="1"/>
    </xf>
    <xf numFmtId="167" fontId="81" fillId="0" borderId="0" xfId="11" applyNumberFormat="1" applyFont="1" applyAlignment="1">
      <alignment horizontal="right"/>
    </xf>
    <xf numFmtId="9" fontId="0" fillId="0" borderId="0" xfId="27" applyFont="1"/>
    <xf numFmtId="2" fontId="81" fillId="0" borderId="0" xfId="11" applyNumberFormat="1" applyFont="1" applyAlignment="1">
      <alignment horizontal="right"/>
    </xf>
    <xf numFmtId="167" fontId="131" fillId="18" borderId="29" xfId="11" applyNumberFormat="1" applyFont="1" applyFill="1" applyBorder="1" applyAlignment="1" applyProtection="1">
      <alignment vertical="center" wrapText="1"/>
      <protection hidden="1"/>
    </xf>
    <xf numFmtId="167" fontId="132" fillId="0" borderId="30" xfId="11" applyNumberFormat="1" applyFont="1" applyBorder="1" applyAlignment="1">
      <alignment vertical="center" wrapText="1"/>
    </xf>
    <xf numFmtId="168" fontId="35" fillId="0" borderId="0" xfId="11" applyNumberFormat="1"/>
    <xf numFmtId="2" fontId="35" fillId="0" borderId="0" xfId="11" applyNumberFormat="1"/>
    <xf numFmtId="166" fontId="0" fillId="0" borderId="0" xfId="27" applyNumberFormat="1" applyFont="1"/>
    <xf numFmtId="192" fontId="106" fillId="0" borderId="0" xfId="0" applyNumberFormat="1" applyFont="1"/>
    <xf numFmtId="0" fontId="106" fillId="0" borderId="0" xfId="0" applyFont="1" applyAlignment="1">
      <alignment horizontal="center" vertical="center" wrapText="1"/>
    </xf>
    <xf numFmtId="166" fontId="108" fillId="0" borderId="0" xfId="0" applyNumberFormat="1" applyFont="1"/>
    <xf numFmtId="180" fontId="0" fillId="0" borderId="0" xfId="0" applyNumberFormat="1"/>
    <xf numFmtId="0" fontId="133" fillId="0" borderId="0" xfId="0" applyFont="1" applyAlignment="1">
      <alignment horizontal="left" vertical="center"/>
    </xf>
    <xf numFmtId="49" fontId="133" fillId="0" borderId="0" xfId="0" applyNumberFormat="1" applyFont="1" applyAlignment="1">
      <alignment horizontal="left" vertical="center"/>
    </xf>
    <xf numFmtId="0" fontId="134" fillId="0" borderId="0" xfId="0" applyFont="1"/>
    <xf numFmtId="0" fontId="106" fillId="25" borderId="0" xfId="0" applyFont="1" applyFill="1" applyAlignment="1">
      <alignment vertical="center"/>
    </xf>
    <xf numFmtId="0" fontId="0" fillId="25" borderId="0" xfId="0" applyFill="1"/>
    <xf numFmtId="0" fontId="106" fillId="0" borderId="0" xfId="0" applyFont="1" applyAlignment="1">
      <alignment horizontal="center"/>
    </xf>
    <xf numFmtId="0" fontId="135" fillId="0" borderId="0" xfId="0" applyFont="1" applyAlignment="1">
      <alignment horizontal="left" vertical="center" readingOrder="1"/>
    </xf>
    <xf numFmtId="0" fontId="136" fillId="30" borderId="2" xfId="0" applyFont="1" applyFill="1" applyBorder="1" applyAlignment="1">
      <alignment vertical="center"/>
    </xf>
    <xf numFmtId="0" fontId="137" fillId="30" borderId="2" xfId="0" applyFont="1" applyFill="1" applyBorder="1" applyAlignment="1">
      <alignment horizontal="center" vertical="center" wrapText="1"/>
    </xf>
    <xf numFmtId="0" fontId="106" fillId="0" borderId="2" xfId="0" applyFont="1" applyBorder="1" applyAlignment="1">
      <alignment vertical="center"/>
    </xf>
    <xf numFmtId="0" fontId="140" fillId="0" borderId="0" xfId="0" applyFont="1"/>
    <xf numFmtId="0" fontId="137" fillId="30" borderId="2" xfId="0" applyFont="1" applyFill="1" applyBorder="1" applyAlignment="1">
      <alignment horizontal="center" vertical="center"/>
    </xf>
    <xf numFmtId="0" fontId="138" fillId="32" borderId="2" xfId="0" applyFont="1" applyFill="1" applyBorder="1" applyAlignment="1">
      <alignment vertical="center"/>
    </xf>
    <xf numFmtId="0" fontId="141" fillId="32" borderId="2" xfId="0" applyFont="1" applyFill="1" applyBorder="1" applyAlignment="1">
      <alignment horizontal="center" vertical="center"/>
    </xf>
    <xf numFmtId="0" fontId="142" fillId="0" borderId="2" xfId="0" applyFont="1" applyBorder="1" applyAlignment="1">
      <alignment horizontal="right" vertical="center"/>
    </xf>
    <xf numFmtId="0" fontId="141" fillId="0" borderId="2" xfId="0" applyFont="1" applyBorder="1" applyAlignment="1">
      <alignment horizontal="center" vertical="center"/>
    </xf>
    <xf numFmtId="0" fontId="142" fillId="0" borderId="2" xfId="0" applyFont="1" applyBorder="1" applyAlignment="1">
      <alignment horizontal="right" vertical="center" wrapText="1"/>
    </xf>
    <xf numFmtId="0" fontId="141" fillId="0" borderId="2" xfId="0" applyFont="1" applyBorder="1" applyAlignment="1">
      <alignment vertical="center"/>
    </xf>
    <xf numFmtId="0" fontId="138" fillId="33" borderId="2" xfId="0" applyFont="1" applyFill="1" applyBorder="1" applyAlignment="1">
      <alignment vertical="center" wrapText="1"/>
    </xf>
    <xf numFmtId="0" fontId="138" fillId="33" borderId="2" xfId="0" applyFont="1" applyFill="1" applyBorder="1" applyAlignment="1">
      <alignment horizontal="center" vertical="center"/>
    </xf>
    <xf numFmtId="0" fontId="138" fillId="34" borderId="2" xfId="0" applyFont="1" applyFill="1" applyBorder="1" applyAlignment="1">
      <alignment vertical="center"/>
    </xf>
    <xf numFmtId="0" fontId="138" fillId="34" borderId="2" xfId="0" applyFont="1" applyFill="1" applyBorder="1" applyAlignment="1">
      <alignment horizontal="center" vertical="center"/>
    </xf>
    <xf numFmtId="166" fontId="138" fillId="0" borderId="2" xfId="0" applyNumberFormat="1" applyFont="1" applyBorder="1" applyAlignment="1">
      <alignment horizontal="center" vertical="center"/>
    </xf>
    <xf numFmtId="166" fontId="138" fillId="31" borderId="2" xfId="0" applyNumberFormat="1" applyFont="1" applyFill="1" applyBorder="1" applyAlignment="1">
      <alignment horizontal="center" vertical="center"/>
    </xf>
    <xf numFmtId="166" fontId="139" fillId="31" borderId="2" xfId="0" applyNumberFormat="1" applyFont="1" applyFill="1" applyBorder="1" applyAlignment="1">
      <alignment horizontal="center" vertical="center"/>
    </xf>
    <xf numFmtId="0" fontId="138" fillId="0" borderId="2" xfId="0" applyFont="1" applyBorder="1" applyAlignment="1">
      <alignment horizontal="center" vertical="center"/>
    </xf>
    <xf numFmtId="0" fontId="0" fillId="13" borderId="6" xfId="0" applyFill="1" applyBorder="1" applyAlignment="1">
      <alignment horizontal="center" vertical="center"/>
    </xf>
    <xf numFmtId="0" fontId="0" fillId="0" borderId="6" xfId="0" applyBorder="1" applyAlignment="1">
      <alignment horizontal="center" vertical="center"/>
    </xf>
    <xf numFmtId="1" fontId="0" fillId="0" borderId="6" xfId="0" applyNumberFormat="1" applyBorder="1" applyAlignment="1">
      <alignment horizontal="center" vertical="center"/>
    </xf>
    <xf numFmtId="166" fontId="0" fillId="0" borderId="6" xfId="1" applyNumberFormat="1" applyFont="1" applyBorder="1" applyAlignment="1">
      <alignment horizontal="center" vertical="center"/>
    </xf>
    <xf numFmtId="0" fontId="106" fillId="6" borderId="6" xfId="0" applyFont="1" applyFill="1" applyBorder="1" applyAlignment="1">
      <alignment horizontal="center" vertical="center"/>
    </xf>
    <xf numFmtId="1" fontId="106" fillId="18" borderId="6" xfId="0" applyNumberFormat="1" applyFont="1" applyFill="1" applyBorder="1" applyAlignment="1">
      <alignment horizontal="center" vertical="center"/>
    </xf>
    <xf numFmtId="0" fontId="143" fillId="5" borderId="2" xfId="28" applyFont="1" applyFill="1" applyBorder="1" applyAlignment="1">
      <alignment horizontal="center" vertical="center"/>
    </xf>
    <xf numFmtId="0" fontId="4" fillId="0" borderId="0" xfId="28"/>
    <xf numFmtId="0" fontId="4" fillId="0" borderId="0" xfId="29"/>
    <xf numFmtId="0" fontId="4" fillId="0" borderId="2" xfId="28" applyBorder="1"/>
    <xf numFmtId="3" fontId="4" fillId="0" borderId="2" xfId="28" applyNumberFormat="1" applyBorder="1"/>
    <xf numFmtId="191" fontId="4" fillId="0" borderId="0" xfId="28" applyNumberFormat="1"/>
    <xf numFmtId="4" fontId="4" fillId="0" borderId="0" xfId="28" applyNumberFormat="1"/>
    <xf numFmtId="9" fontId="138" fillId="0" borderId="2" xfId="0" applyNumberFormat="1" applyFont="1" applyBorder="1" applyAlignment="1">
      <alignment horizontal="center" vertical="center"/>
    </xf>
    <xf numFmtId="0" fontId="139" fillId="35" borderId="6" xfId="0" applyFont="1" applyFill="1" applyBorder="1" applyAlignment="1">
      <alignment vertical="center"/>
    </xf>
    <xf numFmtId="0" fontId="139" fillId="35" borderId="17" xfId="0" applyFont="1" applyFill="1" applyBorder="1" applyAlignment="1">
      <alignment vertical="center"/>
    </xf>
    <xf numFmtId="0" fontId="139" fillId="35" borderId="16" xfId="0" applyFont="1" applyFill="1" applyBorder="1" applyAlignment="1">
      <alignment horizontal="left" vertical="center"/>
    </xf>
    <xf numFmtId="0" fontId="70" fillId="16" borderId="31" xfId="0" applyFont="1" applyFill="1" applyBorder="1" applyAlignment="1">
      <alignment horizontal="right" vertical="center" wrapText="1"/>
    </xf>
    <xf numFmtId="0" fontId="70" fillId="16" borderId="0" xfId="0" applyFont="1" applyFill="1" applyAlignment="1">
      <alignment horizontal="right" vertical="center" wrapText="1"/>
    </xf>
    <xf numFmtId="0" fontId="84" fillId="16" borderId="0" xfId="16" applyFill="1" applyBorder="1" applyAlignment="1">
      <alignment horizontal="right" vertical="center"/>
    </xf>
    <xf numFmtId="178" fontId="24" fillId="20" borderId="0" xfId="23" applyNumberFormat="1" applyFont="1" applyFill="1"/>
    <xf numFmtId="9" fontId="144" fillId="0" borderId="0" xfId="10" applyNumberFormat="1" applyFont="1"/>
    <xf numFmtId="0" fontId="45" fillId="0" borderId="0" xfId="10" applyFont="1" applyAlignment="1">
      <alignment wrapText="1"/>
    </xf>
    <xf numFmtId="0" fontId="24" fillId="22" borderId="16" xfId="11" applyFont="1" applyFill="1" applyBorder="1" applyAlignment="1">
      <alignment vertical="center"/>
    </xf>
    <xf numFmtId="0" fontId="24" fillId="22" borderId="6" xfId="11" applyFont="1" applyFill="1" applyBorder="1" applyAlignment="1">
      <alignment vertical="center"/>
    </xf>
    <xf numFmtId="0" fontId="24" fillId="22" borderId="17" xfId="11" applyFont="1" applyFill="1" applyBorder="1" applyAlignment="1">
      <alignment vertical="center"/>
    </xf>
    <xf numFmtId="166" fontId="80" fillId="23" borderId="0" xfId="0" applyNumberFormat="1" applyFont="1" applyFill="1"/>
    <xf numFmtId="9" fontId="145" fillId="23" borderId="0" xfId="0" applyNumberFormat="1" applyFont="1" applyFill="1"/>
    <xf numFmtId="9" fontId="19" fillId="0" borderId="0" xfId="1" applyFont="1"/>
    <xf numFmtId="0" fontId="147" fillId="0" borderId="0" xfId="0" applyFont="1"/>
    <xf numFmtId="0" fontId="148" fillId="0" borderId="0" xfId="0" applyFont="1"/>
    <xf numFmtId="0" fontId="149" fillId="0" borderId="0" xfId="0" applyFont="1"/>
    <xf numFmtId="0" fontId="0" fillId="0" borderId="0" xfId="0" applyAlignment="1">
      <alignment horizontal="right"/>
    </xf>
    <xf numFmtId="0" fontId="0" fillId="18" borderId="0" xfId="0" applyFill="1"/>
    <xf numFmtId="0" fontId="0" fillId="18" borderId="0" xfId="0" applyFill="1" applyAlignment="1">
      <alignment horizontal="right"/>
    </xf>
    <xf numFmtId="0" fontId="146" fillId="18" borderId="0" xfId="0" applyFont="1" applyFill="1" applyAlignment="1">
      <alignment horizontal="left" vertical="center"/>
    </xf>
    <xf numFmtId="1" fontId="0" fillId="18" borderId="0" xfId="0" applyNumberFormat="1" applyFill="1"/>
    <xf numFmtId="9" fontId="0" fillId="18" borderId="0" xfId="1" applyFont="1" applyFill="1"/>
    <xf numFmtId="166" fontId="0" fillId="18" borderId="0" xfId="1" applyNumberFormat="1" applyFont="1" applyFill="1"/>
    <xf numFmtId="9" fontId="0" fillId="18" borderId="0" xfId="0" applyNumberFormat="1" applyFill="1"/>
    <xf numFmtId="0" fontId="106" fillId="0" borderId="1" xfId="0" applyFont="1" applyBorder="1"/>
    <xf numFmtId="167" fontId="128" fillId="29" borderId="0" xfId="0" applyNumberFormat="1" applyFont="1" applyFill="1" applyAlignment="1" applyProtection="1">
      <alignment horizontal="right" vertical="center" wrapText="1"/>
      <protection hidden="1"/>
    </xf>
    <xf numFmtId="166" fontId="0" fillId="0" borderId="5" xfId="1" applyNumberFormat="1" applyFont="1" applyBorder="1"/>
    <xf numFmtId="166" fontId="150" fillId="0" borderId="0" xfId="1" applyNumberFormat="1" applyFont="1" applyAlignment="1">
      <alignment horizontal="center" vertical="center"/>
    </xf>
    <xf numFmtId="10" fontId="107" fillId="0" borderId="0" xfId="0" applyNumberFormat="1" applyFont="1"/>
    <xf numFmtId="166" fontId="0" fillId="0" borderId="2" xfId="0" applyNumberFormat="1" applyBorder="1" applyAlignment="1">
      <alignment horizontal="center" vertical="center"/>
    </xf>
    <xf numFmtId="0" fontId="109" fillId="0" borderId="2" xfId="0" applyFont="1" applyBorder="1" applyAlignment="1">
      <alignment horizontal="center" vertical="center"/>
    </xf>
    <xf numFmtId="166" fontId="106" fillId="0" borderId="2" xfId="0" applyNumberFormat="1" applyFont="1" applyBorder="1" applyAlignment="1">
      <alignment horizontal="center" vertical="center"/>
    </xf>
    <xf numFmtId="189" fontId="0" fillId="0" borderId="0" xfId="0" applyNumberFormat="1"/>
    <xf numFmtId="167" fontId="106" fillId="19" borderId="0" xfId="0" applyNumberFormat="1" applyFont="1" applyFill="1"/>
    <xf numFmtId="0" fontId="151" fillId="0" borderId="0" xfId="0" applyFont="1" applyAlignment="1">
      <alignment horizontal="left" vertical="center" wrapText="1" indent="1"/>
    </xf>
    <xf numFmtId="0" fontId="153" fillId="0" borderId="0" xfId="0" applyFont="1" applyAlignment="1">
      <alignment horizontal="right" vertical="center" indent="1"/>
    </xf>
    <xf numFmtId="0" fontId="84" fillId="0" borderId="0" xfId="16" applyAlignment="1">
      <alignment horizontal="right" vertical="center" wrapText="1" indent="2"/>
    </xf>
    <xf numFmtId="0" fontId="152" fillId="0" borderId="0" xfId="0" applyFont="1" applyAlignment="1">
      <alignment horizontal="right" vertical="center" wrapText="1" indent="1"/>
    </xf>
    <xf numFmtId="0" fontId="151" fillId="0" borderId="0" xfId="0" applyFont="1" applyAlignment="1">
      <alignment horizontal="right" vertical="center" wrapText="1" indent="1"/>
    </xf>
    <xf numFmtId="178" fontId="106" fillId="0" borderId="0" xfId="3" applyNumberFormat="1" applyFont="1"/>
    <xf numFmtId="0" fontId="152" fillId="0" borderId="0" xfId="0" applyFont="1" applyAlignment="1">
      <alignment horizontal="left" vertical="center" wrapText="1" indent="1"/>
    </xf>
    <xf numFmtId="3" fontId="153" fillId="0" borderId="0" xfId="0" applyNumberFormat="1" applyFont="1" applyAlignment="1">
      <alignment horizontal="right" vertical="center" indent="1"/>
    </xf>
    <xf numFmtId="14" fontId="0" fillId="0" borderId="0" xfId="0" applyNumberFormat="1"/>
    <xf numFmtId="0" fontId="106" fillId="0" borderId="2" xfId="0" applyFont="1" applyBorder="1"/>
    <xf numFmtId="1" fontId="0" fillId="0" borderId="2" xfId="0" applyNumberFormat="1" applyBorder="1"/>
    <xf numFmtId="0" fontId="106" fillId="25" borderId="0" xfId="0" applyFont="1" applyFill="1" applyAlignment="1">
      <alignment horizontal="center"/>
    </xf>
    <xf numFmtId="195" fontId="126" fillId="0" borderId="3" xfId="56" applyNumberFormat="1" applyFont="1" applyBorder="1" applyAlignment="1">
      <alignment horizontal="center" vertical="center" wrapText="1"/>
    </xf>
    <xf numFmtId="0" fontId="162" fillId="0" borderId="0" xfId="0" applyFont="1" applyAlignment="1">
      <alignment horizontal="center" vertical="center" wrapText="1"/>
    </xf>
    <xf numFmtId="0" fontId="163" fillId="0" borderId="0" xfId="0" applyFont="1" applyAlignment="1">
      <alignment horizontal="center" vertical="center"/>
    </xf>
    <xf numFmtId="0" fontId="164" fillId="0" borderId="0" xfId="58" applyFill="1" applyBorder="1"/>
    <xf numFmtId="0" fontId="24" fillId="35" borderId="0" xfId="59" applyFont="1" applyFill="1"/>
    <xf numFmtId="0" fontId="165" fillId="35" borderId="0" xfId="60" applyFont="1" applyFill="1"/>
    <xf numFmtId="0" fontId="24" fillId="35" borderId="0" xfId="61" applyFill="1"/>
    <xf numFmtId="0" fontId="24" fillId="35" borderId="0" xfId="5" applyFill="1"/>
    <xf numFmtId="0" fontId="3" fillId="35" borderId="0" xfId="62" applyFill="1"/>
    <xf numFmtId="0" fontId="167" fillId="35" borderId="0" xfId="63" applyFont="1" applyFill="1" applyBorder="1"/>
    <xf numFmtId="0" fontId="24" fillId="35" borderId="0" xfId="60" applyFill="1"/>
    <xf numFmtId="0" fontId="165" fillId="35" borderId="0" xfId="61" applyFont="1" applyFill="1"/>
    <xf numFmtId="0" fontId="24" fillId="35" borderId="0" xfId="64" applyFill="1"/>
    <xf numFmtId="0" fontId="24" fillId="35" borderId="0" xfId="65" applyFill="1"/>
    <xf numFmtId="0" fontId="165" fillId="35" borderId="0" xfId="65" applyFont="1" applyFill="1"/>
    <xf numFmtId="14" fontId="24" fillId="35" borderId="0" xfId="66" applyNumberFormat="1" applyFill="1"/>
    <xf numFmtId="0" fontId="24" fillId="0" borderId="0" xfId="65"/>
    <xf numFmtId="0" fontId="168" fillId="35" borderId="0" xfId="61" applyFont="1" applyFill="1"/>
    <xf numFmtId="167" fontId="3" fillId="35" borderId="0" xfId="62" applyNumberFormat="1" applyFill="1"/>
    <xf numFmtId="0" fontId="169" fillId="35" borderId="0" xfId="62" applyFont="1" applyFill="1"/>
    <xf numFmtId="0" fontId="162" fillId="35" borderId="0" xfId="62" applyFont="1" applyFill="1"/>
    <xf numFmtId="0" fontId="164" fillId="35" borderId="0" xfId="58" applyFill="1" applyBorder="1"/>
    <xf numFmtId="0" fontId="24" fillId="0" borderId="0" xfId="67" applyFont="1"/>
    <xf numFmtId="0" fontId="170" fillId="35" borderId="0" xfId="68" applyFill="1"/>
    <xf numFmtId="0" fontId="170" fillId="0" borderId="0" xfId="68"/>
    <xf numFmtId="167" fontId="170" fillId="35" borderId="0" xfId="68" applyNumberFormat="1" applyFill="1"/>
    <xf numFmtId="0" fontId="24" fillId="35" borderId="0" xfId="67" applyFont="1" applyFill="1"/>
    <xf numFmtId="0" fontId="171" fillId="35" borderId="0" xfId="61" applyFont="1" applyFill="1"/>
    <xf numFmtId="0" fontId="171" fillId="35" borderId="0" xfId="68" applyFont="1" applyFill="1"/>
    <xf numFmtId="0" fontId="0" fillId="6" borderId="2" xfId="0" applyFill="1" applyBorder="1"/>
    <xf numFmtId="0" fontId="0" fillId="19" borderId="2" xfId="0" applyFill="1" applyBorder="1"/>
    <xf numFmtId="166" fontId="0" fillId="6" borderId="2" xfId="1" applyNumberFormat="1" applyFont="1" applyFill="1" applyBorder="1"/>
    <xf numFmtId="166" fontId="0" fillId="19" borderId="2" xfId="1" applyNumberFormat="1" applyFont="1" applyFill="1" applyBorder="1"/>
    <xf numFmtId="0" fontId="0" fillId="13" borderId="2" xfId="0" applyFill="1" applyBorder="1"/>
    <xf numFmtId="166" fontId="0" fillId="6" borderId="2" xfId="1" applyNumberFormat="1" applyFont="1" applyFill="1" applyBorder="1" applyAlignment="1">
      <alignment horizontal="center" vertical="center"/>
    </xf>
    <xf numFmtId="166" fontId="0" fillId="13" borderId="2" xfId="1" applyNumberFormat="1" applyFont="1" applyFill="1" applyBorder="1" applyAlignment="1">
      <alignment horizontal="center" vertical="center"/>
    </xf>
    <xf numFmtId="166" fontId="0" fillId="19" borderId="2" xfId="1" applyNumberFormat="1" applyFont="1" applyFill="1" applyBorder="1" applyAlignment="1">
      <alignment horizontal="center" vertical="center"/>
    </xf>
    <xf numFmtId="9" fontId="106" fillId="0" borderId="0" xfId="0" applyNumberFormat="1" applyFont="1"/>
    <xf numFmtId="191" fontId="126" fillId="0" borderId="2" xfId="69" applyNumberFormat="1" applyFont="1" applyFill="1" applyBorder="1" applyAlignment="1" applyProtection="1">
      <alignment horizontal="center" vertical="center"/>
      <protection hidden="1"/>
    </xf>
    <xf numFmtId="191" fontId="126" fillId="6" borderId="2" xfId="69" applyNumberFormat="1" applyFont="1" applyFill="1" applyBorder="1" applyAlignment="1" applyProtection="1">
      <alignment horizontal="center" vertical="center"/>
      <protection hidden="1"/>
    </xf>
    <xf numFmtId="0" fontId="131" fillId="18" borderId="10" xfId="0" applyFont="1" applyFill="1" applyBorder="1" applyAlignment="1" applyProtection="1">
      <alignment vertical="center" wrapText="1"/>
      <protection hidden="1"/>
    </xf>
    <xf numFmtId="167" fontId="131" fillId="18" borderId="29" xfId="0" applyNumberFormat="1" applyFont="1" applyFill="1" applyBorder="1" applyAlignment="1" applyProtection="1">
      <alignment vertical="center" wrapText="1"/>
      <protection hidden="1"/>
    </xf>
    <xf numFmtId="167" fontId="127" fillId="29" borderId="0" xfId="0" applyNumberFormat="1" applyFont="1" applyFill="1" applyAlignment="1" applyProtection="1">
      <alignment vertical="center" wrapText="1"/>
      <protection hidden="1"/>
    </xf>
    <xf numFmtId="167" fontId="128" fillId="29" borderId="0" xfId="0" applyNumberFormat="1" applyFont="1" applyFill="1" applyAlignment="1">
      <alignment horizontal="right" vertical="center" wrapText="1"/>
    </xf>
    <xf numFmtId="167" fontId="81" fillId="0" borderId="0" xfId="0" applyNumberFormat="1" applyFont="1" applyAlignment="1" applyProtection="1">
      <alignment horizontal="right" vertical="center"/>
      <protection hidden="1"/>
    </xf>
    <xf numFmtId="167" fontId="81" fillId="0" borderId="0" xfId="0" applyNumberFormat="1" applyFont="1" applyAlignment="1" applyProtection="1">
      <alignment horizontal="right"/>
      <protection hidden="1"/>
    </xf>
    <xf numFmtId="167" fontId="81" fillId="0" borderId="0" xfId="0" applyNumberFormat="1" applyFont="1" applyAlignment="1">
      <alignment horizontal="right"/>
    </xf>
    <xf numFmtId="167" fontId="132" fillId="0" borderId="30" xfId="0" applyNumberFormat="1" applyFont="1" applyBorder="1" applyAlignment="1" applyProtection="1">
      <alignment vertical="center" wrapText="1"/>
      <protection hidden="1"/>
    </xf>
    <xf numFmtId="167" fontId="132" fillId="0" borderId="30" xfId="0" applyNumberFormat="1" applyFont="1" applyBorder="1" applyAlignment="1">
      <alignment vertical="center" wrapText="1"/>
    </xf>
    <xf numFmtId="0" fontId="173" fillId="18" borderId="2" xfId="0" applyFont="1" applyFill="1" applyBorder="1" applyAlignment="1" applyProtection="1">
      <alignment vertical="center" wrapText="1"/>
      <protection hidden="1"/>
    </xf>
    <xf numFmtId="166" fontId="35" fillId="0" borderId="2" xfId="1" applyNumberFormat="1" applyFont="1" applyBorder="1"/>
    <xf numFmtId="0" fontId="122" fillId="0" borderId="2" xfId="11" applyFont="1" applyBorder="1" applyAlignment="1">
      <alignment vertical="center"/>
    </xf>
    <xf numFmtId="0" fontId="122" fillId="0" borderId="0" xfId="11" applyFont="1" applyAlignment="1">
      <alignment vertical="center"/>
    </xf>
    <xf numFmtId="0" fontId="122" fillId="0" borderId="16" xfId="11" applyFont="1" applyBorder="1" applyAlignment="1">
      <alignment vertical="center"/>
    </xf>
    <xf numFmtId="191" fontId="126" fillId="3" borderId="2" xfId="69" applyNumberFormat="1" applyFont="1" applyFill="1" applyBorder="1" applyAlignment="1" applyProtection="1">
      <alignment horizontal="center" vertical="center"/>
      <protection hidden="1"/>
    </xf>
    <xf numFmtId="166" fontId="35" fillId="3" borderId="0" xfId="11" applyNumberFormat="1" applyFill="1"/>
    <xf numFmtId="180" fontId="35" fillId="0" borderId="0" xfId="3" applyNumberFormat="1" applyFont="1"/>
    <xf numFmtId="180" fontId="35" fillId="3" borderId="0" xfId="3" applyNumberFormat="1" applyFont="1" applyFill="1"/>
    <xf numFmtId="167" fontId="131" fillId="18" borderId="29" xfId="0" applyNumberFormat="1" applyFont="1" applyFill="1" applyBorder="1" applyAlignment="1" applyProtection="1">
      <alignment wrapText="1"/>
      <protection hidden="1"/>
    </xf>
    <xf numFmtId="0" fontId="131" fillId="18" borderId="10" xfId="0" applyFont="1" applyFill="1" applyBorder="1" applyAlignment="1" applyProtection="1">
      <alignment wrapText="1"/>
      <protection hidden="1"/>
    </xf>
    <xf numFmtId="166" fontId="14" fillId="3" borderId="0" xfId="1" applyNumberFormat="1" applyFont="1" applyFill="1"/>
    <xf numFmtId="166" fontId="0" fillId="19" borderId="10" xfId="1" applyNumberFormat="1" applyFont="1" applyFill="1" applyBorder="1"/>
    <xf numFmtId="0" fontId="2" fillId="19" borderId="2" xfId="0" applyFont="1" applyFill="1" applyBorder="1" applyAlignment="1">
      <alignment horizontal="center" vertical="center"/>
    </xf>
    <xf numFmtId="166" fontId="19" fillId="19" borderId="10" xfId="1" applyNumberFormat="1" applyFont="1" applyFill="1" applyBorder="1"/>
    <xf numFmtId="166" fontId="19" fillId="19" borderId="2" xfId="1" applyNumberFormat="1" applyFont="1" applyFill="1" applyBorder="1"/>
    <xf numFmtId="166" fontId="128" fillId="29" borderId="0" xfId="1" applyNumberFormat="1" applyFont="1" applyFill="1" applyAlignment="1" applyProtection="1">
      <alignment horizontal="right" vertical="center" wrapText="1"/>
      <protection hidden="1"/>
    </xf>
    <xf numFmtId="0" fontId="2" fillId="13" borderId="2" xfId="70" applyFill="1" applyBorder="1" applyAlignment="1">
      <alignment horizontal="center" vertical="center"/>
    </xf>
    <xf numFmtId="0" fontId="174" fillId="19" borderId="2" xfId="0" applyFont="1" applyFill="1" applyBorder="1"/>
    <xf numFmtId="0" fontId="2" fillId="6" borderId="2" xfId="0" applyFont="1" applyFill="1" applyBorder="1" applyAlignment="1">
      <alignment horizontal="center" vertical="center"/>
    </xf>
    <xf numFmtId="166" fontId="19" fillId="6" borderId="2" xfId="1" applyNumberFormat="1" applyFont="1" applyFill="1" applyBorder="1"/>
    <xf numFmtId="0" fontId="19" fillId="6" borderId="2" xfId="0" applyFont="1" applyFill="1" applyBorder="1" applyAlignment="1">
      <alignment horizontal="center" vertical="center"/>
    </xf>
    <xf numFmtId="0" fontId="172" fillId="25" borderId="2" xfId="0" applyFont="1" applyFill="1" applyBorder="1" applyAlignment="1">
      <alignment horizontal="center" wrapText="1"/>
    </xf>
    <xf numFmtId="0" fontId="172" fillId="25" borderId="2" xfId="0" applyFont="1" applyFill="1" applyBorder="1" applyAlignment="1">
      <alignment horizontal="center"/>
    </xf>
    <xf numFmtId="0" fontId="172" fillId="25" borderId="2" xfId="0" applyFont="1" applyFill="1" applyBorder="1" applyAlignment="1">
      <alignment horizontal="center" vertical="center"/>
    </xf>
    <xf numFmtId="0" fontId="176" fillId="0" borderId="0" xfId="0" applyFont="1" applyAlignment="1">
      <alignment horizontal="center" vertical="center"/>
    </xf>
    <xf numFmtId="166" fontId="175" fillId="0" borderId="0" xfId="0" applyNumberFormat="1" applyFont="1"/>
    <xf numFmtId="49" fontId="124" fillId="3" borderId="8" xfId="11" applyNumberFormat="1" applyFont="1" applyFill="1" applyBorder="1" applyAlignment="1">
      <alignment horizontal="right"/>
    </xf>
    <xf numFmtId="2" fontId="124" fillId="3" borderId="9" xfId="11" applyNumberFormat="1" applyFont="1" applyFill="1" applyBorder="1" applyAlignment="1">
      <alignment horizontal="left"/>
    </xf>
    <xf numFmtId="190" fontId="35" fillId="3" borderId="9" xfId="11" applyNumberFormat="1" applyFill="1" applyBorder="1" applyAlignment="1">
      <alignment horizontal="center" vertical="justify"/>
    </xf>
    <xf numFmtId="0" fontId="84" fillId="0" borderId="0" xfId="16"/>
    <xf numFmtId="1" fontId="45" fillId="29" borderId="7" xfId="10" applyNumberFormat="1" applyFont="1" applyFill="1" applyBorder="1" applyAlignment="1">
      <alignment horizontal="centerContinuous" vertical="center"/>
    </xf>
    <xf numFmtId="187" fontId="0" fillId="23" borderId="0" xfId="0" applyNumberFormat="1" applyFill="1"/>
    <xf numFmtId="0" fontId="0" fillId="23" borderId="0" xfId="0" applyFill="1"/>
    <xf numFmtId="0" fontId="73" fillId="2" borderId="16" xfId="11" applyFont="1" applyFill="1" applyBorder="1" applyAlignment="1">
      <alignment vertical="center"/>
    </xf>
    <xf numFmtId="0" fontId="73" fillId="2" borderId="6" xfId="11" applyFont="1" applyFill="1" applyBorder="1" applyAlignment="1">
      <alignment vertical="center"/>
    </xf>
    <xf numFmtId="186" fontId="24" fillId="0" borderId="0" xfId="10" applyNumberFormat="1" applyFont="1"/>
    <xf numFmtId="165" fontId="24" fillId="0" borderId="0" xfId="3" applyFont="1" applyAlignment="1">
      <alignment horizontal="center" vertical="center"/>
    </xf>
    <xf numFmtId="165" fontId="24" fillId="3" borderId="0" xfId="3" applyFont="1" applyFill="1" applyAlignment="1">
      <alignment horizontal="center" vertical="center"/>
    </xf>
    <xf numFmtId="0" fontId="54" fillId="3" borderId="0" xfId="11" applyFont="1" applyFill="1" applyAlignment="1">
      <alignment horizontal="center" vertical="center"/>
    </xf>
    <xf numFmtId="166" fontId="45" fillId="3" borderId="0" xfId="10" applyNumberFormat="1" applyFont="1" applyFill="1" applyAlignment="1">
      <alignment horizontal="center" vertical="center"/>
    </xf>
    <xf numFmtId="167" fontId="107" fillId="0" borderId="0" xfId="0" applyNumberFormat="1" applyFont="1"/>
    <xf numFmtId="166" fontId="35" fillId="0" borderId="0" xfId="11" applyNumberFormat="1"/>
    <xf numFmtId="0" fontId="177" fillId="0" borderId="0" xfId="0" applyFont="1" applyAlignment="1">
      <alignment horizontal="center" vertical="center"/>
    </xf>
    <xf numFmtId="0" fontId="178" fillId="3" borderId="0" xfId="0" applyFont="1" applyFill="1"/>
    <xf numFmtId="166" fontId="113" fillId="2" borderId="0" xfId="1" applyNumberFormat="1" applyFont="1" applyFill="1"/>
    <xf numFmtId="166" fontId="106" fillId="2" borderId="0" xfId="1" applyNumberFormat="1" applyFont="1" applyFill="1"/>
    <xf numFmtId="165" fontId="106" fillId="2" borderId="0" xfId="3" applyFont="1" applyFill="1"/>
    <xf numFmtId="2" fontId="106" fillId="2" borderId="0" xfId="0" applyNumberFormat="1" applyFont="1" applyFill="1"/>
    <xf numFmtId="167" fontId="35" fillId="0" borderId="0" xfId="11" applyNumberFormat="1"/>
    <xf numFmtId="166" fontId="35" fillId="0" borderId="0" xfId="1" applyNumberFormat="1" applyFont="1"/>
    <xf numFmtId="0" fontId="35" fillId="0" borderId="2" xfId="11" applyBorder="1"/>
    <xf numFmtId="10" fontId="106" fillId="13" borderId="0" xfId="0" applyNumberFormat="1" applyFont="1" applyFill="1"/>
    <xf numFmtId="10" fontId="35" fillId="0" borderId="0" xfId="1" applyNumberFormat="1" applyFont="1"/>
    <xf numFmtId="167" fontId="24" fillId="3" borderId="0" xfId="10" applyNumberFormat="1" applyFont="1" applyFill="1"/>
    <xf numFmtId="9" fontId="35" fillId="0" borderId="0" xfId="1" applyFont="1"/>
    <xf numFmtId="169" fontId="35" fillId="0" borderId="0" xfId="11" applyNumberFormat="1"/>
    <xf numFmtId="9" fontId="0" fillId="3" borderId="0" xfId="0" applyNumberFormat="1" applyFill="1"/>
    <xf numFmtId="0" fontId="45" fillId="3" borderId="0" xfId="10" applyFont="1" applyFill="1"/>
    <xf numFmtId="165" fontId="24" fillId="0" borderId="0" xfId="3" applyFont="1"/>
    <xf numFmtId="1" fontId="0" fillId="3" borderId="0" xfId="0" applyNumberFormat="1" applyFill="1"/>
    <xf numFmtId="0" fontId="179" fillId="3" borderId="0" xfId="0" applyFont="1" applyFill="1" applyAlignment="1">
      <alignment horizontal="center" vertical="center" wrapText="1"/>
    </xf>
    <xf numFmtId="9" fontId="106" fillId="0" borderId="0" xfId="1" applyFont="1" applyFill="1" applyAlignment="1">
      <alignment horizontal="center"/>
    </xf>
    <xf numFmtId="2" fontId="19" fillId="0" borderId="0" xfId="0" applyNumberFormat="1" applyFont="1"/>
    <xf numFmtId="1" fontId="26" fillId="0" borderId="4" xfId="0" applyNumberFormat="1" applyFont="1" applyBorder="1" applyAlignment="1">
      <alignment horizontal="right" wrapText="1"/>
    </xf>
    <xf numFmtId="1" fontId="26" fillId="0" borderId="11" xfId="0" applyNumberFormat="1" applyFont="1" applyBorder="1" applyAlignment="1">
      <alignment horizontal="right" wrapText="1"/>
    </xf>
    <xf numFmtId="0" fontId="46" fillId="0" borderId="2" xfId="10" applyFont="1" applyBorder="1" applyAlignment="1">
      <alignment vertical="center"/>
    </xf>
    <xf numFmtId="0" fontId="46" fillId="0" borderId="2" xfId="10" applyFont="1" applyBorder="1" applyAlignment="1">
      <alignment wrapText="1"/>
    </xf>
    <xf numFmtId="1" fontId="26" fillId="0" borderId="2" xfId="0" applyNumberFormat="1" applyFont="1" applyBorder="1" applyAlignment="1">
      <alignment horizontal="right" wrapText="1"/>
    </xf>
    <xf numFmtId="178" fontId="0" fillId="0" borderId="2" xfId="0" applyNumberFormat="1" applyBorder="1"/>
    <xf numFmtId="9" fontId="0" fillId="0" borderId="2" xfId="1" applyFont="1" applyBorder="1"/>
    <xf numFmtId="1" fontId="106" fillId="0" borderId="0" xfId="0" applyNumberFormat="1" applyFont="1"/>
    <xf numFmtId="0" fontId="106" fillId="20" borderId="0" xfId="0" applyFont="1" applyFill="1"/>
    <xf numFmtId="2" fontId="0" fillId="20" borderId="0" xfId="0" applyNumberFormat="1" applyFill="1"/>
    <xf numFmtId="178" fontId="0" fillId="20" borderId="0" xfId="0" applyNumberFormat="1" applyFill="1"/>
    <xf numFmtId="0" fontId="60" fillId="0" borderId="0" xfId="11" applyFont="1" applyAlignment="1">
      <alignment horizontal="left" vertical="center"/>
    </xf>
    <xf numFmtId="9" fontId="107" fillId="0" borderId="0" xfId="1" applyFont="1"/>
    <xf numFmtId="167" fontId="128" fillId="29" borderId="0" xfId="71" applyNumberFormat="1" applyFont="1" applyFill="1" applyAlignment="1">
      <alignment horizontal="right" vertical="center" wrapText="1"/>
    </xf>
    <xf numFmtId="167" fontId="81" fillId="0" borderId="0" xfId="71" applyNumberFormat="1" applyFont="1" applyAlignment="1">
      <alignment horizontal="right"/>
    </xf>
    <xf numFmtId="167" fontId="132" fillId="0" borderId="30" xfId="71" applyNumberFormat="1" applyFont="1" applyBorder="1" applyAlignment="1">
      <alignment vertical="center" wrapText="1"/>
    </xf>
    <xf numFmtId="9" fontId="24" fillId="0" borderId="0" xfId="1" applyNumberFormat="1" applyFont="1"/>
    <xf numFmtId="167" fontId="128" fillId="29" borderId="0" xfId="71" applyNumberFormat="1" applyFont="1" applyFill="1" applyAlignment="1" applyProtection="1">
      <alignment horizontal="right" vertical="center" wrapText="1"/>
      <protection hidden="1"/>
    </xf>
    <xf numFmtId="167" fontId="81" fillId="0" borderId="0" xfId="71" applyNumberFormat="1" applyFont="1" applyAlignment="1" applyProtection="1">
      <alignment horizontal="right"/>
      <protection hidden="1"/>
    </xf>
    <xf numFmtId="167" fontId="132" fillId="0" borderId="30" xfId="71" applyNumberFormat="1" applyFont="1" applyBorder="1" applyAlignment="1" applyProtection="1">
      <alignment vertical="center" wrapText="1"/>
      <protection hidden="1"/>
    </xf>
    <xf numFmtId="0" fontId="0" fillId="73" borderId="0" xfId="0" applyFill="1"/>
    <xf numFmtId="9" fontId="0" fillId="0" borderId="0" xfId="1" applyNumberFormat="1" applyFont="1"/>
    <xf numFmtId="1" fontId="0" fillId="0" borderId="0" xfId="1" applyNumberFormat="1" applyFont="1"/>
    <xf numFmtId="0" fontId="106" fillId="0" borderId="2" xfId="0" applyFont="1" applyBorder="1" applyAlignment="1">
      <alignment horizontal="center" vertical="center"/>
    </xf>
    <xf numFmtId="195" fontId="126" fillId="0" borderId="3" xfId="56" applyNumberFormat="1" applyFont="1" applyFill="1" applyBorder="1" applyAlignment="1">
      <alignment horizontal="center" vertical="center" wrapText="1"/>
    </xf>
    <xf numFmtId="0" fontId="106" fillId="25" borderId="0" xfId="0" applyFont="1" applyFill="1" applyAlignment="1">
      <alignment horizontal="center"/>
    </xf>
    <xf numFmtId="0" fontId="106" fillId="25" borderId="0" xfId="0" applyFont="1" applyFill="1" applyAlignment="1">
      <alignment horizontal="left" vertical="center" wrapText="1"/>
    </xf>
    <xf numFmtId="0" fontId="154" fillId="25" borderId="0" xfId="0" applyFont="1" applyFill="1" applyAlignment="1">
      <alignment horizontal="left" wrapText="1"/>
    </xf>
    <xf numFmtId="0" fontId="106" fillId="30" borderId="0" xfId="0" applyFont="1" applyFill="1" applyAlignment="1">
      <alignment horizontal="center"/>
    </xf>
    <xf numFmtId="0" fontId="46" fillId="0" borderId="2" xfId="10" applyFont="1" applyBorder="1" applyAlignment="1">
      <alignment horizontal="center" vertical="center"/>
    </xf>
    <xf numFmtId="0" fontId="46" fillId="0" borderId="9" xfId="11" applyFont="1" applyBorder="1" applyAlignment="1">
      <alignment horizontal="center" vertical="center"/>
    </xf>
    <xf numFmtId="0" fontId="24" fillId="2" borderId="2" xfId="11" applyFont="1" applyFill="1" applyBorder="1" applyAlignment="1">
      <alignment horizontal="center" vertical="center"/>
    </xf>
    <xf numFmtId="0" fontId="24" fillId="9" borderId="2" xfId="11" applyFont="1" applyFill="1" applyBorder="1" applyAlignment="1">
      <alignment horizontal="center" vertical="center"/>
    </xf>
    <xf numFmtId="0" fontId="45" fillId="0" borderId="0" xfId="10" applyFont="1" applyAlignment="1">
      <alignment horizontal="center" vertical="center"/>
    </xf>
    <xf numFmtId="0" fontId="24" fillId="0" borderId="2" xfId="10" applyFont="1" applyBorder="1" applyAlignment="1">
      <alignment horizontal="center" vertical="center"/>
    </xf>
    <xf numFmtId="0" fontId="73" fillId="9" borderId="16" xfId="11" applyFont="1" applyFill="1" applyBorder="1" applyAlignment="1">
      <alignment horizontal="center" vertical="center"/>
    </xf>
    <xf numFmtId="0" fontId="73" fillId="9" borderId="6" xfId="11" applyFont="1" applyFill="1" applyBorder="1" applyAlignment="1">
      <alignment horizontal="center" vertical="center"/>
    </xf>
    <xf numFmtId="0" fontId="73" fillId="9" borderId="17" xfId="11" applyFont="1" applyFill="1" applyBorder="1" applyAlignment="1">
      <alignment horizontal="center" vertical="center"/>
    </xf>
    <xf numFmtId="0" fontId="24" fillId="17" borderId="2" xfId="11" applyFont="1" applyFill="1" applyBorder="1" applyAlignment="1">
      <alignment horizontal="center" vertical="center"/>
    </xf>
    <xf numFmtId="0" fontId="24" fillId="0" borderId="0" xfId="10" applyFont="1" applyAlignment="1">
      <alignment horizontal="center"/>
    </xf>
    <xf numFmtId="0" fontId="73" fillId="2" borderId="16" xfId="11" applyFont="1" applyFill="1" applyBorder="1" applyAlignment="1">
      <alignment horizontal="center" vertical="center"/>
    </xf>
    <xf numFmtId="0" fontId="73" fillId="2" borderId="6" xfId="11" applyFont="1" applyFill="1" applyBorder="1" applyAlignment="1">
      <alignment horizontal="center" vertical="center"/>
    </xf>
    <xf numFmtId="0" fontId="73" fillId="2" borderId="17" xfId="11" applyFont="1" applyFill="1" applyBorder="1" applyAlignment="1">
      <alignment horizontal="center" vertical="center"/>
    </xf>
    <xf numFmtId="0" fontId="24" fillId="22" borderId="16" xfId="11" applyFont="1" applyFill="1" applyBorder="1" applyAlignment="1">
      <alignment horizontal="center" vertical="center"/>
    </xf>
    <xf numFmtId="0" fontId="24" fillId="22" borderId="6" xfId="11" applyFont="1" applyFill="1" applyBorder="1" applyAlignment="1">
      <alignment horizontal="center" vertical="center"/>
    </xf>
    <xf numFmtId="0" fontId="24" fillId="22" borderId="17" xfId="11" applyFont="1" applyFill="1" applyBorder="1" applyAlignment="1">
      <alignment horizontal="center" vertical="center"/>
    </xf>
    <xf numFmtId="0" fontId="73" fillId="0" borderId="16" xfId="11" applyFont="1" applyBorder="1" applyAlignment="1">
      <alignment horizontal="center" vertical="center"/>
    </xf>
    <xf numFmtId="0" fontId="73" fillId="0" borderId="6" xfId="11" applyFont="1" applyBorder="1" applyAlignment="1">
      <alignment horizontal="center" vertical="center"/>
    </xf>
    <xf numFmtId="0" fontId="73" fillId="0" borderId="17" xfId="11" applyFont="1" applyBorder="1" applyAlignment="1">
      <alignment horizontal="center" vertical="center"/>
    </xf>
    <xf numFmtId="0" fontId="106" fillId="0" borderId="2" xfId="0" applyFont="1" applyBorder="1" applyAlignment="1">
      <alignment horizontal="center" vertical="center"/>
    </xf>
    <xf numFmtId="0" fontId="0" fillId="0" borderId="2" xfId="0" applyBorder="1" applyAlignment="1">
      <alignment horizontal="center"/>
    </xf>
    <xf numFmtId="0" fontId="143" fillId="5" borderId="2" xfId="28" applyFont="1" applyFill="1" applyBorder="1" applyAlignment="1">
      <alignment horizontal="center" vertical="center"/>
    </xf>
    <xf numFmtId="167" fontId="127" fillId="29" borderId="5" xfId="11" applyNumberFormat="1" applyFont="1" applyFill="1" applyBorder="1" applyAlignment="1" applyProtection="1">
      <alignment horizontal="left" vertical="center" wrapText="1"/>
      <protection hidden="1"/>
    </xf>
    <xf numFmtId="0" fontId="130" fillId="18" borderId="9" xfId="26" applyFont="1" applyFill="1" applyBorder="1" applyAlignment="1" applyProtection="1">
      <alignment horizontal="center" vertical="center" textRotation="90" wrapText="1"/>
      <protection hidden="1"/>
    </xf>
    <xf numFmtId="0" fontId="130" fillId="18" borderId="28" xfId="26" applyFont="1" applyFill="1" applyBorder="1" applyAlignment="1" applyProtection="1">
      <alignment horizontal="center" vertical="center" textRotation="90" wrapText="1"/>
      <protection hidden="1"/>
    </xf>
    <xf numFmtId="0" fontId="98" fillId="25" borderId="16" xfId="0" applyFont="1" applyFill="1" applyBorder="1" applyAlignment="1">
      <alignment horizontal="center"/>
    </xf>
    <xf numFmtId="0" fontId="98" fillId="25" borderId="6" xfId="0" applyFont="1" applyFill="1" applyBorder="1" applyAlignment="1">
      <alignment horizontal="center"/>
    </xf>
    <xf numFmtId="0" fontId="98" fillId="25" borderId="17" xfId="0" applyFont="1" applyFill="1" applyBorder="1" applyAlignment="1">
      <alignment horizontal="center"/>
    </xf>
    <xf numFmtId="0" fontId="0" fillId="0" borderId="0" xfId="0" applyAlignment="1">
      <alignment horizontal="left" vertical="center" wrapText="1"/>
    </xf>
    <xf numFmtId="0" fontId="64" fillId="0" borderId="7" xfId="0" applyFont="1" applyBorder="1" applyAlignment="1">
      <alignment horizontal="center" vertical="center"/>
    </xf>
    <xf numFmtId="0" fontId="64" fillId="0" borderId="3" xfId="0" applyFont="1" applyBorder="1" applyAlignment="1">
      <alignment horizontal="center" vertical="center"/>
    </xf>
    <xf numFmtId="0" fontId="64" fillId="0" borderId="10" xfId="0" applyFont="1" applyBorder="1" applyAlignment="1">
      <alignment horizontal="center" vertical="center"/>
    </xf>
    <xf numFmtId="0" fontId="24" fillId="0" borderId="2" xfId="11" applyFont="1" applyBorder="1" applyAlignment="1">
      <alignment horizontal="center" vertical="center"/>
    </xf>
    <xf numFmtId="0" fontId="46" fillId="0" borderId="8" xfId="10" applyFont="1" applyBorder="1" applyAlignment="1">
      <alignment horizontal="center" vertical="center"/>
    </xf>
    <xf numFmtId="0" fontId="24" fillId="2" borderId="16" xfId="11" applyFont="1" applyFill="1" applyBorder="1" applyAlignment="1">
      <alignment horizontal="center" vertical="center"/>
    </xf>
    <xf numFmtId="0" fontId="24" fillId="2" borderId="6" xfId="11" applyFont="1" applyFill="1" applyBorder="1" applyAlignment="1">
      <alignment horizontal="center" vertical="center"/>
    </xf>
    <xf numFmtId="0" fontId="24" fillId="2" borderId="17" xfId="11" applyFont="1" applyFill="1" applyBorder="1" applyAlignment="1">
      <alignment horizontal="center" vertical="center"/>
    </xf>
    <xf numFmtId="2" fontId="45" fillId="0" borderId="0" xfId="11" applyNumberFormat="1" applyFont="1" applyAlignment="1">
      <alignment horizontal="center"/>
    </xf>
    <xf numFmtId="0" fontId="91" fillId="0" borderId="0" xfId="17" applyFont="1" applyAlignment="1">
      <alignment horizontal="center" vertical="center"/>
    </xf>
    <xf numFmtId="0" fontId="90" fillId="0" borderId="0" xfId="17" applyFont="1" applyAlignment="1">
      <alignment horizontal="left" vertical="justify"/>
    </xf>
    <xf numFmtId="0" fontId="93" fillId="0" borderId="0" xfId="17" applyFont="1" applyAlignment="1">
      <alignment horizontal="center" vertical="center"/>
    </xf>
    <xf numFmtId="0" fontId="78" fillId="0" borderId="12" xfId="17" applyFont="1" applyBorder="1" applyAlignment="1">
      <alignment horizontal="center" vertical="center" wrapText="1"/>
    </xf>
    <xf numFmtId="0" fontId="78" fillId="0" borderId="14" xfId="17" applyFont="1" applyBorder="1" applyAlignment="1">
      <alignment horizontal="center" vertical="center" wrapText="1"/>
    </xf>
    <xf numFmtId="0" fontId="78" fillId="0" borderId="15" xfId="17" applyFont="1" applyBorder="1" applyAlignment="1">
      <alignment horizontal="center" vertical="top" wrapText="1"/>
    </xf>
    <xf numFmtId="0" fontId="78" fillId="0" borderId="11" xfId="17" applyFont="1" applyBorder="1" applyAlignment="1">
      <alignment horizontal="center" vertical="top" wrapText="1"/>
    </xf>
    <xf numFmtId="0" fontId="22" fillId="0" borderId="12" xfId="17" applyFont="1" applyBorder="1" applyAlignment="1">
      <alignment horizontal="center" vertical="center" wrapText="1"/>
    </xf>
    <xf numFmtId="0" fontId="22" fillId="0" borderId="14" xfId="17" applyFont="1" applyBorder="1" applyAlignment="1">
      <alignment horizontal="center" vertical="center" wrapText="1"/>
    </xf>
    <xf numFmtId="0" fontId="22" fillId="0" borderId="7" xfId="17" applyFont="1" applyBorder="1" applyAlignment="1">
      <alignment horizontal="center" vertical="center"/>
    </xf>
    <xf numFmtId="0" fontId="22" fillId="0" borderId="3" xfId="17" applyFont="1" applyBorder="1" applyAlignment="1">
      <alignment horizontal="center" vertical="center"/>
    </xf>
    <xf numFmtId="0" fontId="22" fillId="0" borderId="13" xfId="17" applyFont="1" applyBorder="1" applyAlignment="1">
      <alignment horizontal="center" vertical="center" wrapText="1"/>
    </xf>
  </cellXfs>
  <cellStyles count="1890">
    <cellStyle name="_Fakt_2" xfId="891" xr:uid="{E841C759-8294-4919-BCDF-267C31D79A93}"/>
    <cellStyle name="_rozhufrovka 2009" xfId="892" xr:uid="{CD0A55F9-E44F-4908-A3EE-0282B659123D}"/>
    <cellStyle name="_АТиСТ 5а МТР липень 2008" xfId="893" xr:uid="{94486DA9-332B-453C-B13D-7ABC6FD0DF75}"/>
    <cellStyle name="_ПРГК сводний_" xfId="894" xr:uid="{CEF95407-F758-4C85-9D45-CC19A4F59122}"/>
    <cellStyle name="_УТГ" xfId="895" xr:uid="{E7E65DE5-1571-41D1-A11A-AB92D55A5ACA}"/>
    <cellStyle name="_Феодосия 5а МТР липень 2008" xfId="896" xr:uid="{43FBAEDB-77E6-4A42-8BE1-02CD68F6C040}"/>
    <cellStyle name="_ХТГ довідка." xfId="897" xr:uid="{DEC65D91-1370-457F-96CE-AB21DEC304E4}"/>
    <cellStyle name="_Шебелинка 5а МТР липень 2008" xfId="898" xr:uid="{42BC9DEC-EF9F-4FC2-A9EF-C914D9B9822A}"/>
    <cellStyle name="=C:\WINNT35\SYSTEM32\COMMAND.COM" xfId="899" xr:uid="{B2CC629A-54E6-4692-87C5-5D0F439CEFAB}"/>
    <cellStyle name="1 indent" xfId="72" xr:uid="{7885538A-CE36-491D-ACDF-AEFAB26AD1BB}"/>
    <cellStyle name="1 indent 10" xfId="73" xr:uid="{FF3FD7A6-EA0F-45A3-B0C6-FC0087C70E71}"/>
    <cellStyle name="1 indent 2" xfId="74" xr:uid="{54EC4A2D-6062-4998-8322-8F963B0897C3}"/>
    <cellStyle name="1 indent 3" xfId="75" xr:uid="{D77F6098-56A5-4B9F-8DC1-881E4277DCEF}"/>
    <cellStyle name="1 indent 4" xfId="76" xr:uid="{1C09C810-B81E-4833-B98F-249AEC1294D9}"/>
    <cellStyle name="1 indent 5" xfId="77" xr:uid="{AE123C49-64A4-40EF-9726-318D857A50BC}"/>
    <cellStyle name="1 indent 6" xfId="78" xr:uid="{080AF5B9-0D9A-4CFB-AEF2-0501936CB5C3}"/>
    <cellStyle name="1 indent 7" xfId="79" xr:uid="{1E39598E-F971-449A-ABA4-34E9BF221A5B}"/>
    <cellStyle name="1 indent 8" xfId="80" xr:uid="{A5A9E23E-3392-41F3-9303-2B15FA9F7AF4}"/>
    <cellStyle name="1 indent 9" xfId="81" xr:uid="{680F94B2-1E9D-418B-912A-5A954CCDCB01}"/>
    <cellStyle name="100" xfId="31" xr:uid="{C682D668-C1B1-4A6C-B0FA-575B9297251C}"/>
    <cellStyle name="2 indents" xfId="82" xr:uid="{26D69337-BF26-42F1-B3A3-7ABF10BEDC75}"/>
    <cellStyle name="2 indents 10" xfId="83" xr:uid="{FCB2CD0D-B553-40E3-AE90-CF0C5BED7C98}"/>
    <cellStyle name="2 indents 2" xfId="84" xr:uid="{89DA9795-0BB6-463D-9E42-41C653A44A58}"/>
    <cellStyle name="2 indents 3" xfId="85" xr:uid="{A3E1D200-F0F4-4F2C-9EAA-A3E110AFF83C}"/>
    <cellStyle name="2 indents 4" xfId="86" xr:uid="{C23C1901-CCD1-420F-BF59-C4A020F88229}"/>
    <cellStyle name="2 indents 5" xfId="87" xr:uid="{E0A30396-88D6-46C8-936B-D314C85BD34D}"/>
    <cellStyle name="2 indents 6" xfId="88" xr:uid="{93378FD2-8F11-4CDF-A225-3BEB7224284D}"/>
    <cellStyle name="2 indents 7" xfId="89" xr:uid="{DB131B2D-3A49-4D4D-872A-30BDD4B25BDF}"/>
    <cellStyle name="2 indents 8" xfId="90" xr:uid="{8A654B45-9E5B-4855-840B-61365B6DF6E5}"/>
    <cellStyle name="2 indents 9" xfId="91" xr:uid="{D3C06C6E-527B-439B-861F-5DBAF8DDB1F1}"/>
    <cellStyle name="20% - Accent1" xfId="92" xr:uid="{63EB21BA-6B05-4F12-B5D5-B39901C1E58B}"/>
    <cellStyle name="20% - Accent1 10" xfId="93" xr:uid="{B2F38DFE-08E3-4CB9-89DE-BF792DCED23E}"/>
    <cellStyle name="20% - Accent1 10 2" xfId="900" xr:uid="{811D0437-296B-4041-98F3-F4DA6370413E}"/>
    <cellStyle name="20% - Accent1 2" xfId="94" xr:uid="{B4827ABF-1037-4065-AE5C-84664500CCE9}"/>
    <cellStyle name="20% - Accent1 2 2" xfId="901" xr:uid="{CC8F4A4D-C075-430A-B578-089B4E8EA2E1}"/>
    <cellStyle name="20% - Accent1 3" xfId="95" xr:uid="{E21508EC-0A6C-4EAC-A914-27216F31FD1B}"/>
    <cellStyle name="20% - Accent1 3 2" xfId="902" xr:uid="{6AF4E4FB-8A93-4C2A-B455-BE2862F62A2B}"/>
    <cellStyle name="20% - Accent1 4" xfId="96" xr:uid="{6E18448C-47CA-400B-A505-78EEEA7FC635}"/>
    <cellStyle name="20% - Accent1 4 2" xfId="903" xr:uid="{A99B509A-CFE3-473F-8F3A-5B75247E16EC}"/>
    <cellStyle name="20% - Accent1 5" xfId="97" xr:uid="{39AC8BCB-A770-4FF6-9A00-09B48C323B68}"/>
    <cellStyle name="20% - Accent1 5 2" xfId="904" xr:uid="{536CB2B3-2F7B-491D-B1D4-39D82CF20D5B}"/>
    <cellStyle name="20% - Accent1 6" xfId="98" xr:uid="{CF9C520B-DFBF-4E1D-ABBC-C05B47FE1439}"/>
    <cellStyle name="20% - Accent1 6 2" xfId="905" xr:uid="{60756675-7903-4264-9777-A67402B15473}"/>
    <cellStyle name="20% - Accent1 7" xfId="99" xr:uid="{020B7C8C-37AB-4F0E-AEAA-97173377B04D}"/>
    <cellStyle name="20% - Accent1 7 2" xfId="906" xr:uid="{3BF1006E-EC87-4959-8466-DB8269B26A90}"/>
    <cellStyle name="20% - Accent1 8" xfId="100" xr:uid="{B8E70DF0-D4BE-4CED-9D77-FDB15835ED27}"/>
    <cellStyle name="20% - Accent1 8 2" xfId="907" xr:uid="{8FE5A9D7-6F6A-4671-B5F6-9AA380B3FBAA}"/>
    <cellStyle name="20% - Accent1 9" xfId="101" xr:uid="{952838D2-069F-49E9-AF30-9068EC9C2FD4}"/>
    <cellStyle name="20% - Accent1 9 2" xfId="908" xr:uid="{128C86B8-F1B0-4090-BD26-9233EE078B62}"/>
    <cellStyle name="20% - Accent2" xfId="102" xr:uid="{D3B4AFC3-E988-4912-822D-9EDAA4645B02}"/>
    <cellStyle name="20% - Accent2 10" xfId="103" xr:uid="{2D3DFF8F-22FE-4610-AFCA-CAE925C393B2}"/>
    <cellStyle name="20% - Accent2 10 2" xfId="909" xr:uid="{62FAE128-AA94-45EE-8767-CC881FA4A993}"/>
    <cellStyle name="20% - Accent2 2" xfId="104" xr:uid="{03778385-EFE1-4C77-A3F9-20924DEDE4EE}"/>
    <cellStyle name="20% - Accent2 2 2" xfId="910" xr:uid="{1AB41CED-EC87-4700-9973-5624734CA49B}"/>
    <cellStyle name="20% - Accent2 3" xfId="105" xr:uid="{93829F37-E162-4B0B-894F-94CA119E2624}"/>
    <cellStyle name="20% - Accent2 3 2" xfId="911" xr:uid="{A4505270-EA07-4B83-9090-3B239C5E7AC3}"/>
    <cellStyle name="20% - Accent2 4" xfId="106" xr:uid="{349E37CB-40E9-43C5-BDB9-67DD9F12F9AE}"/>
    <cellStyle name="20% - Accent2 4 2" xfId="912" xr:uid="{34E9B76D-977A-4D8F-8777-E127D55DC967}"/>
    <cellStyle name="20% - Accent2 5" xfId="107" xr:uid="{75A356AC-B348-4634-9953-A3DA6B2925CC}"/>
    <cellStyle name="20% - Accent2 5 2" xfId="913" xr:uid="{60714DC9-344D-4296-B080-D0D0CB9CF45A}"/>
    <cellStyle name="20% - Accent2 6" xfId="108" xr:uid="{BA598897-17E8-4809-822C-89EE0A1CE0DA}"/>
    <cellStyle name="20% - Accent2 6 2" xfId="914" xr:uid="{E2C10283-E16A-4FFC-A847-53523A8EE6E8}"/>
    <cellStyle name="20% - Accent2 7" xfId="109" xr:uid="{D552AFDE-8A78-4D9D-865B-2382A08AEF7B}"/>
    <cellStyle name="20% - Accent2 7 2" xfId="915" xr:uid="{22995CC0-D100-4BD4-8DA8-88FA67643EB6}"/>
    <cellStyle name="20% - Accent2 8" xfId="110" xr:uid="{437A0460-B8FA-4132-9C40-E93EA56AA775}"/>
    <cellStyle name="20% - Accent2 8 2" xfId="916" xr:uid="{8392DA8C-7C33-4507-AE2B-20A5C884E978}"/>
    <cellStyle name="20% - Accent2 9" xfId="111" xr:uid="{49E54949-0D4D-4DD8-9E3F-77EE994D0716}"/>
    <cellStyle name="20% - Accent2 9 2" xfId="917" xr:uid="{3202932C-5E5F-4295-BE49-51C313541811}"/>
    <cellStyle name="20% - Accent3" xfId="112" xr:uid="{07D7284C-3A43-41BC-A143-54CCB185B0F9}"/>
    <cellStyle name="20% - Accent3 10" xfId="113" xr:uid="{20AF9DE8-A57E-4C73-BF8B-2D4F4D24BB9E}"/>
    <cellStyle name="20% - Accent3 10 2" xfId="918" xr:uid="{D4CCDDE8-4E27-4567-8006-0FBC3DE7A2F3}"/>
    <cellStyle name="20% - Accent3 2" xfId="114" xr:uid="{ADD39802-EBC0-4FEA-B7F4-274541928DEE}"/>
    <cellStyle name="20% - Accent3 2 2" xfId="919" xr:uid="{D9434F7A-2BD4-4E6F-921E-183FE2504943}"/>
    <cellStyle name="20% - Accent3 3" xfId="115" xr:uid="{54C875F1-2BBF-48D2-A069-CC6841DBF41E}"/>
    <cellStyle name="20% - Accent3 3 2" xfId="920" xr:uid="{1ADABF08-2AC1-4110-8AEB-04EF621808A5}"/>
    <cellStyle name="20% - Accent3 4" xfId="116" xr:uid="{191063D2-DA4D-48AD-992A-07C4D631A17E}"/>
    <cellStyle name="20% - Accent3 4 2" xfId="921" xr:uid="{6009FAC7-DCBF-41B4-9716-67553CD008CE}"/>
    <cellStyle name="20% - Accent3 5" xfId="117" xr:uid="{BD2D8B79-E87B-4E5E-BF51-B8F7DAB959B9}"/>
    <cellStyle name="20% - Accent3 5 2" xfId="922" xr:uid="{03CDB56E-D127-46B9-9770-D87B19C7E9DA}"/>
    <cellStyle name="20% - Accent3 6" xfId="118" xr:uid="{1F87CC04-AAB5-440D-B895-FFF2839F5101}"/>
    <cellStyle name="20% - Accent3 6 2" xfId="923" xr:uid="{3F241712-B817-473F-904D-9C1A8BEECF85}"/>
    <cellStyle name="20% - Accent3 7" xfId="119" xr:uid="{F7393772-1539-4588-9A8E-0E4B4F1576BC}"/>
    <cellStyle name="20% - Accent3 7 2" xfId="924" xr:uid="{404A06AE-6922-401D-8D92-813F820CD158}"/>
    <cellStyle name="20% - Accent3 8" xfId="120" xr:uid="{6AE1E9E6-DE85-4C39-864F-DC2324BC9C43}"/>
    <cellStyle name="20% - Accent3 8 2" xfId="925" xr:uid="{857948C6-4FAE-4966-A1BC-96EA87DC6109}"/>
    <cellStyle name="20% - Accent3 9" xfId="121" xr:uid="{95F54DE0-A2B4-46F4-87A6-45B2A1417C04}"/>
    <cellStyle name="20% - Accent3 9 2" xfId="926" xr:uid="{720AF12F-DC2F-4FE9-8E56-774966D2C9A7}"/>
    <cellStyle name="20% - Accent4" xfId="122" xr:uid="{72E76E66-7317-4595-B83E-9F0D73D80C73}"/>
    <cellStyle name="20% - Accent4 10" xfId="123" xr:uid="{678E572B-93BD-40BD-B009-191723C8129B}"/>
    <cellStyle name="20% - Accent4 10 2" xfId="927" xr:uid="{06418FE8-BB8E-4CD3-9D40-C7706512DFD7}"/>
    <cellStyle name="20% - Accent4 2" xfId="124" xr:uid="{4B856BE1-041D-4365-9EA1-0F75A0EA3B76}"/>
    <cellStyle name="20% - Accent4 2 2" xfId="928" xr:uid="{39FE3922-6DAC-4BB1-AB22-0156011F903B}"/>
    <cellStyle name="20% - Accent4 3" xfId="125" xr:uid="{8CBD5D0B-3FB2-4E51-AA67-679176C0EB55}"/>
    <cellStyle name="20% - Accent4 3 2" xfId="929" xr:uid="{962E627A-6B63-425A-B38A-F121A40E40E1}"/>
    <cellStyle name="20% - Accent4 4" xfId="126" xr:uid="{91E8FD1C-2C40-47C3-B8FB-E6497EAA4A29}"/>
    <cellStyle name="20% - Accent4 4 2" xfId="930" xr:uid="{CB5BA9F0-F039-433C-8B4F-89EAACAA2B73}"/>
    <cellStyle name="20% - Accent4 5" xfId="127" xr:uid="{A131C72D-D58E-4C13-BADC-F04898D4C346}"/>
    <cellStyle name="20% - Accent4 5 2" xfId="931" xr:uid="{878282EF-96DB-4363-9B96-780D87C4ECFB}"/>
    <cellStyle name="20% - Accent4 6" xfId="128" xr:uid="{273A0C7D-787E-425A-9965-E5D11188C3DA}"/>
    <cellStyle name="20% - Accent4 6 2" xfId="932" xr:uid="{320D8537-C841-4E03-8FA2-88D7C7259898}"/>
    <cellStyle name="20% - Accent4 7" xfId="129" xr:uid="{56BF9250-BF7A-4266-B18D-61953E1F13E9}"/>
    <cellStyle name="20% - Accent4 7 2" xfId="933" xr:uid="{67CFFB7F-09DA-4FAD-AC1A-1D1239098B36}"/>
    <cellStyle name="20% - Accent4 8" xfId="130" xr:uid="{4FCC413E-E4E4-45EC-B762-0FC1772783C4}"/>
    <cellStyle name="20% - Accent4 8 2" xfId="934" xr:uid="{6E23FCB3-3006-4C27-AFB4-07421D32C659}"/>
    <cellStyle name="20% - Accent4 9" xfId="131" xr:uid="{43A9C185-9256-4AF1-A234-2954C7DF1B0B}"/>
    <cellStyle name="20% - Accent4 9 2" xfId="935" xr:uid="{BF0CD1A2-CCCB-4146-B304-93503F2574B4}"/>
    <cellStyle name="20% - Accent5" xfId="132" xr:uid="{0232ADB9-E0BC-499A-96D7-B98BACCD52B7}"/>
    <cellStyle name="20% - Accent5 10" xfId="133" xr:uid="{7B4948BF-825A-4CAB-859F-EA6DC9D006BD}"/>
    <cellStyle name="20% - Accent5 10 2" xfId="936" xr:uid="{C68EDAB3-D962-4549-A417-1ABD8A51766A}"/>
    <cellStyle name="20% - Accent5 2" xfId="134" xr:uid="{C8E7ABDA-BF78-4702-BF4B-E9213F591EEC}"/>
    <cellStyle name="20% - Accent5 2 2" xfId="937" xr:uid="{8310C2A5-0289-44B0-9C04-B9D68C332A9E}"/>
    <cellStyle name="20% - Accent5 3" xfId="135" xr:uid="{CF5FCC26-B21A-436F-90FA-E093D5C1ED73}"/>
    <cellStyle name="20% - Accent5 3 2" xfId="938" xr:uid="{2293CFC4-4B2F-4508-B22E-E78837A13FC2}"/>
    <cellStyle name="20% - Accent5 4" xfId="136" xr:uid="{B2E52C80-191C-4B0A-8759-22724E0BFEA3}"/>
    <cellStyle name="20% - Accent5 4 2" xfId="939" xr:uid="{0A9A7160-2345-450F-9DBB-A45EEDEBC015}"/>
    <cellStyle name="20% - Accent5 5" xfId="137" xr:uid="{1D8CF379-B975-4E69-99E2-1761FC2633F3}"/>
    <cellStyle name="20% - Accent5 5 2" xfId="940" xr:uid="{CB686FEE-269E-4899-9D44-A20F1C987EDC}"/>
    <cellStyle name="20% - Accent5 6" xfId="138" xr:uid="{5FA4D9A0-4A21-4461-9CD1-225E8E68FABA}"/>
    <cellStyle name="20% - Accent5 6 2" xfId="941" xr:uid="{04411272-88C9-403B-96E3-CABF2377600D}"/>
    <cellStyle name="20% - Accent5 7" xfId="139" xr:uid="{573807A8-65CA-4EBF-AE18-9594FDB7A2A7}"/>
    <cellStyle name="20% - Accent5 7 2" xfId="942" xr:uid="{AEF535E8-C82A-434B-92FE-6CD58ABBDC98}"/>
    <cellStyle name="20% - Accent5 8" xfId="140" xr:uid="{5FBC3250-29DB-4878-A6A4-6CC9AEAB8922}"/>
    <cellStyle name="20% - Accent5 8 2" xfId="943" xr:uid="{897E2734-945B-49D9-884B-74E7E5807A93}"/>
    <cellStyle name="20% - Accent5 9" xfId="141" xr:uid="{BCF55CD4-6846-4F79-9B23-9B5C242FA7A3}"/>
    <cellStyle name="20% - Accent5 9 2" xfId="944" xr:uid="{D5B6506C-36D1-4141-AD8F-B99852635D1C}"/>
    <cellStyle name="20% - Accent6" xfId="142" xr:uid="{8B91F91E-AEAB-4E40-BA0D-5DE2CAC123C3}"/>
    <cellStyle name="20% - Accent6 10" xfId="143" xr:uid="{3C6CB429-BC3B-48A6-A47E-FE74E25E3B95}"/>
    <cellStyle name="20% - Accent6 10 2" xfId="945" xr:uid="{2F06A27A-9773-4AAE-87F7-4FDAAB670D8B}"/>
    <cellStyle name="20% - Accent6 2" xfId="144" xr:uid="{BBE86C09-AA7A-4785-AF9B-9463EFAEBEF2}"/>
    <cellStyle name="20% - Accent6 2 2" xfId="946" xr:uid="{404B1573-5353-482C-AE4A-174785171397}"/>
    <cellStyle name="20% - Accent6 3" xfId="145" xr:uid="{BC4AA032-7DA7-4C1F-9526-527A9962FC2C}"/>
    <cellStyle name="20% - Accent6 3 2" xfId="947" xr:uid="{D14DC021-3DE9-46B3-83C9-41CFF93151DA}"/>
    <cellStyle name="20% - Accent6 4" xfId="146" xr:uid="{032F8CD7-80D9-4B21-BEF8-2AE528B41095}"/>
    <cellStyle name="20% - Accent6 4 2" xfId="948" xr:uid="{EAADFEE0-8485-441D-A9AD-140375141811}"/>
    <cellStyle name="20% - Accent6 5" xfId="147" xr:uid="{FD0BB6B9-51F9-4687-B84C-58CD8B919DA3}"/>
    <cellStyle name="20% - Accent6 5 2" xfId="949" xr:uid="{707A7FE5-6C23-44DE-B6E3-4629D2EFAE83}"/>
    <cellStyle name="20% - Accent6 6" xfId="148" xr:uid="{AD32EC96-DB05-4310-B8E2-4881F2D273DF}"/>
    <cellStyle name="20% - Accent6 6 2" xfId="950" xr:uid="{1EE38AE5-34A0-4880-96B6-CB0807736A83}"/>
    <cellStyle name="20% - Accent6 7" xfId="149" xr:uid="{1056B921-39C4-4EDF-852A-EEB4279630C8}"/>
    <cellStyle name="20% - Accent6 7 2" xfId="951" xr:uid="{0EF7CEB3-B1BA-496A-8A69-63ABDB557DF9}"/>
    <cellStyle name="20% - Accent6 8" xfId="150" xr:uid="{6A1CD3A2-BF1D-4655-B2E8-AF38205E6FAD}"/>
    <cellStyle name="20% - Accent6 8 2" xfId="952" xr:uid="{4D944797-84BA-496A-94D4-4BE958CD26E3}"/>
    <cellStyle name="20% - Accent6 9" xfId="151" xr:uid="{788119B8-8855-44A2-BB9C-14A8E206EF24}"/>
    <cellStyle name="20% - Accent6 9 2" xfId="953" xr:uid="{753B1E88-A7D1-4FA1-9FE3-93664D77DC2C}"/>
    <cellStyle name="20% - Акцент1 2" xfId="152" xr:uid="{D880BCCC-0352-4B8E-AE6C-BBF88E5F7FCE}"/>
    <cellStyle name="20% - Акцент1 3" xfId="153" xr:uid="{2F25BFFC-F5F0-42EB-BF50-5F0AACCFBBCE}"/>
    <cellStyle name="20% - Акцент1 4" xfId="954" xr:uid="{99C6D5D2-7BED-4C26-8840-A9EA0F1584AE}"/>
    <cellStyle name="20% - Акцент2 2" xfId="154" xr:uid="{762C7348-B088-47B7-9A95-538A6E6EC3D5}"/>
    <cellStyle name="20% - Акцент2 3" xfId="155" xr:uid="{EE399B8C-C84E-4040-A6D7-B04593026FFC}"/>
    <cellStyle name="20% - Акцент2 4" xfId="955" xr:uid="{1D943E6D-954C-45C4-B9E4-6577CE57BCC2}"/>
    <cellStyle name="20% - Акцент3 2" xfId="156" xr:uid="{41A46C97-CEB6-44A6-BCBE-58E30A8800F4}"/>
    <cellStyle name="20% - Акцент3 3" xfId="157" xr:uid="{A7BF1214-83E1-4FD0-ACF0-34628BD24C26}"/>
    <cellStyle name="20% - Акцент3 4" xfId="956" xr:uid="{B29F4A4C-B280-4ED8-8E7A-AE84ADEC1995}"/>
    <cellStyle name="20% - Акцент4 2" xfId="158" xr:uid="{F48D7C6E-0021-42DD-8248-1D6EECC7420A}"/>
    <cellStyle name="20% - Акцент4 3" xfId="159" xr:uid="{CBE6CB59-C9F3-4F43-937D-4A9D39F9615E}"/>
    <cellStyle name="20% - Акцент4 4" xfId="957" xr:uid="{0ECA4DAA-97D3-4957-AB42-FD1ECDE6A6F7}"/>
    <cellStyle name="20% - Акцент5 2" xfId="160" xr:uid="{0A0B12BE-ECDC-4C07-9F6E-7BE52C9A088E}"/>
    <cellStyle name="20% - Акцент5 3" xfId="958" xr:uid="{F147BC94-A31B-44DF-BDFC-F0EA9F877E82}"/>
    <cellStyle name="20% - Акцент5 4" xfId="959" xr:uid="{636DA6BA-FD9D-4B85-A74D-DEFFFAD2582D}"/>
    <cellStyle name="20% - Акцент6 2" xfId="161" xr:uid="{E577EE20-FA7B-4484-8C83-B0A764ED37CD}"/>
    <cellStyle name="20% - Акцент6 3" xfId="960" xr:uid="{51A67D35-C461-4470-94E3-6C44754A3333}"/>
    <cellStyle name="20% - Акцент6 4" xfId="961" xr:uid="{5F59D8C5-1FA5-49C6-8DA1-393DC809DE5B}"/>
    <cellStyle name="20% – Акцентування1" xfId="162" xr:uid="{75427045-C1C9-49FB-A9D3-BB970F977F1E}"/>
    <cellStyle name="20% – Акцентування1 2" xfId="962" xr:uid="{77EB8DF4-67A7-4BEE-9019-4DAB10B136A1}"/>
    <cellStyle name="20% – Акцентування2" xfId="163" xr:uid="{F8AE11EF-FDF7-49B9-BE8E-3D7BB8C6D0D7}"/>
    <cellStyle name="20% – Акцентування2 2" xfId="963" xr:uid="{5F21784F-34AB-44C7-A854-03575F311F8C}"/>
    <cellStyle name="20% – Акцентування3" xfId="164" xr:uid="{51586A6F-5093-42AC-9637-1447C7E5623E}"/>
    <cellStyle name="20% – Акцентування3 2" xfId="964" xr:uid="{C0DB8C09-A05B-4B0F-A035-C131AFBE5C43}"/>
    <cellStyle name="20% – Акцентування4" xfId="165" xr:uid="{167C7E1A-212B-4AB3-B840-AFF5EF38CA2D}"/>
    <cellStyle name="20% – Акцентування4 2" xfId="965" xr:uid="{23B1842B-A6AA-4EAB-B8A1-190A2604342B}"/>
    <cellStyle name="20% – Акцентування5" xfId="166" xr:uid="{6E06481B-E6E2-4322-979C-4407FD2BD531}"/>
    <cellStyle name="20% – Акцентування5 2" xfId="966" xr:uid="{D9C43373-D337-4545-AEF4-FF93CFC3EB25}"/>
    <cellStyle name="20% – Акцентування6" xfId="167" xr:uid="{66834AC6-9729-4A12-BC64-272C88BFB2AA}"/>
    <cellStyle name="20% – Акцентування6 2" xfId="967" xr:uid="{BE2E95E8-DC1D-4C72-88E7-E766ED01091C}"/>
    <cellStyle name="3 indents" xfId="168" xr:uid="{C88F7CBF-5E00-494A-B1B0-4F64A62523C7}"/>
    <cellStyle name="3 indents 2" xfId="968" xr:uid="{3E96AC1E-AE0C-41EC-92F8-62E2EC9240D3}"/>
    <cellStyle name="3 indents 3" xfId="969" xr:uid="{35C65020-E1A6-450A-AA10-C5344DD8F024}"/>
    <cellStyle name="4 indents" xfId="169" xr:uid="{52F666F2-48F9-447D-90F8-CCFE0B76F7DD}"/>
    <cellStyle name="4 indents 2" xfId="970" xr:uid="{A9D8B927-905E-4082-BE27-83043BBDC881}"/>
    <cellStyle name="4 indents 3" xfId="971" xr:uid="{315F3DDE-66D6-4263-9963-E5F7A8EA3F44}"/>
    <cellStyle name="40% - Accent1" xfId="170" xr:uid="{D52B9778-7B2C-4D0F-99B2-5977DC2D47D7}"/>
    <cellStyle name="40% - Accent1 10" xfId="171" xr:uid="{E5CA69C2-C397-489B-9817-00682FDBC9D0}"/>
    <cellStyle name="40% - Accent1 10 2" xfId="972" xr:uid="{D3493736-D314-4112-9ED6-7E53784FAACB}"/>
    <cellStyle name="40% - Accent1 2" xfId="172" xr:uid="{067E5089-AA62-4868-A867-B6E6B903221F}"/>
    <cellStyle name="40% - Accent1 2 2" xfId="973" xr:uid="{C23CD804-1B5B-4DA6-A0E9-EF052F9C6115}"/>
    <cellStyle name="40% - Accent1 3" xfId="173" xr:uid="{70BA737A-A82D-42DD-8583-E4184C9D730F}"/>
    <cellStyle name="40% - Accent1 3 2" xfId="974" xr:uid="{DA241880-D0C1-451E-8C0E-93D6A6192D3B}"/>
    <cellStyle name="40% - Accent1 4" xfId="174" xr:uid="{1A0B7D37-BDF8-4079-8BAB-BA11BA868A7F}"/>
    <cellStyle name="40% - Accent1 4 2" xfId="975" xr:uid="{F3953C08-F467-4686-88D8-79DA815F2DFA}"/>
    <cellStyle name="40% - Accent1 5" xfId="175" xr:uid="{E23039E2-A8B5-438A-BCF1-5954F2FCEEEE}"/>
    <cellStyle name="40% - Accent1 5 2" xfId="976" xr:uid="{A24426A4-2500-4AFC-BB76-DBD0D9F9A686}"/>
    <cellStyle name="40% - Accent1 6" xfId="176" xr:uid="{56572FC9-49A1-42B7-B6E0-6A56CFC2A1BC}"/>
    <cellStyle name="40% - Accent1 6 2" xfId="977" xr:uid="{1E7294D4-7BD4-4892-B619-B4D0BC129C08}"/>
    <cellStyle name="40% - Accent1 7" xfId="177" xr:uid="{8FA3EA40-66EE-490E-9089-837DC9D99581}"/>
    <cellStyle name="40% - Accent1 7 2" xfId="978" xr:uid="{9E0439ED-F4D0-4336-B55C-EB25356E7A66}"/>
    <cellStyle name="40% - Accent1 8" xfId="178" xr:uid="{318404C6-6699-4D2C-A0A4-978AE7A772B7}"/>
    <cellStyle name="40% - Accent1 8 2" xfId="979" xr:uid="{6DD26771-1A85-49EF-86FC-C039E54014CB}"/>
    <cellStyle name="40% - Accent1 9" xfId="179" xr:uid="{5B035E95-F36B-4DE7-968F-1EE734984204}"/>
    <cellStyle name="40% - Accent1 9 2" xfId="980" xr:uid="{27AC6C0B-B5A2-4936-A945-C2EFE88932C7}"/>
    <cellStyle name="40% - Accent2" xfId="180" xr:uid="{D0673EF9-0684-4329-8F1C-FC791960054A}"/>
    <cellStyle name="40% - Accent2 10" xfId="181" xr:uid="{7845D247-4B43-4D4A-B05F-1468E76AF17F}"/>
    <cellStyle name="40% - Accent2 10 2" xfId="981" xr:uid="{8D778680-41AE-4A7E-9032-975AE7D0C624}"/>
    <cellStyle name="40% - Accent2 2" xfId="182" xr:uid="{7EA2CDEA-D216-4F27-B467-497C48C5F51A}"/>
    <cellStyle name="40% - Accent2 2 2" xfId="982" xr:uid="{E5DE59AE-2BB4-41A1-AFAC-FE845ECED20D}"/>
    <cellStyle name="40% - Accent2 3" xfId="183" xr:uid="{7DB9EADB-4B57-4274-A4D3-083644BA34CE}"/>
    <cellStyle name="40% - Accent2 3 2" xfId="983" xr:uid="{DB6C26DA-C034-4630-960E-3F61E7AD6699}"/>
    <cellStyle name="40% - Accent2 4" xfId="184" xr:uid="{578B456B-23E6-4517-8C50-CA4B60ADE66E}"/>
    <cellStyle name="40% - Accent2 4 2" xfId="984" xr:uid="{49EB6B9D-76C9-48C2-8488-2C070B1D7402}"/>
    <cellStyle name="40% - Accent2 5" xfId="185" xr:uid="{A46AF4FC-F137-4A80-ACA2-68295A805FDE}"/>
    <cellStyle name="40% - Accent2 5 2" xfId="985" xr:uid="{21381DFC-5CFB-4FD4-A027-E5FCE5D52517}"/>
    <cellStyle name="40% - Accent2 6" xfId="186" xr:uid="{C616F207-C061-4832-AA3C-39C14D684B44}"/>
    <cellStyle name="40% - Accent2 6 2" xfId="986" xr:uid="{DB8B1051-C6C0-4D68-9865-7E553A6093B3}"/>
    <cellStyle name="40% - Accent2 7" xfId="187" xr:uid="{DE08D640-493C-4131-B560-52C62471311A}"/>
    <cellStyle name="40% - Accent2 7 2" xfId="987" xr:uid="{BBD8120A-1985-48F0-BE52-82D055B91C5E}"/>
    <cellStyle name="40% - Accent2 8" xfId="188" xr:uid="{2E65B74B-7D72-4390-AA48-4ABB68B767ED}"/>
    <cellStyle name="40% - Accent2 8 2" xfId="988" xr:uid="{CBB80455-AD2E-4282-B4EE-6D76C196102B}"/>
    <cellStyle name="40% - Accent2 9" xfId="189" xr:uid="{481F3A92-E7D1-4FC5-9C2A-6E19F5070601}"/>
    <cellStyle name="40% - Accent2 9 2" xfId="989" xr:uid="{E6D931E3-2276-463A-86F8-97EBF0393713}"/>
    <cellStyle name="40% - Accent3" xfId="190" xr:uid="{4FF53958-9F3F-4EF3-B620-BD9A52E296B0}"/>
    <cellStyle name="40% - Accent3 10" xfId="191" xr:uid="{6E780038-BFD5-445B-B91C-761982863F7F}"/>
    <cellStyle name="40% - Accent3 10 2" xfId="990" xr:uid="{EF3AE5E3-4D86-4226-B6AE-91867CBA3A8F}"/>
    <cellStyle name="40% - Accent3 2" xfId="192" xr:uid="{2424B192-A247-4F36-95EE-C83D240B41CB}"/>
    <cellStyle name="40% - Accent3 2 2" xfId="991" xr:uid="{463032C4-6BAA-47B2-941C-729AC9DF4278}"/>
    <cellStyle name="40% - Accent3 3" xfId="193" xr:uid="{17B89541-26D5-43DA-BDD2-3B751ACCF2AC}"/>
    <cellStyle name="40% - Accent3 3 2" xfId="992" xr:uid="{770DC851-C5A9-4777-A969-4DA7851BD285}"/>
    <cellStyle name="40% - Accent3 4" xfId="194" xr:uid="{341B5337-8B77-44CD-9DB1-CEBB26A02C99}"/>
    <cellStyle name="40% - Accent3 4 2" xfId="993" xr:uid="{17283975-2676-4F1A-83D6-9127A30C4483}"/>
    <cellStyle name="40% - Accent3 5" xfId="195" xr:uid="{AA844DCA-609F-4B9E-9B7B-2477727B45A3}"/>
    <cellStyle name="40% - Accent3 5 2" xfId="994" xr:uid="{E24DF037-77B5-46D1-9C1C-374AAE6D0DF2}"/>
    <cellStyle name="40% - Accent3 6" xfId="196" xr:uid="{4E6B07F3-882A-4D38-8FC6-AD8CE84D20CA}"/>
    <cellStyle name="40% - Accent3 6 2" xfId="995" xr:uid="{BE5FFB0F-CBEA-411C-A0D1-19A78D003FA4}"/>
    <cellStyle name="40% - Accent3 7" xfId="197" xr:uid="{9CBA60EF-161F-4546-9785-6D3D9CEFD9CC}"/>
    <cellStyle name="40% - Accent3 7 2" xfId="996" xr:uid="{EDAD9E0D-0C6C-4BFE-B1AC-ECA55AC5BC79}"/>
    <cellStyle name="40% - Accent3 8" xfId="198" xr:uid="{817187C7-3E73-4726-824E-67A1FDC8FA31}"/>
    <cellStyle name="40% - Accent3 8 2" xfId="997" xr:uid="{8E640329-9745-4E03-8617-9B59EF10435C}"/>
    <cellStyle name="40% - Accent3 9" xfId="199" xr:uid="{23CA69CD-D4FC-4C1F-9DFA-E985A42573CC}"/>
    <cellStyle name="40% - Accent3 9 2" xfId="998" xr:uid="{56D90A1A-A0EA-4321-8742-F3CCCC1A1749}"/>
    <cellStyle name="40% - Accent4" xfId="200" xr:uid="{2C809EDC-4399-4391-A9AC-1983F9999A67}"/>
    <cellStyle name="40% - Accent4 10" xfId="201" xr:uid="{701A773F-2180-47FE-9585-1747575FF066}"/>
    <cellStyle name="40% - Accent4 10 2" xfId="999" xr:uid="{960B271F-5378-45C9-9FC8-28A446893F8A}"/>
    <cellStyle name="40% - Accent4 2" xfId="202" xr:uid="{45B521AD-7C98-4A7D-A058-9C2A7A3C84F3}"/>
    <cellStyle name="40% - Accent4 2 2" xfId="1000" xr:uid="{1C65053B-D652-44B4-9992-868760CEE7E6}"/>
    <cellStyle name="40% - Accent4 3" xfId="203" xr:uid="{17FAA05E-E1F6-49AB-AF76-B5D6EB5198D9}"/>
    <cellStyle name="40% - Accent4 3 2" xfId="1001" xr:uid="{1B0557E8-077E-42F8-BDE2-0443BBCDFD30}"/>
    <cellStyle name="40% - Accent4 4" xfId="204" xr:uid="{6927C91A-1DE5-4898-9F1C-B994FC4D1368}"/>
    <cellStyle name="40% - Accent4 4 2" xfId="1002" xr:uid="{C2316CA4-3157-4B92-A140-FCE1E0A8E5AD}"/>
    <cellStyle name="40% - Accent4 5" xfId="205" xr:uid="{C52CD46B-5E0A-4144-92BC-4D156777928F}"/>
    <cellStyle name="40% - Accent4 5 2" xfId="1003" xr:uid="{73C20A23-2EF1-4BD5-8176-9CE448706C89}"/>
    <cellStyle name="40% - Accent4 6" xfId="206" xr:uid="{6AB70C08-1DEC-4B0A-93C8-2AA0B9E04E4A}"/>
    <cellStyle name="40% - Accent4 6 2" xfId="1004" xr:uid="{CD002F00-1518-4482-8CC6-B8E47D340FDD}"/>
    <cellStyle name="40% - Accent4 7" xfId="207" xr:uid="{D4D14A4C-7F64-4086-A27C-BD2EB91A5A1A}"/>
    <cellStyle name="40% - Accent4 7 2" xfId="1005" xr:uid="{B0580F24-09DF-4ED9-8E0B-0D25DFC5303B}"/>
    <cellStyle name="40% - Accent4 8" xfId="208" xr:uid="{32AC026D-FAA7-4E71-B4EC-29470530CE80}"/>
    <cellStyle name="40% - Accent4 8 2" xfId="1006" xr:uid="{2E1C15A7-A6DC-4821-BB1C-8C935D5CE22E}"/>
    <cellStyle name="40% - Accent4 9" xfId="209" xr:uid="{6B675C04-43D2-4B2A-A80F-C2FE3855EC50}"/>
    <cellStyle name="40% - Accent4 9 2" xfId="1007" xr:uid="{E30B38B9-86DC-4D64-BF73-B5C2264C730B}"/>
    <cellStyle name="40% - Accent5" xfId="210" xr:uid="{044CCA86-2AF8-4CEA-B6D4-D38E6A03C9D9}"/>
    <cellStyle name="40% - Accent5 10" xfId="211" xr:uid="{624780F8-078E-42C4-80A2-07A7AE5CC6CF}"/>
    <cellStyle name="40% - Accent5 10 2" xfId="1008" xr:uid="{3D41F5B7-ACE0-4D7A-850E-53BCC58DE830}"/>
    <cellStyle name="40% - Accent5 2" xfId="212" xr:uid="{231ECFFB-772E-49C1-987E-D06C52790F69}"/>
    <cellStyle name="40% - Accent5 2 2" xfId="1009" xr:uid="{1C521450-B242-45B2-BE31-504F40605A86}"/>
    <cellStyle name="40% - Accent5 3" xfId="213" xr:uid="{6DFFE5A7-A291-49D0-ACF7-8E5BABFEC1CA}"/>
    <cellStyle name="40% - Accent5 3 2" xfId="1010" xr:uid="{BBA9C98D-46A1-4083-8EBC-612BB7431AA9}"/>
    <cellStyle name="40% - Accent5 4" xfId="214" xr:uid="{BBA96370-2B5C-4815-8A29-EA63DB18D568}"/>
    <cellStyle name="40% - Accent5 4 2" xfId="1011" xr:uid="{83038F43-62C7-45CB-8873-C262DB1C8511}"/>
    <cellStyle name="40% - Accent5 5" xfId="215" xr:uid="{8DDC14B9-39EE-481B-B65E-CFAD9A09D2A2}"/>
    <cellStyle name="40% - Accent5 5 2" xfId="1012" xr:uid="{7413DB76-59C2-4A20-B632-F6E247EEF6BB}"/>
    <cellStyle name="40% - Accent5 6" xfId="216" xr:uid="{35BAA676-71F8-494C-BFA6-58C1EF7BD745}"/>
    <cellStyle name="40% - Accent5 6 2" xfId="1013" xr:uid="{A304BFD6-2753-4630-8B1D-BCA44B6008AC}"/>
    <cellStyle name="40% - Accent5 7" xfId="217" xr:uid="{7C3C8D60-9272-49EA-9C14-BE0063BB945B}"/>
    <cellStyle name="40% - Accent5 7 2" xfId="1014" xr:uid="{DAB540E6-38F3-4228-A121-834D44FC0C16}"/>
    <cellStyle name="40% - Accent5 8" xfId="218" xr:uid="{C1342791-995E-4C4D-B359-1ACEEEA22199}"/>
    <cellStyle name="40% - Accent5 8 2" xfId="1015" xr:uid="{DC384B6E-0791-4E26-A36E-2F088CA7D471}"/>
    <cellStyle name="40% - Accent5 9" xfId="219" xr:uid="{CC0487EB-FA4E-4DD3-AEA4-91E289E506AA}"/>
    <cellStyle name="40% - Accent5 9 2" xfId="1016" xr:uid="{03794230-5BC5-49BA-BAAB-B59D3865F7DC}"/>
    <cellStyle name="40% - Accent6" xfId="220" xr:uid="{10350252-E51A-4BEF-97A6-88D1E1B65588}"/>
    <cellStyle name="40% - Accent6 10" xfId="221" xr:uid="{07F98016-0233-4C32-999B-29CD4B31AC00}"/>
    <cellStyle name="40% - Accent6 10 2" xfId="1017" xr:uid="{8D499CB9-88AB-4947-A0FF-9A24FA9ECA7F}"/>
    <cellStyle name="40% - Accent6 2" xfId="222" xr:uid="{2C0D8BD6-9C32-402E-9D56-4A88D23D9AEF}"/>
    <cellStyle name="40% - Accent6 2 2" xfId="1018" xr:uid="{F5FCF57B-FEDA-4F66-AE3B-B6E43475A647}"/>
    <cellStyle name="40% - Accent6 3" xfId="223" xr:uid="{CC7A02DA-FCEB-4987-94EE-43BD02D82AB5}"/>
    <cellStyle name="40% - Accent6 3 2" xfId="1019" xr:uid="{BDA3A874-D799-4273-8CB0-ECED756AA4B2}"/>
    <cellStyle name="40% - Accent6 4" xfId="224" xr:uid="{D1911987-44BA-4586-885E-C37F70D0F719}"/>
    <cellStyle name="40% - Accent6 4 2" xfId="1020" xr:uid="{0E036419-6FE4-4362-8D72-ECDBFFCB238C}"/>
    <cellStyle name="40% - Accent6 5" xfId="225" xr:uid="{07583175-F931-4C52-AF07-078944D8E8F4}"/>
    <cellStyle name="40% - Accent6 5 2" xfId="1021" xr:uid="{2AE3267B-3BB0-404D-9AD8-5C96B8AC08F2}"/>
    <cellStyle name="40% - Accent6 6" xfId="226" xr:uid="{2570BE74-8376-4177-989E-861135D8736B}"/>
    <cellStyle name="40% - Accent6 6 2" xfId="1022" xr:uid="{7734E9D8-D5E6-43DD-A7B2-0F13C0B79313}"/>
    <cellStyle name="40% - Accent6 7" xfId="227" xr:uid="{E6B2C6BB-5F0B-406B-8423-BBD9B98ADC29}"/>
    <cellStyle name="40% - Accent6 7 2" xfId="1023" xr:uid="{37763479-C314-4D06-9A8E-4F3985B672C1}"/>
    <cellStyle name="40% - Accent6 8" xfId="228" xr:uid="{9156B746-EFD9-4B49-90C1-10696090B199}"/>
    <cellStyle name="40% - Accent6 8 2" xfId="1024" xr:uid="{18AEF6B3-19DB-4BCE-B389-C473BB2149A6}"/>
    <cellStyle name="40% - Accent6 9" xfId="229" xr:uid="{F90051F7-A30B-4034-AEA8-76FB71E62995}"/>
    <cellStyle name="40% - Accent6 9 2" xfId="1025" xr:uid="{FA31FB4F-4A33-45CD-ADA0-55F53115D54F}"/>
    <cellStyle name="40% - Акцент1 2" xfId="230" xr:uid="{DDFB01B4-114F-4BE2-A587-F4D92635229A}"/>
    <cellStyle name="40% - Акцент1 3" xfId="1026" xr:uid="{AFA94860-BF43-420F-8017-1603310F9D83}"/>
    <cellStyle name="40% - Акцент1 4" xfId="1027" xr:uid="{ED66C504-85E6-44F6-8F10-1E0D665C6096}"/>
    <cellStyle name="40% - Акцент2 2" xfId="231" xr:uid="{9FBB80B6-D8BE-4D82-8418-C4A5891202F2}"/>
    <cellStyle name="40% - Акцент2 3" xfId="1028" xr:uid="{307E53AD-DC8C-4FC1-9A93-C2C7F88D2B48}"/>
    <cellStyle name="40% - Акцент2 4" xfId="1029" xr:uid="{62ADDBCB-1EE6-4CD9-9817-A71D5541D943}"/>
    <cellStyle name="40% - Акцент3 2" xfId="232" xr:uid="{8F921385-95C6-4D01-B3E3-2E788248AA0D}"/>
    <cellStyle name="40% - Акцент3 3" xfId="233" xr:uid="{B5FE3BAC-585E-45AD-9C42-4C37639001A7}"/>
    <cellStyle name="40% - Акцент3 4" xfId="1030" xr:uid="{BE712665-DA75-4829-A16D-9BE28CEA1320}"/>
    <cellStyle name="40% - Акцент4 2" xfId="234" xr:uid="{66CAEB9F-43A1-4966-BF79-E71C612B9D8F}"/>
    <cellStyle name="40% - Акцент4 3" xfId="1031" xr:uid="{FB5DFB5D-1672-41D0-A931-D6C26CC0332C}"/>
    <cellStyle name="40% - Акцент4 4" xfId="1032" xr:uid="{EE429D87-AF23-49AD-92B3-3AD23D51D815}"/>
    <cellStyle name="40% - Акцент5 2" xfId="235" xr:uid="{C2B79671-BEB8-4C76-814A-B275E23FA831}"/>
    <cellStyle name="40% - Акцент5 3" xfId="1033" xr:uid="{D8DF5B63-C957-42B9-B445-49DEE04168C1}"/>
    <cellStyle name="40% - Акцент5 4" xfId="1034" xr:uid="{9E565592-6F14-4BAD-AC12-65E64C249AA2}"/>
    <cellStyle name="40% - Акцент6 2" xfId="236" xr:uid="{AA0DCF7B-3BE5-43F9-8791-63786F85273A}"/>
    <cellStyle name="40% - Акцент6 3" xfId="1035" xr:uid="{B844D3AE-309A-47C0-9492-22EA8F369C51}"/>
    <cellStyle name="40% - Акцент6 4" xfId="1036" xr:uid="{348F374A-C76C-4AA3-AA46-A89344634E14}"/>
    <cellStyle name="40% – Акцентування1" xfId="237" xr:uid="{4902EFE3-68D9-408A-905E-4ECD1A822936}"/>
    <cellStyle name="40% – Акцентування1 2" xfId="1037" xr:uid="{CD8CFF38-7BB7-4FBF-9219-CD4DE05136F7}"/>
    <cellStyle name="40% – Акцентування2" xfId="238" xr:uid="{81717451-B8C8-4FAA-A990-54749BB8CD78}"/>
    <cellStyle name="40% – Акцентування2 2" xfId="1038" xr:uid="{60FCAC40-B45E-428A-B9BC-DC24E4B58A4C}"/>
    <cellStyle name="40% – Акцентування3" xfId="239" xr:uid="{88378B6B-AB76-48CF-B927-7EBBD8B637DB}"/>
    <cellStyle name="40% – Акцентування3 2" xfId="1039" xr:uid="{D07BF85C-1762-4493-A1D8-DB6C9A78811A}"/>
    <cellStyle name="40% – Акцентування4" xfId="240" xr:uid="{0BEDA58E-6EB6-43FA-AF47-9538B028E716}"/>
    <cellStyle name="40% – Акцентування4 2" xfId="1040" xr:uid="{0D161F49-F943-47B3-B537-5A4BFA48B396}"/>
    <cellStyle name="40% – Акцентування5" xfId="241" xr:uid="{FE65DB11-0FFC-4B36-A489-D2D44B20E28B}"/>
    <cellStyle name="40% – Акцентування5 2" xfId="1041" xr:uid="{CBDF02EA-8670-4F56-A48C-3D1807C5029C}"/>
    <cellStyle name="40% – Акцентування6" xfId="242" xr:uid="{EDD8C8D6-ED4D-439F-9836-A3FDE12BDC71}"/>
    <cellStyle name="40% – Акцентування6 2" xfId="1042" xr:uid="{25ED3E64-CB35-4A61-9165-852159E2E05E}"/>
    <cellStyle name="5 indents" xfId="243" xr:uid="{3307D5BC-7D89-4B38-9916-6E3232C7264E}"/>
    <cellStyle name="60% - Accent1" xfId="244" xr:uid="{515CE1CB-454D-4F25-8289-9FB35BB24196}"/>
    <cellStyle name="60% - Accent1 10" xfId="245" xr:uid="{24557988-E014-495B-9BF2-5C47DDB63C4C}"/>
    <cellStyle name="60% - Accent1 10 2" xfId="1043" xr:uid="{C5D01035-D0A2-4DDF-8537-7D3ADD6A662D}"/>
    <cellStyle name="60% - Accent1 2" xfId="246" xr:uid="{E93CC0EE-41E5-45EC-8354-AB2C2EA4EE02}"/>
    <cellStyle name="60% - Accent1 2 2" xfId="1044" xr:uid="{B13E90E4-1274-4702-AAF7-714041498AD2}"/>
    <cellStyle name="60% - Accent1 3" xfId="247" xr:uid="{EC4B4174-211B-4015-88E0-F2E4F172BB6C}"/>
    <cellStyle name="60% - Accent1 3 2" xfId="1045" xr:uid="{EAD0AC5A-E923-4313-9F9D-AF237B2429E2}"/>
    <cellStyle name="60% - Accent1 4" xfId="248" xr:uid="{9C3A3FCD-3832-4F61-8971-7277B9A3DF1A}"/>
    <cellStyle name="60% - Accent1 4 2" xfId="1046" xr:uid="{0E95EE2E-CC3E-4927-909A-705B28395455}"/>
    <cellStyle name="60% - Accent1 5" xfId="249" xr:uid="{45DCC41E-7489-4131-84F5-EEC6D11C7DF7}"/>
    <cellStyle name="60% - Accent1 5 2" xfId="1047" xr:uid="{8215A221-2907-4791-9B23-2ADA7C10AC16}"/>
    <cellStyle name="60% - Accent1 6" xfId="250" xr:uid="{0AD2252A-C3B2-44A1-A159-338E92BDEA88}"/>
    <cellStyle name="60% - Accent1 6 2" xfId="1048" xr:uid="{21F84663-E64F-48D8-867C-00A0714DA9DD}"/>
    <cellStyle name="60% - Accent1 7" xfId="251" xr:uid="{51CC5694-EF57-42B8-A125-C7DF1A0C92EC}"/>
    <cellStyle name="60% - Accent1 7 2" xfId="1049" xr:uid="{BDDF2350-8640-484C-8DC2-1190BF400C97}"/>
    <cellStyle name="60% - Accent1 8" xfId="252" xr:uid="{9D44328E-FC60-4113-B4E0-50BAC1CDB061}"/>
    <cellStyle name="60% - Accent1 8 2" xfId="1050" xr:uid="{653815E2-BB55-44FB-B897-AC786A22541E}"/>
    <cellStyle name="60% - Accent1 9" xfId="253" xr:uid="{8DC3404E-8325-4F07-A923-F98E33702736}"/>
    <cellStyle name="60% - Accent1 9 2" xfId="1051" xr:uid="{E380BD53-5A6B-4B44-AD64-88BB8E744078}"/>
    <cellStyle name="60% - Accent2" xfId="254" xr:uid="{EA5478A2-BC77-48B8-B480-9F59FEA8B408}"/>
    <cellStyle name="60% - Accent2 10" xfId="255" xr:uid="{217E1A6C-410E-4C80-8220-1BA34D779D81}"/>
    <cellStyle name="60% - Accent2 10 2" xfId="1052" xr:uid="{EB7C1383-C21D-4E91-AAAC-F81E0D2C3B35}"/>
    <cellStyle name="60% - Accent2 2" xfId="256" xr:uid="{B9A29643-FCFA-4317-B60C-C51CBEACA58B}"/>
    <cellStyle name="60% - Accent2 2 2" xfId="1053" xr:uid="{CEC33E6E-639F-4174-9584-F6E1CD95C01E}"/>
    <cellStyle name="60% - Accent2 3" xfId="257" xr:uid="{2870BAF4-7D0B-4840-8885-6AA9E9BD012D}"/>
    <cellStyle name="60% - Accent2 3 2" xfId="1054" xr:uid="{03E02BBE-62DA-44F0-956D-FC8E1393B39E}"/>
    <cellStyle name="60% - Accent2 4" xfId="258" xr:uid="{FC284285-A6D1-4ACC-9F21-B6F4753BD354}"/>
    <cellStyle name="60% - Accent2 4 2" xfId="1055" xr:uid="{5A1FF3C3-A3C6-4780-9A9F-4B67C804E569}"/>
    <cellStyle name="60% - Accent2 5" xfId="259" xr:uid="{A2A06C5E-E5CD-4341-91E9-E56BE3AFA09E}"/>
    <cellStyle name="60% - Accent2 5 2" xfId="1056" xr:uid="{DDA7DB32-CBF5-4CF9-AAC0-DF19B2BFC117}"/>
    <cellStyle name="60% - Accent2 6" xfId="260" xr:uid="{C840EA5D-E152-4A05-B167-2B091E4BCDFF}"/>
    <cellStyle name="60% - Accent2 6 2" xfId="1057" xr:uid="{58F15F32-4733-4900-9B86-7252762F35EA}"/>
    <cellStyle name="60% - Accent2 7" xfId="261" xr:uid="{FD4910C2-A1BD-4AF7-8B9A-85FC4A20A7BA}"/>
    <cellStyle name="60% - Accent2 7 2" xfId="1058" xr:uid="{E4D29F73-2EEE-481E-BD8C-9127D10BF6A2}"/>
    <cellStyle name="60% - Accent2 8" xfId="262" xr:uid="{15D6D9DE-4C31-4BA6-88D5-FB90E2C1FD51}"/>
    <cellStyle name="60% - Accent2 8 2" xfId="1059" xr:uid="{7774D636-AC13-4E37-9C27-2856ED56F4DB}"/>
    <cellStyle name="60% - Accent2 9" xfId="263" xr:uid="{4C7D3C71-A9A9-4894-8BE1-AA319FEB4223}"/>
    <cellStyle name="60% - Accent2 9 2" xfId="1060" xr:uid="{A4FECC66-1778-4C2A-AEF7-FE6679F41E70}"/>
    <cellStyle name="60% - Accent3" xfId="264" xr:uid="{A85A1A13-9C02-4BBC-B2BE-3BB771EF3715}"/>
    <cellStyle name="60% - Accent3 10" xfId="265" xr:uid="{25E4BF5B-DDB8-4A6D-A6B6-D4438B9DD955}"/>
    <cellStyle name="60% - Accent3 10 2" xfId="1061" xr:uid="{493D36F6-4B33-4DAF-918D-EA1733698833}"/>
    <cellStyle name="60% - Accent3 2" xfId="266" xr:uid="{EFB1B99E-7251-485B-8ADF-3C0A1635126B}"/>
    <cellStyle name="60% - Accent3 2 2" xfId="1062" xr:uid="{A0453395-2F08-4B67-A5AB-EA2A3EAFAF10}"/>
    <cellStyle name="60% - Accent3 3" xfId="267" xr:uid="{8C502BD1-1D35-4DC9-8262-A7FF9BDF4DB6}"/>
    <cellStyle name="60% - Accent3 3 2" xfId="1063" xr:uid="{3213BA57-7254-4B02-98D5-4AC4931B1293}"/>
    <cellStyle name="60% - Accent3 4" xfId="268" xr:uid="{834EA944-B01B-419F-8AC4-E4B29754258B}"/>
    <cellStyle name="60% - Accent3 4 2" xfId="1064" xr:uid="{92B66B4D-0F13-41A1-ACBD-340CDC01C7EB}"/>
    <cellStyle name="60% - Accent3 5" xfId="269" xr:uid="{24B32919-55FF-432A-A6FB-51534773BE40}"/>
    <cellStyle name="60% - Accent3 5 2" xfId="1065" xr:uid="{59739243-0E6E-4321-AC73-AECF2F166047}"/>
    <cellStyle name="60% - Accent3 6" xfId="270" xr:uid="{89673D7F-9524-4D39-AA89-06A6834D57BD}"/>
    <cellStyle name="60% - Accent3 6 2" xfId="1066" xr:uid="{8745731F-8A8F-4E08-98AE-EC321ABA4A5B}"/>
    <cellStyle name="60% - Accent3 7" xfId="271" xr:uid="{4B77CE2C-7F99-4182-AE35-B6FE14356CD6}"/>
    <cellStyle name="60% - Accent3 7 2" xfId="1067" xr:uid="{3058A63A-E8B9-4343-A417-E4471C09849C}"/>
    <cellStyle name="60% - Accent3 8" xfId="272" xr:uid="{35A497E7-F01E-4D07-8F22-86E7DC25B8B8}"/>
    <cellStyle name="60% - Accent3 8 2" xfId="1068" xr:uid="{52BD61FE-B9E2-4F4E-B96C-FEAD8C95ACBE}"/>
    <cellStyle name="60% - Accent3 9" xfId="273" xr:uid="{D9BDA0DA-9A35-4887-9171-257BFC2C0754}"/>
    <cellStyle name="60% - Accent3 9 2" xfId="1069" xr:uid="{6838C712-46A3-40B5-806F-EACDAD020FE5}"/>
    <cellStyle name="60% - Accent4" xfId="274" xr:uid="{AFB862B2-EB1E-488E-A51A-45C97A25EE36}"/>
    <cellStyle name="60% - Accent4 10" xfId="275" xr:uid="{C2CEAA1C-9B13-4866-869D-83E540BC0E42}"/>
    <cellStyle name="60% - Accent4 10 2" xfId="1070" xr:uid="{A158D7FF-7EB6-45E2-B1C6-7A360CEB7210}"/>
    <cellStyle name="60% - Accent4 2" xfId="276" xr:uid="{CFE99289-2401-4AD5-9847-E9CFB483FBEC}"/>
    <cellStyle name="60% - Accent4 2 2" xfId="1071" xr:uid="{90D1AC9C-AFDC-40CD-ADEB-C953195A387B}"/>
    <cellStyle name="60% - Accent4 3" xfId="277" xr:uid="{C73F5802-7046-4357-AE87-A441229BE1BF}"/>
    <cellStyle name="60% - Accent4 3 2" xfId="1072" xr:uid="{FD5F5FB4-3A88-4CF3-AAEA-F1DB6FF72959}"/>
    <cellStyle name="60% - Accent4 4" xfId="278" xr:uid="{5844BD87-1AB6-4769-B31A-B7B9AD4690A2}"/>
    <cellStyle name="60% - Accent4 4 2" xfId="1073" xr:uid="{146276B4-1158-45F0-92F0-5A71A8D34320}"/>
    <cellStyle name="60% - Accent4 5" xfId="279" xr:uid="{F6FBFDEA-0BDC-4F09-85E3-2B010444D312}"/>
    <cellStyle name="60% - Accent4 5 2" xfId="1074" xr:uid="{F331CE8A-B8A8-4E71-A71A-65C8A1C95180}"/>
    <cellStyle name="60% - Accent4 6" xfId="280" xr:uid="{114392D1-5371-45D2-8EF8-55023FDD481F}"/>
    <cellStyle name="60% - Accent4 6 2" xfId="1075" xr:uid="{7E98143D-52BD-4BA1-8C45-13272D284C7D}"/>
    <cellStyle name="60% - Accent4 7" xfId="281" xr:uid="{9FF02FCF-B402-4DA9-9317-301E5340BFCB}"/>
    <cellStyle name="60% - Accent4 7 2" xfId="1076" xr:uid="{E075D40D-F3ED-4088-9AAD-6BDFA9FE67DB}"/>
    <cellStyle name="60% - Accent4 8" xfId="282" xr:uid="{98A67C83-0BCA-4F7D-B037-4840A29D8B4B}"/>
    <cellStyle name="60% - Accent4 8 2" xfId="1077" xr:uid="{65AED50A-6049-4B1F-BDDA-AACAC0ADB7BC}"/>
    <cellStyle name="60% - Accent4 9" xfId="283" xr:uid="{0970506E-DD5E-437E-8811-78873B2EE813}"/>
    <cellStyle name="60% - Accent4 9 2" xfId="1078" xr:uid="{D5EF9E00-CA0A-4D41-B610-F1BE993B13E9}"/>
    <cellStyle name="60% - Accent5" xfId="284" xr:uid="{D305FA03-F6A2-4C82-A522-C589BBD1AAEE}"/>
    <cellStyle name="60% - Accent5 10" xfId="285" xr:uid="{3D9DC8E9-A134-4567-A1CF-E5428056071B}"/>
    <cellStyle name="60% - Accent5 10 2" xfId="1079" xr:uid="{8CCDB2EE-5439-4BC7-B9AB-B80529BC903C}"/>
    <cellStyle name="60% - Accent5 2" xfId="286" xr:uid="{0FC29D05-B0B1-473E-B581-24AF6A34359B}"/>
    <cellStyle name="60% - Accent5 2 2" xfId="1080" xr:uid="{2D37E55C-0B9C-4FD7-A5D3-B064A2213845}"/>
    <cellStyle name="60% - Accent5 3" xfId="287" xr:uid="{D7A3E73C-AEDB-4906-9F2D-867E5FB0A774}"/>
    <cellStyle name="60% - Accent5 3 2" xfId="1081" xr:uid="{08BEDA49-4199-49B8-9D9C-498D5583AD90}"/>
    <cellStyle name="60% - Accent5 4" xfId="288" xr:uid="{E91D81C6-0833-4611-B297-89E5848E0D18}"/>
    <cellStyle name="60% - Accent5 4 2" xfId="1082" xr:uid="{50F31C30-E0CD-4EEF-B469-1B48065D878A}"/>
    <cellStyle name="60% - Accent5 5" xfId="289" xr:uid="{0793B7C7-90E4-499F-A29E-6384BBA6F92E}"/>
    <cellStyle name="60% - Accent5 5 2" xfId="1083" xr:uid="{D737248A-160B-4C0A-A292-F72AE7C22E74}"/>
    <cellStyle name="60% - Accent5 6" xfId="290" xr:uid="{651A2268-70AB-47B7-B223-DDABEF778DFC}"/>
    <cellStyle name="60% - Accent5 6 2" xfId="1084" xr:uid="{EDB01594-D6A7-4EC2-9683-9872D3E33197}"/>
    <cellStyle name="60% - Accent5 7" xfId="291" xr:uid="{09497FF7-F554-4730-BD59-6B53145C3014}"/>
    <cellStyle name="60% - Accent5 7 2" xfId="1085" xr:uid="{4DC380DE-B5BB-4A59-A165-6A2E27A3C440}"/>
    <cellStyle name="60% - Accent5 8" xfId="292" xr:uid="{DCAFC85A-3E6C-410B-8801-FBFEC958E514}"/>
    <cellStyle name="60% - Accent5 8 2" xfId="1086" xr:uid="{4B19D21B-3FF8-4159-B88F-C5BE42BFFEB0}"/>
    <cellStyle name="60% - Accent5 9" xfId="293" xr:uid="{D0DD403D-3EB6-4281-99C6-D9CD095028B8}"/>
    <cellStyle name="60% - Accent5 9 2" xfId="1087" xr:uid="{F3DB7FC9-00A7-43A4-BC39-B99CFB65DEDF}"/>
    <cellStyle name="60% - Accent6" xfId="294" xr:uid="{040AA0F6-79A3-4EFC-94A1-2310475EF73E}"/>
    <cellStyle name="60% - Accent6 10" xfId="295" xr:uid="{1D63A752-4132-43E8-83DD-F45A5571D015}"/>
    <cellStyle name="60% - Accent6 10 2" xfId="1088" xr:uid="{FFD2222C-92A6-426C-BC58-43C6A716B193}"/>
    <cellStyle name="60% - Accent6 2" xfId="296" xr:uid="{A2444FA3-B82D-4AF9-9AA4-B5597C133A4D}"/>
    <cellStyle name="60% - Accent6 2 2" xfId="1089" xr:uid="{4769C145-18C0-4311-BF74-4DEE5A9271DE}"/>
    <cellStyle name="60% - Accent6 3" xfId="297" xr:uid="{D1811253-A6F8-4F52-AFEB-2B0F1A842092}"/>
    <cellStyle name="60% - Accent6 3 2" xfId="1090" xr:uid="{218CD8D7-447B-4FCE-9FA0-99C40F161F72}"/>
    <cellStyle name="60% - Accent6 4" xfId="298" xr:uid="{03C935B3-056F-4954-93AF-C6FD6E9E885D}"/>
    <cellStyle name="60% - Accent6 4 2" xfId="1091" xr:uid="{06A3A055-5293-48A3-9C06-2300A5020F69}"/>
    <cellStyle name="60% - Accent6 5" xfId="299" xr:uid="{38D7D2E5-FAC4-4D8A-A691-74FB9C08389F}"/>
    <cellStyle name="60% - Accent6 5 2" xfId="1092" xr:uid="{37EC1878-CC33-4162-9F59-9FAF7FE9F51E}"/>
    <cellStyle name="60% - Accent6 6" xfId="300" xr:uid="{A995C8B4-BD6A-45D8-A989-A3375FFA8CBD}"/>
    <cellStyle name="60% - Accent6 6 2" xfId="1093" xr:uid="{8D9B2394-7FC7-48EC-8DEA-26D075129B3E}"/>
    <cellStyle name="60% - Accent6 7" xfId="301" xr:uid="{B281C928-0D9E-41E8-A6A4-F8D3AB0F20B1}"/>
    <cellStyle name="60% - Accent6 7 2" xfId="1094" xr:uid="{5E46A8F7-F074-471E-8141-1E17B709F83A}"/>
    <cellStyle name="60% - Accent6 8" xfId="302" xr:uid="{51461110-2C90-44CE-8743-B2F60FEFB9C4}"/>
    <cellStyle name="60% - Accent6 8 2" xfId="1095" xr:uid="{567D3E53-987B-4667-841B-0EB9E90600F1}"/>
    <cellStyle name="60% - Accent6 9" xfId="303" xr:uid="{F49366DC-0D50-4615-9CD1-463198130D6D}"/>
    <cellStyle name="60% - Accent6 9 2" xfId="1096" xr:uid="{9A226F10-6EE0-4751-BD26-66A8F537F030}"/>
    <cellStyle name="60% - Акцент1 2" xfId="304" xr:uid="{4F558218-C2ED-43C6-AE68-66F3C4547C58}"/>
    <cellStyle name="60% - Акцент1 3" xfId="1097" xr:uid="{0D4B6FBC-0811-498D-B04D-BB3160C3A3E8}"/>
    <cellStyle name="60% - Акцент1 4" xfId="1098" xr:uid="{F269D852-D39B-496B-9EB3-3F8372FFBD16}"/>
    <cellStyle name="60% - Акцент2 2" xfId="305" xr:uid="{C9AB61A0-BBE3-4EF2-A21E-4450D55DD1F2}"/>
    <cellStyle name="60% - Акцент2 3" xfId="1099" xr:uid="{E107F6AA-933F-48F4-B5E9-F8BA18D871AA}"/>
    <cellStyle name="60% - Акцент2 4" xfId="1100" xr:uid="{47DD64D9-BF35-4BDB-BC15-D8E3B6087840}"/>
    <cellStyle name="60% - Акцент3 2" xfId="306" xr:uid="{4288F0E1-315F-4FD2-AF20-18327A5092BA}"/>
    <cellStyle name="60% - Акцент3 3" xfId="307" xr:uid="{9CB0FA19-5FD7-48F1-BE98-65423E5504A0}"/>
    <cellStyle name="60% - Акцент3 4" xfId="1101" xr:uid="{FFDBBF9E-716B-4C9F-8966-50A8D77B2C8E}"/>
    <cellStyle name="60% - Акцент4 2" xfId="308" xr:uid="{EC0C698D-914D-49AE-8297-96EA01248DD7}"/>
    <cellStyle name="60% - Акцент4 3" xfId="309" xr:uid="{3AFA266B-3634-4254-9F2B-B9A559B4545B}"/>
    <cellStyle name="60% - Акцент4 4" xfId="1102" xr:uid="{344CE29C-81B4-4D97-B8FC-979331136FA1}"/>
    <cellStyle name="60% - Акцент5 2" xfId="310" xr:uid="{C826CBAE-CE29-4992-8B24-6A8B548681F9}"/>
    <cellStyle name="60% - Акцент5 3" xfId="1103" xr:uid="{367AC70B-CE2B-4A12-8497-663462406AF1}"/>
    <cellStyle name="60% - Акцент5 4" xfId="1104" xr:uid="{1C0C1A50-2FCF-4B21-A41A-A6C5942CE6A8}"/>
    <cellStyle name="60% - Акцент6 2" xfId="311" xr:uid="{F1C7A5C7-81AF-4946-8463-3B8646BC75B8}"/>
    <cellStyle name="60% - Акцент6 3" xfId="312" xr:uid="{6468393F-4609-4CFD-BDE8-A7E0ED91ADAE}"/>
    <cellStyle name="60% - Акцент6 4" xfId="1105" xr:uid="{53FF739A-0118-41BE-897D-C53E64806C93}"/>
    <cellStyle name="60% – Акцентування1" xfId="313" xr:uid="{47601EE7-ED22-49F9-AC35-FCDAE524AE6D}"/>
    <cellStyle name="60% – Акцентування1 2" xfId="1106" xr:uid="{935D35C2-B6AF-428E-9384-7D359E8735CB}"/>
    <cellStyle name="60% – Акцентування2" xfId="314" xr:uid="{5DA643FA-DFA4-4CEE-BA69-29ABDBC5B60E}"/>
    <cellStyle name="60% – Акцентування2 2" xfId="1107" xr:uid="{A1F39F06-1816-46AE-B382-3FF0AFD22902}"/>
    <cellStyle name="60% – Акцентування3" xfId="315" xr:uid="{B8DEE7C6-B389-4E3C-B9FC-7E624B0E53E6}"/>
    <cellStyle name="60% – Акцентування3 2" xfId="1108" xr:uid="{AE5350B7-DDED-46A9-832A-697FF168977A}"/>
    <cellStyle name="60% – Акцентування4" xfId="316" xr:uid="{767AC2EC-3C05-46A0-9361-DEE6D1CCE4A0}"/>
    <cellStyle name="60% – Акцентування4 2" xfId="1109" xr:uid="{DD673C8B-8837-46F4-A72F-59CDF2AAFF11}"/>
    <cellStyle name="60% – Акцентування5" xfId="317" xr:uid="{ABB8B053-6CC0-4AC0-8C25-24761BD15E87}"/>
    <cellStyle name="60% – Акцентування5 2" xfId="1110" xr:uid="{9551FD1C-37EC-4A5D-A87E-CCCFAE2426FE}"/>
    <cellStyle name="60% – Акцентування6" xfId="318" xr:uid="{FB0CD0BC-D697-4F18-996B-17C550586CA3}"/>
    <cellStyle name="60% – Акцентування6 2" xfId="1111" xr:uid="{C1B25B15-EDD6-4038-B148-C1484DA8D245}"/>
    <cellStyle name="Accent1" xfId="319" xr:uid="{D63BB0AE-3F8F-4D74-BC08-E21AB88C4BDC}"/>
    <cellStyle name="Accent1 10" xfId="320" xr:uid="{BAC09E85-A777-4484-A5B6-3473E161E776}"/>
    <cellStyle name="Accent1 10 2" xfId="1112" xr:uid="{8A0246FF-25F2-4344-BB14-3DE1C94B7786}"/>
    <cellStyle name="Accent1 2" xfId="321" xr:uid="{9BE0BBC7-5C7E-4B3E-A94B-6FE39585CE42}"/>
    <cellStyle name="Accent1 2 2" xfId="1113" xr:uid="{8851A640-0920-4A1D-A8B4-5780DBD3F859}"/>
    <cellStyle name="Accent1 3" xfId="322" xr:uid="{F87259A0-8782-4147-AEEB-5169086D2833}"/>
    <cellStyle name="Accent1 3 2" xfId="1114" xr:uid="{9CEBC6B5-39F6-4F3C-B50B-01BF0699DBDB}"/>
    <cellStyle name="Accent1 4" xfId="323" xr:uid="{B1C43CFD-1517-4B16-A4F5-A734EDE3F598}"/>
    <cellStyle name="Accent1 4 2" xfId="1115" xr:uid="{3F301968-ECD8-45D7-BCBE-434413B57206}"/>
    <cellStyle name="Accent1 5" xfId="324" xr:uid="{C1A2BED2-C3EC-46C2-8AB6-6AFB63D708DC}"/>
    <cellStyle name="Accent1 5 2" xfId="1116" xr:uid="{273D7712-E661-4894-AC96-91BA3E7C8160}"/>
    <cellStyle name="Accent1 6" xfId="325" xr:uid="{41C25DDC-5E55-44E0-83C7-B33D15E33343}"/>
    <cellStyle name="Accent1 6 2" xfId="1117" xr:uid="{EACE0866-CE11-4484-937C-824F3E8717B6}"/>
    <cellStyle name="Accent1 7" xfId="326" xr:uid="{D96711A3-ABDE-4363-A7EE-0A2756ED82DE}"/>
    <cellStyle name="Accent1 7 2" xfId="1118" xr:uid="{5D928898-29E2-4254-B2D4-26528ECEF644}"/>
    <cellStyle name="Accent1 8" xfId="327" xr:uid="{A00EA1ED-D767-45CB-A01A-7443F2293DD6}"/>
    <cellStyle name="Accent1 8 2" xfId="1119" xr:uid="{AAEC510D-6755-4A6D-9BD0-93BE92B95C70}"/>
    <cellStyle name="Accent1 9" xfId="328" xr:uid="{EA3F4B2B-27C1-4C37-AF5C-CE317AECF2C5}"/>
    <cellStyle name="Accent1 9 2" xfId="1120" xr:uid="{39FD8021-C735-42F7-AC4D-8140B1D5A2B8}"/>
    <cellStyle name="Accent2" xfId="329" xr:uid="{4B09942C-41C7-4D0E-9C15-5C911EC71DF8}"/>
    <cellStyle name="Accent2 10" xfId="330" xr:uid="{34E41605-D4BE-47C3-A203-F7307C4B556D}"/>
    <cellStyle name="Accent2 10 2" xfId="1121" xr:uid="{80DD103F-CDD8-4724-AC2F-0796821E4FB5}"/>
    <cellStyle name="Accent2 2" xfId="331" xr:uid="{D89A7A33-0388-4842-94F9-03A2066840DD}"/>
    <cellStyle name="Accent2 2 2" xfId="1122" xr:uid="{11A12B7B-C2CA-417C-8950-85F5AAA1DDA2}"/>
    <cellStyle name="Accent2 3" xfId="332" xr:uid="{E7E0D2F4-964C-41A5-BA65-DA6DCE7AB4C4}"/>
    <cellStyle name="Accent2 3 2" xfId="1123" xr:uid="{6D0C22C8-C942-48E2-9E64-BAF1F549FB4B}"/>
    <cellStyle name="Accent2 4" xfId="333" xr:uid="{6EA55152-DBF3-4163-AD2A-5364D299C04E}"/>
    <cellStyle name="Accent2 4 2" xfId="1124" xr:uid="{8E3A4B31-A2BC-40B5-AEAA-B50AC7AA0475}"/>
    <cellStyle name="Accent2 5" xfId="334" xr:uid="{3D3CE252-15E5-4C00-936F-45F025879C41}"/>
    <cellStyle name="Accent2 5 2" xfId="1125" xr:uid="{835E43F5-338C-4830-8529-80A6C43AFE5F}"/>
    <cellStyle name="Accent2 6" xfId="335" xr:uid="{5FF453FF-4ACB-40DB-99B8-09451FF19AB2}"/>
    <cellStyle name="Accent2 6 2" xfId="1126" xr:uid="{C34D08CB-5FC3-4ADE-968C-3F700E1DA88A}"/>
    <cellStyle name="Accent2 7" xfId="336" xr:uid="{D4760E6D-D81F-45AE-B087-BD1A4D531AB2}"/>
    <cellStyle name="Accent2 7 2" xfId="1127" xr:uid="{17F180CC-6408-484A-8317-5E75179959EF}"/>
    <cellStyle name="Accent2 8" xfId="337" xr:uid="{2CF0075C-B2A2-4CD3-A64D-84169280E2ED}"/>
    <cellStyle name="Accent2 8 2" xfId="1128" xr:uid="{89BAD204-6557-4D36-BA59-0FD901319FEC}"/>
    <cellStyle name="Accent2 9" xfId="338" xr:uid="{B9E9AF36-86BE-4F30-9651-BE7B8ABC9214}"/>
    <cellStyle name="Accent2 9 2" xfId="1129" xr:uid="{F56499E4-F5B9-4281-82EE-9833172A5535}"/>
    <cellStyle name="Accent3" xfId="339" xr:uid="{F78FF842-961A-4473-8449-B8B04EB7CD26}"/>
    <cellStyle name="Accent3 10" xfId="340" xr:uid="{17A83E28-AE0A-424B-9A38-8B3473E42DCE}"/>
    <cellStyle name="Accent3 10 2" xfId="1130" xr:uid="{E197FC80-B4EF-4991-B1EA-1F76345274CC}"/>
    <cellStyle name="Accent3 2" xfId="341" xr:uid="{D7FA15EA-C127-40D1-94D1-AFB9217462D8}"/>
    <cellStyle name="Accent3 2 2" xfId="1131" xr:uid="{3539D1F3-B066-4041-9F2C-95DDA15A63C5}"/>
    <cellStyle name="Accent3 3" xfId="342" xr:uid="{D307D10A-257D-4D69-B3FC-D2F438178A27}"/>
    <cellStyle name="Accent3 3 2" xfId="1132" xr:uid="{1790909E-D01F-4B94-8B66-E870B8A3F9B5}"/>
    <cellStyle name="Accent3 4" xfId="343" xr:uid="{B338129E-6CDD-41D5-B3D1-700086EFD3EC}"/>
    <cellStyle name="Accent3 4 2" xfId="1133" xr:uid="{8D667E86-121D-40BB-ADAA-A675A3021150}"/>
    <cellStyle name="Accent3 5" xfId="344" xr:uid="{799E8073-EE2D-4FD2-8206-C60A52E91BAB}"/>
    <cellStyle name="Accent3 5 2" xfId="1134" xr:uid="{95A1FE04-711D-410D-A563-59808F5F4031}"/>
    <cellStyle name="Accent3 6" xfId="345" xr:uid="{D4C6FFA5-3EDB-418C-8809-C7F1C420195E}"/>
    <cellStyle name="Accent3 6 2" xfId="1135" xr:uid="{62B1477D-B646-4934-8466-7EF663BBFC64}"/>
    <cellStyle name="Accent3 7" xfId="346" xr:uid="{3B16B157-1D1A-425C-B11D-19C011EDD054}"/>
    <cellStyle name="Accent3 7 2" xfId="1136" xr:uid="{D7AA1791-0A16-4FBC-922D-1D94C6A41EEF}"/>
    <cellStyle name="Accent3 8" xfId="347" xr:uid="{8922575F-2AAA-432C-89EF-25D56E336752}"/>
    <cellStyle name="Accent3 8 2" xfId="1137" xr:uid="{48717EA1-8303-4D22-B631-F1FD34B78A7D}"/>
    <cellStyle name="Accent3 9" xfId="348" xr:uid="{C37300D1-B2D5-435C-B71A-F3D3578D7438}"/>
    <cellStyle name="Accent3 9 2" xfId="1138" xr:uid="{B78484BC-8255-4D84-B39E-E06E27D28284}"/>
    <cellStyle name="Accent4" xfId="349" xr:uid="{1869BAF9-3B9C-4995-82AC-72E0C842E76B}"/>
    <cellStyle name="Accent4 10" xfId="350" xr:uid="{BCBDE01E-AF8D-4BB2-A8C9-2D779A70F0C5}"/>
    <cellStyle name="Accent4 10 2" xfId="1139" xr:uid="{0BBF6EF3-78C6-4F35-96B5-CBE3FEEA161F}"/>
    <cellStyle name="Accent4 2" xfId="351" xr:uid="{5E27EDA8-130F-4710-B97C-75AC67AEAEEB}"/>
    <cellStyle name="Accent4 2 2" xfId="1140" xr:uid="{D66B64CE-3DA8-4BAD-BC96-2973BECFB903}"/>
    <cellStyle name="Accent4 3" xfId="352" xr:uid="{DB157CC6-63B0-4165-B94E-1085B81966B7}"/>
    <cellStyle name="Accent4 3 2" xfId="1141" xr:uid="{4028FAFE-5C74-498D-A8CA-9CA3915CD475}"/>
    <cellStyle name="Accent4 4" xfId="353" xr:uid="{0C008A9A-F4A1-4DF1-9B7A-5529F2F9CC37}"/>
    <cellStyle name="Accent4 4 2" xfId="1142" xr:uid="{45D4BCB6-65EC-4905-921B-6FA43EF62405}"/>
    <cellStyle name="Accent4 5" xfId="354" xr:uid="{EE5A4C5A-3084-4B43-993C-3DB46FCE12BE}"/>
    <cellStyle name="Accent4 5 2" xfId="1143" xr:uid="{152BDB8C-39F7-4BD2-B794-6A5F710ED065}"/>
    <cellStyle name="Accent4 6" xfId="355" xr:uid="{25ECB8A7-E50E-42F4-B9CA-569221BCAF92}"/>
    <cellStyle name="Accent4 6 2" xfId="1144" xr:uid="{C078C43C-44BF-4543-805B-567343E960D0}"/>
    <cellStyle name="Accent4 7" xfId="356" xr:uid="{0F942F8A-2D97-430F-BBBB-531570B82FB4}"/>
    <cellStyle name="Accent4 7 2" xfId="1145" xr:uid="{6680973A-CC50-4396-96BE-54F57EE882D0}"/>
    <cellStyle name="Accent4 8" xfId="357" xr:uid="{A209711D-C204-4E3E-89A6-098D23D37D49}"/>
    <cellStyle name="Accent4 8 2" xfId="1146" xr:uid="{C247D648-3EAC-457F-9A9D-A1C90D044301}"/>
    <cellStyle name="Accent4 9" xfId="358" xr:uid="{B24F9A57-E8E8-405C-B870-7993E43456D2}"/>
    <cellStyle name="Accent4 9 2" xfId="1147" xr:uid="{361871E3-EEA9-4842-A3DD-2B8AED3DB2E4}"/>
    <cellStyle name="Accent5" xfId="359" xr:uid="{BFD321B3-AD61-4EED-AB5C-BCFCD273025D}"/>
    <cellStyle name="Accent5 10" xfId="360" xr:uid="{B0D003E9-DE7C-48FE-B85B-CCFC10AA4D43}"/>
    <cellStyle name="Accent5 10 2" xfId="1148" xr:uid="{364A6FCE-27AC-4904-A007-0030ED751B00}"/>
    <cellStyle name="Accent5 2" xfId="361" xr:uid="{A379FD01-3256-4AB3-8F67-166B9E43B3CA}"/>
    <cellStyle name="Accent5 2 2" xfId="1149" xr:uid="{A8EFA2F8-8DCC-427F-9BC1-EA6AFE0401DC}"/>
    <cellStyle name="Accent5 3" xfId="362" xr:uid="{F7CBC23D-2127-46A1-8AC5-A77074889BA2}"/>
    <cellStyle name="Accent5 3 2" xfId="1150" xr:uid="{E51E9548-B10F-4C64-8F42-7DC2F58C0AC8}"/>
    <cellStyle name="Accent5 4" xfId="363" xr:uid="{FBBF1D03-E43E-4E60-96DC-D734C937D94B}"/>
    <cellStyle name="Accent5 4 2" xfId="1151" xr:uid="{7D317E50-D758-4DB9-A62D-0D5648E96017}"/>
    <cellStyle name="Accent5 5" xfId="364" xr:uid="{090E09BE-E543-4119-A8CF-D996E3F91B59}"/>
    <cellStyle name="Accent5 5 2" xfId="1152" xr:uid="{B3A5C15D-FDE7-4167-BD57-07AA6D949815}"/>
    <cellStyle name="Accent5 6" xfId="365" xr:uid="{5798399A-3652-4610-BCBD-5D8893327EEC}"/>
    <cellStyle name="Accent5 6 2" xfId="1153" xr:uid="{D11A81AD-0BE9-4EC9-8E78-9A121C8FBE69}"/>
    <cellStyle name="Accent5 7" xfId="366" xr:uid="{B8F362A0-A5F6-4BA0-A8F0-FAD95B20431A}"/>
    <cellStyle name="Accent5 7 2" xfId="1154" xr:uid="{C0B9E687-89CB-4ED1-A93D-D2C5067FEC11}"/>
    <cellStyle name="Accent5 8" xfId="367" xr:uid="{1AEDEA4C-4619-4C3E-A80C-D9C59DAE7790}"/>
    <cellStyle name="Accent5 8 2" xfId="1155" xr:uid="{27921998-F198-457F-A673-254E0EBC5639}"/>
    <cellStyle name="Accent5 9" xfId="368" xr:uid="{6D693D07-47B9-422B-ADD5-374FCB4C0867}"/>
    <cellStyle name="Accent5 9 2" xfId="1156" xr:uid="{9C043BF3-C27F-4E23-84B7-D4CFEB6A46CC}"/>
    <cellStyle name="Accent6" xfId="369" xr:uid="{56A6B319-BC94-40AA-83FC-6A156E50A271}"/>
    <cellStyle name="Accent6 10" xfId="370" xr:uid="{7213CF78-7610-4080-BA72-C878EB8F4692}"/>
    <cellStyle name="Accent6 10 2" xfId="1157" xr:uid="{6EECC28A-39FF-49BA-90D3-3311A742AC90}"/>
    <cellStyle name="Accent6 2" xfId="371" xr:uid="{2F7CCE7E-745A-49C7-A419-BC6826313C7B}"/>
    <cellStyle name="Accent6 2 2" xfId="1158" xr:uid="{C5FF30EB-5BE2-44EE-872B-B20EDA7430F4}"/>
    <cellStyle name="Accent6 3" xfId="372" xr:uid="{F1D4ABBA-9CE9-46FD-8B55-3FCFDC4F5DE8}"/>
    <cellStyle name="Accent6 3 2" xfId="1159" xr:uid="{87061DD3-B607-4C07-B87D-3BEDAA820CCD}"/>
    <cellStyle name="Accent6 4" xfId="373" xr:uid="{A3B7D9F8-1B63-404B-9AE5-88CDD456468B}"/>
    <cellStyle name="Accent6 4 2" xfId="1160" xr:uid="{1CC50EF0-21F8-4736-A987-D325E3CE4221}"/>
    <cellStyle name="Accent6 5" xfId="374" xr:uid="{F6D05514-C322-4B12-8EA8-8DE02FF2A348}"/>
    <cellStyle name="Accent6 5 2" xfId="1161" xr:uid="{B498C1D9-FA7C-48E3-A03E-6DF1169AB43B}"/>
    <cellStyle name="Accent6 6" xfId="375" xr:uid="{8B15D658-7BF2-45C9-965E-8AAE9A932C04}"/>
    <cellStyle name="Accent6 6 2" xfId="1162" xr:uid="{EBB4A025-2EDC-446B-BC0F-481F8CD7EDB4}"/>
    <cellStyle name="Accent6 7" xfId="376" xr:uid="{1650A3C3-AF17-4235-B54E-4C86FDA90F14}"/>
    <cellStyle name="Accent6 7 2" xfId="1163" xr:uid="{E2DAE3ED-79E2-4D0D-BF0B-5AD7C57336EC}"/>
    <cellStyle name="Accent6 8" xfId="377" xr:uid="{2DE7DA52-D34F-47F9-AA3B-7D999FC30F4D}"/>
    <cellStyle name="Accent6 8 2" xfId="1164" xr:uid="{9139CD3E-D5B5-4F3C-B0E7-ED12DE7C2B8A}"/>
    <cellStyle name="Accent6 9" xfId="378" xr:uid="{FAE37F7F-6866-443C-BFD1-C9F4053E6B4A}"/>
    <cellStyle name="Accent6 9 2" xfId="1165" xr:uid="{DAE1D812-1645-4D01-B0F4-64A8C1AE51C9}"/>
    <cellStyle name="Aeia?nnueea" xfId="379" xr:uid="{D7E3AAF3-0BFC-40AD-B3AA-9A13EA8D839A}"/>
    <cellStyle name="Aeia?nnueea 2" xfId="1166" xr:uid="{880A6836-37E7-40D3-8B9A-672ADA63F149}"/>
    <cellStyle name="Ãèïåðññûëêà" xfId="380" xr:uid="{2E276DDE-1973-4B21-A696-76B767F2BBE9}"/>
    <cellStyle name="Ãèïåðññûëêà 2" xfId="1167" xr:uid="{B5C911BA-2D81-44AD-BF13-BED5AC264560}"/>
    <cellStyle name="Array" xfId="381" xr:uid="{58B85787-70B7-4BDE-ABA9-5A32A4D93AEE}"/>
    <cellStyle name="Array Enter" xfId="382" xr:uid="{4326AA3F-8011-4940-B0B8-A0B9FC8F5A26}"/>
    <cellStyle name="Array_Book2" xfId="383" xr:uid="{6655CD59-951C-433C-B86F-6CD751462F9A}"/>
    <cellStyle name="Bad" xfId="384" xr:uid="{648A7129-0B4A-4E25-B014-57B1FFFF0C8D}"/>
    <cellStyle name="Bad 10" xfId="385" xr:uid="{4B593471-0989-4A77-A75C-807FD2CD63D2}"/>
    <cellStyle name="Bad 10 2" xfId="1168" xr:uid="{0E1E4321-0470-4B58-975E-91061BA79C3A}"/>
    <cellStyle name="Bad 2" xfId="386" xr:uid="{B04F57A6-F2B5-4934-950C-9BB893934BAF}"/>
    <cellStyle name="Bad 2 2" xfId="1169" xr:uid="{A87823D8-E00E-4C52-ABDE-897DECBFEF81}"/>
    <cellStyle name="Bad 3" xfId="387" xr:uid="{61975F7F-C50C-45A7-9049-1E040BC3CE0B}"/>
    <cellStyle name="Bad 3 2" xfId="1170" xr:uid="{79CBCCA1-A834-4408-9F25-6538AD15B24B}"/>
    <cellStyle name="Bad 4" xfId="388" xr:uid="{F1FC6AE7-FD60-473E-A9A6-1EE8BD599BC8}"/>
    <cellStyle name="Bad 4 2" xfId="1171" xr:uid="{C04C9773-09BA-4222-B62F-14835751B57A}"/>
    <cellStyle name="Bad 5" xfId="389" xr:uid="{F2B998A9-53BE-4FD3-A9B9-69AF3F896286}"/>
    <cellStyle name="Bad 5 2" xfId="1172" xr:uid="{3C05C28E-77F2-476A-9215-3EEBBCF2A5B9}"/>
    <cellStyle name="Bad 6" xfId="390" xr:uid="{3F3E45E5-8C6B-4203-BA93-CEDC7A3CD5D7}"/>
    <cellStyle name="Bad 6 2" xfId="1173" xr:uid="{12B8C66E-CD16-4FAD-99EB-B66F71846CC5}"/>
    <cellStyle name="Bad 7" xfId="391" xr:uid="{4EF13D8F-006B-4553-8B56-D860599925B2}"/>
    <cellStyle name="Bad 7 2" xfId="1174" xr:uid="{9B21B113-65FA-499E-9643-1DF6BFDF9E0F}"/>
    <cellStyle name="Bad 8" xfId="392" xr:uid="{0B4EB31C-B696-4A64-BDF1-248965936D9A}"/>
    <cellStyle name="Bad 8 2" xfId="1175" xr:uid="{23D61AC8-0BCB-4C92-9FC8-59AD7BF6FDE9}"/>
    <cellStyle name="Bad 9" xfId="393" xr:uid="{F00136C2-F108-46C2-B64A-AA83CDE0F5D8}"/>
    <cellStyle name="Bad 9 2" xfId="1176" xr:uid="{8E44A9E2-5C35-4DC9-9440-28A1EB57CDF0}"/>
    <cellStyle name="Cabe‡alho 1" xfId="1177" xr:uid="{83E965B6-9D21-4A79-999C-34F44EFF667C}"/>
    <cellStyle name="Cabe‡alho 2" xfId="1178" xr:uid="{C6BB3A25-15EA-4C8D-A49B-641931BC61F7}"/>
    <cellStyle name="Cabecera 1" xfId="1179" xr:uid="{8F11F992-9524-407F-828C-848FBF1ACC5F}"/>
    <cellStyle name="Cabecera 2" xfId="1180" xr:uid="{8B17BD1B-62B4-4995-895D-C17847B31D0E}"/>
    <cellStyle name="Calculation" xfId="394" xr:uid="{27442427-7AFB-45AC-846F-619565BB3D18}"/>
    <cellStyle name="Calculation 10" xfId="395" xr:uid="{3E2986A6-1FE7-4BB9-B112-AF9B1E8913A6}"/>
    <cellStyle name="Calculation 10 2" xfId="1181" xr:uid="{C084851C-FD78-4A1C-9B8E-7E093FCA1C3D}"/>
    <cellStyle name="Calculation 2" xfId="396" xr:uid="{3DB7D39A-76D1-40C3-A2A6-21E83711B932}"/>
    <cellStyle name="Calculation 2 2" xfId="1182" xr:uid="{711ADC5D-F924-470F-A5A9-0977B3A6B9B0}"/>
    <cellStyle name="Calculation 3" xfId="397" xr:uid="{6E97BAA9-039D-4528-BE5C-F8EFD0B9F7AC}"/>
    <cellStyle name="Calculation 3 2" xfId="1183" xr:uid="{6D7CDBA9-E218-4007-B016-5B1F178A0FA3}"/>
    <cellStyle name="Calculation 4" xfId="398" xr:uid="{05B4C26E-6D51-43BC-8981-C22B97CFF2E1}"/>
    <cellStyle name="Calculation 4 2" xfId="1184" xr:uid="{9DC53066-03D9-4663-AF81-2BDE8125D508}"/>
    <cellStyle name="Calculation 5" xfId="399" xr:uid="{0C25B1FC-D5C7-4B5A-B8AD-342D1E11ECFA}"/>
    <cellStyle name="Calculation 5 2" xfId="1185" xr:uid="{E803B469-C4AA-4707-8252-182AE727D607}"/>
    <cellStyle name="Calculation 6" xfId="400" xr:uid="{191A2CC0-BB44-4902-9360-DE49D606E002}"/>
    <cellStyle name="Calculation 6 2" xfId="1186" xr:uid="{03615060-BFFA-4F49-8565-DAFEAEA7822C}"/>
    <cellStyle name="Calculation 7" xfId="401" xr:uid="{2BD6E6D2-0E45-4C46-A0C0-32D268E2A934}"/>
    <cellStyle name="Calculation 7 2" xfId="1187" xr:uid="{933CBC62-7A26-4258-8906-B0E7A0FE39A2}"/>
    <cellStyle name="Calculation 8" xfId="402" xr:uid="{E5C4E41C-2563-4B95-B44E-BFA856192741}"/>
    <cellStyle name="Calculation 8 2" xfId="1188" xr:uid="{3CC55F8D-E440-4388-8DDB-D5F6FD076B4E}"/>
    <cellStyle name="Calculation 9" xfId="403" xr:uid="{6299B134-057C-4C22-85FA-3676AFD046D7}"/>
    <cellStyle name="Calculation 9 2" xfId="1189" xr:uid="{31E57A89-AC05-4DFE-84B9-DD44EE975AB5}"/>
    <cellStyle name="Celkem" xfId="404" xr:uid="{61C32F72-B2F1-476C-9C32-0642362886D3}"/>
    <cellStyle name="Check Cell" xfId="405" xr:uid="{8012FD7E-A4AA-42A6-8070-BEC2FC8C3F1C}"/>
    <cellStyle name="Check Cell 10" xfId="406" xr:uid="{00940435-C73B-46BA-8828-805812840374}"/>
    <cellStyle name="Check Cell 10 2" xfId="1190" xr:uid="{5FA88C44-17F6-4E0A-BF38-9C3129551C58}"/>
    <cellStyle name="Check Cell 2" xfId="407" xr:uid="{09E89AEF-C1D1-4AD3-9C5A-1211D5EA4144}"/>
    <cellStyle name="Check Cell 2 2" xfId="1191" xr:uid="{94631DD4-2A46-4AB2-8E6E-19FECA1CEB58}"/>
    <cellStyle name="Check Cell 3" xfId="408" xr:uid="{CCA6EFE0-C356-4212-A8AB-C06F3DD6EA4D}"/>
    <cellStyle name="Check Cell 3 2" xfId="1192" xr:uid="{8FFC6100-135D-43A5-B7C3-560BB5EBA64B}"/>
    <cellStyle name="Check Cell 4" xfId="409" xr:uid="{51B10DAD-27A9-4D71-9A99-F570D5B3107A}"/>
    <cellStyle name="Check Cell 4 2" xfId="1193" xr:uid="{CEE945F8-8540-490C-BA6D-55B01F139B63}"/>
    <cellStyle name="Check Cell 5" xfId="410" xr:uid="{C0B4D983-D218-4A8B-AB1F-ED03C4938AF6}"/>
    <cellStyle name="Check Cell 5 2" xfId="1194" xr:uid="{56A81CA8-EAA8-40C4-97D1-DEB6F253F60D}"/>
    <cellStyle name="Check Cell 6" xfId="411" xr:uid="{B0AF1356-16DF-44B3-A869-561CF89A6339}"/>
    <cellStyle name="Check Cell 6 2" xfId="1195" xr:uid="{F01A6875-6A7F-4F08-A4D3-65ECA6272DD1}"/>
    <cellStyle name="Check Cell 7" xfId="412" xr:uid="{158B5A7F-837D-428F-89CE-E61E96F79F0C}"/>
    <cellStyle name="Check Cell 7 2" xfId="1196" xr:uid="{597FF68A-63E1-4310-AEB8-175434CC575E}"/>
    <cellStyle name="Check Cell 8" xfId="413" xr:uid="{486C135E-AE55-41BA-AECB-E4466812CEC2}"/>
    <cellStyle name="Check Cell 8 2" xfId="1197" xr:uid="{90B8C9E6-BADC-42BA-9C18-AF33448F324C}"/>
    <cellStyle name="Check Cell 9" xfId="414" xr:uid="{642BD5A4-8B21-4D04-842E-680F9BA7F935}"/>
    <cellStyle name="Check Cell 9 2" xfId="1198" xr:uid="{06B1261B-3860-4477-904B-04B05D3C76FA}"/>
    <cellStyle name="Clive" xfId="1199" xr:uid="{8ACA5067-4861-428F-8814-191CDA403FE5}"/>
    <cellStyle name="clsAltData" xfId="415" xr:uid="{4938F55C-B0D7-406D-98F8-D3C2A3453E94}"/>
    <cellStyle name="clsAltData 2" xfId="1200" xr:uid="{5E628692-6373-4D77-9F55-EDA47656B6DD}"/>
    <cellStyle name="clsAltMRVData" xfId="416" xr:uid="{246EC23E-48A3-468A-BD60-04D2C1C4C672}"/>
    <cellStyle name="clsAltMRVData 2" xfId="1201" xr:uid="{FD55C37B-B2C2-497C-AF0C-DF09F5133FD5}"/>
    <cellStyle name="clsBlank" xfId="417" xr:uid="{7E412F30-7226-4A7B-929E-B0BC590943E3}"/>
    <cellStyle name="clsBlank 2" xfId="1202" xr:uid="{17C7FD2A-96DF-4029-9A4B-D77361BA58ED}"/>
    <cellStyle name="clsColumnHeader" xfId="418" xr:uid="{21A9B812-1E81-4896-B319-3F9EFA3706C7}"/>
    <cellStyle name="clsColumnHeader 2" xfId="1203" xr:uid="{8DFB8DA6-BAA8-4F28-BCF6-2E5BEE00F10D}"/>
    <cellStyle name="clsData" xfId="419" xr:uid="{9F23A4BC-E034-4415-A702-FC6521358A85}"/>
    <cellStyle name="clsData 2" xfId="1204" xr:uid="{420B9C00-4EC9-4FD6-9767-C7596D37652D}"/>
    <cellStyle name="clsDefault" xfId="420" xr:uid="{77B64E0B-540D-4F50-A4A6-BC3228BC558F}"/>
    <cellStyle name="clsDefault 2" xfId="421" xr:uid="{C9BEDE2F-7A35-46EB-9387-0985650F0024}"/>
    <cellStyle name="clsFooter" xfId="422" xr:uid="{382E8E78-AA66-4A66-96E9-0ACAC1EAAAF8}"/>
    <cellStyle name="clsFooter 2" xfId="1205" xr:uid="{A1AF556A-D9F8-46AA-BE08-C980BA0F5B6F}"/>
    <cellStyle name="clsIndexTableData" xfId="423" xr:uid="{D5AA6EB3-4A2E-4C14-A6B2-27A0B1C22325}"/>
    <cellStyle name="clsIndexTableData 2" xfId="1206" xr:uid="{ABCCC79F-56D2-47A6-82C6-B9B252751934}"/>
    <cellStyle name="clsIndexTableHdr" xfId="424" xr:uid="{D9832E5B-4529-4D59-B4BB-F16DB5CD6C2F}"/>
    <cellStyle name="clsIndexTableHdr 2" xfId="1207" xr:uid="{57120D70-37F1-4333-984B-EB451FADABCD}"/>
    <cellStyle name="clsIndexTableTitle" xfId="425" xr:uid="{81456B34-91B8-4A1E-933C-0936D116A95B}"/>
    <cellStyle name="clsIndexTableTitle 2" xfId="1208" xr:uid="{BB07F47F-A90B-487D-8301-BEC650C9495F}"/>
    <cellStyle name="clsMRVData" xfId="426" xr:uid="{ADDCE757-F515-424E-B680-CF995D8B3463}"/>
    <cellStyle name="clsMRVData 2" xfId="1209" xr:uid="{2D9F1AC1-3CE8-48B9-8B16-CD1E42C8F890}"/>
    <cellStyle name="clsReportFooter" xfId="427" xr:uid="{905C11E7-4775-4F98-B3B4-BFA6DCE80340}"/>
    <cellStyle name="clsReportFooter 2" xfId="1210" xr:uid="{6D36584A-8FCF-45DF-BEEB-22060FA2BEBF}"/>
    <cellStyle name="clsReportHeader" xfId="428" xr:uid="{35F8D767-C1D9-4FD2-8EFA-4C17F284CB0B}"/>
    <cellStyle name="clsReportHeader 2" xfId="1211" xr:uid="{99A6CFD1-F4B8-4681-B467-284DB3FEFCAC}"/>
    <cellStyle name="clsRowHeader" xfId="429" xr:uid="{6FDA3C60-8C26-4693-A629-EC608F50CEB3}"/>
    <cellStyle name="clsRowHeader 2" xfId="1212" xr:uid="{69B92A37-FB4F-41F5-9A70-8E4D192E6229}"/>
    <cellStyle name="clsScale" xfId="430" xr:uid="{EEB32A56-B706-4530-9610-87F3CD53C12D}"/>
    <cellStyle name="clsScale 2" xfId="1213" xr:uid="{E44E515E-D02C-4DC6-8F11-4461C7324E31}"/>
    <cellStyle name="clsSection" xfId="431" xr:uid="{66B797B2-8BF3-4197-AB38-9B36BD1996BF}"/>
    <cellStyle name="clsSection 2" xfId="1214" xr:uid="{DA59ECC2-9973-4764-84EC-021EC80FFC01}"/>
    <cellStyle name="Column-Header" xfId="1215" xr:uid="{F0B19B56-9BE2-4193-950E-C519CEE09092}"/>
    <cellStyle name="Column-Header 2" xfId="1216" xr:uid="{0E695255-A4DD-42FF-93A7-D38F97C0CC2D}"/>
    <cellStyle name="Column-Header 3" xfId="1217" xr:uid="{EA7AEF2B-6248-4752-85A4-7AF6484DA9CF}"/>
    <cellStyle name="Column-Header 4" xfId="1218" xr:uid="{5F563C63-B70F-4282-9521-4AF948A8B854}"/>
    <cellStyle name="Column-Header 5" xfId="1219" xr:uid="{D3D8082F-8989-4F88-8BDA-F680D7AA6BB6}"/>
    <cellStyle name="Column-Header 6" xfId="1220" xr:uid="{CF1144AC-E350-4889-BA21-2B4E16385154}"/>
    <cellStyle name="Column-Header 7" xfId="1221" xr:uid="{9F25BB56-460B-4379-87CD-9E9C47DC5E08}"/>
    <cellStyle name="Column-Header 7 2" xfId="1222" xr:uid="{9DE2993F-B805-4AC2-A786-2B035E174247}"/>
    <cellStyle name="Column-Header 8" xfId="1223" xr:uid="{99CB46F2-63D0-411C-AE57-DA23B8E8C739}"/>
    <cellStyle name="Column-Header 8 2" xfId="1224" xr:uid="{605B1404-9417-45AC-B41B-DD5272D8066D}"/>
    <cellStyle name="Column-Header 9" xfId="1225" xr:uid="{93B9E80E-A61E-4BDF-9443-B14FC7228414}"/>
    <cellStyle name="Column-Header 9 2" xfId="1226" xr:uid="{2DC96753-11B9-4196-A8AB-38A0C5316543}"/>
    <cellStyle name="Column-Header_Zvit rux-koshtiv 2010 Департамент " xfId="1227" xr:uid="{C9F1B6BE-3330-4C66-A16D-A383BAE6E4B3}"/>
    <cellStyle name="Comma" xfId="32" xr:uid="{96E5B264-83B5-49AE-95F5-45358CC0F551}"/>
    <cellStyle name="Comma  - Style1" xfId="432" xr:uid="{8C958B1F-B596-4EE2-BD54-F032D1A4B6D5}"/>
    <cellStyle name="Comma  - Style2" xfId="433" xr:uid="{9B202A0C-4110-4864-8F92-83A65A0B12FB}"/>
    <cellStyle name="Comma  - Style3" xfId="434" xr:uid="{4E84C13A-0767-4E05-B975-9B4DF36226DF}"/>
    <cellStyle name="Comma  - Style4" xfId="435" xr:uid="{4AEC4858-098D-4AD1-ABFA-2BFA8B987B50}"/>
    <cellStyle name="Comma  - Style5" xfId="436" xr:uid="{80649627-C6D2-4366-A425-FE2EA83B3A91}"/>
    <cellStyle name="Comma  - Style6" xfId="437" xr:uid="{AC1EEDCF-1A7E-404C-BB6F-64C6D6548E5D}"/>
    <cellStyle name="Comma  - Style7" xfId="438" xr:uid="{02B288B5-99FD-4931-A44B-E9AEEB6AF22C}"/>
    <cellStyle name="Comma  - Style8" xfId="439" xr:uid="{D661E282-B00B-46BC-A2A8-E9AB1D74CFCA}"/>
    <cellStyle name="Comma [0]" xfId="33" xr:uid="{41484C4D-1C49-4655-9C50-D710071907B7}"/>
    <cellStyle name="Comma [0] 2" xfId="440" xr:uid="{9611679A-908D-4DD0-BDEB-42241FE95DDF}"/>
    <cellStyle name="Comma [0] 3" xfId="441" xr:uid="{9982A100-3AF0-4682-A989-026AC3847573}"/>
    <cellStyle name="Comma [0]_AUK2000" xfId="442" xr:uid="{DD63111E-0949-4518-80C8-1BF0A29AE528}"/>
    <cellStyle name="Comma [0]䧟Лист3" xfId="443" xr:uid="{ED85A82A-BB47-4725-986A-18366006932F}"/>
    <cellStyle name="Comma 10" xfId="1228" xr:uid="{883C17E8-8C13-4C0A-B203-0A9614796DC5}"/>
    <cellStyle name="Comma 11" xfId="1229" xr:uid="{9377B9F4-B81C-4028-A747-588C996F1C14}"/>
    <cellStyle name="Comma 12" xfId="1230" xr:uid="{8DCE4F07-408B-43CD-BEF5-4221A471B15C}"/>
    <cellStyle name="Comma 2" xfId="34" xr:uid="{822F1011-7B69-4884-8CFC-B7EDFD028BBE}"/>
    <cellStyle name="Comma 2 2" xfId="1231" xr:uid="{4161559B-ED48-4A6F-8894-FC3A8EB8794E}"/>
    <cellStyle name="Comma 2 3" xfId="1232" xr:uid="{93E18DDC-F83D-4655-A1A6-1DD434BD5267}"/>
    <cellStyle name="Comma 2 4" xfId="444" xr:uid="{C5242E57-C138-4C75-8D79-41FC619EAABD}"/>
    <cellStyle name="Comma 3" xfId="35" xr:uid="{E9B47C67-1250-4BCD-9F1B-190C2A701508}"/>
    <cellStyle name="Comma 3 2" xfId="446" xr:uid="{F899404D-21CD-42B2-A820-69457A2BF0F7}"/>
    <cellStyle name="Comma 3 3" xfId="447" xr:uid="{78A0AB9E-B10D-428A-A82F-86EB80FA464E}"/>
    <cellStyle name="Comma 3 4" xfId="445" xr:uid="{B60377B9-A1A1-4516-B227-1FC78ADAA280}"/>
    <cellStyle name="Comma 4" xfId="36" xr:uid="{461BE8B8-5BA9-4726-A736-6B2EAEC2E40D}"/>
    <cellStyle name="Comma 4 2" xfId="448" xr:uid="{5DFCE735-A4B4-4F32-AC4A-1964351A9DB7}"/>
    <cellStyle name="Comma 5" xfId="1233" xr:uid="{347BE043-4B46-4339-8D03-C1EB4B353365}"/>
    <cellStyle name="Comma 6" xfId="1234" xr:uid="{5837C02A-A8E3-48F2-AC5A-0ACFBCFE3D52}"/>
    <cellStyle name="Comma 7" xfId="1235" xr:uid="{BB41F1DF-B605-4D81-AA3A-0A83EA9712F7}"/>
    <cellStyle name="Comma 8" xfId="1236" xr:uid="{20BB0424-7125-432C-8244-02102EFCA7AD}"/>
    <cellStyle name="Comma 9" xfId="1237" xr:uid="{CC55F5D9-51DA-4436-88AB-2C8287AB6D34}"/>
    <cellStyle name="Comma(3)" xfId="449" xr:uid="{A627D376-77F9-4D0A-8552-1DFCCEED915A}"/>
    <cellStyle name="Comma_AUK2000" xfId="450" xr:uid="{D9293339-1B4D-4518-A453-C27FF7BC5023}"/>
    <cellStyle name="Comma0" xfId="451" xr:uid="{4D2E2C11-41DD-43E4-ACAD-80AADFAE7835}"/>
    <cellStyle name="Comma0 - Style3" xfId="452" xr:uid="{60123254-AB9D-4B01-B80B-61203E560727}"/>
    <cellStyle name="Comma0 2" xfId="1238" xr:uid="{16F26A9B-8C08-43E5-A286-151B8B57C931}"/>
    <cellStyle name="Comma0 3" xfId="1239" xr:uid="{4EDFB753-31E5-4784-8439-5A766ED6AEE4}"/>
    <cellStyle name="Comma0 4" xfId="1240" xr:uid="{ADADA8BE-F271-4ADD-B7B7-3ABC3228A708}"/>
    <cellStyle name="Comma0 5" xfId="1241" xr:uid="{1E5E24A3-5813-4ACC-886D-CE7DE4DCF6ED}"/>
    <cellStyle name="Comma0 6" xfId="1242" xr:uid="{190EE9AB-378B-4C5C-9875-1DF0CB7FF3E9}"/>
    <cellStyle name="Comma0 7" xfId="1243" xr:uid="{5B92B3D5-4B40-4E9D-88DC-49156405ED4B}"/>
    <cellStyle name="Comma0 8" xfId="1244" xr:uid="{6CF6F91F-8068-4B08-9313-47081FD8D16F}"/>
    <cellStyle name="Comma0_BG Money (current)" xfId="453" xr:uid="{ED757436-5362-404E-9DCA-766DD7E2055D}"/>
    <cellStyle name="Curren - Style3" xfId="454" xr:uid="{3EC0AA13-ED0F-4A70-83D9-9F6724EDE2BB}"/>
    <cellStyle name="Curren - Style4" xfId="455" xr:uid="{393455EA-99E4-42E5-B5E3-A094700CC906}"/>
    <cellStyle name="Currency" xfId="37" xr:uid="{46ABC7E7-59D7-4D30-AF13-56C7FC07BF27}"/>
    <cellStyle name="Currency [0]" xfId="38" xr:uid="{C50B347E-4124-42C9-80E2-D7A3C8024999}"/>
    <cellStyle name="Currency 2" xfId="39" xr:uid="{92AA266C-D07A-4D96-80A2-A0F6EB82045A}"/>
    <cellStyle name="Currency 3" xfId="40" xr:uid="{A381A4D6-40F9-45A5-83CA-E26D97E3D8AD}"/>
    <cellStyle name="Currency 4" xfId="41" xr:uid="{8478F45B-171A-44B6-949A-4759D089B3EC}"/>
    <cellStyle name="Currency_AUK2000" xfId="456" xr:uid="{01390776-EB93-48C0-9098-582A165FCF85}"/>
    <cellStyle name="Currency0" xfId="457" xr:uid="{A60A64A4-0FC0-4A04-BA61-2BBF7E8411CA}"/>
    <cellStyle name="Currency0 2" xfId="1245" xr:uid="{16D49A67-D78C-4055-882B-D9E9BC53ED22}"/>
    <cellStyle name="Data" xfId="1246" xr:uid="{BC1BD244-4BA9-469E-B521-C77B265A9E65}"/>
    <cellStyle name="Date" xfId="42" xr:uid="{20DFD5F1-3743-4AA9-ACD5-884A1B5CC837}"/>
    <cellStyle name="Date 2" xfId="43" xr:uid="{9E068F39-991D-4C0A-81DA-DA3FFFC199BB}"/>
    <cellStyle name="Date 2 2" xfId="1247" xr:uid="{E00BB35E-9524-4C02-B604-E6D5A488020A}"/>
    <cellStyle name="Date 3" xfId="458" xr:uid="{F11ECBC4-6A53-4229-B359-9DFA37ED9B4F}"/>
    <cellStyle name="Datum" xfId="459" xr:uid="{FD09C986-619A-4204-ACCE-0071230CC2BD}"/>
    <cellStyle name="Define-Column" xfId="1248" xr:uid="{BF13DB3E-D46C-4E49-BD97-9EE0E8176D1B}"/>
    <cellStyle name="Define-Column 10" xfId="1249" xr:uid="{F5C845EB-545F-48A9-BABC-8EB185EF796F}"/>
    <cellStyle name="Define-Column 2" xfId="1250" xr:uid="{83ABE178-D34C-468D-8381-14AD821FEAB8}"/>
    <cellStyle name="Define-Column 3" xfId="1251" xr:uid="{C9F28582-C88A-4C35-9D5E-522CD7839DAD}"/>
    <cellStyle name="Define-Column 4" xfId="1252" xr:uid="{DA4F6E60-AEB2-4F8B-A735-4E3F72851BDE}"/>
    <cellStyle name="Define-Column 5" xfId="1253" xr:uid="{D417416D-14A9-4F63-809A-A6DFCB1FAC4F}"/>
    <cellStyle name="Define-Column 6" xfId="1254" xr:uid="{2B0D2B82-2394-49FA-8C5F-6850AF625B55}"/>
    <cellStyle name="Define-Column 7" xfId="1255" xr:uid="{4C37D5BD-554A-442C-8AD2-CFD2992C5E13}"/>
    <cellStyle name="Define-Column 7 2" xfId="1256" xr:uid="{1AB2AC45-A90C-455B-8A9F-0D94263D6345}"/>
    <cellStyle name="Define-Column 7 3" xfId="1257" xr:uid="{00C22A15-80D6-4629-98D0-96B1C7C45DCF}"/>
    <cellStyle name="Define-Column 8" xfId="1258" xr:uid="{F85FF521-0008-4E54-922C-25C0DAD4BA46}"/>
    <cellStyle name="Define-Column 8 2" xfId="1259" xr:uid="{6B17FAD4-C844-4181-8DEB-3F1074561292}"/>
    <cellStyle name="Define-Column 8 3" xfId="1260" xr:uid="{24C3466E-918C-4524-8E4D-A9E1A9B76DCD}"/>
    <cellStyle name="Define-Column 9" xfId="1261" xr:uid="{13EA99ED-C1D6-401B-8490-706125485A31}"/>
    <cellStyle name="Define-Column 9 2" xfId="1262" xr:uid="{890AEF72-F4C5-4DDE-86A1-60EEE9FF9032}"/>
    <cellStyle name="Define-Column 9 3" xfId="1263" xr:uid="{470A00F0-4212-4FFC-9FFC-9507BCCFE35B}"/>
    <cellStyle name="Define-Column_Zvit rux-koshtiv 2010 Департамент " xfId="1264" xr:uid="{3C7E24ED-DB82-4069-8B98-7E00EF0DAE2C}"/>
    <cellStyle name="diskette" xfId="1265" xr:uid="{7BFCBE91-3A3F-434C-A66B-CE1CF85EF12A}"/>
    <cellStyle name="Euro" xfId="460" xr:uid="{1275E829-0FE0-43BE-8D23-D90126575A06}"/>
    <cellStyle name="Euro 2" xfId="1266" xr:uid="{64635246-5A05-4791-8091-7680A2BFCCA0}"/>
    <cellStyle name="Excel.Chart" xfId="1267" xr:uid="{58854806-6C55-43C1-92BB-F3A3943F9693}"/>
    <cellStyle name="Explanatory Text" xfId="461" xr:uid="{8BD77363-E3EE-4330-936A-44922B3D331C}"/>
    <cellStyle name="Explanatory Text 10" xfId="462" xr:uid="{540304DF-D5F2-4580-B237-29953E432121}"/>
    <cellStyle name="Explanatory Text 10 2" xfId="1268" xr:uid="{AC038B9E-2E9F-43E2-BCB1-8EE2FF9C5A4F}"/>
    <cellStyle name="Explanatory Text 2" xfId="463" xr:uid="{BC89CA2B-D37A-468B-BEFD-7ABE450D1314}"/>
    <cellStyle name="Explanatory Text 2 2" xfId="1269" xr:uid="{B58FAC9D-3A6C-4930-991D-49B847D925C9}"/>
    <cellStyle name="Explanatory Text 3" xfId="464" xr:uid="{DFAC2C0E-CC63-4FF1-B48F-A1692FBC3A50}"/>
    <cellStyle name="Explanatory Text 3 2" xfId="1270" xr:uid="{6AB453DF-0882-4FCE-9519-BD3D95C3ACF9}"/>
    <cellStyle name="Explanatory Text 4" xfId="465" xr:uid="{B5AF6FA6-A812-4BBB-815C-7D30E25B5A11}"/>
    <cellStyle name="Explanatory Text 4 2" xfId="1271" xr:uid="{6FFA612E-B3C5-443D-AF8A-FD948351A527}"/>
    <cellStyle name="Explanatory Text 5" xfId="466" xr:uid="{EB0B72B5-6A17-429B-8239-AA2520F4C8D9}"/>
    <cellStyle name="Explanatory Text 5 2" xfId="1272" xr:uid="{6D2F4AB8-7AAC-4DC6-85CA-674DCBA53BC9}"/>
    <cellStyle name="Explanatory Text 6" xfId="467" xr:uid="{3A63C50A-D163-4EC9-A9D4-744E7D0C5A13}"/>
    <cellStyle name="Explanatory Text 6 2" xfId="1273" xr:uid="{476EE317-6543-481E-8052-B3447C4ECC9A}"/>
    <cellStyle name="Explanatory Text 7" xfId="468" xr:uid="{86CE7775-C855-4CAA-B315-E2C3289B2545}"/>
    <cellStyle name="Explanatory Text 7 2" xfId="1274" xr:uid="{35A3D775-C343-49E3-B249-FFBB391B8AA5}"/>
    <cellStyle name="Explanatory Text 8" xfId="469" xr:uid="{B7335938-73DA-47B9-A307-BB701A9A9B10}"/>
    <cellStyle name="Explanatory Text 8 2" xfId="1275" xr:uid="{38C65D8A-49AD-463D-AE86-69995863EDDD}"/>
    <cellStyle name="Explanatory Text 9" xfId="470" xr:uid="{7B667672-650B-43CD-BD75-FBC3395E67F2}"/>
    <cellStyle name="Explanatory Text 9 2" xfId="1276" xr:uid="{EAF1F7B3-A22D-4928-8FBA-F086C5457C9E}"/>
    <cellStyle name="Ezres [0]_10mell99" xfId="471" xr:uid="{6EAC0DC1-EF41-4D82-B9C9-F9C6296F7683}"/>
    <cellStyle name="Ezres_10mell99" xfId="472" xr:uid="{FE1ADD77-5B15-4ECE-9960-0EBA6D5EDE3E}"/>
    <cellStyle name="F2" xfId="473" xr:uid="{224C1D21-051C-4C99-8028-FBCE73C6931A}"/>
    <cellStyle name="F2 2" xfId="1277" xr:uid="{DA77ABF8-546C-4981-A87E-C4194A2BD792}"/>
    <cellStyle name="F3" xfId="474" xr:uid="{5AEAFAF6-2175-43D9-B737-90E6AD71575B}"/>
    <cellStyle name="F3 2" xfId="1278" xr:uid="{EF33ADC7-7124-403B-93CE-F2AAA3B8004E}"/>
    <cellStyle name="F4" xfId="475" xr:uid="{C405CD77-951D-496B-928E-57DE80E38BEC}"/>
    <cellStyle name="F4 2" xfId="1279" xr:uid="{91A3A84D-3329-447F-BC6B-184F7FDE2ABC}"/>
    <cellStyle name="F5" xfId="476" xr:uid="{A8011C48-94E2-48ED-ACAE-C6F4C70217CB}"/>
    <cellStyle name="F5 - Style8" xfId="477" xr:uid="{A8915DA0-2CEE-45D1-B57B-471258832DBC}"/>
    <cellStyle name="F5 - Style8 2" xfId="1280" xr:uid="{926942E6-E603-482E-96F9-27B030A925F7}"/>
    <cellStyle name="F5 2" xfId="1281" xr:uid="{75638781-30BC-4E6F-9469-2A7373A8F287}"/>
    <cellStyle name="F6" xfId="478" xr:uid="{693582F0-8C08-4C57-B9DB-AFE74738B94B}"/>
    <cellStyle name="F6 - Style5" xfId="479" xr:uid="{EC072233-C4C5-4199-83FD-75CF69381E21}"/>
    <cellStyle name="F6 - Style5 2" xfId="1282" xr:uid="{4977AB93-8132-47AB-ADA2-363EADDF9798}"/>
    <cellStyle name="F6 2" xfId="1283" xr:uid="{901137AE-D46B-4D7B-AD66-81FD1E930BD8}"/>
    <cellStyle name="F7" xfId="480" xr:uid="{C75B1C0C-3BEB-46D8-B93A-74CFE4F02435}"/>
    <cellStyle name="F7 - Style7" xfId="481" xr:uid="{1609CD15-764D-4BF1-8292-6696BB9CB8E1}"/>
    <cellStyle name="F7 - Style7 2" xfId="1284" xr:uid="{C0FEDCF2-7561-41EF-864A-B2F3A1DDA700}"/>
    <cellStyle name="F7 2" xfId="1285" xr:uid="{79C95C5D-E5D2-4F97-937E-AB5CF3B5F793}"/>
    <cellStyle name="F8" xfId="482" xr:uid="{88E95B5E-ADBD-40A9-ABE7-B23D59E58200}"/>
    <cellStyle name="F8 - Style6" xfId="483" xr:uid="{BDFFD1BD-5148-4F93-A2EA-36D337F4CDF6}"/>
    <cellStyle name="F8 - Style6 2" xfId="1286" xr:uid="{A762A22C-D9CC-4E1F-94C0-3C4E787DDAEF}"/>
    <cellStyle name="F8 2" xfId="1287" xr:uid="{66A28D64-1187-4784-A585-6418D9F78AA4}"/>
    <cellStyle name="facha" xfId="1288" xr:uid="{184E7B03-F686-4A8F-AD9B-24E9FBB630D2}"/>
    <cellStyle name="Fecha" xfId="1289" xr:uid="{4EF8D6D5-3A6C-488A-8544-5A05A1FF7DAF}"/>
    <cellStyle name="Fijo" xfId="1290" xr:uid="{F82915A6-7BAF-4DF2-A197-FEAF5A431AE4}"/>
    <cellStyle name="Finanční0" xfId="484" xr:uid="{48176124-05ED-4D63-A1E6-677DCCD3728B}"/>
    <cellStyle name="Finanèní0" xfId="485" xr:uid="{BBEF5B90-7A80-439B-BF80-83657133681B}"/>
    <cellStyle name="Fixed" xfId="44" xr:uid="{C9AA1882-D42C-418D-A8D4-7479A2EFBCFD}"/>
    <cellStyle name="Fixed 2" xfId="45" xr:uid="{0FE2ACE4-36F8-4ECD-A97E-7090D8E20E23}"/>
    <cellStyle name="Fixed 2 2" xfId="1291" xr:uid="{764F4BF6-D217-48A3-BA63-83B52330F43A}"/>
    <cellStyle name="Fixed 3" xfId="486" xr:uid="{D4CAF6AE-6761-42CF-8A1E-27F62A919693}"/>
    <cellStyle name="fixed0 - Style4" xfId="487" xr:uid="{527043A0-980E-4E82-AA43-7BBFB2AC4052}"/>
    <cellStyle name="fixed0 - Style4 2" xfId="1292" xr:uid="{669A9268-4B1A-4424-8D6D-D1B3A4D0A3C9}"/>
    <cellStyle name="Fixed1 - Style1" xfId="488" xr:uid="{9A83190F-BB02-49D1-ABEA-F84F184B0107}"/>
    <cellStyle name="Fixed1 - Style1 2" xfId="1293" xr:uid="{F5EC1C7E-A5AF-4098-9194-2E4F940F38B0}"/>
    <cellStyle name="Fixed1 - Style2" xfId="489" xr:uid="{D3767F16-8316-423E-A6A1-289D35B3C216}"/>
    <cellStyle name="Fixed1 - Style2 2" xfId="1294" xr:uid="{6AA7E16D-D723-4107-8A6C-D6F0F4A5F9A1}"/>
    <cellStyle name="Fixed2 - Style2" xfId="490" xr:uid="{7CBB0737-1E7B-4506-9C78-C3BEC8E713AD}"/>
    <cellStyle name="Fixo" xfId="1295" xr:uid="{0CDA9A0C-E385-47FC-A41C-ED1C7A4D45A4}"/>
    <cellStyle name="FS10" xfId="1296" xr:uid="{0C20CDCB-8D6F-4AE6-92B6-D66F094009BE}"/>
    <cellStyle name="Good" xfId="491" xr:uid="{B56F1F8B-8FE3-4B13-A19C-3D63E9415FC0}"/>
    <cellStyle name="Good 10" xfId="492" xr:uid="{CF157516-A560-462A-A460-DB72BA8BD65C}"/>
    <cellStyle name="Good 10 2" xfId="1297" xr:uid="{9861BAD3-57FF-404C-9D63-4C103129D46D}"/>
    <cellStyle name="Good 2" xfId="493" xr:uid="{1FA6587A-70F6-419E-A5DF-C0CF1A06A208}"/>
    <cellStyle name="Good 2 2" xfId="1298" xr:uid="{447FBB1D-9CFB-4332-9256-A8E2069B93C0}"/>
    <cellStyle name="Good 3" xfId="494" xr:uid="{530BB86F-FD56-440B-BDD9-992825D402AC}"/>
    <cellStyle name="Good 3 2" xfId="1299" xr:uid="{8DDEDD6A-E31A-4F3B-9FE9-74D4B85E05D9}"/>
    <cellStyle name="Good 4" xfId="495" xr:uid="{DE9AFB4D-5745-497A-94F8-334339D53420}"/>
    <cellStyle name="Good 4 2" xfId="1300" xr:uid="{39939645-8F75-471E-87E5-BEA93AA7E7F4}"/>
    <cellStyle name="Good 5" xfId="496" xr:uid="{3DEEB11E-02FB-4CC0-BC5B-92FB30C71354}"/>
    <cellStyle name="Good 5 2" xfId="1301" xr:uid="{BAECF573-9F12-4E2C-9401-F9B083E622C6}"/>
    <cellStyle name="Good 6" xfId="497" xr:uid="{B90EF19B-0EB1-4E12-B072-9266DCC49D1F}"/>
    <cellStyle name="Good 6 2" xfId="1302" xr:uid="{CAC4FE4A-94A9-4206-8B6F-98DDB90CBC2A}"/>
    <cellStyle name="Good 7" xfId="498" xr:uid="{0CECCE64-E67F-4FF9-9F56-D039E6981E78}"/>
    <cellStyle name="Good 7 2" xfId="1303" xr:uid="{26C6A304-AC67-492A-9E3B-A0DAE49D6E85}"/>
    <cellStyle name="Good 8" xfId="499" xr:uid="{80EC828C-97DE-42C1-BA47-4D1E52BE86D8}"/>
    <cellStyle name="Good 8 2" xfId="1304" xr:uid="{2F048D3C-5A63-483C-9227-C870F8C9AD49}"/>
    <cellStyle name="Good 9" xfId="500" xr:uid="{6348DB5F-4D39-4F4E-93F2-94981931EDE1}"/>
    <cellStyle name="Good 9 2" xfId="1305" xr:uid="{42271701-D192-4BE0-B905-03CFE2CBA171}"/>
    <cellStyle name="Grey" xfId="501" xr:uid="{2B220975-46D2-40AB-9A3C-08C7784B36E8}"/>
    <cellStyle name="Heading 1" xfId="502" xr:uid="{5810C544-4D43-4952-A080-5F9BC7676075}"/>
    <cellStyle name="Heading 1 10" xfId="503" xr:uid="{32395EB7-4892-4E05-9D81-B591BD043AA7}"/>
    <cellStyle name="Heading 1 10 2" xfId="1306" xr:uid="{E00AE2DB-8641-4F7B-937B-57A5568EA2D1}"/>
    <cellStyle name="Heading 1 2" xfId="504" xr:uid="{EC402DE3-D6FB-4E75-A985-41EF3E2EB48A}"/>
    <cellStyle name="Heading 1 2 2" xfId="1307" xr:uid="{6D275FBA-E764-4579-82EC-951396B4CA73}"/>
    <cellStyle name="Heading 1 3" xfId="505" xr:uid="{BB49D757-9388-46BE-A7A7-B9703D2A9E0E}"/>
    <cellStyle name="Heading 1 3 2" xfId="1308" xr:uid="{CCAD2EF9-6F9B-448D-AD49-522B8E36B994}"/>
    <cellStyle name="Heading 1 4" xfId="506" xr:uid="{DE39744F-2AA3-4DCE-A2BD-0A13D41A5DC5}"/>
    <cellStyle name="Heading 1 4 2" xfId="1309" xr:uid="{E4823718-6D6F-410C-9329-B9722917E85E}"/>
    <cellStyle name="Heading 1 5" xfId="507" xr:uid="{8BD45CD1-A34C-4E07-AA6A-D980935BCEB4}"/>
    <cellStyle name="Heading 1 5 2" xfId="1310" xr:uid="{D3C7A161-C8E4-4573-85ED-BF3AAA6F6E34}"/>
    <cellStyle name="Heading 1 6" xfId="508" xr:uid="{98061570-4A59-4900-AA8D-4D5679AEC2AF}"/>
    <cellStyle name="Heading 1 6 2" xfId="1311" xr:uid="{4F68D371-871B-4146-A8FD-87437BE9CEEB}"/>
    <cellStyle name="Heading 1 7" xfId="509" xr:uid="{F4026B9E-B3BB-4409-B4DE-6CCA39F4F8E9}"/>
    <cellStyle name="Heading 1 7 2" xfId="1312" xr:uid="{1213B224-8D54-4E2D-BA13-22E6323C626A}"/>
    <cellStyle name="Heading 1 8" xfId="510" xr:uid="{492BBF00-DA2B-4045-B55D-2052B1306F77}"/>
    <cellStyle name="Heading 1 8 2" xfId="1313" xr:uid="{1997CDED-6F2A-4274-B454-4CD5023347D4}"/>
    <cellStyle name="Heading 1 9" xfId="511" xr:uid="{82386B23-D90E-4705-A30B-B6019C810602}"/>
    <cellStyle name="Heading 1 9 2" xfId="1314" xr:uid="{DCD07A9B-E065-459F-8E8B-CFEC214EAA2B}"/>
    <cellStyle name="Heading 2" xfId="512" xr:uid="{0FC74E88-3B52-45C2-82A3-5C6DC549E22B}"/>
    <cellStyle name="Heading 2 10" xfId="513" xr:uid="{B958348E-9897-4BAD-AF82-571479E985DB}"/>
    <cellStyle name="Heading 2 10 2" xfId="1315" xr:uid="{D69AED03-C575-417A-87FF-61CA8F53D8F5}"/>
    <cellStyle name="Heading 2 2" xfId="514" xr:uid="{386C64D2-9A12-47D8-9886-D19BC3A2CF3E}"/>
    <cellStyle name="Heading 2 2 2" xfId="1316" xr:uid="{EE0FAEFE-EBB3-49AB-91C2-8B78A268E126}"/>
    <cellStyle name="Heading 2 3" xfId="515" xr:uid="{7A6D6660-838E-41A6-9055-E248A081F3C8}"/>
    <cellStyle name="Heading 2 3 2" xfId="1317" xr:uid="{DF350DCE-C2CB-4E43-86A9-9ED48BABDD73}"/>
    <cellStyle name="Heading 2 4" xfId="516" xr:uid="{B63A17E6-4E5A-487C-B837-6B806FC6BB26}"/>
    <cellStyle name="Heading 2 4 2" xfId="1318" xr:uid="{7E10AD5D-D6CD-47D1-A213-801A736455EC}"/>
    <cellStyle name="Heading 2 5" xfId="517" xr:uid="{C7FF8038-E834-4D11-BF60-53D5BF6D9EF9}"/>
    <cellStyle name="Heading 2 5 2" xfId="1319" xr:uid="{B369A2EC-EB5C-42B0-B6D2-1E4C2847CA86}"/>
    <cellStyle name="Heading 2 6" xfId="518" xr:uid="{E9D7E0EE-1A11-4604-9C15-712CD464D9B0}"/>
    <cellStyle name="Heading 2 6 2" xfId="1320" xr:uid="{A058E36D-435B-437B-B221-313254F73382}"/>
    <cellStyle name="Heading 2 7" xfId="519" xr:uid="{D4EA7C97-D6B4-4610-805F-74BFB1F31C6E}"/>
    <cellStyle name="Heading 2 7 2" xfId="1321" xr:uid="{9CBD9AFE-8BC7-42F6-8C25-B15D8CB31210}"/>
    <cellStyle name="Heading 2 8" xfId="520" xr:uid="{AA344B6A-58FF-41D1-8D4A-DF3B704DD4E9}"/>
    <cellStyle name="Heading 2 8 2" xfId="1322" xr:uid="{3434A0E5-774C-4F69-86E0-8DDD2328C3B2}"/>
    <cellStyle name="Heading 2 9" xfId="521" xr:uid="{BEE6242C-3706-425D-AE2C-50CDC6061CBD}"/>
    <cellStyle name="Heading 2 9 2" xfId="1323" xr:uid="{01A77526-C255-4463-9FEE-982248051E64}"/>
    <cellStyle name="Heading 3" xfId="522" xr:uid="{70109F7A-2449-468D-9E68-29DEF091F15C}"/>
    <cellStyle name="Heading 3 10" xfId="523" xr:uid="{C3C25B63-BF61-434B-BE88-4234E43978C0}"/>
    <cellStyle name="Heading 3 10 2" xfId="1324" xr:uid="{8119CB54-9F15-4BF5-97EB-DD23BEE1374F}"/>
    <cellStyle name="Heading 3 2" xfId="524" xr:uid="{3608A156-9132-4A33-BCE0-6DBF554E3676}"/>
    <cellStyle name="Heading 3 2 2" xfId="1325" xr:uid="{9A6290CE-B193-422C-94B5-11F7B6DC8DE2}"/>
    <cellStyle name="Heading 3 3" xfId="525" xr:uid="{108DCBBC-94DB-49A1-85F7-95FA8D228FC3}"/>
    <cellStyle name="Heading 3 3 2" xfId="1326" xr:uid="{57C29CF9-AA06-4F40-9FFA-85751972E572}"/>
    <cellStyle name="Heading 3 4" xfId="526" xr:uid="{AD1B1BB9-FFD9-45FB-A1A6-0E02697B2696}"/>
    <cellStyle name="Heading 3 4 2" xfId="1327" xr:uid="{8889216A-C89F-4E80-9035-6D9872F8FE30}"/>
    <cellStyle name="Heading 3 5" xfId="527" xr:uid="{1FE14B35-C23B-429F-A1E5-E575B89DBE32}"/>
    <cellStyle name="Heading 3 5 2" xfId="1328" xr:uid="{D5111F7B-2674-43F7-B6B5-800D13DC31D9}"/>
    <cellStyle name="Heading 3 6" xfId="528" xr:uid="{E39AF435-5DE7-4005-95DB-74901A27C685}"/>
    <cellStyle name="Heading 3 6 2" xfId="1329" xr:uid="{C3C2DA18-1F3E-4928-96F9-5928E583B5B1}"/>
    <cellStyle name="Heading 3 7" xfId="529" xr:uid="{6959D089-FF6C-42FA-855D-A00BECCFA117}"/>
    <cellStyle name="Heading 3 7 2" xfId="1330" xr:uid="{6970DE6A-B5A2-46B5-9C95-C06DB71D4C4E}"/>
    <cellStyle name="Heading 3 8" xfId="530" xr:uid="{52380B6F-6375-4E23-B46E-F3CF083F564D}"/>
    <cellStyle name="Heading 3 8 2" xfId="1331" xr:uid="{FAAB4DC2-D9B8-4440-89AF-428921D9DCE2}"/>
    <cellStyle name="Heading 3 9" xfId="531" xr:uid="{090311AC-753E-47B7-A723-E2D66B837B13}"/>
    <cellStyle name="Heading 3 9 2" xfId="1332" xr:uid="{CA7B7991-14D6-4875-887B-7B141B744CD5}"/>
    <cellStyle name="Heading 4" xfId="532" xr:uid="{28219029-CA3D-4EA5-804B-CFBE48840588}"/>
    <cellStyle name="Heading 4 10" xfId="533" xr:uid="{62696202-E58E-4A36-A8B0-20AF4F8CAE51}"/>
    <cellStyle name="Heading 4 10 2" xfId="1333" xr:uid="{BF9FF157-E808-4706-8A9D-E57B52D8CC01}"/>
    <cellStyle name="Heading 4 2" xfId="534" xr:uid="{FF2E7788-B2B8-4236-BBEE-046FA740F19A}"/>
    <cellStyle name="Heading 4 2 2" xfId="1334" xr:uid="{3280EE8E-F4F6-4036-BC23-B22A6DE423EE}"/>
    <cellStyle name="Heading 4 3" xfId="535" xr:uid="{DC20D32F-ACBF-478A-A7C1-3C02B5C0B0DF}"/>
    <cellStyle name="Heading 4 3 2" xfId="1335" xr:uid="{A75DE5A8-9F1E-47BC-ADC9-2986A0959C44}"/>
    <cellStyle name="Heading 4 4" xfId="536" xr:uid="{B2424664-5368-45CA-9AE2-C1213B6C01B5}"/>
    <cellStyle name="Heading 4 4 2" xfId="1336" xr:uid="{2AD8E419-C640-42E2-BB37-AE4C9C81328C}"/>
    <cellStyle name="Heading 4 5" xfId="537" xr:uid="{CCCF075D-E80C-41BB-856A-78D3AF6B9FB3}"/>
    <cellStyle name="Heading 4 5 2" xfId="1337" xr:uid="{0F550228-F280-475F-9C9C-A99A5C7EEE19}"/>
    <cellStyle name="Heading 4 6" xfId="538" xr:uid="{A0FF8B75-8A60-415D-A316-59D1ADF635B3}"/>
    <cellStyle name="Heading 4 6 2" xfId="1338" xr:uid="{1FC0C5E8-7DE1-435E-A320-FC5A44BE5F2F}"/>
    <cellStyle name="Heading 4 7" xfId="539" xr:uid="{A77B89B6-C251-4A12-B558-E744931C8708}"/>
    <cellStyle name="Heading 4 7 2" xfId="1339" xr:uid="{14618ECF-CA92-4AB7-A39A-1CF54FB7330E}"/>
    <cellStyle name="Heading 4 8" xfId="540" xr:uid="{6283EBDD-3D87-4EC2-AEBA-F5B81195628E}"/>
    <cellStyle name="Heading 4 8 2" xfId="1340" xr:uid="{579852DD-475B-4949-849D-40455168C1BF}"/>
    <cellStyle name="Heading 4 9" xfId="541" xr:uid="{5CCE89FB-F05F-4DC6-A590-7974D55DBBB6}"/>
    <cellStyle name="Heading 4 9 2" xfId="1341" xr:uid="{56983C15-AF52-4A53-8094-18F743EB6B8A}"/>
    <cellStyle name="Heading1" xfId="46" xr:uid="{DBC66013-026D-4ADB-A74D-4C7B2D2FE477}"/>
    <cellStyle name="Heading1 2" xfId="47" xr:uid="{C242C484-1773-4B83-A036-415E302058A4}"/>
    <cellStyle name="Heading1 2 2" xfId="1342" xr:uid="{45878524-21A1-4D5D-964A-06FA55FC7B77}"/>
    <cellStyle name="Heading1 3" xfId="542" xr:uid="{B1D339AE-ABC8-4139-9CDD-E0ABF0A932A0}"/>
    <cellStyle name="Heading2" xfId="48" xr:uid="{B49CC7C6-FA41-4FE9-968D-690DCE95FF12}"/>
    <cellStyle name="Heading2 2" xfId="49" xr:uid="{AED9B75B-61DB-4494-8C85-A6D4B9B0FC10}"/>
    <cellStyle name="Heading2 2 2" xfId="1343" xr:uid="{B37C2893-AAD5-4E20-A776-0B4FD4941079}"/>
    <cellStyle name="Heading2 3" xfId="543" xr:uid="{EED3D09C-64FE-4E60-80E7-B0F47EBFD9CB}"/>
    <cellStyle name="Hiperhivatkozás" xfId="544" xr:uid="{72EC033E-324A-400F-8DE9-73F78EC99DC2}"/>
    <cellStyle name="Hipervínculo" xfId="1344" xr:uid="{73924906-1F09-46D3-99E3-F2D1CE0D31BC}"/>
    <cellStyle name="Hipervínculo visitado" xfId="1345" xr:uid="{6F3DD367-BC12-43C6-B9DE-F1E6B275F791}"/>
    <cellStyle name="Hipervínculo_10-01-03 2003 2003 NUEVOS RON -NUEVOS INTERESES" xfId="1346" xr:uid="{F4FFC4A9-920B-4D5C-BA84-9BF572E75E85}"/>
    <cellStyle name="Hyperlink 2" xfId="545" xr:uid="{35B0FCFF-BBE8-4E42-95FC-86918C35BC1A}"/>
    <cellStyle name="Hyperlink 2 2" xfId="1347" xr:uid="{2719ADC2-C50C-4E09-94AA-947FBECEB088}"/>
    <cellStyle name="Hyperlink 2 3" xfId="1348" xr:uid="{50094A62-8BE2-4BF8-9BB2-7D45B67F9BCF}"/>
    <cellStyle name="Hyperlink 2 4" xfId="1349" xr:uid="{EA26E85A-330D-4911-A800-DEB8AB0F1EA7}"/>
    <cellStyle name="Hyperlink 3" xfId="1350" xr:uid="{1A9C3415-A710-4D03-97B3-E29D2EFC7045}"/>
    <cellStyle name="Hyperlink 4" xfId="1351" xr:uid="{07249960-A6E6-4605-A811-16E752FF97CD}"/>
    <cellStyle name="Hyperlink seguido_NFGC_SPE_1995_2003" xfId="1352" xr:uid="{F85EBB29-76AC-44C4-BA71-293BE403D5C8}"/>
    <cellStyle name="Hyperlink_UKR Fin table" xfId="546" xr:uid="{26BFFCBC-5D09-4FB4-B289-FD83B51AFAE1}"/>
    <cellStyle name="Iau?iue_Eeno1" xfId="547" xr:uid="{5BCAFB11-48D7-40A9-BC07-99C9033A8782}"/>
    <cellStyle name="Îáû÷íûé_Table16" xfId="548" xr:uid="{0AD7E74A-D171-4C3D-824D-577CD86B915A}"/>
    <cellStyle name="imf-one decimal" xfId="549" xr:uid="{22B694BF-0F9F-4E1F-AB17-0CE79EAE8C32}"/>
    <cellStyle name="imf-one decimal 2" xfId="1353" xr:uid="{A8E8C521-53D6-46C4-B97D-C0313F3F0B1A}"/>
    <cellStyle name="imf-one decimal 3" xfId="1354" xr:uid="{92B4B199-4AF3-472A-9F66-CB0D5E2C2056}"/>
    <cellStyle name="imf-zero decimal" xfId="550" xr:uid="{5612C629-764F-41BC-89B5-FEEBAE30ABBA}"/>
    <cellStyle name="imf-zero decimal 2" xfId="1355" xr:uid="{91DDE364-4E7A-4044-B3D7-6EF0D7525F10}"/>
    <cellStyle name="imf-zero decimal 3" xfId="1356" xr:uid="{1DE3FF77-3D51-4303-85F1-79AF65E6812F}"/>
    <cellStyle name="Input" xfId="551" xr:uid="{6DF9FCD2-7D43-49D7-BD2B-762AE76E3780}"/>
    <cellStyle name="Input [yellow]" xfId="552" xr:uid="{C6BDE04A-90D0-4C86-BE01-5D107A2043AC}"/>
    <cellStyle name="Input 10" xfId="553" xr:uid="{153F89D6-7E3B-4429-B45A-9A82FA9B730D}"/>
    <cellStyle name="Input 10 2" xfId="1357" xr:uid="{9CF14533-5217-4D2A-B61B-88E5FD867A82}"/>
    <cellStyle name="Input 2" xfId="554" xr:uid="{0BA8EBEB-1363-426B-969B-8D921CDFE009}"/>
    <cellStyle name="Input 2 2" xfId="1358" xr:uid="{5AC3A267-013A-4256-9B36-94F8DACF0611}"/>
    <cellStyle name="Input 3" xfId="555" xr:uid="{6921A429-5F95-441A-BAAA-D35D20CD3950}"/>
    <cellStyle name="Input 3 2" xfId="1359" xr:uid="{9EDD0261-596E-4FDF-B743-8D6185781581}"/>
    <cellStyle name="Input 4" xfId="556" xr:uid="{90D63BD1-A98F-4E5E-A2D3-93664666BE7B}"/>
    <cellStyle name="Input 4 2" xfId="1360" xr:uid="{041712C2-5E05-4539-9D66-294ACDDEDA3F}"/>
    <cellStyle name="Input 5" xfId="557" xr:uid="{CD3C6D04-39F5-42C0-82CF-4C4AD4C0BB84}"/>
    <cellStyle name="Input 5 2" xfId="1361" xr:uid="{BECD23E9-043B-4294-B105-C2A48E4DFEED}"/>
    <cellStyle name="Input 6" xfId="558" xr:uid="{1ECD59FF-48A5-4454-A5BB-68FF6BC7E937}"/>
    <cellStyle name="Input 6 2" xfId="1362" xr:uid="{9430229B-C5B6-43F1-93E2-AC9F21779E5F}"/>
    <cellStyle name="Input 7" xfId="559" xr:uid="{F07457F9-F2F0-4520-9246-8F418A001EBD}"/>
    <cellStyle name="Input 7 2" xfId="1363" xr:uid="{6472C4A7-7324-4320-9628-0B1FBE4B3C31}"/>
    <cellStyle name="Input 8" xfId="560" xr:uid="{88238DC6-6034-476D-A15D-CBFC692D43C1}"/>
    <cellStyle name="Input 8 2" xfId="1364" xr:uid="{38F5A2D1-9786-4E4D-8571-FA1B61C45C61}"/>
    <cellStyle name="Input 9" xfId="561" xr:uid="{0ACBB677-B13E-4F84-B5F5-676F5C2D0F96}"/>
    <cellStyle name="Input 9 2" xfId="1365" xr:uid="{21026196-AD7F-4B7C-8723-ED5778ED9416}"/>
    <cellStyle name="Ioe?uaaaoayny aeia?nnueea" xfId="562" xr:uid="{E9A2678C-954E-4D59-9F31-6A560C41B4B9}"/>
    <cellStyle name="Ioe?uaaaoayny aeia?nnueea 2" xfId="1366" xr:uid="{FDFA16FE-4677-4C2D-B32D-BFA0CCFE8132}"/>
    <cellStyle name="Îòêðûâàâøàÿñÿ ãèïåðññûëêà" xfId="563" xr:uid="{C039520E-03E0-43DC-A0FA-EA1AE344BE5B}"/>
    <cellStyle name="Îòêðûâàâøàÿñÿ ãèïåðññûëêà 2" xfId="1367" xr:uid="{2B1405E5-26D1-4907-B027-DDFBF02321B5}"/>
    <cellStyle name="jo[" xfId="1368" xr:uid="{8127666B-1ED9-4CF5-BD34-5E0D78322767}"/>
    <cellStyle name="Label" xfId="564" xr:uid="{25AE4F61-D507-4CCA-89D5-4AEC7EFD33E3}"/>
    <cellStyle name="leftli - Style3" xfId="565" xr:uid="{B91E29F4-87C1-46C1-9FF5-F999FAB4E6A8}"/>
    <cellStyle name="leftli - Style3 2" xfId="1369" xr:uid="{9AA650DC-2762-46F3-8696-47243E75800D}"/>
    <cellStyle name="Level0" xfId="1370" xr:uid="{F8EF48AB-4959-48FC-A0A2-8A6FC09F023B}"/>
    <cellStyle name="Level0 10" xfId="1371" xr:uid="{ED1883BA-66C4-477B-9682-A8A13795C265}"/>
    <cellStyle name="Level0 2" xfId="1372" xr:uid="{619EB88E-7346-4806-8D04-E6B02342EF10}"/>
    <cellStyle name="Level0 2 2" xfId="1373" xr:uid="{542F0BF2-2FC9-480F-8CA9-F53CD1C665E6}"/>
    <cellStyle name="Level0 3" xfId="1374" xr:uid="{BA9211F4-480F-4858-9758-91DB1B586891}"/>
    <cellStyle name="Level0 3 2" xfId="1375" xr:uid="{AA3E7CF7-5B0A-4A35-8371-17976180ED9B}"/>
    <cellStyle name="Level0 4" xfId="1376" xr:uid="{1282E76B-AD5D-412C-954C-A3E7C7C099F4}"/>
    <cellStyle name="Level0 4 2" xfId="1377" xr:uid="{C23054FA-8261-4AD4-9963-96E4E8EEBAE6}"/>
    <cellStyle name="Level0 5" xfId="1378" xr:uid="{EFEEE714-AFE4-425D-A748-1B280AA92E0A}"/>
    <cellStyle name="Level0 6" xfId="1379" xr:uid="{C660D04D-FC9E-4750-8D93-FA85B7DBFD59}"/>
    <cellStyle name="Level0 7" xfId="1380" xr:uid="{6FA85CB2-1789-4A39-9434-5EB266E8D1AD}"/>
    <cellStyle name="Level0 7 2" xfId="1381" xr:uid="{884C07E3-10A0-4BA3-9DC8-CB2F9CEF4A93}"/>
    <cellStyle name="Level0 7 3" xfId="1382" xr:uid="{E9D722A7-7A26-4E62-8B4E-618A4E77415C}"/>
    <cellStyle name="Level0 8" xfId="1383" xr:uid="{40D121C2-CC97-4C56-A22A-2655B54E40A8}"/>
    <cellStyle name="Level0 8 2" xfId="1384" xr:uid="{74CEA5D1-91FA-43BD-B223-B99EC470D3D2}"/>
    <cellStyle name="Level0 8 3" xfId="1385" xr:uid="{444740B3-4682-4B4F-9F42-57F1032BB95F}"/>
    <cellStyle name="Level0 9" xfId="1386" xr:uid="{9140E4B3-6BB9-42B7-99DC-FB504EB0B799}"/>
    <cellStyle name="Level0 9 2" xfId="1387" xr:uid="{DC860426-B08E-4D2D-B9FF-E3BE2D37E57C}"/>
    <cellStyle name="Level0 9 3" xfId="1388" xr:uid="{409103C7-FCAC-4EBF-A0B9-177FC985B50E}"/>
    <cellStyle name="Level0_Zvit rux-koshtiv 2010 Департамент " xfId="1389" xr:uid="{88365C2E-0842-4E0F-93FD-342882D710FE}"/>
    <cellStyle name="Level1" xfId="1390" xr:uid="{E891CE52-F520-4B82-A337-90FB57A66F39}"/>
    <cellStyle name="Level1 2" xfId="1391" xr:uid="{F166975D-4F44-4667-A20D-784C76AFE53E}"/>
    <cellStyle name="Level1-Numbers" xfId="1392" xr:uid="{F022CB6D-A47D-4928-B886-2BCFEA70FC0D}"/>
    <cellStyle name="Level1-Numbers 2" xfId="1393" xr:uid="{9C3C1403-84E3-43C5-900E-9BA8717C703A}"/>
    <cellStyle name="Level1-Numbers-Hide" xfId="1394" xr:uid="{4DB930BA-5F50-47B8-A3A3-D07275E12EFD}"/>
    <cellStyle name="Level2" xfId="1395" xr:uid="{03D13A46-5B87-4D17-B59B-848805E99E94}"/>
    <cellStyle name="Level2 2" xfId="1396" xr:uid="{6DE9BBE5-9B8B-4013-9627-17CD4B138383}"/>
    <cellStyle name="Level2-Hide" xfId="1397" xr:uid="{3FC92EBF-1EA1-4E67-AF3C-D2B91F7E06C3}"/>
    <cellStyle name="Level2-Hide 2" xfId="1398" xr:uid="{E78C62ED-9D22-47D3-AF0B-78972583B39F}"/>
    <cellStyle name="Level2-Numbers" xfId="1399" xr:uid="{A96C70D8-CBA1-41DD-93D5-4AE86F91E57A}"/>
    <cellStyle name="Level2-Numbers 2" xfId="1400" xr:uid="{0DCC3363-3545-41DD-A553-7405F3E3D01E}"/>
    <cellStyle name="Level2-Numbers-Hide" xfId="1401" xr:uid="{363432D6-1A5E-4052-9DE7-315BE901F461}"/>
    <cellStyle name="Level3" xfId="1402" xr:uid="{E39028C2-ADBE-4761-ADEE-644F651BD842}"/>
    <cellStyle name="Level3 2" xfId="1403" xr:uid="{4D020799-F8BB-4358-B9DD-76E5D11C3D84}"/>
    <cellStyle name="Level3 3" xfId="1404" xr:uid="{37676D30-4CDC-43DE-982F-89B23F7B9402}"/>
    <cellStyle name="Level3_План департамент_2010_1207" xfId="1405" xr:uid="{6ACCE7F3-4868-4265-ACE3-250C005E586F}"/>
    <cellStyle name="Level3-Hide" xfId="1406" xr:uid="{1CE9986E-9108-4BB8-9A85-F912A55BE13F}"/>
    <cellStyle name="Level3-Hide 2" xfId="1407" xr:uid="{96AE4E72-5E83-4BB0-9A07-E54E11C1C722}"/>
    <cellStyle name="Level3-Numbers" xfId="1408" xr:uid="{E80CFA91-024E-4A2A-85E6-672F8FD9DAF9}"/>
    <cellStyle name="Level3-Numbers 2" xfId="1409" xr:uid="{263743A8-4F01-4F49-BA7D-9DFCDCEC151B}"/>
    <cellStyle name="Level3-Numbers 3" xfId="1410" xr:uid="{CA14FFF9-7053-44A2-BE82-F946CFB1C748}"/>
    <cellStyle name="Level3-Numbers_План департамент_2010_1207" xfId="1411" xr:uid="{BEDEE3BA-8EA0-4BF1-8747-EC6BC0E9EA34}"/>
    <cellStyle name="Level3-Numbers-Hide" xfId="1412" xr:uid="{FB56F9C8-C025-4712-AE82-8CB799C945D7}"/>
    <cellStyle name="Level4" xfId="1413" xr:uid="{0DB3443F-1E70-4744-9C89-A00FC45F8132}"/>
    <cellStyle name="Level4 2" xfId="1414" xr:uid="{DBBFCE4B-B417-48A6-AC0B-6C3E93B0640C}"/>
    <cellStyle name="Level4-Hide" xfId="1415" xr:uid="{A33B41CE-FC0F-425B-9FFF-20BB4D3F356A}"/>
    <cellStyle name="Level4-Hide 2" xfId="1416" xr:uid="{32FAE451-8C02-4A1B-A0A4-FF738D430402}"/>
    <cellStyle name="Level4-Numbers" xfId="1417" xr:uid="{524CC75B-D132-4B80-8AF1-6296175C8A19}"/>
    <cellStyle name="Level4-Numbers 2" xfId="1418" xr:uid="{3395E990-65BD-429B-8490-3C3FCC59DB4F}"/>
    <cellStyle name="Level4-Numbers-Hide" xfId="1419" xr:uid="{57F90CB2-2947-4F9D-8B09-04A2B9E167E8}"/>
    <cellStyle name="Level5" xfId="1420" xr:uid="{6461AA56-B0BC-46AB-837F-A198A34AA298}"/>
    <cellStyle name="Level5 2" xfId="1421" xr:uid="{021D5F19-8E08-44E0-B87B-E2C63BA70D6B}"/>
    <cellStyle name="Level5-Hide" xfId="1422" xr:uid="{03F04758-9DDA-4B71-A5C2-6C166E6FBC63}"/>
    <cellStyle name="Level5-Hide 2" xfId="1423" xr:uid="{9AAC8693-FF91-4A8E-B0E3-10F65A9D9689}"/>
    <cellStyle name="Level5-Numbers" xfId="1424" xr:uid="{296B9F4B-9211-4C69-BFB8-219B0FF708E2}"/>
    <cellStyle name="Level5-Numbers 2" xfId="1425" xr:uid="{74600DDF-9BEC-4E2F-A389-2564827E94C7}"/>
    <cellStyle name="Level5-Numbers-Hide" xfId="1426" xr:uid="{96B5602A-1AFC-4ADD-863E-A597C9B20E2C}"/>
    <cellStyle name="Level6" xfId="1427" xr:uid="{F10D852D-79BD-4F92-BE33-EB2676795B1C}"/>
    <cellStyle name="Level6 2" xfId="1428" xr:uid="{6F40F92F-DC88-4F30-9A07-012252954C81}"/>
    <cellStyle name="Level6-Hide" xfId="1429" xr:uid="{41069CE0-1290-454A-9DAB-E3A84A99D52B}"/>
    <cellStyle name="Level6-Hide 2" xfId="1430" xr:uid="{84DB1133-1BF4-4AC9-B02D-7115A45AB34C}"/>
    <cellStyle name="Level6-Numbers" xfId="1431" xr:uid="{4A5272DA-61E0-4DE5-8A77-9722EF31793D}"/>
    <cellStyle name="Level6-Numbers 2" xfId="1432" xr:uid="{6BF0AF6F-3A3D-4551-B686-64C9069D23F2}"/>
    <cellStyle name="Level7" xfId="1433" xr:uid="{5340C4E5-9EB9-44C2-B450-F6FC431801D7}"/>
    <cellStyle name="Level7-Hide" xfId="1434" xr:uid="{214E080D-1FFE-4B61-A219-23611DE3968B}"/>
    <cellStyle name="Level7-Numbers" xfId="1435" xr:uid="{49238DF2-7A8E-483D-83E2-4891098003E6}"/>
    <cellStyle name="Linked Cell" xfId="566" xr:uid="{95E31971-D281-4E25-8AB0-5736908251E8}"/>
    <cellStyle name="Linked Cell 10" xfId="567" xr:uid="{AFDE0DCA-8C1E-403C-B0AC-9B7FCC4D18EE}"/>
    <cellStyle name="Linked Cell 10 2" xfId="1436" xr:uid="{9F2B6199-9173-48EF-A601-2DE2EA70C42F}"/>
    <cellStyle name="Linked Cell 2" xfId="568" xr:uid="{2FB56D37-4A3D-47D8-8FC0-8F22EF342E4D}"/>
    <cellStyle name="Linked Cell 2 2" xfId="1437" xr:uid="{A5CBD0C6-39E9-4D98-9B89-775B86458995}"/>
    <cellStyle name="Linked Cell 3" xfId="569" xr:uid="{039FDF74-4FFC-445E-8509-ECF8827C0E94}"/>
    <cellStyle name="Linked Cell 3 2" xfId="1438" xr:uid="{D6318C4C-574B-4DD0-B3FC-639574FEAFDD}"/>
    <cellStyle name="Linked Cell 4" xfId="570" xr:uid="{A873FB29-FDDF-4482-BD8B-CA87EF29618D}"/>
    <cellStyle name="Linked Cell 4 2" xfId="1439" xr:uid="{71DC18B8-24FD-4E9B-891B-9ACCE7C6DDBE}"/>
    <cellStyle name="Linked Cell 5" xfId="571" xr:uid="{10299196-C3EB-4246-9FE5-59465CFA3F9D}"/>
    <cellStyle name="Linked Cell 5 2" xfId="1440" xr:uid="{B1CADDD2-EC18-4BD9-8BE5-C098352E315B}"/>
    <cellStyle name="Linked Cell 6" xfId="572" xr:uid="{D96A5C1C-AE7A-4CF7-BCEF-F90D5B3C7526}"/>
    <cellStyle name="Linked Cell 6 2" xfId="1441" xr:uid="{EF7BE78D-5344-4957-AF41-A0E6440EB49E}"/>
    <cellStyle name="Linked Cell 7" xfId="573" xr:uid="{9E6E8C1D-F671-4AEB-9865-9EAE6058EA43}"/>
    <cellStyle name="Linked Cell 7 2" xfId="1442" xr:uid="{A8B4CBEF-BE7E-4D24-B3A6-CECF3B22AB1F}"/>
    <cellStyle name="Linked Cell 8" xfId="574" xr:uid="{EE392E21-BECD-4FFF-BD67-88A076AB682D}"/>
    <cellStyle name="Linked Cell 8 2" xfId="1443" xr:uid="{07BAE8F5-3579-4DB4-8E13-6BD776B8C816}"/>
    <cellStyle name="Linked Cell 9" xfId="575" xr:uid="{4175B4B2-3D2D-45CE-B312-D9105EB8636A}"/>
    <cellStyle name="Linked Cell 9 2" xfId="1444" xr:uid="{B448AF4F-6409-4BC0-8B5E-CAAB44279CCA}"/>
    <cellStyle name="MacroCode" xfId="576" xr:uid="{69FDC50A-6C56-4960-9F36-99FE245E8883}"/>
    <cellStyle name="Már látott hiperhivatkozás" xfId="577" xr:uid="{A6D303D8-1180-4CCE-83A1-CF55C8822EF3}"/>
    <cellStyle name="Měna0" xfId="578" xr:uid="{97919F22-6BB4-475D-8C86-808D6BDCD527}"/>
    <cellStyle name="Mheading1" xfId="1445" xr:uid="{1B3A3BCC-6A43-4013-A0CA-052884BA451E}"/>
    <cellStyle name="Mheading2" xfId="1446" xr:uid="{F38F57EC-4901-4092-8414-8D6D8654A544}"/>
    <cellStyle name="Millares [0]_11.1.3. bis" xfId="1447" xr:uid="{00EBA635-4137-4A46-B2AE-276AAAF06233}"/>
    <cellStyle name="Millares_11.1.3. bis" xfId="1448" xr:uid="{60FC7955-D337-4433-801C-25998187591A}"/>
    <cellStyle name="Milliers [0]_Encours - Apr rééch" xfId="579" xr:uid="{0A5F2C8C-137F-4226-8515-B7758495317E}"/>
    <cellStyle name="Milliers_Encours - Apr rééch" xfId="580" xr:uid="{5F1B4813-917E-48BA-B4D2-6837A662A0C1}"/>
    <cellStyle name="Mìna0" xfId="581" xr:uid="{5232EA15-9115-4E12-A0D0-350DDACEC6C9}"/>
    <cellStyle name="Moeda [0]_A" xfId="1449" xr:uid="{DB857732-1E89-490D-862D-C68AEB15485E}"/>
    <cellStyle name="Moeda_A" xfId="1450" xr:uid="{FDFAFBB5-97D2-4B41-9D80-7BA6686A8DE2}"/>
    <cellStyle name="Moeda0" xfId="1451" xr:uid="{B07046EF-C2E7-4654-990E-1B05BDB7BD17}"/>
    <cellStyle name="Moneda [0]_11.1.3. bis" xfId="1452" xr:uid="{783B9144-BF2D-40F7-9D31-BFF3761D7651}"/>
    <cellStyle name="Moneda_11.1.3. bis" xfId="1453" xr:uid="{6B76A242-6990-4EA3-AC6F-FB796F8B75FB}"/>
    <cellStyle name="Monétaire [0]_Encours - Apr rééch" xfId="582" xr:uid="{23D3B1CE-CB30-4168-B300-B288EA50EF1A}"/>
    <cellStyle name="Monétaire_Encours - Apr rééch" xfId="583" xr:uid="{B7E7E757-D718-4936-A94A-ECFD1742E262}"/>
    <cellStyle name="Monetario" xfId="1454" xr:uid="{061BE5E1-F904-4052-B54C-062C3D5ACC48}"/>
    <cellStyle name="Monetario0" xfId="1455" xr:uid="{8803E5EE-52B0-4F5F-98B4-65DE5EA32E4C}"/>
    <cellStyle name="Nedefinován" xfId="584" xr:uid="{2837EAF9-7FFA-48B2-8F98-861CD9065116}"/>
    <cellStyle name="Neutral" xfId="585" xr:uid="{83FF9448-6376-43F4-B701-193C1C1F909F}"/>
    <cellStyle name="Neutral 10" xfId="586" xr:uid="{C237E9E0-9A3C-49D3-A5B4-D421CBB08AE5}"/>
    <cellStyle name="Neutral 10 2" xfId="1456" xr:uid="{E3763496-4593-450C-ACAC-4E30359F7938}"/>
    <cellStyle name="Neutral 2" xfId="587" xr:uid="{F2B084BC-EC90-49D1-A54D-F44231A91537}"/>
    <cellStyle name="Neutral 2 2" xfId="1457" xr:uid="{F766391C-5ACC-4860-8EF0-D610F54F08AD}"/>
    <cellStyle name="Neutral 3" xfId="588" xr:uid="{03CFEC72-74D4-46C4-B5D9-8D597C54F1BF}"/>
    <cellStyle name="Neutral 3 2" xfId="1458" xr:uid="{FC97366E-5859-4014-9262-8E513AF10356}"/>
    <cellStyle name="Neutral 4" xfId="589" xr:uid="{4EADE96A-B1CA-4FED-933F-EF7D08DC012F}"/>
    <cellStyle name="Neutral 4 2" xfId="1459" xr:uid="{825164A9-1127-41E4-9B4F-209012DB0331}"/>
    <cellStyle name="Neutral 5" xfId="590" xr:uid="{12A8F01E-481B-43A5-9DBF-A66B81C7732D}"/>
    <cellStyle name="Neutral 5 2" xfId="1460" xr:uid="{2134A765-E5D1-471C-8FE5-A1E2CB1F61A1}"/>
    <cellStyle name="Neutral 6" xfId="591" xr:uid="{8AEE821C-A291-4015-B3AB-0D62DC31C265}"/>
    <cellStyle name="Neutral 6 2" xfId="1461" xr:uid="{9959BED9-AEEA-441D-AE96-A33B90D3EB71}"/>
    <cellStyle name="Neutral 7" xfId="592" xr:uid="{DB89637D-1D2C-45BF-8736-BAB35CC338A4}"/>
    <cellStyle name="Neutral 7 2" xfId="1462" xr:uid="{6EF9286F-A01F-4CAE-801A-349382701800}"/>
    <cellStyle name="Neutral 8" xfId="593" xr:uid="{6C052790-BA70-4245-808C-772FA20E3141}"/>
    <cellStyle name="Neutral 8 2" xfId="1463" xr:uid="{11F841BA-2046-4264-A71B-A7E5EBF3D4A2}"/>
    <cellStyle name="Neutral 9" xfId="594" xr:uid="{FDFFCD42-FB8C-4A48-A525-27F90F3EA886}"/>
    <cellStyle name="Neutral 9 2" xfId="1464" xr:uid="{720FF18C-A0D1-46CD-BC9C-DA270C44BCE2}"/>
    <cellStyle name="Non défini" xfId="1465" xr:uid="{01A3E538-B0B0-4B41-B490-EA4BD75D17EF}"/>
    <cellStyle name="normal" xfId="595" xr:uid="{836E796F-B6EA-4DCA-B805-494B65669742}"/>
    <cellStyle name="Normal - Style1" xfId="596" xr:uid="{19C4F8BD-9658-493E-815E-C48BC41698CB}"/>
    <cellStyle name="Normal - Style1 2" xfId="1466" xr:uid="{E87797B1-F3C3-4710-B25A-A17A30B47DC3}"/>
    <cellStyle name="Normal - Style2" xfId="597" xr:uid="{6FDB9C29-62D3-49DF-B179-C2523698D198}"/>
    <cellStyle name="Normal - Style2 2" xfId="1467" xr:uid="{8F10305F-A187-45D5-B61F-9836EA390B93}"/>
    <cellStyle name="Normal - Style2_IM" xfId="1468" xr:uid="{D5D964E9-5204-4DE2-8328-D0860B322A96}"/>
    <cellStyle name="Normal - Style3" xfId="598" xr:uid="{33C6A38F-56FE-4A1C-97D6-9344D532209F}"/>
    <cellStyle name="Normal - Style3 2" xfId="1469" xr:uid="{D3849F65-CA5D-4015-993C-280E185A0E63}"/>
    <cellStyle name="Normal - Style4" xfId="1470" xr:uid="{11E5CFA6-973C-421F-B509-4A6ACAF0E815}"/>
    <cellStyle name="Normal - Style5" xfId="599" xr:uid="{D19F4526-AEDE-43AD-B5DC-75C0F73E41E0}"/>
    <cellStyle name="Normal - Style6" xfId="600" xr:uid="{16DEEADD-3925-46B1-B307-2C4371D7108E}"/>
    <cellStyle name="Normal - Style7" xfId="601" xr:uid="{08736AA3-CD83-41BB-87E4-E3228C90F949}"/>
    <cellStyle name="Normal - Style8" xfId="602" xr:uid="{305B6A73-7ADE-4F02-8595-51B64ADF1E00}"/>
    <cellStyle name="Normal 10" xfId="603" xr:uid="{5800705E-63FC-4DF8-8D1B-38A71A20D535}"/>
    <cellStyle name="Normal 10 2" xfId="604" xr:uid="{FEA90CAC-CF0C-4E3B-824F-7AE1EF44D8F4}"/>
    <cellStyle name="Normal 10 3" xfId="1471" xr:uid="{FEEB42DD-75AD-415D-A728-E96008A57308}"/>
    <cellStyle name="Normal 10 3 2" xfId="1472" xr:uid="{C5600D77-1DA2-416E-A3A3-985DCFF9DC9F}"/>
    <cellStyle name="Normal 10_IM" xfId="1473" xr:uid="{A339FAAE-081D-4393-9443-92156A354605}"/>
    <cellStyle name="Normal 11" xfId="605" xr:uid="{3B7AAFB5-6D4A-491E-AB2A-07ECE29D9532}"/>
    <cellStyle name="Normal 11 2" xfId="606" xr:uid="{DD5C0971-0F08-4F28-89FF-461D9272BAE2}"/>
    <cellStyle name="Normal 12" xfId="607" xr:uid="{6D20A6B7-E8D2-4390-B1E3-F5236F4E5D32}"/>
    <cellStyle name="Normal 12 2" xfId="608" xr:uid="{B0403AAD-30AA-41E5-AD5B-AC52E1E91A64}"/>
    <cellStyle name="Normal 13" xfId="609" xr:uid="{1ED6AEF4-7A0F-42A9-8C98-49208212153F}"/>
    <cellStyle name="Normal 13 2" xfId="610" xr:uid="{42C884E3-C0A8-4430-9231-14C52BDA888D}"/>
    <cellStyle name="Normal 13 2 2 3" xfId="68" xr:uid="{A9532FC7-3F93-48D1-B5D1-36440DFEFD09}"/>
    <cellStyle name="Normal 14" xfId="611" xr:uid="{D5A680F3-5152-4952-A913-A1874E6A5BA2}"/>
    <cellStyle name="Normal 15" xfId="612" xr:uid="{809C7F06-6270-43CC-9DB8-E399C43A2361}"/>
    <cellStyle name="Normal 16" xfId="613" xr:uid="{7041BEE7-9B88-4995-A257-9893D651CA91}"/>
    <cellStyle name="Normal 17" xfId="614" xr:uid="{C40AA9C0-5804-4B17-A30B-A5EAEAE0D596}"/>
    <cellStyle name="Normal 18" xfId="615" xr:uid="{BA427C95-C7A1-4B17-AADA-9505A9758CF2}"/>
    <cellStyle name="Normal 19" xfId="616" xr:uid="{3B331C0B-852A-42A6-9D70-8A82980D00CA}"/>
    <cellStyle name="Normal 2" xfId="4" xr:uid="{00000000-0005-0000-0000-000000000000}"/>
    <cellStyle name="Normal 2 10" xfId="1474" xr:uid="{05302A9B-C8A5-4CB8-AC44-35B7321E4D9E}"/>
    <cellStyle name="Normal 2 11" xfId="1475" xr:uid="{4A3263E1-7195-4028-8359-06E8090BF65D}"/>
    <cellStyle name="Normal 2 12" xfId="1476" xr:uid="{62CB6E68-9955-41B6-B622-8549AAF4F58F}"/>
    <cellStyle name="Normal 2 13" xfId="617" xr:uid="{1913C6D6-343A-421B-86DA-AAA0578564BD}"/>
    <cellStyle name="Normal 2 2" xfId="618" xr:uid="{28C82AA2-3904-48FE-920F-4222ADAA232D}"/>
    <cellStyle name="Normal 2 2 2" xfId="619" xr:uid="{08C1096C-AA07-4E78-8E05-988F56E95EE6}"/>
    <cellStyle name="Normal 2 2 2 2" xfId="620" xr:uid="{8C5A9D87-F24A-4D17-9B2C-94E25E849477}"/>
    <cellStyle name="Normal 2 2 2 2 2" xfId="1477" xr:uid="{42AD4A6E-44DC-4D7B-86C5-D311DE7808DD}"/>
    <cellStyle name="Normal 2 2 2 3" xfId="1478" xr:uid="{EDF2A23D-76DF-47F6-BEA0-4ED731D5698F}"/>
    <cellStyle name="Normal 2 2 3" xfId="1479" xr:uid="{04CCC0DC-2D75-4E88-8151-881077449C3F}"/>
    <cellStyle name="Normal 2 3" xfId="1480" xr:uid="{A19FB536-27A0-45F8-8ED4-D0BD5D887099}"/>
    <cellStyle name="Normal 2 4" xfId="1481" xr:uid="{EF753033-5749-40A8-BEDD-8DB1B61D23A8}"/>
    <cellStyle name="Normal 2 5" xfId="1482" xr:uid="{0CA115BB-1D69-42EF-A6F4-6190E31F6FD2}"/>
    <cellStyle name="Normal 2 5 2" xfId="1483" xr:uid="{6B2617C2-1EB3-435F-A240-CA6C19144822}"/>
    <cellStyle name="Normal 2 6" xfId="1484" xr:uid="{4E0C13B3-132A-4D57-A260-3A2CD2BBD59F}"/>
    <cellStyle name="Normal 2 6 2" xfId="1485" xr:uid="{B3703A45-195B-44A4-A487-5EBB7B891AC6}"/>
    <cellStyle name="Normal 2 7" xfId="1486" xr:uid="{17D1A9BC-362F-4748-BE2E-535E47F703E4}"/>
    <cellStyle name="Normal 2 7 2" xfId="1487" xr:uid="{E2E5B0F3-03B7-410B-BB02-8EFED5ED0F9D}"/>
    <cellStyle name="Normal 2 8" xfId="1488" xr:uid="{2C266470-C4C0-4E89-A409-9EF86C046758}"/>
    <cellStyle name="Normal 2 8 2" xfId="1489" xr:uid="{12F77243-EA71-4152-93DA-9327E9B2A25D}"/>
    <cellStyle name="Normal 2 9" xfId="1490" xr:uid="{1F1BBD79-C95D-400A-81E6-F63A9DC2884D}"/>
    <cellStyle name="Normal 2_IM" xfId="1491" xr:uid="{31072C9B-9442-484E-B6B8-DBD813A1EA26}"/>
    <cellStyle name="Normal 20" xfId="621" xr:uid="{B2788140-D7D7-47A4-A38F-DD94065FD502}"/>
    <cellStyle name="Normal 21" xfId="622" xr:uid="{65FB5CA6-2ED2-447E-B4E0-209F9B604F7E}"/>
    <cellStyle name="Normal 22" xfId="623" xr:uid="{D0A5348B-5DC7-44F8-B21D-9977F41E984E}"/>
    <cellStyle name="Normal 23" xfId="624" xr:uid="{79BD5F13-DA67-4B32-9E6C-4DAD66A8353F}"/>
    <cellStyle name="Normal 24" xfId="625" xr:uid="{91913BCC-D20C-48A9-A765-6B1A06C14B39}"/>
    <cellStyle name="Normal 25" xfId="626" xr:uid="{1BC1E15C-E09B-4E92-B896-20EA5B2ACBA8}"/>
    <cellStyle name="Normal 26" xfId="627" xr:uid="{011DD93F-4225-45F4-A205-0B49EA9B219F}"/>
    <cellStyle name="Normal 27" xfId="628" xr:uid="{45581A09-C082-476B-9498-5E575D4CDAB5}"/>
    <cellStyle name="Normal 28" xfId="629" xr:uid="{B6ED5226-9CE2-4547-98CA-4D88D831CEB8}"/>
    <cellStyle name="Normal 29" xfId="630" xr:uid="{6B74F82C-6BC4-4759-A133-56A3D3053736}"/>
    <cellStyle name="Normal 3" xfId="5" xr:uid="{00000000-0005-0000-0000-000001000000}"/>
    <cellStyle name="Normal 3 2" xfId="1492" xr:uid="{AC7CB6A1-4A1D-4239-8B9C-4A52D7EB4E59}"/>
    <cellStyle name="Normal 3 2 2" xfId="1493" xr:uid="{1EB2011B-FD9D-442C-8017-EAA99AA1DB81}"/>
    <cellStyle name="Normal 3 3" xfId="1494" xr:uid="{8A604693-B3A8-442A-9C70-873A5497BECC}"/>
    <cellStyle name="Normal 3 4" xfId="631" xr:uid="{202DA2F0-EEA9-4AF2-BCB3-9A28A98BF67F}"/>
    <cellStyle name="Normal 3_IM" xfId="1495" xr:uid="{20881A30-D02E-42B6-907B-7D86F6BF4F19}"/>
    <cellStyle name="Normal 30" xfId="632" xr:uid="{9B8E9999-8ACC-4DFA-945A-37B5519EF367}"/>
    <cellStyle name="Normal 31" xfId="633" xr:uid="{B772D84C-D353-4110-8E1C-BA11D73A7268}"/>
    <cellStyle name="Normal 32" xfId="634" xr:uid="{D2805833-6D97-4158-8E04-20727A7E1478}"/>
    <cellStyle name="Normal 33" xfId="635" xr:uid="{35B71188-7313-4C46-8F16-9DFF5AC0AD50}"/>
    <cellStyle name="Normal 34" xfId="636" xr:uid="{C3B97ECD-BAD2-47BF-BF14-82F7DC57713E}"/>
    <cellStyle name="Normal 35" xfId="637" xr:uid="{8665AAC1-6851-4B61-B5C7-4727BF547CA7}"/>
    <cellStyle name="Normal 36" xfId="638" xr:uid="{EE37AA91-9383-4946-B1D4-16BC4B8F89CF}"/>
    <cellStyle name="Normal 37" xfId="639" xr:uid="{759FC65A-7BAD-44E1-9870-3DEFAD209078}"/>
    <cellStyle name="Normal 38" xfId="640" xr:uid="{F5585184-FBAB-4112-9475-4AFCE3204C3D}"/>
    <cellStyle name="Normal 39" xfId="641" xr:uid="{5DFB974C-D192-4C3F-97EE-7ACC46D3703B}"/>
    <cellStyle name="Normal 4" xfId="642" xr:uid="{9863AC66-095F-4AC6-8B17-B252DD290283}"/>
    <cellStyle name="Normal 4 2" xfId="643" xr:uid="{A8E05DF1-49B2-4751-907C-AF8F896B6AAD}"/>
    <cellStyle name="Normal 4 2 2" xfId="1496" xr:uid="{C9A62A1D-5918-4633-A0CF-318C49B19A28}"/>
    <cellStyle name="Normal 4 3" xfId="644" xr:uid="{D7FA4E8E-CE7F-49F7-BFC2-B3D6B9CDB9A2}"/>
    <cellStyle name="Normal 40" xfId="645" xr:uid="{19D4009D-EBB2-45D1-B645-61B11F8BF196}"/>
    <cellStyle name="Normal 41" xfId="646" xr:uid="{9EAF16B3-D0B3-430C-A52E-9A812220B402}"/>
    <cellStyle name="Normal 42" xfId="647" xr:uid="{A0462ED5-4409-48DA-9E19-4644FE19BABF}"/>
    <cellStyle name="Normal 43" xfId="648" xr:uid="{C453982D-1873-41D9-8AF0-5ED8B44F3FD9}"/>
    <cellStyle name="Normal 44" xfId="649" xr:uid="{F9196AA6-521F-4F01-9ED1-C9EB65B1BB9C}"/>
    <cellStyle name="Normal 45" xfId="650" xr:uid="{F8422649-3D41-45DE-AA58-5002E3F863DA}"/>
    <cellStyle name="Normal 46" xfId="651" xr:uid="{E9173151-9622-4F89-B2C5-DF57D3637F29}"/>
    <cellStyle name="Normal 47" xfId="652" xr:uid="{CFC1DAB1-75CE-43F8-B915-DAB006F9E03A}"/>
    <cellStyle name="Normal 48" xfId="653" xr:uid="{DD1D3AA6-16AD-4175-B077-7EC8E29F8997}"/>
    <cellStyle name="Normal 49" xfId="654" xr:uid="{B8EC0D54-1637-459C-ABF4-2CA41FDA4A31}"/>
    <cellStyle name="Normal 5" xfId="655" xr:uid="{21CF0F73-8363-4DC2-93C6-CB513FBD8025}"/>
    <cellStyle name="Normal 5 2" xfId="656" xr:uid="{3B397EAC-21E9-49C6-A02C-B0B2FFF45C71}"/>
    <cellStyle name="Normal 5 3" xfId="1497" xr:uid="{81D92027-E969-47FA-AC62-DE28114FD2D7}"/>
    <cellStyle name="Normal 5_IM" xfId="1498" xr:uid="{D2F70EC7-8989-4A92-BA46-E721202DADA5}"/>
    <cellStyle name="Normal 50" xfId="657" xr:uid="{FD0F398E-8E3B-4C9F-8919-F165E39037CB}"/>
    <cellStyle name="Normal 51" xfId="658" xr:uid="{37822DD0-2F65-4DDB-B3DB-FA6D7E775296}"/>
    <cellStyle name="Normal 52" xfId="659" xr:uid="{0AF411C6-73DF-4087-81A2-41B4C2A13C54}"/>
    <cellStyle name="Normal 53" xfId="660" xr:uid="{78B1ABDB-094A-4C53-959F-C98A369E1F14}"/>
    <cellStyle name="Normal 54" xfId="661" xr:uid="{917C9C58-06B6-45DF-90CA-3B5CDEC84D69}"/>
    <cellStyle name="Normal 55" xfId="662" xr:uid="{D4806799-A944-4ADA-8F09-03C80A5938CA}"/>
    <cellStyle name="Normal 56" xfId="663" xr:uid="{EFBA2910-458C-4BD7-A2F5-DC8D76063FCD}"/>
    <cellStyle name="Normal 57" xfId="664" xr:uid="{88BF6612-D8A9-49B6-AC0A-1A657B090DD4}"/>
    <cellStyle name="Normal 58" xfId="665" xr:uid="{464B3B47-B31A-453B-9E2E-58DCD98A6A98}"/>
    <cellStyle name="Normal 59" xfId="666" xr:uid="{0D2F3001-53F2-4CA2-B560-5B01E29D6B7E}"/>
    <cellStyle name="Normal 6" xfId="667" xr:uid="{CE5C9F7C-425B-46E0-8D20-A3BC850CC06B}"/>
    <cellStyle name="Normal 6 2" xfId="668" xr:uid="{2C76565E-CE53-4CEC-850B-5009E79B6968}"/>
    <cellStyle name="Normal 6 3" xfId="1499" xr:uid="{D43CB201-4EC0-41FB-98C7-70A2BE1E8891}"/>
    <cellStyle name="Normal 6_IM" xfId="1500" xr:uid="{DFE2A2C4-6CD2-4F7C-ADA0-D47C58480F60}"/>
    <cellStyle name="Normal 60" xfId="669" xr:uid="{105C8B75-DD18-4B55-AB2D-2E8E40DA3E4A}"/>
    <cellStyle name="Normal 61" xfId="670" xr:uid="{4D822475-D567-42F0-BC57-5E6C9BD9C47C}"/>
    <cellStyle name="Normal 62" xfId="671" xr:uid="{A280ED6C-9BD7-4ECC-9AC5-CBFD5698529E}"/>
    <cellStyle name="Normal 63" xfId="1501" xr:uid="{563CA8FC-0926-4699-A08E-F950970FCC09}"/>
    <cellStyle name="Normal 64" xfId="1502" xr:uid="{A0E8219D-3575-4424-860D-FE35AE25B075}"/>
    <cellStyle name="Normal 65" xfId="1503" xr:uid="{B105102F-4879-4FE3-9534-7CF1B74F3DF2}"/>
    <cellStyle name="Normal 66" xfId="1504" xr:uid="{DA2FF696-4214-463E-8756-205167878B04}"/>
    <cellStyle name="Normal 67" xfId="1505" xr:uid="{A57D342C-286E-432F-99BA-6BB57B2A1DB5}"/>
    <cellStyle name="Normal 68" xfId="1506" xr:uid="{5D9F98F4-8D18-4211-9832-64001B7D5FDA}"/>
    <cellStyle name="Normal 69" xfId="1507" xr:uid="{E9B5C5B2-22E1-448C-A085-ECDC1B508205}"/>
    <cellStyle name="Normal 69 2" xfId="1508" xr:uid="{621DC4BC-40A6-4B59-B5B5-5ED8F7EC7FBC}"/>
    <cellStyle name="Normal 7" xfId="672" xr:uid="{3C53BCDD-9472-4DA1-9735-7020E798A9E6}"/>
    <cellStyle name="Normal 7 2" xfId="673" xr:uid="{E03E6957-9596-4BD6-B754-B5758F9A408B}"/>
    <cellStyle name="Normal 8" xfId="674" xr:uid="{B3918E77-E801-4793-A075-3F087622F755}"/>
    <cellStyle name="Normal 8 2" xfId="675" xr:uid="{87A1DB39-440C-48A0-9194-7303219F4E04}"/>
    <cellStyle name="Normal 9" xfId="676" xr:uid="{FC13C9BB-8134-4CE0-8E7A-5A3200201113}"/>
    <cellStyle name="Normal Table" xfId="677" xr:uid="{AA710257-6C97-4794-B228-2CA1B88A8888}"/>
    <cellStyle name="Normál_10mell99" xfId="678" xr:uid="{4BE82CA5-6813-478E-85B8-3085E9B18A3A}"/>
    <cellStyle name="Normal_A" xfId="679" xr:uid="{54A81A96-A44E-4141-8B3E-D6CF5E54B7FA}"/>
    <cellStyle name="normální_FR NPCH-zari01" xfId="680" xr:uid="{4B9AF67E-AC10-4680-8233-FFCE07190474}"/>
    <cellStyle name="Note" xfId="681" xr:uid="{D00985BF-A138-47CC-84CD-4EF51F9CF487}"/>
    <cellStyle name="Note 10" xfId="682" xr:uid="{1247B98B-8381-4F22-91E4-CE161537EB74}"/>
    <cellStyle name="Note 10 2" xfId="1509" xr:uid="{666FEA52-B84A-47AF-B802-3E2C0963A7AC}"/>
    <cellStyle name="Note 11" xfId="683" xr:uid="{831D1614-AB64-43E3-B708-9CB0C9A8EF66}"/>
    <cellStyle name="Note 2" xfId="684" xr:uid="{B3DD00FD-21C1-4227-BC58-F2114DF29E3C}"/>
    <cellStyle name="Note 2 2" xfId="1510" xr:uid="{7C253E22-A775-49E4-95F4-126D60317C40}"/>
    <cellStyle name="Note 3" xfId="685" xr:uid="{0E6CF2AF-5D0E-4EC9-8828-523F41711486}"/>
    <cellStyle name="Note 3 2" xfId="1511" xr:uid="{E92A53C6-0C83-4059-A111-56517283A0E0}"/>
    <cellStyle name="Note 4" xfId="686" xr:uid="{3F902BAD-A08F-4A54-B86B-4DA2C9765C8A}"/>
    <cellStyle name="Note 4 2" xfId="1512" xr:uid="{75E2F65B-02E2-4530-805F-E0293DCEEBFE}"/>
    <cellStyle name="Note 5" xfId="687" xr:uid="{638F6637-9D8C-4F28-87EF-2BD7C706BDA5}"/>
    <cellStyle name="Note 5 2" xfId="1513" xr:uid="{4C384E23-0CB4-45F4-8BB3-AFD2B5385626}"/>
    <cellStyle name="Note 6" xfId="688" xr:uid="{4122231F-3473-4E63-97BA-4A8E2B9D7A62}"/>
    <cellStyle name="Note 6 2" xfId="1514" xr:uid="{9AD84865-4D61-4D17-B527-F2A9850E97F8}"/>
    <cellStyle name="Note 7" xfId="689" xr:uid="{F64C247A-AC9E-4DC1-8312-53D8D71BAEED}"/>
    <cellStyle name="Note 7 2" xfId="1515" xr:uid="{A6E1A01F-9B24-4A4E-ADCC-96D7BE2A904E}"/>
    <cellStyle name="Note 8" xfId="690" xr:uid="{C5368235-C1A3-4F4B-91D4-16A42FF4629D}"/>
    <cellStyle name="Note 8 2" xfId="1516" xr:uid="{A2056D70-050F-45B7-8796-3FF2C32EFC75}"/>
    <cellStyle name="Note 9" xfId="691" xr:uid="{50CE33D7-94F6-4037-BD9B-8DE849847AD5}"/>
    <cellStyle name="Note 9 2" xfId="1517" xr:uid="{29427528-4A02-4A57-9F30-7C6C3B341A4D}"/>
    <cellStyle name="Number-Cells" xfId="1518" xr:uid="{1C768F8F-6E29-45D6-AC47-E05E0570A534}"/>
    <cellStyle name="Number-Cells-Column2" xfId="1519" xr:uid="{12AC5FD3-832D-41C5-9491-FD4F74276748}"/>
    <cellStyle name="Number-Cells-Column5" xfId="1520" xr:uid="{EF8A4CA8-1180-46E7-B03C-7982A15F0CAB}"/>
    <cellStyle name="Obično_ENG.30.04.2004" xfId="692" xr:uid="{457FA9EB-2FFA-4EAC-86FF-920D70E6A31B}"/>
    <cellStyle name="Ôèíàíñîâûé_Tranche" xfId="693" xr:uid="{65E03874-7CA8-4CCE-992A-E0A3ABA45226}"/>
    <cellStyle name="Output" xfId="694" xr:uid="{01D291B1-9F18-479A-B080-3B324C4CB2DC}"/>
    <cellStyle name="Output 10" xfId="695" xr:uid="{DB88C482-334A-4AAF-BBEA-18F9148A9ACA}"/>
    <cellStyle name="Output 10 2" xfId="1521" xr:uid="{DBDFE511-05C2-46FB-A53D-D7B4BAE85A2C}"/>
    <cellStyle name="Output 2" xfId="696" xr:uid="{6651E43F-0998-49C9-BB32-52CCC94E2A38}"/>
    <cellStyle name="Output 2 2" xfId="1522" xr:uid="{63ECBC1D-62AE-454E-BCA5-B15C8C300F33}"/>
    <cellStyle name="Output 3" xfId="697" xr:uid="{C11F3B80-08B2-4192-B592-5C99E8E19468}"/>
    <cellStyle name="Output 3 2" xfId="1523" xr:uid="{05D85318-369B-4A49-812F-5C39C2986B3A}"/>
    <cellStyle name="Output 4" xfId="698" xr:uid="{A3BB9389-5A32-45A4-9F27-38D8BC7C53BC}"/>
    <cellStyle name="Output 4 2" xfId="1524" xr:uid="{763DA589-0035-4DCF-9D6F-5DC7746D3CC2}"/>
    <cellStyle name="Output 5" xfId="699" xr:uid="{36D3107A-E1E2-41F9-BB78-2843E8F4E4CB}"/>
    <cellStyle name="Output 5 2" xfId="1525" xr:uid="{D2CD301D-CEFB-4BC3-B2C7-2441DD0D1351}"/>
    <cellStyle name="Output 6" xfId="700" xr:uid="{347B5FAE-EC1F-46FD-9FED-5D1FFDA03340}"/>
    <cellStyle name="Output 6 2" xfId="1526" xr:uid="{8990912D-DDDE-4EB2-ACA3-F637886F0C56}"/>
    <cellStyle name="Output 7" xfId="701" xr:uid="{74E70E50-256B-4F50-8B83-0441433A6804}"/>
    <cellStyle name="Output 7 2" xfId="1527" xr:uid="{E161D0EC-1826-4693-AAFF-90230DC92717}"/>
    <cellStyle name="Output 8" xfId="702" xr:uid="{CC3FA8EA-E6DA-4473-B2EF-D02558322907}"/>
    <cellStyle name="Output 8 2" xfId="1528" xr:uid="{9EAFE8E1-6D97-4C33-88DF-0C3B97BC45BD}"/>
    <cellStyle name="Output 9" xfId="703" xr:uid="{E86BCA0A-EEFF-49DD-BED8-8E534F6480CC}"/>
    <cellStyle name="Output 9 2" xfId="1529" xr:uid="{DE426943-734B-4970-B0BE-E939D99FC9F6}"/>
    <cellStyle name="Pénznem [0]_10mell99" xfId="704" xr:uid="{4819CFAD-F8EE-4709-94F6-B8BABA9617FE}"/>
    <cellStyle name="Pénznem_10mell99" xfId="705" xr:uid="{23B6B24D-718A-4241-A8D8-383C4B686AF5}"/>
    <cellStyle name="Percen - Style1" xfId="706" xr:uid="{DB0C21FD-2AAA-407B-B5D9-E035DF799F0F}"/>
    <cellStyle name="Percent" xfId="50" xr:uid="{BAB19A68-3B05-4BFD-BFB6-333A5BE5DF17}"/>
    <cellStyle name="Percent [2]" xfId="707" xr:uid="{0CBC6410-86B8-438D-85AA-09DA103CA157}"/>
    <cellStyle name="Percent 2" xfId="6" xr:uid="{00000000-0005-0000-0000-000002000000}"/>
    <cellStyle name="Percent 2 2" xfId="51" xr:uid="{5CE99818-0012-471E-BF32-CED180A08DF0}"/>
    <cellStyle name="Percent 2 2 2" xfId="1530" xr:uid="{F0645000-A845-4AA5-9BA4-B46FB37C16CC}"/>
    <cellStyle name="Percent 2 3" xfId="1531" xr:uid="{4EED5877-D321-4776-B1C6-85DF28E3CCAD}"/>
    <cellStyle name="Percent 2 4" xfId="708" xr:uid="{F56AAD30-3AFE-4197-B5DE-91051080D227}"/>
    <cellStyle name="Percent 3" xfId="709" xr:uid="{4017730A-30BD-4757-9704-DBC5CBF7D683}"/>
    <cellStyle name="Percent 3 2" xfId="710" xr:uid="{E9FEDD8F-D1C7-405F-94CF-F32B1F482D07}"/>
    <cellStyle name="Percent 3 3" xfId="711" xr:uid="{60092CB4-71EC-4A51-B41D-CC8685F21A43}"/>
    <cellStyle name="Percent 4" xfId="1532" xr:uid="{3F623B52-E279-43DD-AF39-CFE1B77C0700}"/>
    <cellStyle name="Percent 5" xfId="1533" xr:uid="{E8F2CFE9-2B08-4E5C-9B3E-6CA89A7B8BDE}"/>
    <cellStyle name="percentage difference" xfId="712" xr:uid="{FC455C4D-90C8-4127-877F-BAAFA70D4B24}"/>
    <cellStyle name="percentage difference 2" xfId="1534" xr:uid="{B2CEDC11-0B13-4BFE-A481-B8D5197FABD0}"/>
    <cellStyle name="percentage difference one decimal" xfId="713" xr:uid="{4808969B-08E1-4BA0-BF19-D6D400229ECB}"/>
    <cellStyle name="percentage difference zero decimal" xfId="714" xr:uid="{0FCD9214-C9EC-4E68-B739-430EF70B16A5}"/>
    <cellStyle name="Percentual" xfId="1535" xr:uid="{FAAB728F-D1B6-40AA-AA5A-C7E80506305C}"/>
    <cellStyle name="Pevný" xfId="715" xr:uid="{3F32894E-F3DC-46D1-B277-2EE1C844A447}"/>
    <cellStyle name="Ponto" xfId="1536" xr:uid="{DD151689-B9D6-493C-9043-346BAEB08B75}"/>
    <cellStyle name="Porcentagem_SEP1196" xfId="1537" xr:uid="{8E854EA5-A05C-4790-9AD7-E90980409822}"/>
    <cellStyle name="Porcentaje" xfId="1538" xr:uid="{E8B46B73-077A-4F94-A90E-B2807B130D6E}"/>
    <cellStyle name="Presentation" xfId="716" xr:uid="{73C9037E-815C-4793-89BA-346E2655019D}"/>
    <cellStyle name="Presentation 2" xfId="1539" xr:uid="{3AF9D87C-A166-488B-8B2A-31961B4202FB}"/>
    <cellStyle name="Publication" xfId="717" xr:uid="{FC86AF99-A042-493A-9833-80284D977581}"/>
    <cellStyle name="Punto" xfId="1540" xr:uid="{1B590B2B-42AA-4C1E-83E1-3EEA0C34A37C}"/>
    <cellStyle name="Punto0" xfId="1541" xr:uid="{EC5868E1-B5C5-4484-BF12-7C662DCB3D7F}"/>
    <cellStyle name="Red Text" xfId="718" xr:uid="{208B8B70-BBDD-4A34-90F8-47C543931C80}"/>
    <cellStyle name="reduced" xfId="719" xr:uid="{EB0DC374-8C26-478E-9349-A0F8003E8825}"/>
    <cellStyle name="Row-Header" xfId="1542" xr:uid="{EB075C14-9B1D-4DD7-B989-6DC43F065A81}"/>
    <cellStyle name="Row-Header 2" xfId="1543" xr:uid="{87C24FBA-7195-4FD1-BEF9-A46E05800F21}"/>
    <cellStyle name="SAPBEXaggData" xfId="1544" xr:uid="{96AAE8C5-E6B2-457C-B933-E0BFA553519B}"/>
    <cellStyle name="SAPBEXaggDataEmph" xfId="1545" xr:uid="{683F73C9-FB93-47BF-94EC-C8477AA93A92}"/>
    <cellStyle name="SAPBEXaggItem" xfId="1546" xr:uid="{A374D90B-6231-4B7E-9757-A65F10467109}"/>
    <cellStyle name="SAPBEXchaText" xfId="1547" xr:uid="{E94A9825-B27E-4B37-B9D2-53D39AC25D83}"/>
    <cellStyle name="SAPBEXexcBad" xfId="1548" xr:uid="{B396B402-F790-4E24-8993-F13B94F88D9F}"/>
    <cellStyle name="SAPBEXexcCritical" xfId="1549" xr:uid="{D9DD23CE-C251-4FE7-8C66-F201E69D48DC}"/>
    <cellStyle name="SAPBEXexcGood" xfId="1550" xr:uid="{123E000C-82DD-483C-B81E-2E0C625BD4C0}"/>
    <cellStyle name="SAPBEXexcVeryBad" xfId="1551" xr:uid="{050A2062-905B-48B4-95FA-7DC74F7DD284}"/>
    <cellStyle name="SAPBEXfilterDrill" xfId="1552" xr:uid="{D9FBF2DD-F700-4E91-BF7C-0693F8C46AC2}"/>
    <cellStyle name="SAPBEXfilterItem" xfId="1553" xr:uid="{34B49E08-A121-4C93-8FC1-CFF55DB57975}"/>
    <cellStyle name="SAPBEXfilterText" xfId="1554" xr:uid="{782E5A0E-EAD8-4F85-B929-2DA3457150DB}"/>
    <cellStyle name="SAPBEXformats" xfId="1555" xr:uid="{91787B83-D7AD-428E-8707-ACCC0D5136CF}"/>
    <cellStyle name="SAPBEXheaderData" xfId="1556" xr:uid="{262AC60A-ED9F-4E8B-B22B-D2A8ED45A02B}"/>
    <cellStyle name="SAPBEXheaderItem" xfId="1557" xr:uid="{32F675F1-DEC8-4D54-99AC-E3342ADD090D}"/>
    <cellStyle name="SAPBEXheaderText" xfId="1558" xr:uid="{E84362F0-9F4D-48E4-96A0-2736345515CB}"/>
    <cellStyle name="SAPBEXresData" xfId="1559" xr:uid="{418CF610-CAA4-45A6-9733-303A82704F6C}"/>
    <cellStyle name="SAPBEXresDataEmph" xfId="1560" xr:uid="{9AFDAE8C-1FB5-4CE2-B260-A4C641837503}"/>
    <cellStyle name="SAPBEXresItem" xfId="1561" xr:uid="{5C8B14B7-4903-4FEF-A80B-BA0D08AE8671}"/>
    <cellStyle name="SAPBEXstdData" xfId="1562" xr:uid="{565E0A72-0173-4A21-847B-5A3FE196DAF8}"/>
    <cellStyle name="SAPBEXstdDataEmph" xfId="1563" xr:uid="{7A7C7119-7534-45D8-8BBE-F40AFB040AFC}"/>
    <cellStyle name="SAPBEXstdItem" xfId="1564" xr:uid="{D00851E0-8BE2-4D44-AE4B-7798CF2CB915}"/>
    <cellStyle name="SAPBEXsubData" xfId="1565" xr:uid="{E3B49A38-DBEC-46E4-9166-E5750E35775A}"/>
    <cellStyle name="SAPBEXsubDataEmph" xfId="1566" xr:uid="{3C9118DD-FCB8-4A3D-ABEA-0047D0A54207}"/>
    <cellStyle name="SAPBEXsubItem" xfId="1567" xr:uid="{5F5E70E2-7FAD-429A-80D4-DE9CCA473B94}"/>
    <cellStyle name="SAPBEXtitle" xfId="1568" xr:uid="{8EE021E9-D2B1-4006-A57D-4331AE4E1BDB}"/>
    <cellStyle name="SAPBEXundefined" xfId="1569" xr:uid="{35EC89B2-097A-4313-AC58-1CF248B56DBE}"/>
    <cellStyle name="Sep. milhar [2]" xfId="1570" xr:uid="{13070074-B847-4E29-B3F1-8347D5C0A0D4}"/>
    <cellStyle name="Separador de m" xfId="1571" xr:uid="{06C35055-0E89-4958-8BA8-7F314C3526F2}"/>
    <cellStyle name="Separador de milhares [0]_A" xfId="1572" xr:uid="{B1E43D3C-2C40-4316-ACC9-B66FD2472457}"/>
    <cellStyle name="Separador de milhares_A" xfId="1573" xr:uid="{1204100B-F01F-4C8E-8F68-8C7329C43E6F}"/>
    <cellStyle name="Sheet Title" xfId="1574" xr:uid="{E9CE57F5-2F1C-436C-98E2-98B4566D8C20}"/>
    <cellStyle name="STYL1 - Style1" xfId="720" xr:uid="{87823CE9-4D33-4414-91C7-1901A0ED8A13}"/>
    <cellStyle name="Text" xfId="721" xr:uid="{BF9A85B0-3827-4D36-B14A-403845E3EB73}"/>
    <cellStyle name="Text 2" xfId="1575" xr:uid="{E4CBA8CC-7899-46CD-A198-9DD5B7D5D536}"/>
    <cellStyle name="Title" xfId="722" xr:uid="{A4F50792-FFCA-47D4-9B18-E8FD9908EA41}"/>
    <cellStyle name="Title 10" xfId="723" xr:uid="{D7755237-A16A-4E5D-AA4F-12D342557581}"/>
    <cellStyle name="Title 10 2" xfId="1576" xr:uid="{AF7D70A2-2511-450C-BAC6-4283C25C84B2}"/>
    <cellStyle name="Title 2" xfId="724" xr:uid="{E41298AC-4D54-48E0-95F7-0054DB603050}"/>
    <cellStyle name="Title 2 2" xfId="1577" xr:uid="{9B09F10A-9F5A-4BC6-BF9C-4B7B8959FAF0}"/>
    <cellStyle name="Title 3" xfId="725" xr:uid="{3046E707-D5AC-49B6-8363-FBC7673AD6BD}"/>
    <cellStyle name="Title 3 2" xfId="1578" xr:uid="{8B3648E8-0B69-46AE-9890-C2580E6618C7}"/>
    <cellStyle name="Title 4" xfId="726" xr:uid="{4F61BF65-E24E-4877-933C-929A181E5DEB}"/>
    <cellStyle name="Title 4 2" xfId="1579" xr:uid="{05330BAE-24FF-4BFF-8816-A8D63770F755}"/>
    <cellStyle name="Title 5" xfId="727" xr:uid="{03764010-1564-4A5B-8C0A-0B05ABB6C28C}"/>
    <cellStyle name="Title 5 2" xfId="1580" xr:uid="{7F70B461-E833-47C7-806B-A6F29DBE8A35}"/>
    <cellStyle name="Title 6" xfId="728" xr:uid="{AAFA1366-ABA6-4B96-8AB1-B1200597EB9F}"/>
    <cellStyle name="Title 6 2" xfId="1581" xr:uid="{111E788A-6858-440A-B618-3F06561609DF}"/>
    <cellStyle name="Title 7" xfId="729" xr:uid="{5C694C99-B825-4375-BD52-10CE2F46E674}"/>
    <cellStyle name="Title 7 2" xfId="1582" xr:uid="{45DF98CA-DC95-46BE-B4E6-8D649E727B98}"/>
    <cellStyle name="Title 8" xfId="730" xr:uid="{5B37E170-A69F-4A87-80D2-135FCA5248A7}"/>
    <cellStyle name="Title 8 2" xfId="1583" xr:uid="{AEB1E8D0-F0ED-49F7-AEC5-4D59DEF76032}"/>
    <cellStyle name="Title 9" xfId="731" xr:uid="{9095F3FC-34CB-47EB-92F7-72E8AC7CB6F7}"/>
    <cellStyle name="Title 9 2" xfId="1584" xr:uid="{FF7CC143-4FBB-4ED0-AD9D-90978A8502FC}"/>
    <cellStyle name="Titulo1" xfId="1585" xr:uid="{9AE974F8-16FE-43F3-8181-DA86CDA65929}"/>
    <cellStyle name="Titulo2" xfId="1586" xr:uid="{4AF3B4D0-12A5-49EE-A70E-CF565558BEEC}"/>
    <cellStyle name="TopGrey" xfId="732" xr:uid="{FAE43DEC-E266-42D4-87B1-7BA800B61A5B}"/>
    <cellStyle name="Total" xfId="52" xr:uid="{6D437E63-AF3D-463A-AA4E-38A869B31753}"/>
    <cellStyle name="Total 2" xfId="53" xr:uid="{FC2EA9A9-8440-4FB0-A211-0C36BCFAF96A}"/>
    <cellStyle name="Total 2 2" xfId="734" xr:uid="{24833946-F24F-483B-B295-E84F8A218B07}"/>
    <cellStyle name="Total 3" xfId="733" xr:uid="{04A3FD87-A688-4DE5-BE66-751C6E2D555C}"/>
    <cellStyle name="Total_01 BoP forecast comparative scenario-4" xfId="735" xr:uid="{7CEC7EC2-8975-4D0B-A733-CE0514226AB2}"/>
    <cellStyle name="Undefiniert" xfId="736" xr:uid="{798B3984-138E-4AFB-BA9C-C322244C1F5C}"/>
    <cellStyle name="V¡rgula" xfId="1587" xr:uid="{FB09BA1E-F27D-4FDB-93A2-A65D3119A26E}"/>
    <cellStyle name="V¡rgula0" xfId="1588" xr:uid="{A925BAFC-69BB-4A9E-8857-311FACA0CBA6}"/>
    <cellStyle name="vaca" xfId="1589" xr:uid="{750AE25B-0272-4460-BD3C-EEEDB299A5DA}"/>
    <cellStyle name="Vírgula" xfId="1590" xr:uid="{E10A7CFA-20D0-432D-8A63-F477FAADC09E}"/>
    <cellStyle name="Warning Text" xfId="737" xr:uid="{EEFFA6A9-F62F-4B34-9D55-6D2CF123BCFB}"/>
    <cellStyle name="Warning Text 10" xfId="738" xr:uid="{1CCCE272-4BAD-4330-ABC4-FF0A7FAC21C9}"/>
    <cellStyle name="Warning Text 10 2" xfId="1591" xr:uid="{C859A7FD-1CB9-45ED-92B1-F81237B443D8}"/>
    <cellStyle name="Warning Text 2" xfId="739" xr:uid="{34A1143B-726B-4C59-B90B-AB37571D1B4D}"/>
    <cellStyle name="Warning Text 2 2" xfId="1592" xr:uid="{41519B49-C8C6-4396-94DD-99BD53B0269E}"/>
    <cellStyle name="Warning Text 3" xfId="740" xr:uid="{BE95F727-9C54-4AF1-AB82-2554D1D7FDA9}"/>
    <cellStyle name="Warning Text 3 2" xfId="1593" xr:uid="{2514AD29-CABC-4975-82C8-D9A388A2F19D}"/>
    <cellStyle name="Warning Text 4" xfId="741" xr:uid="{33F6CA2D-0AF4-4612-8FD1-362687DC58A0}"/>
    <cellStyle name="Warning Text 4 2" xfId="1594" xr:uid="{3FCD87A8-39F1-4646-82A9-E5E4FF277998}"/>
    <cellStyle name="Warning Text 5" xfId="742" xr:uid="{1204308D-EAF8-4BA6-BE1E-1FB6D972F126}"/>
    <cellStyle name="Warning Text 5 2" xfId="1595" xr:uid="{E1363830-71EA-4C18-8CAE-5E89E7C76228}"/>
    <cellStyle name="Warning Text 6" xfId="743" xr:uid="{28A308BE-ED7A-498A-8B66-D2BF56BC3D41}"/>
    <cellStyle name="Warning Text 6 2" xfId="1596" xr:uid="{3319CAB6-B451-4E00-9442-BD1F5F168E0E}"/>
    <cellStyle name="Warning Text 7" xfId="744" xr:uid="{5DEB63DF-385D-4BA0-AE73-BE3666E30D1F}"/>
    <cellStyle name="Warning Text 7 2" xfId="1597" xr:uid="{E979AF99-C331-4C47-AD06-BB2CB67F1FE4}"/>
    <cellStyle name="Warning Text 8" xfId="745" xr:uid="{E37C2689-4E84-4E0A-8266-A28BD16F70CF}"/>
    <cellStyle name="Warning Text 8 2" xfId="1598" xr:uid="{0A985E3F-6D76-4A45-9EFB-402701135201}"/>
    <cellStyle name="Warning Text 9" xfId="746" xr:uid="{BBBFFED2-1388-41E7-8B78-3578B9FE5378}"/>
    <cellStyle name="Warning Text 9 2" xfId="1599" xr:uid="{018CB879-6EC1-46F4-BEC5-64DFE1A91419}"/>
    <cellStyle name="WebAnchor1" xfId="1600" xr:uid="{737C0B66-DBFD-45CF-AD3B-2026DA915928}"/>
    <cellStyle name="WebAnchor2" xfId="1601" xr:uid="{7121A99D-DF57-409B-802B-FA3686770088}"/>
    <cellStyle name="WebAnchor3" xfId="1602" xr:uid="{3767CABF-301E-4436-AF4D-C42450C26A56}"/>
    <cellStyle name="WebAnchor4" xfId="1603" xr:uid="{9554872C-54B5-4ED8-BA39-923C5D403845}"/>
    <cellStyle name="WebAnchor5" xfId="1604" xr:uid="{A4B52A92-AAB1-4A79-B1E0-1F38E37F8955}"/>
    <cellStyle name="WebAnchor6" xfId="1605" xr:uid="{246B0AF8-6FD9-4D91-B7B9-1F93F9E46B50}"/>
    <cellStyle name="WebAnchor7" xfId="1606" xr:uid="{CB2200D2-2543-4D6F-8896-70D98B644EB1}"/>
    <cellStyle name="Webexclude" xfId="1607" xr:uid="{14A72042-A2E5-4AFD-9784-8E6B76229E0F}"/>
    <cellStyle name="WebFN" xfId="1608" xr:uid="{40474DFE-4367-4EFE-B274-0372A8B10B54}"/>
    <cellStyle name="WebFN1" xfId="1609" xr:uid="{63763547-E663-40C8-9FDB-9A81338050D7}"/>
    <cellStyle name="WebFN2" xfId="1610" xr:uid="{14D81496-C34A-431C-8E10-C9A2A2F29B27}"/>
    <cellStyle name="WebFN3" xfId="1611" xr:uid="{F6F077E2-B62D-4B84-A324-737250FF163B}"/>
    <cellStyle name="WebFN4" xfId="1612" xr:uid="{C50C2505-A979-4A92-A01A-F4A4ED010C1D}"/>
    <cellStyle name="WebHR" xfId="1613" xr:uid="{96D630BB-65A7-46D9-A022-8D4087E05833}"/>
    <cellStyle name="WebIndent1" xfId="1614" xr:uid="{BDD4C2A3-A6DB-479E-ABA6-FF7079FD262E}"/>
    <cellStyle name="WebIndent1wFN3" xfId="1615" xr:uid="{39872F42-A280-45E7-8A24-E801F8303862}"/>
    <cellStyle name="WebIndent2" xfId="1616" xr:uid="{DEB51817-78A7-49F6-81F6-464D19A29E31}"/>
    <cellStyle name="WebNoBR" xfId="1617" xr:uid="{4B8D240D-452E-4AA1-8D97-47DBF7D55229}"/>
    <cellStyle name="Záhlaví 1" xfId="747" xr:uid="{7F9D2E84-8EA7-4872-A718-F116A31E7F57}"/>
    <cellStyle name="Záhlaví 2" xfId="748" xr:uid="{562D89E1-C64B-435E-B64C-1F4E604E9951}"/>
    <cellStyle name="zero" xfId="749" xr:uid="{6EAECED9-9A1A-4606-AA38-5BEE9992B8E4}"/>
    <cellStyle name="Акцент1 2" xfId="750" xr:uid="{B26288A9-1691-401F-B0C8-86BCE8E7F8DE}"/>
    <cellStyle name="Акцент1 3" xfId="1618" xr:uid="{30228CDD-1F18-4433-B1C1-3E72EEE26E9B}"/>
    <cellStyle name="Акцент1 4" xfId="1619" xr:uid="{E6C4E1BA-0994-435D-AF07-A3090A301473}"/>
    <cellStyle name="Акцент2 2" xfId="751" xr:uid="{99897EC5-5666-472B-BCA5-BAB9A40B54E8}"/>
    <cellStyle name="Акцент2 3" xfId="1620" xr:uid="{E8E6D496-F4A3-41E1-ABE4-26D34FCD7E47}"/>
    <cellStyle name="Акцент2 4" xfId="1621" xr:uid="{F39AA3FC-0A5A-4276-80FB-FF1CC5629C81}"/>
    <cellStyle name="Акцент3 2" xfId="752" xr:uid="{F3081C56-044E-43DE-AF18-858B933C7659}"/>
    <cellStyle name="Акцент3 3" xfId="1622" xr:uid="{7F98941A-12E0-47D8-BB74-F52B785C3C0D}"/>
    <cellStyle name="Акцент3 4" xfId="1623" xr:uid="{C72C8FF1-2351-413E-B912-3605FF46A1DA}"/>
    <cellStyle name="Акцент4 2" xfId="753" xr:uid="{674CFC6F-1FD3-48AE-B04F-153BD510B8FB}"/>
    <cellStyle name="Акцент4 3" xfId="1624" xr:uid="{113FC4A3-3BF2-4444-88ED-5DDFD84D311F}"/>
    <cellStyle name="Акцент4 4" xfId="1625" xr:uid="{9DFC866A-2057-428B-A92C-19CF9575CB3E}"/>
    <cellStyle name="Акцент5 2" xfId="754" xr:uid="{C6BA3329-1D39-492B-AE23-278E94ACE897}"/>
    <cellStyle name="Акцент5 3" xfId="1626" xr:uid="{D9E6C1DD-2C94-4C46-B27E-371F7E66D6C3}"/>
    <cellStyle name="Акцент5 4" xfId="1627" xr:uid="{679FAF37-0C79-4825-9A3B-CBEA940D40C4}"/>
    <cellStyle name="Акцент6 2" xfId="755" xr:uid="{3E16FF4B-613C-418D-B3B0-04C0EB13403F}"/>
    <cellStyle name="Акцент6 3" xfId="1628" xr:uid="{CE52B367-15B4-49AC-B32A-0E386FBF03C4}"/>
    <cellStyle name="Акцент6 4" xfId="1629" xr:uid="{863E0E2B-A43F-4069-925B-BB6B4262D133}"/>
    <cellStyle name="Акцентування1" xfId="756" xr:uid="{856ADF1D-AAFE-4DAE-AD12-D969F615AA9D}"/>
    <cellStyle name="Акцентування1 2" xfId="1630" xr:uid="{EF020065-87BC-4F74-B12F-08FBA096BC37}"/>
    <cellStyle name="Акцентування2" xfId="757" xr:uid="{63BE4A50-16FB-441A-92FF-71A05A583484}"/>
    <cellStyle name="Акцентування2 2" xfId="1631" xr:uid="{413B4A00-4D30-4E25-A639-3407F6CAFCB0}"/>
    <cellStyle name="Акцентування3" xfId="758" xr:uid="{9ECFB0DE-4B4B-4454-BDEB-B98B9A51AB60}"/>
    <cellStyle name="Акцентування3 2" xfId="1632" xr:uid="{4B0C74E6-3747-4947-954D-093EEA06FDB9}"/>
    <cellStyle name="Акцентування4" xfId="759" xr:uid="{C409205E-A8F4-4D73-898A-671596549159}"/>
    <cellStyle name="Акцентування4 2" xfId="1633" xr:uid="{BD0C22F9-8E56-4D8E-8703-607A9AADF700}"/>
    <cellStyle name="Акцентування5" xfId="760" xr:uid="{E7D92A43-8E88-42BF-9635-B0F112EE8BE6}"/>
    <cellStyle name="Акцентування5 2" xfId="1634" xr:uid="{0193685F-4E69-4DB3-8095-4C309B4E5468}"/>
    <cellStyle name="Акцентування6" xfId="761" xr:uid="{543178E6-FC7B-4923-8033-15C3BD0B2D82}"/>
    <cellStyle name="Акцентування6 2" xfId="1635" xr:uid="{EFFF28EC-98CC-4092-A00C-FC070332143A}"/>
    <cellStyle name="Ввід 2" xfId="1636" xr:uid="{61F7285F-0B2E-4140-927E-88A74C4A4651}"/>
    <cellStyle name="Ввід 3" xfId="762" xr:uid="{437C7A1D-A114-4D72-B32B-1B23364AE53E}"/>
    <cellStyle name="Ввод  2" xfId="763" xr:uid="{CA4D8392-6600-4E76-9192-2E11C505F8B6}"/>
    <cellStyle name="Ввод  3" xfId="1637" xr:uid="{567AE339-9656-40AD-B5F0-EEFCF0445242}"/>
    <cellStyle name="Ввод  4" xfId="1638" xr:uid="{465FF65D-39AB-4B5B-9D86-4E2D7AA49B2D}"/>
    <cellStyle name="Відсотковий" xfId="1" builtinId="5"/>
    <cellStyle name="Відсотковий 2" xfId="14" xr:uid="{00000000-0005-0000-0000-000003000000}"/>
    <cellStyle name="Відсотковий 2 2" xfId="21" xr:uid="{00000000-0005-0000-0000-000004000000}"/>
    <cellStyle name="Відсотковий 3" xfId="18" xr:uid="{00000000-0005-0000-0000-000005000000}"/>
    <cellStyle name="Відсотковий 4" xfId="27" xr:uid="{00000000-0005-0000-0000-000006000000}"/>
    <cellStyle name="Вывод 2" xfId="764" xr:uid="{CC91FDF7-C51C-46FE-87FD-76DE9A7B3DB8}"/>
    <cellStyle name="Вывод 3" xfId="1639" xr:uid="{AEAF69D2-3498-40A5-8B18-90A8E8E22DE4}"/>
    <cellStyle name="Вывод 4" xfId="1640" xr:uid="{C5FBDB17-1572-4153-9A8C-3D2121A1B029}"/>
    <cellStyle name="Вычисление 2" xfId="765" xr:uid="{A1F7B497-A9A4-4448-AACD-54FD0E824D25}"/>
    <cellStyle name="Вычисление 3" xfId="1641" xr:uid="{59A94972-995A-425A-BAED-8100921F5921}"/>
    <cellStyle name="Вычисление 4" xfId="1642" xr:uid="{327924C1-3E02-4B1D-AF70-2E0E2824134F}"/>
    <cellStyle name="Гиперссылка_AA-CB" xfId="54" xr:uid="{438E8A17-38B5-4CB6-BE5A-F63A3A1AA180}"/>
    <cellStyle name="Гіперпосилання" xfId="16" builtinId="8"/>
    <cellStyle name="Гіперпосилання 2" xfId="58" xr:uid="{7D2FEB79-553D-4BD9-8267-E53571353ACB}"/>
    <cellStyle name="Гіперпосилання 2 2" xfId="63" xr:uid="{0E9EEAE7-9336-498C-94F9-AA41B59BFE5A}"/>
    <cellStyle name="ДАТА" xfId="766" xr:uid="{592D9F5E-2B20-4433-86BA-BA18F5D5974C}"/>
    <cellStyle name="ДАТА 2" xfId="1643" xr:uid="{AE4F2B00-7CB7-4B81-AA4A-EC920B789E80}"/>
    <cellStyle name="Денджный_CPI (2)" xfId="767" xr:uid="{CFAEEB70-7254-4D7D-9F8F-FA93BDEC36EA}"/>
    <cellStyle name="Денежный 2" xfId="1644" xr:uid="{A9FD4DB3-6105-46EA-8977-6DCE5624A3DD}"/>
    <cellStyle name="Добре" xfId="768" xr:uid="{E998DA1D-0B7A-4C9A-BAC9-0BE7C38FF454}"/>
    <cellStyle name="Добре 2" xfId="1645" xr:uid="{6777E734-3E50-4D7B-B65B-1468DCDF76C8}"/>
    <cellStyle name="Заголовки до таблиць в бюлетень" xfId="55" xr:uid="{29D77875-E6C7-4E9B-9E38-E5B7B1D7AE5D}"/>
    <cellStyle name="Заголовок 1 2" xfId="769" xr:uid="{2D27A11B-0118-4F45-9F64-65ED1EFBA7EE}"/>
    <cellStyle name="Заголовок 1 3" xfId="1646" xr:uid="{90CC40BB-ACDF-4777-9918-1D40F08611FF}"/>
    <cellStyle name="Заголовок 1 4" xfId="1647" xr:uid="{D60B3084-9DC5-4849-B437-7FDBE8B302D1}"/>
    <cellStyle name="Заголовок 2 2" xfId="770" xr:uid="{D85951D9-0CB4-48AC-BB68-94CD6E9C44FB}"/>
    <cellStyle name="Заголовок 2 3" xfId="1648" xr:uid="{890EB3D8-C741-4DFB-8474-18C0847340AA}"/>
    <cellStyle name="Заголовок 2 4" xfId="1649" xr:uid="{6EC16404-54D3-469E-917A-62EEB6DF31DF}"/>
    <cellStyle name="Заголовок 3 2" xfId="771" xr:uid="{9B3CFDA0-C368-4256-95D6-B6673BC17D96}"/>
    <cellStyle name="Заголовок 3 3" xfId="1650" xr:uid="{61F6D15B-3271-4CC1-87F6-958A16347D7D}"/>
    <cellStyle name="Заголовок 3 4" xfId="1651" xr:uid="{FE1FCB42-F8B6-4D32-A53C-D37942ACDBDD}"/>
    <cellStyle name="Заголовок 4 2" xfId="772" xr:uid="{BCBF8152-05D3-43F1-A9E0-ABD680204A79}"/>
    <cellStyle name="Заголовок 4 3" xfId="1652" xr:uid="{EA4FFF4C-3D2F-4EDD-A08E-D2DAC43BBEBB}"/>
    <cellStyle name="Заголовок 4 4" xfId="1653" xr:uid="{644C0987-8EE0-4943-96A7-E4EC5E6953EB}"/>
    <cellStyle name="ЗАГОЛОВОК1" xfId="773" xr:uid="{341A457A-1F53-404E-8C0C-08AB5ABC67BB}"/>
    <cellStyle name="ЗАГОЛОВОК1 2" xfId="1654" xr:uid="{7B8A47C1-F713-4665-BD34-ED4863C5AEB8}"/>
    <cellStyle name="ЗАГОЛОВОК2" xfId="774" xr:uid="{162F4255-3F2A-4FD2-AD0A-0CE1C7235C4D}"/>
    <cellStyle name="ЗАГОЛОВОК2 2" xfId="1655" xr:uid="{7A0A56EB-99AE-41C7-A48B-479BA4DDD311}"/>
    <cellStyle name="Звичайний" xfId="0" builtinId="0"/>
    <cellStyle name="Звичайний 10 2 3" xfId="60" xr:uid="{229AF09C-153B-49E3-BF67-5D99F4F1B133}"/>
    <cellStyle name="Звичайний 2" xfId="7" xr:uid="{00000000-0005-0000-0000-000008000000}"/>
    <cellStyle name="Звичайний 2 2" xfId="28" xr:uid="{00000000-0005-0000-0000-000009000000}"/>
    <cellStyle name="Звичайний 2 2 2" xfId="67" xr:uid="{37323F22-CF80-4AA9-A9F1-2619D5A891A8}"/>
    <cellStyle name="Звичайний 2 3" xfId="59" xr:uid="{BB5F719A-3A7D-41A2-80A3-2EE0BE1E7706}"/>
    <cellStyle name="Звичайний 2 3 2" xfId="65" xr:uid="{7246C9EE-8EC2-4398-8D64-DDC0893B35DA}"/>
    <cellStyle name="Звичайний 2 4" xfId="775" xr:uid="{E7921C0B-2DFC-4974-BCED-BBB69B7AA698}"/>
    <cellStyle name="Звичайний 3" xfId="8" xr:uid="{00000000-0005-0000-0000-00000A000000}"/>
    <cellStyle name="Звичайний 3 2" xfId="2" xr:uid="{00000000-0005-0000-0000-00000B000000}"/>
    <cellStyle name="Звичайний 3 2 2" xfId="70" xr:uid="{4FD8A449-B8A2-4C10-B524-5E5AA7758972}"/>
    <cellStyle name="Звичайний 3 3" xfId="1889" xr:uid="{B8B5B070-C44A-4407-97A9-5CCA9F28B143}"/>
    <cellStyle name="Звичайний 4" xfId="11" xr:uid="{00000000-0005-0000-0000-00000C000000}"/>
    <cellStyle name="Звичайний 4 2" xfId="61" xr:uid="{7BB8BDE8-6B3F-4077-81D3-042B87805797}"/>
    <cellStyle name="Звичайний 4 8" xfId="64" xr:uid="{CA9F3918-B5E1-4463-A473-C4BDD65F2E59}"/>
    <cellStyle name="Звичайний 46 2 2 2 3" xfId="62" xr:uid="{6F96943A-71C3-4550-8168-B403AA6CDD78}"/>
    <cellStyle name="Звичайний 5" xfId="15" xr:uid="{00000000-0005-0000-0000-00000D000000}"/>
    <cellStyle name="Звичайний 5 2" xfId="22" xr:uid="{00000000-0005-0000-0000-00000E000000}"/>
    <cellStyle name="Звичайний 6" xfId="17" xr:uid="{00000000-0005-0000-0000-00000F000000}"/>
    <cellStyle name="Звичайний 7" xfId="29" xr:uid="{00000000-0005-0000-0000-000010000000}"/>
    <cellStyle name="Звичайний 8" xfId="71" xr:uid="{0262DF86-E6D8-4B48-BCA1-46D054894AA7}"/>
    <cellStyle name="Зв'язана клітинка 2" xfId="1656" xr:uid="{D9A8E0BA-3609-4BF8-8228-6E629DA70318}"/>
    <cellStyle name="Зв'язана клітинка 3" xfId="776" xr:uid="{D297C224-381D-44FC-924D-ECBD64AF3F35}"/>
    <cellStyle name="Итог 2" xfId="777" xr:uid="{8961A57D-9542-4411-B56D-E0C016F38E42}"/>
    <cellStyle name="Итог 3" xfId="1657" xr:uid="{39884AAB-F18F-4740-BFC3-0D8B786970E5}"/>
    <cellStyle name="Итог 4" xfId="1658" xr:uid="{BC21B139-803D-4B91-8753-9D54711AFA48}"/>
    <cellStyle name="ИТОГОВЫЙ" xfId="778" xr:uid="{F5753C88-C773-4139-B337-964748429B63}"/>
    <cellStyle name="ИТОГОВЫЙ 2" xfId="1659" xr:uid="{A3F5F562-957A-4B7E-A7AB-15AFC3FC85B1}"/>
    <cellStyle name="Контрольна клітинка 2" xfId="1660" xr:uid="{8F8D5636-B938-4FC4-9B55-158D58EFE776}"/>
    <cellStyle name="Контрольна клітинка 3" xfId="779" xr:uid="{47FDAC87-4C69-479B-A40E-8BE7610C50DD}"/>
    <cellStyle name="Контрольная ячейка 2" xfId="780" xr:uid="{66688812-0009-4AA7-8039-A2743673799A}"/>
    <cellStyle name="Контрольная ячейка 3" xfId="1661" xr:uid="{7A96AABF-7A5C-423A-B2F5-3FEA3EA87F1D}"/>
    <cellStyle name="Контрольная ячейка 4" xfId="1662" xr:uid="{3BA7416B-282A-4CA1-A982-C12B1D42B1B9}"/>
    <cellStyle name="Назва 2" xfId="1663" xr:uid="{DC2FEECB-4D5A-44C4-B43C-ACFE40F9746D}"/>
    <cellStyle name="Назва 3" xfId="781" xr:uid="{8DC17E7F-A1FB-4227-996A-B7068EF9E4AE}"/>
    <cellStyle name="Название 2" xfId="782" xr:uid="{7AE3B7EE-ED5F-40AD-A5C6-0D4D81A237F2}"/>
    <cellStyle name="Название 3" xfId="1664" xr:uid="{2986BD81-22EF-4E34-8CAC-C088B8FDF7CB}"/>
    <cellStyle name="Название 4" xfId="1665" xr:uid="{7502C0E8-D080-44A7-A201-0D7994FF52FB}"/>
    <cellStyle name="Нейтральный 2" xfId="783" xr:uid="{65BDB004-683A-4660-BC30-385233E0E702}"/>
    <cellStyle name="Нейтральный 3" xfId="1666" xr:uid="{E1B36D03-86AD-44D7-9DAE-7CEA047D0CEB}"/>
    <cellStyle name="Нейтральный 4" xfId="1667" xr:uid="{A445F35A-B51B-4980-A92E-3346E20DA50A}"/>
    <cellStyle name="Обчислення 2" xfId="1668" xr:uid="{1442017B-A5FC-4FC3-AA31-51E0F4F3E065}"/>
    <cellStyle name="Обчислення 3" xfId="784" xr:uid="{35B03A69-6ED9-48A8-97BD-792CB6A126F7}"/>
    <cellStyle name="Обычный 10" xfId="785" xr:uid="{C803E148-8CC1-43CC-A7CA-BC862F561E3B}"/>
    <cellStyle name="Обычный 10 2" xfId="1669" xr:uid="{7D8AD249-2F55-4FEC-9128-73AD5468347F}"/>
    <cellStyle name="Обычный 11" xfId="30" xr:uid="{00000000-0005-0000-0000-000012000000}"/>
    <cellStyle name="Обычный 11 2" xfId="1670" xr:uid="{F535436A-4E7A-4BE4-9EEF-399F4F2B6729}"/>
    <cellStyle name="Обычный 11 3" xfId="786" xr:uid="{832B9E54-67E4-4A8D-8B1B-349B84EAC1E5}"/>
    <cellStyle name="Обычный 12" xfId="787" xr:uid="{7BAA86E1-294C-4426-80EB-9F3FDC5DDE75}"/>
    <cellStyle name="Обычный 12 2" xfId="1671" xr:uid="{881E265C-264A-4FBB-9D42-6CF2BEBA97C6}"/>
    <cellStyle name="Обычный 13" xfId="788" xr:uid="{30761DA1-6AA2-416C-847F-06436A1D7D20}"/>
    <cellStyle name="Обычный 13 2" xfId="1672" xr:uid="{D9B8E0A2-016C-4E18-A3DF-7CC8904162FA}"/>
    <cellStyle name="Обычный 14" xfId="789" xr:uid="{598E8F8B-D5D6-4270-93B5-90F46526DA5A}"/>
    <cellStyle name="Обычный 14 2" xfId="1673" xr:uid="{C5F5CEBB-8994-45C8-89A4-7844B8DFC1A5}"/>
    <cellStyle name="Обычный 15" xfId="790" xr:uid="{DC83BDB6-3E69-461D-A7AA-5F97AEC6E776}"/>
    <cellStyle name="Обычный 15 2" xfId="1674" xr:uid="{CC1C7157-F4C7-4E54-8A82-FCAA4A7CAB22}"/>
    <cellStyle name="Обычный 16" xfId="791" xr:uid="{6C316E13-EE40-46CC-9B29-A93B829BF532}"/>
    <cellStyle name="Обычный 16 2" xfId="1675" xr:uid="{1C8DBBDE-C49C-4031-A651-2FEE7B81ABF2}"/>
    <cellStyle name="Обычный 17" xfId="792" xr:uid="{403FC160-F209-4D9A-85FA-61604232B22B}"/>
    <cellStyle name="Обычный 17 2" xfId="1676" xr:uid="{B3218E26-267F-4AAA-892B-F20D85F05D46}"/>
    <cellStyle name="Обычный 18" xfId="793" xr:uid="{731DB46E-C238-46E7-8356-2F011DE0F5CB}"/>
    <cellStyle name="Обычный 18 2" xfId="1677" xr:uid="{2EFDF8B1-2CB4-48F9-9CA5-F20F53691B66}"/>
    <cellStyle name="Обычный 19" xfId="794" xr:uid="{DB50D051-4428-4AE1-9BD5-04FED81BD5CF}"/>
    <cellStyle name="Обычный 19 2" xfId="1678" xr:uid="{BB526DA7-C988-4C2A-A7CF-FF3D5A834828}"/>
    <cellStyle name="Обычный 2" xfId="66" xr:uid="{D9376DEC-6226-4C24-A752-2B6AA5AC5537}"/>
    <cellStyle name="Обычный 2 10" xfId="1679" xr:uid="{23D043F6-910A-431F-A720-E4235965F294}"/>
    <cellStyle name="Обычный 2 11" xfId="1680" xr:uid="{254AF1BC-4245-4FE7-87F8-9E97AA975DB4}"/>
    <cellStyle name="Обычный 2 12" xfId="1681" xr:uid="{1CAFE96E-3571-46F6-BF5C-05B93FED4130}"/>
    <cellStyle name="Обычный 2 13" xfId="1682" xr:uid="{8EF8EA78-314B-4151-AA47-A1660AEBA7CA}"/>
    <cellStyle name="Обычный 2 14" xfId="1683" xr:uid="{B14FAD15-74FE-4DE9-8921-64DF280DFDA7}"/>
    <cellStyle name="Обычный 2 15" xfId="1684" xr:uid="{7D605DAF-C692-4452-B44B-3F70D35A3393}"/>
    <cellStyle name="Обычный 2 16" xfId="1685" xr:uid="{2D980E85-DDC6-4949-A8D4-54D918D135C1}"/>
    <cellStyle name="Обычный 2 17" xfId="1686" xr:uid="{F7E69073-3027-44EF-A76E-AAA0B11EDECF}"/>
    <cellStyle name="Обычный 2 18" xfId="795" xr:uid="{60BC1A07-2DC8-4C5F-91E8-EC1A175C9A54}"/>
    <cellStyle name="Обычный 2 2" xfId="796" xr:uid="{899D968C-9E54-42C1-8DE1-C9CB50D510DD}"/>
    <cellStyle name="Обычный 2 2 2" xfId="797" xr:uid="{8E422534-AE92-4B28-B0CD-85F1BCE35E2D}"/>
    <cellStyle name="Обычный 2 2 2 2" xfId="1687" xr:uid="{3D63932F-FA46-43B6-9E2F-398BD3761591}"/>
    <cellStyle name="Обычный 2 2 2 3" xfId="1688" xr:uid="{C14F889E-3BF5-4BEA-8812-0A0E9A01AB63}"/>
    <cellStyle name="Обычный 2 2 3" xfId="798" xr:uid="{1B731D33-D9E9-4581-908F-2F419D169F87}"/>
    <cellStyle name="Обычный 2 2 3 2" xfId="1689" xr:uid="{FACCB987-74B4-4B3B-911D-398622D2CEBA}"/>
    <cellStyle name="Обычный 2 2 4" xfId="799" xr:uid="{0C50D79F-8D89-427B-B875-9FC39F41ED9C}"/>
    <cellStyle name="Обычный 2 2 4 2" xfId="1690" xr:uid="{A297D074-0F7D-4613-9783-8A5402D55BAC}"/>
    <cellStyle name="Обычный 2 2 5" xfId="800" xr:uid="{54F90316-B50B-4864-ADB8-A05FC0B960BA}"/>
    <cellStyle name="Обычный 2 2 5 2" xfId="1691" xr:uid="{ECC12066-EB31-49A2-A8D8-5C4286AD9029}"/>
    <cellStyle name="Обычный 2 2 6" xfId="801" xr:uid="{D426D25E-A9E8-466A-9D83-B21C08DC9B84}"/>
    <cellStyle name="Обычный 2 2 6 2" xfId="1692" xr:uid="{72083D31-A3F8-48A8-B7AE-D9AC594AFACA}"/>
    <cellStyle name="Обычный 2 2 7" xfId="802" xr:uid="{7A1B3696-5037-4FA8-90FD-B0FE20A2FC50}"/>
    <cellStyle name="Обычный 2 2 7 2" xfId="1693" xr:uid="{7377DB31-6E9D-4464-BA3D-E54A7CAB2D2D}"/>
    <cellStyle name="Обычный 2 2 8" xfId="1694" xr:uid="{1370083A-7723-40C9-AA3B-6CA12EC4605B}"/>
    <cellStyle name="Обычный 2 2_004 витрати на закупівлю імпортованого газу" xfId="1695" xr:uid="{46612B18-E989-462F-B323-DA4ABE90195B}"/>
    <cellStyle name="Обычный 2 3" xfId="803" xr:uid="{E073BF6D-0874-4607-B1AD-0119322135BC}"/>
    <cellStyle name="Обычный 2 3 2" xfId="1696" xr:uid="{77269228-3026-43D4-97E1-C629C4C6C3E1}"/>
    <cellStyle name="Обычный 2 4" xfId="804" xr:uid="{F7D3BC8A-DF08-4BCC-9F0A-DF549B5EDBBD}"/>
    <cellStyle name="Обычный 2 4 2" xfId="1697" xr:uid="{46B9EB09-3AE1-4FF9-964D-9C42FC2BD425}"/>
    <cellStyle name="Обычный 2 5" xfId="805" xr:uid="{37AC8E13-DB5C-4623-B1CB-2BD1CC4BCA69}"/>
    <cellStyle name="Обычный 2 5 2" xfId="1698" xr:uid="{06F13EAC-48BD-4493-BD41-15A0AD9459E7}"/>
    <cellStyle name="Обычный 2 6" xfId="806" xr:uid="{4843917E-BEEB-4A99-A157-B6F293269FBD}"/>
    <cellStyle name="Обычный 2 6 2" xfId="1699" xr:uid="{E9701D34-4F00-4325-8BD0-85AACB537BA5}"/>
    <cellStyle name="Обычный 2 7" xfId="807" xr:uid="{D08F1B94-BC11-4D29-BA30-6F3ED5687BCC}"/>
    <cellStyle name="Обычный 2 7 2" xfId="1700" xr:uid="{5F5F38CD-6300-42EA-B64F-EE3CA2389D94}"/>
    <cellStyle name="Обычный 2 8" xfId="1701" xr:uid="{0C255E8F-DEC6-4DDD-95AA-6FBD21DADC0A}"/>
    <cellStyle name="Обычный 2 9" xfId="1702" xr:uid="{C005FDEB-E020-4806-BECB-8BB880A1BF89}"/>
    <cellStyle name="Обычный 2_2604-2010" xfId="1703" xr:uid="{D2C4B0F5-69BC-4776-9F89-B346B11FE846}"/>
    <cellStyle name="Обычный 20" xfId="808" xr:uid="{381B3229-FFD5-4D67-B9F1-2CBDC8A60599}"/>
    <cellStyle name="Обычный 20 2" xfId="1704" xr:uid="{D4C4487B-DF2D-42E9-9E0E-9C1D330EA768}"/>
    <cellStyle name="Обычный 21" xfId="809" xr:uid="{BEAD6CF0-4ABA-4CF0-945E-12B4572DF4DC}"/>
    <cellStyle name="Обычный 21 2" xfId="1705" xr:uid="{98F65374-C496-4492-B9FC-9667771CB1FF}"/>
    <cellStyle name="Обычный 22" xfId="810" xr:uid="{B2CB3FAD-6B47-4513-A739-0852331F47D2}"/>
    <cellStyle name="Обычный 22 2" xfId="1706" xr:uid="{4CF9EAF0-F8B5-4528-B838-6340678171A8}"/>
    <cellStyle name="Обычный 23" xfId="811" xr:uid="{A8FB1D5C-3354-4142-BFEC-55865EC42030}"/>
    <cellStyle name="Обычный 23 2" xfId="1707" xr:uid="{35671E8A-93BE-4FC5-B7EE-A5B89D811656}"/>
    <cellStyle name="Обычный 24" xfId="812" xr:uid="{11434A78-2D1E-4B73-8792-8D9DE98F1406}"/>
    <cellStyle name="Обычный 24 2" xfId="1708" xr:uid="{F284F774-E185-488F-BF20-311ED967DA5A}"/>
    <cellStyle name="Обычный 25" xfId="813" xr:uid="{287F584F-FD9C-43DA-949D-1E59BE57414B}"/>
    <cellStyle name="Обычный 25 2" xfId="1709" xr:uid="{2D3EC33D-8E67-4D93-B1C6-6F3EEE02C125}"/>
    <cellStyle name="Обычный 26" xfId="814" xr:uid="{CC561EC9-6A19-4B08-886A-2C0B5E2235B3}"/>
    <cellStyle name="Обычный 26 2" xfId="1710" xr:uid="{A9C93012-5076-4363-8471-482FA6CD18E1}"/>
    <cellStyle name="Обычный 27" xfId="815" xr:uid="{71AC97E1-D702-417E-AB8C-E953793B3241}"/>
    <cellStyle name="Обычный 27 2" xfId="1711" xr:uid="{8639FBB1-C07C-48A0-BE84-EA30FFEF211F}"/>
    <cellStyle name="Обычный 28" xfId="816" xr:uid="{BCD4B06E-AD2D-4F81-8253-0DCF512CEE43}"/>
    <cellStyle name="Обычный 28 2" xfId="1712" xr:uid="{347D1D25-5C3E-4382-B04D-3E0A9B9E18C0}"/>
    <cellStyle name="Обычный 29" xfId="817" xr:uid="{072843A3-FF9A-4A30-9A07-32A372BB2ED4}"/>
    <cellStyle name="Обычный 29 2" xfId="1713" xr:uid="{A00E6EFF-C933-4B71-B322-AA6A1208497E}"/>
    <cellStyle name="Обычный 3" xfId="818" xr:uid="{2E019FA1-3549-4044-BEC9-1B90113D5BAD}"/>
    <cellStyle name="Обычный 3 10" xfId="1714" xr:uid="{79E2586B-3D0B-4561-97AB-4989D85263FD}"/>
    <cellStyle name="Обычный 3 11" xfId="1715" xr:uid="{ED7EE3CA-29AF-43F8-8075-9BBD7D41DFE9}"/>
    <cellStyle name="Обычный 3 12" xfId="1716" xr:uid="{6FCB4B33-5F6B-4151-9B73-AF2E2F6C2941}"/>
    <cellStyle name="Обычный 3 13" xfId="1717" xr:uid="{42D45D85-0981-4286-B755-B11464A6EA37}"/>
    <cellStyle name="Обычный 3 14" xfId="1718" xr:uid="{7EBBB2A4-7301-4BB3-A3D1-6EFBB740A332}"/>
    <cellStyle name="Обычный 3 14 2" xfId="1719" xr:uid="{62EA8B18-A919-45FB-A27A-48A5D0CECC14}"/>
    <cellStyle name="Обычный 3 14 3" xfId="1720" xr:uid="{4C58202D-0168-4499-8AF9-77D434603B87}"/>
    <cellStyle name="Обычный 3 14_004 витрати на закупівлю імпортованого газу" xfId="1721" xr:uid="{5BD79268-711B-4778-B554-D06F190741C9}"/>
    <cellStyle name="Обычный 3 15" xfId="1722" xr:uid="{91CB127F-2A65-41BD-A91B-BBCDFF4A7A95}"/>
    <cellStyle name="Обычный 3 2" xfId="819" xr:uid="{CEB6BB64-8FF5-4999-9C82-E7E7EC06CC96}"/>
    <cellStyle name="Обычный 3 2 2" xfId="820" xr:uid="{E0ABCE1D-D77D-47E7-88C4-3BF1B88D2A2F}"/>
    <cellStyle name="Обычный 3 2 2 2" xfId="1723" xr:uid="{2C9E67FA-C4D1-43F3-98ED-83E6A465F462}"/>
    <cellStyle name="Обычный 3 2 3" xfId="1724" xr:uid="{F1C15BAA-BCA5-4D61-8531-9116D76D5DC5}"/>
    <cellStyle name="Обычный 3 2_borg_010609_rab22" xfId="821" xr:uid="{624D8AD2-9370-48B1-8A99-03B2DA8324F4}"/>
    <cellStyle name="Обычный 3 3" xfId="1725" xr:uid="{712FABD3-1F3C-4F44-95A9-CF3DABADA603}"/>
    <cellStyle name="Обычный 3 4" xfId="1726" xr:uid="{04C24D51-686E-4DA0-A3EB-BEFCEB1652A7}"/>
    <cellStyle name="Обычный 3 5" xfId="1727" xr:uid="{60147586-BF66-4D70-9A30-B9CA555A0FC3}"/>
    <cellStyle name="Обычный 3 6" xfId="1728" xr:uid="{78D17E4C-D427-4B48-BB45-CA8CB26CFB4C}"/>
    <cellStyle name="Обычный 3 7" xfId="1729" xr:uid="{2E853688-B363-4660-A867-42FD7D9E47B3}"/>
    <cellStyle name="Обычный 3 8" xfId="1730" xr:uid="{1F9BE78D-250B-4F34-B32A-ACED984CA53D}"/>
    <cellStyle name="Обычный 3 9" xfId="1731" xr:uid="{82927E44-B9FD-4159-A739-FACEAB9942AF}"/>
    <cellStyle name="Обычный 3_% Золотые ворота" xfId="1732" xr:uid="{3A8F3C67-ABAF-49EE-A6C3-E1CAC891E22F}"/>
    <cellStyle name="Обычный 30" xfId="822" xr:uid="{790D9183-AE96-49E1-8CD0-ADDA277B6975}"/>
    <cellStyle name="Обычный 30 2" xfId="1733" xr:uid="{8A95B9DB-3C52-4593-A4DC-112037E880F8}"/>
    <cellStyle name="Обычный 31" xfId="823" xr:uid="{94911AAC-A7A0-4290-A394-48243E8ACD78}"/>
    <cellStyle name="Обычный 31 2" xfId="1734" xr:uid="{AB973141-5FF2-4951-B55E-156BF460BE37}"/>
    <cellStyle name="Обычный 32" xfId="824" xr:uid="{ADB4E316-E813-40CE-B18B-5A764F68B3C0}"/>
    <cellStyle name="Обычный 32 2" xfId="1735" xr:uid="{31CF30D8-31FD-43DC-998F-283490BC354D}"/>
    <cellStyle name="Обычный 33" xfId="825" xr:uid="{D6B4A14C-44E0-4E64-B7F7-6F2201B8F6BE}"/>
    <cellStyle name="Обычный 33 2" xfId="1736" xr:uid="{F7DB1251-D745-48F0-974A-76C042C0CC0B}"/>
    <cellStyle name="Обычный 34" xfId="826" xr:uid="{E4B32E68-0B4B-48A5-93F0-C47545D3CB97}"/>
    <cellStyle name="Обычный 34 2" xfId="1737" xr:uid="{FCC108DE-FD86-4F29-BD58-EE69CB0B939E}"/>
    <cellStyle name="Обычный 35" xfId="827" xr:uid="{9D134383-E323-4204-BE89-0D06DC418069}"/>
    <cellStyle name="Обычный 35 2" xfId="1738" xr:uid="{BEA3B35F-AC88-4807-A155-539C162B9639}"/>
    <cellStyle name="Обычный 36" xfId="828" xr:uid="{29ED9A90-5718-4031-9DEA-EED0487658FB}"/>
    <cellStyle name="Обычный 36 2" xfId="1739" xr:uid="{051F0B70-5AE4-4910-BD7C-A1B3C9D2F068}"/>
    <cellStyle name="Обычный 37" xfId="829" xr:uid="{8A3B905A-EF37-4FB5-A117-DE4EAD9168BF}"/>
    <cellStyle name="Обычный 37 2" xfId="1740" xr:uid="{E3D2F0BF-C4EF-46B8-85C1-8F0C5D915B39}"/>
    <cellStyle name="Обычный 38" xfId="830" xr:uid="{B166F14F-1CF8-4989-A86C-F143F67E77B8}"/>
    <cellStyle name="Обычный 38 2" xfId="1741" xr:uid="{0FC9C19E-188C-465A-8BC3-B0DAB14118FE}"/>
    <cellStyle name="Обычный 39" xfId="831" xr:uid="{FC25305D-44D3-4F63-BF94-681361F27077}"/>
    <cellStyle name="Обычный 39 2" xfId="1742" xr:uid="{C20E908C-A014-43D4-8FE8-4B973C0FF0F2}"/>
    <cellStyle name="Обычный 4" xfId="832" xr:uid="{CEFE181C-23F8-477E-8838-55B74743A61A}"/>
    <cellStyle name="Обычный 4 2" xfId="833" xr:uid="{09BC6A5B-E14A-4F90-B9E2-D9377FBE7A76}"/>
    <cellStyle name="Обычный 4 2 2" xfId="1743" xr:uid="{54671898-8846-4D42-B7A9-E56AA9668485}"/>
    <cellStyle name="Обычный 4 3" xfId="834" xr:uid="{1AF0A6DD-6EBF-411D-ACF9-441FD52749CE}"/>
    <cellStyle name="Обычный 4 4" xfId="835" xr:uid="{18704E80-21B9-4FB1-A7A2-10B92501A4E4}"/>
    <cellStyle name="Обычный 4_BOP Tables for NBU_103011" xfId="836" xr:uid="{58419F7B-0151-4CA0-AE94-C32049465BDF}"/>
    <cellStyle name="Обычный 40" xfId="837" xr:uid="{C08941A8-1836-4BDA-AE5E-2BAE262609C6}"/>
    <cellStyle name="Обычный 40 2" xfId="1744" xr:uid="{ED8EB593-775D-4B8A-84A9-FC2B0322D38D}"/>
    <cellStyle name="Обычный 41" xfId="838" xr:uid="{3D889830-A8EE-4E60-8057-F81173E00BAF}"/>
    <cellStyle name="Обычный 41 2" xfId="1745" xr:uid="{8B1EE5F6-CDD2-46A6-9FF2-C4B0106AFB7D}"/>
    <cellStyle name="Обычный 42" xfId="839" xr:uid="{B098ABC8-62AB-4844-8594-968CBDCA1D9C}"/>
    <cellStyle name="Обычный 42 2" xfId="1746" xr:uid="{F1462811-2A96-484F-9AF8-5ADA2B3C702F}"/>
    <cellStyle name="Обычный 43" xfId="886" xr:uid="{42A0F523-A733-46F3-9953-6B380268FCB4}"/>
    <cellStyle name="Обычный 44" xfId="887" xr:uid="{39CC79D1-00FE-4B13-A354-7FDA5434BB4C}"/>
    <cellStyle name="Обычный 45" xfId="840" xr:uid="{71A303C0-3458-471E-BB61-3D5C41BDC961}"/>
    <cellStyle name="Обычный 45 2" xfId="1747" xr:uid="{3762BB70-5F45-4C69-A3D2-22787924875E}"/>
    <cellStyle name="Обычный 46" xfId="841" xr:uid="{FA16CE51-D254-4CEC-AB85-56A75FFC1212}"/>
    <cellStyle name="Обычный 46 2" xfId="1748" xr:uid="{4A84455E-78B0-4A95-BE2F-AEFF5502DFEC}"/>
    <cellStyle name="Обычный 47" xfId="842" xr:uid="{77DEAB0A-9E4D-426D-A940-04680495719A}"/>
    <cellStyle name="Обычный 47 2" xfId="1749" xr:uid="{7A991E21-1A06-405A-A01C-C54D39620C86}"/>
    <cellStyle name="Обычный 48" xfId="843" xr:uid="{5CC3206B-1961-41FB-8ACD-62567CC7CB1A}"/>
    <cellStyle name="Обычный 48 2" xfId="1750" xr:uid="{38A32AB9-DB19-4409-97C0-66C16025EF62}"/>
    <cellStyle name="Обычный 49" xfId="844" xr:uid="{ADC31894-3C74-468E-B777-835F79746031}"/>
    <cellStyle name="Обычный 49 2" xfId="1751" xr:uid="{329A3EA9-B129-44FF-B021-92DE423864EE}"/>
    <cellStyle name="Обычный 5" xfId="845" xr:uid="{35A7F8B8-0578-4997-8AB4-AAAD3A0F9B4F}"/>
    <cellStyle name="Обычный 5 2" xfId="846" xr:uid="{8D25F294-06F0-455B-943D-8B85E292F6A9}"/>
    <cellStyle name="Обычный 5 2 2" xfId="1752" xr:uid="{35818BE4-1C0F-47F3-ABD7-45FB4955AE3D}"/>
    <cellStyle name="Обычный 5 3" xfId="847" xr:uid="{5F39C1BC-F80A-4E81-B4B5-531792495E80}"/>
    <cellStyle name="Обычный 50" xfId="848" xr:uid="{F1ADC717-DB0C-4017-95CD-CCDE2B66900B}"/>
    <cellStyle name="Обычный 50 2" xfId="1753" xr:uid="{8A38C232-6E62-423B-AED7-17130EFE81D7}"/>
    <cellStyle name="Обычный 51" xfId="849" xr:uid="{7402FA71-F57F-463F-9C93-717DA17B4577}"/>
    <cellStyle name="Обычный 51 2" xfId="1754" xr:uid="{3FDF978C-A35B-4FEE-888E-4B697A9597D5}"/>
    <cellStyle name="Обычный 52" xfId="850" xr:uid="{951EF850-BC6A-465A-8AF9-A683B7ECA3B0}"/>
    <cellStyle name="Обычный 52 2" xfId="1755" xr:uid="{C0E3FB30-360F-4558-A49C-06FEE344C864}"/>
    <cellStyle name="Обычный 53" xfId="851" xr:uid="{E5F6DF0A-9F62-4FB7-879B-9E52CFF34FB5}"/>
    <cellStyle name="Обычный 53 2" xfId="1756" xr:uid="{5628EB82-F985-4B2C-B6A9-D2662D9598B9}"/>
    <cellStyle name="Обычный 54" xfId="852" xr:uid="{56B45ACC-F12F-4384-A680-E511C412EC0C}"/>
    <cellStyle name="Обычный 54 2" xfId="1757" xr:uid="{10BEE92F-629D-4AE9-B5EC-E409C19A0DB0}"/>
    <cellStyle name="Обычный 55" xfId="1758" xr:uid="{F6D25B75-C265-44F9-992E-571BEB3412EF}"/>
    <cellStyle name="Обычный 56" xfId="1759" xr:uid="{D5556939-9C7D-421F-9A31-F8403F35EA1B}"/>
    <cellStyle name="Обычный 57" xfId="1760" xr:uid="{13134D3E-236C-4E13-B7E2-F1ED93585B87}"/>
    <cellStyle name="Обычный 58" xfId="1761" xr:uid="{0949A01C-CF20-4E58-81C4-950A20FF32D0}"/>
    <cellStyle name="Обычный 59" xfId="1762" xr:uid="{5C33CCC0-0FD9-4457-8A97-F0094A3B3C0D}"/>
    <cellStyle name="Обычный 6" xfId="853" xr:uid="{6AE5415F-C22D-44BD-94DD-A0B74E0B5678}"/>
    <cellStyle name="Обычный 6 2" xfId="854" xr:uid="{CD7C9C1E-0022-40CD-9255-DBD1DFFF9F83}"/>
    <cellStyle name="Обычный 6 2 2" xfId="1763" xr:uid="{263C5F96-8A5D-49EB-8CAE-1A1513245EB7}"/>
    <cellStyle name="Обычный 6 3" xfId="1764" xr:uid="{318A49DC-B8FD-40DD-9FBD-D5D937111AB6}"/>
    <cellStyle name="Обычный 6 4" xfId="1765" xr:uid="{EE79EEC5-767E-45C7-98FC-063C457D00C8}"/>
    <cellStyle name="Обычный 6_Баланс_газа_апарат_2011_2101" xfId="1766" xr:uid="{C5FE6F0D-493F-47C1-91A9-37642E9E8B7A}"/>
    <cellStyle name="Обычный 60" xfId="1767" xr:uid="{1C7785E3-5493-47B5-A719-EC2D6A57A4E3}"/>
    <cellStyle name="Обычный 7" xfId="855" xr:uid="{E8CACEA6-BDA3-4CD8-9540-959BF4BC9900}"/>
    <cellStyle name="Обычный 7 2" xfId="1768" xr:uid="{88C5BF17-FB75-4050-9E1C-7998D4ADD352}"/>
    <cellStyle name="Обычный 8" xfId="856" xr:uid="{2442693D-1366-4047-996A-E7878677D6B4}"/>
    <cellStyle name="Обычный 8 2" xfId="1769" xr:uid="{FA9BF636-865D-4192-870A-2D37A27D1065}"/>
    <cellStyle name="Обычный 9" xfId="857" xr:uid="{035A2107-1ACE-4B4E-9BA1-3B01BF870302}"/>
    <cellStyle name="Обычный 9 2" xfId="1770" xr:uid="{8ACCACA0-6B56-4B9A-ADCA-CD7D187F12B0}"/>
    <cellStyle name="Обычный_AA_BS" xfId="56" xr:uid="{A81689E7-EABE-49B6-AA9F-2AAF5B1493B2}"/>
    <cellStyle name="Обычный_DIN_aPB_rik_6G" xfId="10" xr:uid="{00000000-0005-0000-0000-000013000000}"/>
    <cellStyle name="Обычный_din_pb_6G" xfId="12" xr:uid="{00000000-0005-0000-0000-000014000000}"/>
    <cellStyle name="Обычный_VVP_new" xfId="26" xr:uid="{00000000-0005-0000-0000-000015000000}"/>
    <cellStyle name="Обычный_Експорт" xfId="9" xr:uid="{00000000-0005-0000-0000-000016000000}"/>
    <cellStyle name="Підсумок 2" xfId="1771" xr:uid="{5EC215C6-3498-457B-8B52-80771BF8C278}"/>
    <cellStyle name="Підсумок 3" xfId="858" xr:uid="{853E9CD6-9B3B-4372-8CC7-9EECBD7891A6}"/>
    <cellStyle name="Плохой 2" xfId="859" xr:uid="{5C00581A-80C7-4B6B-AF7F-F7125718C176}"/>
    <cellStyle name="Плохой 3" xfId="1772" xr:uid="{D2F1E33F-65B5-4094-8278-D4AA2AE55705}"/>
    <cellStyle name="Плохой 4" xfId="1773" xr:uid="{8AAF552F-702B-4B38-BE6F-C6C62F993186}"/>
    <cellStyle name="Поганий 2" xfId="1774" xr:uid="{1CFA4554-20AD-4E98-864E-482F1AB5E242}"/>
    <cellStyle name="Поганий 3" xfId="860" xr:uid="{C3734B5D-D559-4C9C-9212-B40B79769CC8}"/>
    <cellStyle name="Пояснение 2" xfId="861" xr:uid="{29F34E1E-F29F-494B-B16C-3A28E5B5EA7C}"/>
    <cellStyle name="Пояснение 3" xfId="1775" xr:uid="{DBCE3738-1F55-4469-B977-9BFC3F523DD3}"/>
    <cellStyle name="Пояснение 4" xfId="1776" xr:uid="{BFE22D57-AF24-4B74-BB50-3851C65CF21B}"/>
    <cellStyle name="Примечание 2" xfId="862" xr:uid="{1CEBACE1-A590-443C-AF99-8B5E4E193E39}"/>
    <cellStyle name="Примечание 3" xfId="1777" xr:uid="{0B902D96-4E1B-4E8D-9379-B8501F820AFD}"/>
    <cellStyle name="Примечание 4" xfId="863" xr:uid="{50BCB86E-0BBB-4544-B2EC-9760F81D142F}"/>
    <cellStyle name="Примітка 2" xfId="1778" xr:uid="{68746CD6-606F-49A4-B899-4083CD245ECA}"/>
    <cellStyle name="Примітка 3" xfId="864" xr:uid="{8831E7FB-E2DD-41CD-868A-7897817724A2}"/>
    <cellStyle name="Процентный 2" xfId="865" xr:uid="{DB1A8117-A5B6-465C-A99E-7043C5731854}"/>
    <cellStyle name="Процентный 2 10" xfId="1779" xr:uid="{8EE6D655-7748-4AFB-9177-F14D4E481D52}"/>
    <cellStyle name="Процентный 2 11" xfId="1780" xr:uid="{68370248-EEB1-4D07-A068-57D159BCD563}"/>
    <cellStyle name="Процентный 2 12" xfId="1781" xr:uid="{A4BD9BA6-4BA1-45FA-812D-6398B741F170}"/>
    <cellStyle name="Процентный 2 13" xfId="1782" xr:uid="{16FBDE7E-B7B6-4C01-B80A-BDFCD86D806B}"/>
    <cellStyle name="Процентный 2 14" xfId="1783" xr:uid="{C839DFBA-6F29-45E0-8657-E404B5E0D55F}"/>
    <cellStyle name="Процентный 2 15" xfId="1784" xr:uid="{CF1EEB5F-D8EA-439C-A8A6-7018AA3A08E8}"/>
    <cellStyle name="Процентный 2 16" xfId="1785" xr:uid="{919A45B9-E9EB-410F-8350-CF7ACBAF781E}"/>
    <cellStyle name="Процентный 2 2" xfId="866" xr:uid="{39680944-CC94-4011-B295-B79D91A6FA39}"/>
    <cellStyle name="Процентный 2 3" xfId="867" xr:uid="{130761D2-F2A2-4026-91B0-63ED8BA900EE}"/>
    <cellStyle name="Процентный 2 4" xfId="868" xr:uid="{6A88848A-00C5-4B3A-BF30-581FC1A7D405}"/>
    <cellStyle name="Процентный 2 5" xfId="869" xr:uid="{207C22C0-FEA9-41A5-830D-25C671FF8339}"/>
    <cellStyle name="Процентный 2 6" xfId="870" xr:uid="{DD1150E7-2653-4785-8732-5E6EFC66D8C7}"/>
    <cellStyle name="Процентный 2 7" xfId="871" xr:uid="{81423BD2-E408-45DC-957F-61EF8D075F09}"/>
    <cellStyle name="Процентный 2 8" xfId="1786" xr:uid="{67A1D2C6-AF14-4D1B-8EE3-043BBD4FDCD6}"/>
    <cellStyle name="Процентный 2 9" xfId="1787" xr:uid="{23F055B0-C4DE-48DA-A4EF-8205B0D4F6F5}"/>
    <cellStyle name="Процентный 3" xfId="872" xr:uid="{3701096A-AA36-47F5-B46A-F963758688C5}"/>
    <cellStyle name="Процентный 4" xfId="888" xr:uid="{4A466AA8-DAE2-4D88-A2A7-FA1BF11F7E04}"/>
    <cellStyle name="Процентный 4 2" xfId="1788" xr:uid="{A14EBB3D-6927-4C13-84C3-44CE91746D36}"/>
    <cellStyle name="Процентный 4 2 2" xfId="1789" xr:uid="{565F40DA-7BCF-46BE-B867-69F015D8D43F}"/>
    <cellStyle name="Процентный 4 2 3" xfId="1790" xr:uid="{76BAC2F2-BB5D-4768-AB23-F725E31D5F1A}"/>
    <cellStyle name="Процентный 4 3" xfId="1791" xr:uid="{E9349403-EC6C-4112-B27C-849CD49AEC3E}"/>
    <cellStyle name="Процентный 4 4" xfId="1792" xr:uid="{5A253C12-B615-4CFD-990A-BBA82EE6FBF9}"/>
    <cellStyle name="Процентный 4 5" xfId="1793" xr:uid="{DB1665D3-0D29-40C8-8B03-DFC12A05AAF7}"/>
    <cellStyle name="Процентный 5" xfId="1794" xr:uid="{1ACA46BB-8409-41DD-839E-139792E6BAE6}"/>
    <cellStyle name="Процентный 6" xfId="1795" xr:uid="{3367FA58-D7D3-46D8-B6DF-7BC8A4C7BB3F}"/>
    <cellStyle name="Результат 2" xfId="1796" xr:uid="{9DB1F555-438D-4CC7-9586-0F775AC64048}"/>
    <cellStyle name="Результат 3" xfId="873" xr:uid="{E89874E6-20DB-43F9-BCD2-08F7147C9EE3}"/>
    <cellStyle name="РівеньРядків_2 3" xfId="889" xr:uid="{AB61F1B0-6B4A-4266-9455-C78CE2059C02}"/>
    <cellStyle name="РівеньСтовпців_1 2" xfId="890" xr:uid="{771EB7F3-7055-488F-8AB3-FE604B0316B7}"/>
    <cellStyle name="Связанная ячейка 2" xfId="874" xr:uid="{ADEB702B-9B80-468F-9BEC-6A7F34B1DD1A}"/>
    <cellStyle name="Связанная ячейка 3" xfId="1797" xr:uid="{A6A28B6D-C923-4F4F-B029-F8A5462DF381}"/>
    <cellStyle name="Связанная ячейка 4" xfId="1798" xr:uid="{5F73290E-2827-4461-9CCD-0F687F1B8AEF}"/>
    <cellStyle name="Середній" xfId="875" xr:uid="{C81A12D6-2CDB-43D0-807F-862B229BEFD0}"/>
    <cellStyle name="Середній 2" xfId="1799" xr:uid="{81A20F4E-B63F-4235-982A-2FD3CB5E5A86}"/>
    <cellStyle name="Стиль 1" xfId="876" xr:uid="{E0D35F33-D691-4A19-9CB2-AC2D339CBA9D}"/>
    <cellStyle name="Стиль 1 2" xfId="1800" xr:uid="{2E8E86FA-7CA7-4047-8753-942EABDE2B2A}"/>
    <cellStyle name="Стиль 1 3" xfId="1801" xr:uid="{C861AD49-DFB5-4C19-AD50-D124C2C2EE57}"/>
    <cellStyle name="Стиль 1 4" xfId="1802" xr:uid="{3AAC7B9A-21AF-4747-9442-7A308BA346A4}"/>
    <cellStyle name="Стиль 1 5" xfId="1803" xr:uid="{D1E86867-BFC3-4765-825D-19AE46547E62}"/>
    <cellStyle name="Стиль 1 6" xfId="1804" xr:uid="{B27650AC-21BC-4BA0-B9B6-0792C6C48082}"/>
    <cellStyle name="Стиль 1 7" xfId="1805" xr:uid="{3C1C8E73-0F63-4163-BFD5-43322FEC282F}"/>
    <cellStyle name="ТЕКСТ" xfId="877" xr:uid="{C5514E33-F403-4417-8180-82E76C08FF1F}"/>
    <cellStyle name="ТЕКСТ 2" xfId="1806" xr:uid="{5C7F723A-73AD-494B-97D4-06FFECF5B4A3}"/>
    <cellStyle name="Текст попередження 2" xfId="1807" xr:uid="{69889977-3B76-49CC-81F7-9073E2025676}"/>
    <cellStyle name="Текст попередження 3" xfId="878" xr:uid="{2B56BE4C-4CDD-42D2-84E5-967A705148BF}"/>
    <cellStyle name="Текст пояснення 2" xfId="1808" xr:uid="{5C0844BB-F605-4D31-A900-67C022FD5FB5}"/>
    <cellStyle name="Текст пояснення 3" xfId="879" xr:uid="{CD5C665E-1D5E-4FE9-8040-F50484F52234}"/>
    <cellStyle name="Текст предупреждения 2" xfId="880" xr:uid="{FD8C93C7-A953-4DB1-8FAE-9CF8FB869E49}"/>
    <cellStyle name="Текст предупреждения 3" xfId="1809" xr:uid="{2BC788BF-9983-4AE8-98A3-8A76AC2B87EF}"/>
    <cellStyle name="Текст предупреждения 4" xfId="1810" xr:uid="{D7358613-050B-45DA-909E-77AB7D30ECC6}"/>
    <cellStyle name="Тысячи [0]_1.62" xfId="1811" xr:uid="{BF03ECD3-D04E-4984-95CB-04FE5BACAC74}"/>
    <cellStyle name="Тысячи_1.62" xfId="1812" xr:uid="{2730D3DD-6D23-4755-B8DF-BB699D9CF45D}"/>
    <cellStyle name="УровеньСтолб_1_Структура державного боргу" xfId="1813" xr:uid="{C7762C0C-47C0-4B09-88C4-219C6E1FAA5F}"/>
    <cellStyle name="УровеньСтрок_1_Структура державного боргу" xfId="1814" xr:uid="{DC413F6D-21E8-426B-82FC-FFA679635D9C}"/>
    <cellStyle name="ФИКСИРОВАННЫЙ" xfId="881" xr:uid="{BDE93A05-F122-4845-9C06-43962B33A6A7}"/>
    <cellStyle name="Финансовый [0] 2" xfId="1888" xr:uid="{55CB97F5-A86A-4CF7-ACE8-89601D5D5274}"/>
    <cellStyle name="Финансовый 2" xfId="882" xr:uid="{99BCEE8E-009E-4302-8384-562EBB37C49B}"/>
    <cellStyle name="Финансовый 2 10" xfId="1815" xr:uid="{E7E27B1B-47DF-4223-A3C3-1C95246FE4AE}"/>
    <cellStyle name="Финансовый 2 10 2" xfId="1816" xr:uid="{4E0C1807-303A-4939-887D-781CA340034C}"/>
    <cellStyle name="Финансовый 2 10 3" xfId="1817" xr:uid="{2FD4FE85-1FFC-471A-B856-62D7D3AB082D}"/>
    <cellStyle name="Финансовый 2 11" xfId="1818" xr:uid="{1DFEC895-0924-4792-BEA1-007B8698F66B}"/>
    <cellStyle name="Финансовый 2 11 2" xfId="1819" xr:uid="{55646820-CA47-4132-A86F-CEAA357B6AF0}"/>
    <cellStyle name="Финансовый 2 11 3" xfId="1820" xr:uid="{28C4894D-B29C-4667-AB12-3FC02A5F3348}"/>
    <cellStyle name="Финансовый 2 12" xfId="1821" xr:uid="{990092B8-F8AB-4FDF-B7F4-1E248CA46051}"/>
    <cellStyle name="Финансовый 2 12 2" xfId="1822" xr:uid="{C51EE0B8-7BD0-4870-A5CA-07A76AA21057}"/>
    <cellStyle name="Финансовый 2 12 3" xfId="1823" xr:uid="{45650058-22D8-4910-9163-3292E5DBC156}"/>
    <cellStyle name="Финансовый 2 13" xfId="1824" xr:uid="{0B1D864B-FC3A-4FD8-8B0D-9375E254BF06}"/>
    <cellStyle name="Финансовый 2 13 2" xfId="1825" xr:uid="{6219F9C6-CECC-4EB8-BE23-D8587ECD3E05}"/>
    <cellStyle name="Финансовый 2 13 3" xfId="1826" xr:uid="{3ECCDE8C-7CF0-41CE-A2E8-E0A8709E1BD0}"/>
    <cellStyle name="Финансовый 2 14" xfId="1827" xr:uid="{AB21FAFD-078E-4E6D-8454-0C9F16772ED7}"/>
    <cellStyle name="Финансовый 2 14 2" xfId="1828" xr:uid="{F1A168B6-04E2-44C1-800E-CBB657CCB708}"/>
    <cellStyle name="Финансовый 2 14 3" xfId="1829" xr:uid="{D8BA460B-9F38-4F05-83E8-A67239AED368}"/>
    <cellStyle name="Финансовый 2 15" xfId="1830" xr:uid="{8D705464-8553-4F96-AD65-8AD6B3C74673}"/>
    <cellStyle name="Финансовый 2 15 2" xfId="1831" xr:uid="{3E770738-7297-4206-9AC5-7F4475EB5993}"/>
    <cellStyle name="Финансовый 2 15 3" xfId="1832" xr:uid="{D06DF3E3-A321-40AB-A96D-064EC246C336}"/>
    <cellStyle name="Финансовый 2 16" xfId="1833" xr:uid="{D21A0A22-AD55-4AAF-B6F4-6D88D6313319}"/>
    <cellStyle name="Финансовый 2 16 2" xfId="1834" xr:uid="{2AFBD548-EECC-48FC-85D4-57DCC6551BB3}"/>
    <cellStyle name="Финансовый 2 16 3" xfId="1835" xr:uid="{EC1EC40E-182D-4FF0-B9D3-53D90417AAD1}"/>
    <cellStyle name="Финансовый 2 17" xfId="1836" xr:uid="{061A5203-CF3B-477C-A677-8F1FE9F954CB}"/>
    <cellStyle name="Финансовый 2 17 2" xfId="1837" xr:uid="{D09A3882-A9D8-494B-8D8A-19580F5D4954}"/>
    <cellStyle name="Финансовый 2 17 3" xfId="1838" xr:uid="{B11532BA-0373-4A34-9E8D-55092FA63D6A}"/>
    <cellStyle name="Финансовый 2 18" xfId="1839" xr:uid="{4020D1F2-B58A-47B1-9D56-1D4C4B082766}"/>
    <cellStyle name="Финансовый 2 19" xfId="1840" xr:uid="{F1389D19-F859-4780-9820-B6DD184DDE19}"/>
    <cellStyle name="Финансовый 2 2" xfId="1841" xr:uid="{464056A0-39A6-4DCE-8E47-3C16CCD5CAD0}"/>
    <cellStyle name="Финансовый 2 2 2" xfId="1842" xr:uid="{1A868E10-3014-4FCC-80F2-FE3BDAB1442E}"/>
    <cellStyle name="Финансовый 2 2 3" xfId="1843" xr:uid="{F130C19D-C158-40F1-AA08-1AE9C5B2553F}"/>
    <cellStyle name="Финансовый 2 20" xfId="1844" xr:uid="{756A67A9-1135-4922-B4F7-6B654BB92D76}"/>
    <cellStyle name="Финансовый 2 3" xfId="1845" xr:uid="{4CDBA32F-6304-4B2F-B5A9-10D572665D70}"/>
    <cellStyle name="Финансовый 2 3 2" xfId="1846" xr:uid="{2A9AB754-CE6D-4EF6-83D3-694D922009DB}"/>
    <cellStyle name="Финансовый 2 3 3" xfId="1847" xr:uid="{CE0B7674-0667-44A3-B1C7-70E072348320}"/>
    <cellStyle name="Финансовый 2 4" xfId="1848" xr:uid="{24D38622-3492-489C-91C9-7EF9B6702BC1}"/>
    <cellStyle name="Финансовый 2 4 2" xfId="1849" xr:uid="{D62D887C-EECE-4872-9409-268CC1BB0F3A}"/>
    <cellStyle name="Финансовый 2 4 3" xfId="1850" xr:uid="{77C54231-2D48-4E9C-85A3-73FAFEFF48B7}"/>
    <cellStyle name="Финансовый 2 5" xfId="1851" xr:uid="{27853484-EDCE-4F40-BC57-6B8106FA5DA3}"/>
    <cellStyle name="Финансовый 2 5 2" xfId="1852" xr:uid="{67BCE2F9-98DA-4C2A-96F8-17FF03975323}"/>
    <cellStyle name="Финансовый 2 5 3" xfId="1853" xr:uid="{FA15337D-FD29-4FB9-9A27-8A395D058C18}"/>
    <cellStyle name="Финансовый 2 6" xfId="1854" xr:uid="{4C5222C8-6EF8-4AF9-AF64-3DB8CCB27D8B}"/>
    <cellStyle name="Финансовый 2 6 2" xfId="1855" xr:uid="{CA797A61-E4B8-4865-9B8A-132D853FB2CA}"/>
    <cellStyle name="Финансовый 2 6 3" xfId="1856" xr:uid="{01BFE4BF-12CF-407D-8CF5-80804051355F}"/>
    <cellStyle name="Финансовый 2 7" xfId="1857" xr:uid="{93444513-0731-4994-9AFC-1D8E15674C90}"/>
    <cellStyle name="Финансовый 2 7 2" xfId="1858" xr:uid="{3E683ED8-4E4B-488A-8578-D3300496E035}"/>
    <cellStyle name="Финансовый 2 7 3" xfId="1859" xr:uid="{85D0B7AC-6255-416E-98E2-23855160976C}"/>
    <cellStyle name="Финансовый 2 8" xfId="1860" xr:uid="{2D4DC7C3-463C-4B29-B29F-EBBD962065F2}"/>
    <cellStyle name="Финансовый 2 8 2" xfId="1861" xr:uid="{5B5D2363-D2C9-448F-9FA4-E169CC2E8374}"/>
    <cellStyle name="Финансовый 2 8 3" xfId="1862" xr:uid="{9678C473-1DCB-47E2-9EAE-A3605FBDB1A4}"/>
    <cellStyle name="Финансовый 2 9" xfId="1863" xr:uid="{4C327CE7-157F-458C-ABF1-01FE67B67B4C}"/>
    <cellStyle name="Финансовый 2 9 2" xfId="1864" xr:uid="{C383CC82-8507-4950-892B-1EFE22464750}"/>
    <cellStyle name="Финансовый 2 9 3" xfId="1865" xr:uid="{D618EFDB-011F-4445-A888-373F8E1304BC}"/>
    <cellStyle name="Финансовый 3" xfId="885" xr:uid="{6ACB1E17-7619-45CE-A03D-078CE87C2B86}"/>
    <cellStyle name="Финансовый 3 2" xfId="1866" xr:uid="{0AC96731-58F0-406C-8CFF-5826C21D05DE}"/>
    <cellStyle name="Финансовый 4" xfId="1867" xr:uid="{E52CCFD1-B8D7-42BB-8B2A-3032C2B379B6}"/>
    <cellStyle name="Финансовый 4 2" xfId="1868" xr:uid="{5119633A-D185-440A-80F6-EEBC9580D70F}"/>
    <cellStyle name="Финансовый 4 2 2" xfId="1869" xr:uid="{680F0D2E-7B25-416C-A4F2-6EB01B467C9C}"/>
    <cellStyle name="Финансовый 4 2 3" xfId="1870" xr:uid="{58BDE28F-265E-4422-B1F5-A9E9E5DAA755}"/>
    <cellStyle name="Финансовый 4 2 4" xfId="1871" xr:uid="{5B8665AC-5485-4669-8102-958BCF72ADB9}"/>
    <cellStyle name="Финансовый 4 3" xfId="1872" xr:uid="{43E33E5B-32FD-4C03-9781-0C1C8A803A82}"/>
    <cellStyle name="Финансовый 4 3 2" xfId="1873" xr:uid="{4E1089F0-CD4F-4127-A229-DCE058784E94}"/>
    <cellStyle name="Финансовый 4 3 3" xfId="1874" xr:uid="{6D2C22ED-091E-4BDF-A12B-00593C502C2A}"/>
    <cellStyle name="Финансовый 5" xfId="1875" xr:uid="{366FFA1F-E6EF-4245-9052-68DA5DFD3AEE}"/>
    <cellStyle name="Финансовый 5 2" xfId="1876" xr:uid="{8A594CFD-81FB-455F-9799-871147E01314}"/>
    <cellStyle name="Финансовый 5 3" xfId="1877" xr:uid="{49820B4F-7017-4A5A-BA5A-6F09430B90B5}"/>
    <cellStyle name="Финансовый 6" xfId="1878" xr:uid="{16B4E4B6-B59B-47D5-94A4-972279179269}"/>
    <cellStyle name="Финансовый 7" xfId="1879" xr:uid="{5B7A859D-4011-474E-A2A4-5C46D7F48CC1}"/>
    <cellStyle name="Финансовый 8" xfId="1880" xr:uid="{E087E3D8-BAA0-4570-8F35-63DD39856192}"/>
    <cellStyle name="Финансовый 9" xfId="1881" xr:uid="{A70893EC-4A2E-47A8-B997-E5E49F96A1D9}"/>
    <cellStyle name="Фінансовий" xfId="3" builtinId="3"/>
    <cellStyle name="Фінансовий [0]" xfId="69" builtinId="6"/>
    <cellStyle name="Фінансовий [0] 2" xfId="25" xr:uid="{00000000-0005-0000-0000-000019000000}"/>
    <cellStyle name="Фінансовий [0] 3" xfId="1887" xr:uid="{DDEE7F20-1CA3-470A-8B4C-5D0ACA2EF8F6}"/>
    <cellStyle name="Фінансовий 2" xfId="13" xr:uid="{00000000-0005-0000-0000-00001A000000}"/>
    <cellStyle name="Фінансовий 2 2" xfId="20" xr:uid="{00000000-0005-0000-0000-00001B000000}"/>
    <cellStyle name="Фінансовий 3" xfId="19" xr:uid="{00000000-0005-0000-0000-00001C000000}"/>
    <cellStyle name="Фінансовий 3 2" xfId="23" xr:uid="{00000000-0005-0000-0000-00001D000000}"/>
    <cellStyle name="Фінансовий 4" xfId="24" xr:uid="{00000000-0005-0000-0000-00001E000000}"/>
    <cellStyle name="Фᦸнансовый" xfId="883" xr:uid="{77C39DFD-B09B-410C-9C8B-FD4D701E510F}"/>
    <cellStyle name="Хороший 2" xfId="884" xr:uid="{FD035E99-C453-4638-A2FF-77ED66333450}"/>
    <cellStyle name="Хороший 3" xfId="1882" xr:uid="{C533E7D0-247D-4CEF-B0D9-863FACE25FCB}"/>
    <cellStyle name="Хороший 4" xfId="1883" xr:uid="{DA05E3CC-F99D-420F-8429-3D5BE9D24F01}"/>
    <cellStyle name="числовой" xfId="1884" xr:uid="{48DB9C58-1A9F-4E4D-9D8D-BDE00BADAFAB}"/>
    <cellStyle name="Шапка" xfId="57" xr:uid="{80EB03C0-982D-4C41-AF1D-0039A96115CB}"/>
    <cellStyle name="Ю" xfId="1885" xr:uid="{1DEFEA5B-92F1-4BA9-9BC8-9890F9ECE484}"/>
    <cellStyle name="Ю-FreeSet_10" xfId="1886" xr:uid="{3B9A607F-FDBD-4FC3-8A0C-48A4ADEB6988}"/>
  </cellStyles>
  <dxfs count="0"/>
  <tableStyles count="0" defaultTableStyle="TableStyleMedium2" defaultPivotStyle="PivotStyleLight16"/>
  <colors>
    <mruColors>
      <color rgb="FF429EBE"/>
      <color rgb="FFBADBE8"/>
      <color rgb="FFEE0000"/>
      <color rgb="FF4CA2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63" Type="http://schemas.openxmlformats.org/officeDocument/2006/relationships/externalLink" Target="externalLinks/externalLink34.xml"/><Relationship Id="rId68" Type="http://schemas.openxmlformats.org/officeDocument/2006/relationships/externalLink" Target="externalLinks/externalLink3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externalLink" Target="externalLinks/externalLink29.xml"/><Relationship Id="rId66" Type="http://schemas.openxmlformats.org/officeDocument/2006/relationships/externalLink" Target="externalLinks/externalLink37.xml"/><Relationship Id="rId5" Type="http://schemas.openxmlformats.org/officeDocument/2006/relationships/worksheet" Target="worksheets/sheet5.xml"/><Relationship Id="rId61" Type="http://schemas.openxmlformats.org/officeDocument/2006/relationships/externalLink" Target="externalLinks/externalLink3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externalLink" Target="externalLinks/externalLink27.xml"/><Relationship Id="rId64" Type="http://schemas.openxmlformats.org/officeDocument/2006/relationships/externalLink" Target="externalLinks/externalLink35.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22.xml"/><Relationship Id="rId72"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externalLink" Target="externalLinks/externalLink30.xml"/><Relationship Id="rId67" Type="http://schemas.openxmlformats.org/officeDocument/2006/relationships/externalLink" Target="externalLinks/externalLink38.xml"/><Relationship Id="rId20" Type="http://schemas.openxmlformats.org/officeDocument/2006/relationships/worksheet" Target="worksheets/sheet20.xml"/><Relationship Id="rId41" Type="http://schemas.openxmlformats.org/officeDocument/2006/relationships/externalLink" Target="externalLinks/externalLink12.xml"/><Relationship Id="rId54" Type="http://schemas.openxmlformats.org/officeDocument/2006/relationships/externalLink" Target="externalLinks/externalLink25.xml"/><Relationship Id="rId62" Type="http://schemas.openxmlformats.org/officeDocument/2006/relationships/externalLink" Target="externalLinks/externalLink33.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externalLink" Target="externalLinks/externalLink28.xml"/><Relationship Id="rId10" Type="http://schemas.openxmlformats.org/officeDocument/2006/relationships/worksheet" Target="worksheets/sheet10.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externalLink" Target="externalLinks/externalLink31.xml"/><Relationship Id="rId65" Type="http://schemas.openxmlformats.org/officeDocument/2006/relationships/externalLink" Target="externalLinks/externalLink36.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0.xml"/><Relationship Id="rId34" Type="http://schemas.openxmlformats.org/officeDocument/2006/relationships/externalLink" Target="externalLinks/externalLink5.xml"/><Relationship Id="rId50" Type="http://schemas.openxmlformats.org/officeDocument/2006/relationships/externalLink" Target="externalLinks/externalLink21.xml"/><Relationship Id="rId55" Type="http://schemas.openxmlformats.org/officeDocument/2006/relationships/externalLink" Target="externalLinks/externalLink26.xml"/><Relationship Id="rId7" Type="http://schemas.openxmlformats.org/officeDocument/2006/relationships/worksheet" Target="worksheets/sheet7.xml"/><Relationship Id="rId7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4.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5.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45.xml"/><Relationship Id="rId1" Type="http://schemas.microsoft.com/office/2011/relationships/chartStyle" Target="style45.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46.xml"/><Relationship Id="rId1" Type="http://schemas.microsoft.com/office/2011/relationships/chartStyle" Target="style46.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31.xml"/><Relationship Id="rId2" Type="http://schemas.microsoft.com/office/2011/relationships/chartColorStyle" Target="colors47.xml"/><Relationship Id="rId1" Type="http://schemas.microsoft.com/office/2011/relationships/chartStyle" Target="style47.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48.xml"/><Relationship Id="rId1" Type="http://schemas.microsoft.com/office/2011/relationships/chartStyle" Target="style48.xml"/></Relationships>
</file>

<file path=xl/charts/_rels/chart5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52.xml"/><Relationship Id="rId1" Type="http://schemas.microsoft.com/office/2011/relationships/chartStyle" Target="style52.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53.xml"/><Relationship Id="rId1" Type="http://schemas.microsoft.com/office/2011/relationships/chartStyle" Target="style53.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54.xml"/><Relationship Id="rId1" Type="http://schemas.microsoft.com/office/2011/relationships/chartStyle" Target="style54.xml"/></Relationships>
</file>

<file path=xl/charts/_rels/chart5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8.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9.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60.xml"/><Relationship Id="rId1" Type="http://schemas.microsoft.com/office/2011/relationships/chartStyle" Target="style60.xml"/></Relationships>
</file>

<file path=xl/charts/_rels/chart6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4.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5.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6.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7.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8.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9.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0.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1.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2.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40.xml"/><Relationship Id="rId2" Type="http://schemas.microsoft.com/office/2011/relationships/chartColorStyle" Target="colors71.xml"/><Relationship Id="rId1" Type="http://schemas.microsoft.com/office/2011/relationships/chartStyle" Target="style71.xml"/></Relationships>
</file>

<file path=xl/charts/_rels/chart74.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5.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6.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75.xml"/><Relationship Id="rId1" Type="http://schemas.microsoft.com/office/2011/relationships/chartStyle" Target="style75.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76.xml"/><Relationship Id="rId1" Type="http://schemas.microsoft.com/office/2011/relationships/chartStyle" Target="style76.xml"/></Relationships>
</file>

<file path=xl/charts/_rels/chart79.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80.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46.xml"/><Relationship Id="rId2" Type="http://schemas.microsoft.com/office/2011/relationships/chartColorStyle" Target="colors79.xml"/><Relationship Id="rId1" Type="http://schemas.microsoft.com/office/2011/relationships/chartStyle" Target="style79.xml"/></Relationships>
</file>

<file path=xl/charts/_rels/chart82.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49.xml"/><Relationship Id="rId2" Type="http://schemas.microsoft.com/office/2011/relationships/chartColorStyle" Target="colors81.xml"/><Relationship Id="rId1" Type="http://schemas.microsoft.com/office/2011/relationships/chartStyle" Target="style8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671246421680239E-2"/>
          <c:y val="0.23166740347774833"/>
          <c:w val="0.9153175671820436"/>
          <c:h val="0.62171603300913658"/>
        </c:manualLayout>
      </c:layout>
      <c:areaChart>
        <c:grouping val="standard"/>
        <c:varyColors val="0"/>
        <c:ser>
          <c:idx val="2"/>
          <c:order val="2"/>
          <c:tx>
            <c:strRef>
              <c:f>'Дефлятор модель (CPI-PPI) (С-2)'!$G$1</c:f>
              <c:strCache>
                <c:ptCount val="1"/>
                <c:pt idx="0">
                  <c:v>Дефлятор</c:v>
                </c:pt>
              </c:strCache>
            </c:strRef>
          </c:tx>
          <c:spPr>
            <a:solidFill>
              <a:srgbClr val="BADBE8"/>
            </a:solidFill>
            <a:ln>
              <a:noFill/>
            </a:ln>
            <a:effectLst/>
          </c:spPr>
          <c:dLbls>
            <c:dLbl>
              <c:idx val="0"/>
              <c:layout>
                <c:manualLayout>
                  <c:x val="3.9911703707333226E-2"/>
                  <c:y val="-5.12743698687278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0EB-499B-B442-5BEBF4D5815A}"/>
                </c:ext>
              </c:extLst>
            </c:dLbl>
            <c:dLbl>
              <c:idx val="1"/>
              <c:layout>
                <c:manualLayout>
                  <c:x val="2.2164118794467415E-2"/>
                  <c:y val="-5.4651249016145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EB-499B-B442-5BEBF4D5815A}"/>
                </c:ext>
              </c:extLst>
            </c:dLbl>
            <c:dLbl>
              <c:idx val="2"/>
              <c:layout>
                <c:manualLayout>
                  <c:x val="1.9766734544737149E-2"/>
                  <c:y val="-6.55850831978641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EB-499B-B442-5BEBF4D5815A}"/>
                </c:ext>
              </c:extLst>
            </c:dLbl>
            <c:dLbl>
              <c:idx val="3"/>
              <c:layout>
                <c:manualLayout>
                  <c:x val="3.0017644859829152E-2"/>
                  <c:y val="-5.96670770067546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EB-499B-B442-5BEBF4D5815A}"/>
                </c:ext>
              </c:extLst>
            </c:dLbl>
            <c:dLbl>
              <c:idx val="4"/>
              <c:layout>
                <c:manualLayout>
                  <c:x val="0"/>
                  <c:y val="7.93495898599576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0EB-499B-B442-5BEBF4D5815A}"/>
                </c:ext>
              </c:extLst>
            </c:dLbl>
            <c:dLbl>
              <c:idx val="5"/>
              <c:layout>
                <c:manualLayout>
                  <c:x val="9.5525731612666684E-3"/>
                  <c:y val="6.47325601489129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0EB-499B-B442-5BEBF4D5815A}"/>
                </c:ext>
              </c:extLst>
            </c:dLbl>
            <c:dLbl>
              <c:idx val="6"/>
              <c:layout>
                <c:manualLayout>
                  <c:x val="1.0917226470018949E-2"/>
                  <c:y val="4.38510891331345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0EB-499B-B442-5BEBF4D5815A}"/>
                </c:ext>
              </c:extLst>
            </c:dLbl>
            <c:dLbl>
              <c:idx val="7"/>
              <c:layout>
                <c:manualLayout>
                  <c:x val="1.0917226470018851E-2"/>
                  <c:y val="2.29696181173560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0EB-499B-B442-5BEBF4D5815A}"/>
                </c:ext>
              </c:extLst>
            </c:dLbl>
            <c:dLbl>
              <c:idx val="11"/>
              <c:layout>
                <c:manualLayout>
                  <c:x val="-1.9105146322533437E-2"/>
                  <c:y val="4.176294203155667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0EB-499B-B442-5BEBF4D5815A}"/>
                </c:ext>
              </c:extLst>
            </c:dLbl>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'Дефлятор модель (CPI-PPI) (С-2)'!$A$92:$B$99</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(С-2)'!$G$46:$G$57</c:f>
              <c:numCache>
                <c:formatCode>0.0%</c:formatCode>
                <c:ptCount val="12"/>
                <c:pt idx="0">
                  <c:v>0.217</c:v>
                </c:pt>
                <c:pt idx="1">
                  <c:v>0.27300000000000002</c:v>
                </c:pt>
                <c:pt idx="2">
                  <c:v>0.26100000000000001</c:v>
                </c:pt>
                <c:pt idx="3">
                  <c:v>0.24399999999999999</c:v>
                </c:pt>
                <c:pt idx="4">
                  <c:v>0.33563583721439888</c:v>
                </c:pt>
                <c:pt idx="5">
                  <c:v>0.37085093860885787</c:v>
                </c:pt>
                <c:pt idx="6">
                  <c:v>0.42305673220230922</c:v>
                </c:pt>
                <c:pt idx="7">
                  <c:v>0.36110334762602375</c:v>
                </c:pt>
                <c:pt idx="8">
                  <c:v>0.33207970371023804</c:v>
                </c:pt>
                <c:pt idx="9">
                  <c:v>0.24231782756379081</c:v>
                </c:pt>
                <c:pt idx="10">
                  <c:v>0.15841527567376892</c:v>
                </c:pt>
                <c:pt idx="11">
                  <c:v>0.13251319552386781</c:v>
                </c:pt>
              </c:numCache>
            </c:numRef>
          </c:val>
          <c:extLst>
            <c:ext xmlns:c16="http://schemas.microsoft.com/office/drawing/2014/chart" uri="{C3380CC4-5D6E-409C-BE32-E72D297353CC}">
              <c16:uniqueId val="{00000009-F0EB-499B-B442-5BEBF4D5815A}"/>
            </c:ext>
          </c:extLst>
        </c:ser>
        <c:dLbls>
          <c:showLegendKey val="0"/>
          <c:showVal val="0"/>
          <c:showCatName val="0"/>
          <c:showSerName val="0"/>
          <c:showPercent val="0"/>
          <c:showBubbleSize val="0"/>
        </c:dLbls>
        <c:axId val="720532336"/>
        <c:axId val="720530736"/>
      </c:areaChart>
      <c:barChart>
        <c:barDir val="col"/>
        <c:grouping val="clustered"/>
        <c:varyColors val="0"/>
        <c:ser>
          <c:idx val="0"/>
          <c:order val="0"/>
          <c:tx>
            <c:strRef>
              <c:f>'Дефлятор модель (CPI-PPI) (С-2)'!$E$1</c:f>
              <c:strCache>
                <c:ptCount val="1"/>
                <c:pt idx="0">
                  <c:v>CPI</c:v>
                </c:pt>
              </c:strCache>
            </c:strRef>
          </c:tx>
          <c:spPr>
            <a:solidFill>
              <a:schemeClr val="accent3"/>
            </a:solidFill>
            <a:ln>
              <a:noFill/>
            </a:ln>
            <a:effectLst/>
          </c:spPr>
          <c:invertIfNegative val="0"/>
          <c:dLbls>
            <c:dLbl>
              <c:idx val="5"/>
              <c:layout>
                <c:manualLayout>
                  <c:x val="-5.458613235009525E-3"/>
                  <c:y val="1.46170297110447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0EB-499B-B442-5BEBF4D5815A}"/>
                </c:ext>
              </c:extLst>
            </c:dLbl>
            <c:dLbl>
              <c:idx val="6"/>
              <c:layout>
                <c:manualLayout>
                  <c:x val="-1.3646533087524814E-3"/>
                  <c:y val="1.25288826094668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0EB-499B-B442-5BEBF4D5815A}"/>
                </c:ext>
              </c:extLst>
            </c:dLbl>
            <c:dLbl>
              <c:idx val="7"/>
              <c:layout>
                <c:manualLayout>
                  <c:x val="-6.8232665437619067E-3"/>
                  <c:y val="1.4617029711044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0EB-499B-B442-5BEBF4D5815A}"/>
                </c:ext>
              </c:extLst>
            </c:dLbl>
            <c:dLbl>
              <c:idx val="8"/>
              <c:layout>
                <c:manualLayout>
                  <c:x val="-1.091722647001905E-2"/>
                  <c:y val="1.2528882609467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7F9-42CB-8FC2-400A6DD8B66C}"/>
                </c:ext>
              </c:extLst>
            </c:dLbl>
            <c:dLbl>
              <c:idx val="9"/>
              <c:layout>
                <c:manualLayout>
                  <c:x val="-1.6375839705028577E-2"/>
                  <c:y val="8.35258840631133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0EB-499B-B442-5BEBF4D5815A}"/>
                </c:ext>
              </c:extLst>
            </c:dLbl>
            <c:dLbl>
              <c:idx val="10"/>
              <c:layout>
                <c:manualLayout>
                  <c:x val="-4.651122879278333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0EB-499B-B442-5BEBF4D5815A}"/>
                </c:ext>
              </c:extLst>
            </c:dLbl>
            <c:dLbl>
              <c:idx val="11"/>
              <c:layout>
                <c:manualLayout>
                  <c:x val="-7.764783759929391E-3"/>
                  <c:y val="1.61243737105805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0EB-499B-B442-5BEBF4D5815A}"/>
                </c:ext>
              </c:extLst>
            </c:dLbl>
            <c:spPr>
              <a:noFill/>
              <a:ln>
                <a:noFill/>
              </a:ln>
              <a:effectLst/>
            </c:spPr>
            <c:txPr>
              <a:bodyPr rot="0" spcFirstLastPara="1" vertOverflow="ellipsis" vert="horz" wrap="square" anchor="ctr" anchorCtr="1"/>
              <a:lstStyle/>
              <a:p>
                <a:pPr>
                  <a:defRPr sz="600" b="1" i="0" u="none" strike="noStrike" kern="1200" baseline="0">
                    <a:solidFill>
                      <a:schemeClr val="accent3"/>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(С-2)'!$A$96:$B$107</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2021</c:v>
                  </c:pt>
                  <c:pt idx="4">
                    <c:v>2022</c:v>
                  </c:pt>
                  <c:pt idx="8">
                    <c:v>2023</c:v>
                  </c:pt>
                </c:lvl>
              </c:multiLvlStrCache>
            </c:multiLvlStrRef>
          </c:cat>
          <c:val>
            <c:numRef>
              <c:f>'Дефлятор модель (CPI-PPI) (С-2)'!$E$46:$E$57</c:f>
              <c:numCache>
                <c:formatCode>0.0%</c:formatCode>
                <c:ptCount val="12"/>
                <c:pt idx="0">
                  <c:v>7.3666666666666672E-2</c:v>
                </c:pt>
                <c:pt idx="1">
                  <c:v>9.1333333333333336E-2</c:v>
                </c:pt>
                <c:pt idx="2">
                  <c:v>0.10466666666666667</c:v>
                </c:pt>
                <c:pt idx="3">
                  <c:v>0.104</c:v>
                </c:pt>
                <c:pt idx="4">
                  <c:v>0.11466666666666669</c:v>
                </c:pt>
                <c:pt idx="5">
                  <c:v>0.18633333333333335</c:v>
                </c:pt>
                <c:pt idx="6">
                  <c:v>0.23533333333333331</c:v>
                </c:pt>
                <c:pt idx="7">
                  <c:v>0.26566666666666666</c:v>
                </c:pt>
                <c:pt idx="8">
                  <c:v>0.24066666666666667</c:v>
                </c:pt>
                <c:pt idx="9">
                  <c:v>0.15333333333333332</c:v>
                </c:pt>
                <c:pt idx="10">
                  <c:v>9.0000000000000011E-2</c:v>
                </c:pt>
                <c:pt idx="11">
                  <c:v>5.1666666666666666E-2</c:v>
                </c:pt>
              </c:numCache>
            </c:numRef>
          </c:val>
          <c:extLst>
            <c:ext xmlns:c16="http://schemas.microsoft.com/office/drawing/2014/chart" uri="{C3380CC4-5D6E-409C-BE32-E72D297353CC}">
              <c16:uniqueId val="{00000010-F0EB-499B-B442-5BEBF4D5815A}"/>
            </c:ext>
          </c:extLst>
        </c:ser>
        <c:ser>
          <c:idx val="1"/>
          <c:order val="1"/>
          <c:tx>
            <c:strRef>
              <c:f>'Дефлятор модель (CPI-PPI) (С-2)'!$F$1</c:f>
              <c:strCache>
                <c:ptCount val="1"/>
                <c:pt idx="0">
                  <c:v>PPI</c:v>
                </c:pt>
              </c:strCache>
            </c:strRef>
          </c:tx>
          <c:spPr>
            <a:solidFill>
              <a:schemeClr val="accent1"/>
            </a:solidFill>
            <a:ln>
              <a:noFill/>
            </a:ln>
            <a:effectLst/>
          </c:spPr>
          <c:invertIfNegative val="0"/>
          <c:dLbls>
            <c:dLbl>
              <c:idx val="0"/>
              <c:layout>
                <c:manualLayout>
                  <c:x val="1.0714774275622804E-2"/>
                  <c:y val="5.48034820492704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0EB-499B-B442-5BEBF4D5815A}"/>
                </c:ext>
              </c:extLst>
            </c:dLbl>
            <c:dLbl>
              <c:idx val="2"/>
              <c:layout>
                <c:manualLayout>
                  <c:x val="6.122728157498745E-3"/>
                  <c:y val="-5.023594488190920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0EB-499B-B442-5BEBF4D5815A}"/>
                </c:ext>
              </c:extLst>
            </c:dLbl>
            <c:dLbl>
              <c:idx val="3"/>
              <c:layout>
                <c:manualLayout>
                  <c:x val="4.4873492203588716E-3"/>
                  <c:y val="9.357500736811082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0EB-499B-B442-5BEBF4D5815A}"/>
                </c:ext>
              </c:extLst>
            </c:dLbl>
            <c:dLbl>
              <c:idx val="4"/>
              <c:layout>
                <c:manualLayout>
                  <c:x val="3.1136608806511721E-3"/>
                  <c:y val="9.35750073681103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C8E-4E2A-9084-B4685E911DFB}"/>
                </c:ext>
              </c:extLst>
            </c:dLbl>
            <c:dLbl>
              <c:idx val="6"/>
              <c:layout>
                <c:manualLayout>
                  <c:x val="8.5723742277140341E-3"/>
                  <c:y val="9.279030356616563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0EB-499B-B442-5BEBF4D5815A}"/>
                </c:ext>
              </c:extLst>
            </c:dLbl>
            <c:dLbl>
              <c:idx val="7"/>
              <c:layout>
                <c:manualLayout>
                  <c:x val="2.7292340884572754E-3"/>
                  <c:y val="1.50751547303271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0EB-499B-B442-5BEBF4D5815A}"/>
                </c:ext>
              </c:extLst>
            </c:dLbl>
            <c:dLbl>
              <c:idx val="9"/>
              <c:layout>
                <c:manualLayout>
                  <c:x val="1.6375839705028674E-2"/>
                  <c:y val="1.46170297110448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F0EB-499B-B442-5BEBF4D5815A}"/>
                </c:ext>
              </c:extLst>
            </c:dLbl>
            <c:dLbl>
              <c:idx val="10"/>
              <c:layout>
                <c:manualLayout>
                  <c:x val="1.9489555751691673E-2"/>
                  <c:y val="-2.38962569997052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F0EB-499B-B442-5BEBF4D5815A}"/>
                </c:ext>
              </c:extLst>
            </c:dLbl>
            <c:dLbl>
              <c:idx val="11"/>
              <c:layout>
                <c:manualLayout>
                  <c:x val="0"/>
                  <c:y val="-1.87150014736221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C8E-4E2A-9084-B4685E911DFB}"/>
                </c:ext>
              </c:extLst>
            </c:dLbl>
            <c:spPr>
              <a:noFill/>
              <a:ln>
                <a:noFill/>
              </a:ln>
              <a:effectLst/>
            </c:spPr>
            <c:txPr>
              <a:bodyPr rot="0" spcFirstLastPara="1" vertOverflow="ellipsis" vert="horz" wrap="square" anchor="ctr" anchorCtr="1"/>
              <a:lstStyle/>
              <a:p>
                <a:pPr>
                  <a:defRPr sz="6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(С-2)'!$A$96:$B$107</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2021</c:v>
                  </c:pt>
                  <c:pt idx="4">
                    <c:v>2022</c:v>
                  </c:pt>
                  <c:pt idx="8">
                    <c:v>2023</c:v>
                  </c:pt>
                </c:lvl>
              </c:multiLvlStrCache>
            </c:multiLvlStrRef>
          </c:cat>
          <c:val>
            <c:numRef>
              <c:f>'Дефлятор модель (CPI-PPI) (С-2)'!$F$46:$F$57</c:f>
              <c:numCache>
                <c:formatCode>0.0%</c:formatCode>
                <c:ptCount val="12"/>
                <c:pt idx="0">
                  <c:v>0.23500000000000001</c:v>
                </c:pt>
                <c:pt idx="1">
                  <c:v>0.33333333333333331</c:v>
                </c:pt>
                <c:pt idx="2">
                  <c:v>0.44599999999999995</c:v>
                </c:pt>
                <c:pt idx="3">
                  <c:v>0.60033333333333327</c:v>
                </c:pt>
                <c:pt idx="4">
                  <c:v>0.5987304620534567</c:v>
                </c:pt>
                <c:pt idx="5">
                  <c:v>0.61971599669989452</c:v>
                </c:pt>
                <c:pt idx="6">
                  <c:v>0.70140457155676506</c:v>
                </c:pt>
                <c:pt idx="7">
                  <c:v>0.52628589945178506</c:v>
                </c:pt>
                <c:pt idx="8">
                  <c:v>0.36623879864348213</c:v>
                </c:pt>
                <c:pt idx="9">
                  <c:v>0.28842351942229133</c:v>
                </c:pt>
                <c:pt idx="10">
                  <c:v>0.16493965570810051</c:v>
                </c:pt>
                <c:pt idx="11">
                  <c:v>0.15300599389618763</c:v>
                </c:pt>
              </c:numCache>
            </c:numRef>
          </c:val>
          <c:extLst>
            <c:ext xmlns:c16="http://schemas.microsoft.com/office/drawing/2014/chart" uri="{C3380CC4-5D6E-409C-BE32-E72D297353CC}">
              <c16:uniqueId val="{00000018-F0EB-499B-B442-5BEBF4D5815A}"/>
            </c:ext>
          </c:extLst>
        </c:ser>
        <c:dLbls>
          <c:showLegendKey val="0"/>
          <c:showVal val="0"/>
          <c:showCatName val="0"/>
          <c:showSerName val="0"/>
          <c:showPercent val="0"/>
          <c:showBubbleSize val="0"/>
        </c:dLbls>
        <c:gapWidth val="219"/>
        <c:axId val="720532336"/>
        <c:axId val="720530736"/>
      </c:barChart>
      <c:catAx>
        <c:axId val="7205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720530736"/>
        <c:crosses val="autoZero"/>
        <c:auto val="1"/>
        <c:lblAlgn val="ctr"/>
        <c:lblOffset val="100"/>
        <c:noMultiLvlLbl val="0"/>
      </c:catAx>
      <c:valAx>
        <c:axId val="720530736"/>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720532336"/>
        <c:crosses val="autoZero"/>
        <c:crossBetween val="between"/>
      </c:valAx>
      <c:spPr>
        <a:noFill/>
        <a:ln>
          <a:noFill/>
        </a:ln>
        <a:effectLst/>
      </c:spPr>
    </c:plotArea>
    <c:legend>
      <c:legendPos val="t"/>
      <c:layout>
        <c:manualLayout>
          <c:xMode val="edge"/>
          <c:yMode val="edge"/>
          <c:x val="0"/>
          <c:y val="0.16289493073975833"/>
          <c:w val="1"/>
          <c:h val="5.4266832644217396E-2"/>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600" b="1">
          <a:solidFill>
            <a:sysClr val="windowText" lastClr="000000"/>
          </a:solidFill>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740266745121116E-2"/>
          <c:y val="0.30834647147147148"/>
          <c:w val="0.87522531136608805"/>
          <c:h val="0.60732882882882888"/>
        </c:manualLayout>
      </c:layout>
      <c:areaChart>
        <c:grouping val="standard"/>
        <c:varyColors val="0"/>
        <c:ser>
          <c:idx val="3"/>
          <c:order val="3"/>
          <c:tx>
            <c:strRef>
              <c:f>'ЗВР-інт 2022-2023'!$A$6</c:f>
              <c:strCache>
                <c:ptCount val="1"/>
                <c:pt idx="0">
                  <c:v>Обсяг ЗВР</c:v>
                </c:pt>
              </c:strCache>
            </c:strRef>
          </c:tx>
          <c:spPr>
            <a:solidFill>
              <a:schemeClr val="accent3">
                <a:lumMod val="20000"/>
                <a:lumOff val="80000"/>
              </a:schemeClr>
            </a:solidFill>
            <a:ln>
              <a:noFill/>
            </a:ln>
            <a:effectLst/>
          </c:spPr>
          <c:dLbls>
            <c:dLbl>
              <c:idx val="0"/>
              <c:layout>
                <c:manualLayout>
                  <c:x val="0"/>
                  <c:y val="-0.152229729729729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623-46F0-919A-E2059C12FBEB}"/>
                </c:ext>
              </c:extLst>
            </c:dLbl>
            <c:dLbl>
              <c:idx val="1"/>
              <c:layout>
                <c:manualLayout>
                  <c:x val="-2.854156169141287E-17"/>
                  <c:y val="-0.1596753003003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623-46F0-919A-E2059C12FBEB}"/>
                </c:ext>
              </c:extLst>
            </c:dLbl>
            <c:dLbl>
              <c:idx val="2"/>
              <c:layout>
                <c:manualLayout>
                  <c:x val="-3.1136608806512003E-3"/>
                  <c:y val="-0.152819069069069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623-46F0-919A-E2059C12FBEB}"/>
                </c:ext>
              </c:extLst>
            </c:dLbl>
            <c:dLbl>
              <c:idx val="3"/>
              <c:layout>
                <c:manualLayout>
                  <c:x val="5.4616553888398546E-3"/>
                  <c:y val="-0.153408408408408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23-46F0-919A-E2059C12FBEB}"/>
                </c:ext>
              </c:extLst>
            </c:dLbl>
            <c:dLbl>
              <c:idx val="4"/>
              <c:layout>
                <c:manualLayout>
                  <c:x val="2.730705109345886E-3"/>
                  <c:y val="-0.145641516516516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623-46F0-919A-E2059C12FBEB}"/>
                </c:ext>
              </c:extLst>
            </c:dLbl>
            <c:dLbl>
              <c:idx val="5"/>
              <c:layout>
                <c:manualLayout>
                  <c:x val="0"/>
                  <c:y val="-0.142052674302792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23-46F0-919A-E2059C12FBEB}"/>
                </c:ext>
              </c:extLst>
            </c:dLbl>
            <c:dLbl>
              <c:idx val="6"/>
              <c:layout>
                <c:manualLayout>
                  <c:x val="-1.3653902597144292E-3"/>
                  <c:y val="-0.14414168421901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623-46F0-919A-E2059C12FBEB}"/>
                </c:ext>
              </c:extLst>
            </c:dLbl>
            <c:dLbl>
              <c:idx val="7"/>
              <c:layout>
                <c:manualLayout>
                  <c:x val="-1.0012746236473535E-16"/>
                  <c:y val="-0.158764753632533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623-46F0-919A-E2059C12FBEB}"/>
                </c:ext>
              </c:extLst>
            </c:dLbl>
            <c:dLbl>
              <c:idx val="8"/>
              <c:layout>
                <c:manualLayout>
                  <c:x val="8.8696611359401898E-5"/>
                  <c:y val="-0.156832337215547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623-46F0-919A-E2059C12FBEB}"/>
                </c:ext>
              </c:extLst>
            </c:dLbl>
            <c:dLbl>
              <c:idx val="9"/>
              <c:layout>
                <c:manualLayout>
                  <c:x val="1.3309867256113884E-4"/>
                  <c:y val="-0.163099366964199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623-46F0-919A-E2059C12FBEB}"/>
                </c:ext>
              </c:extLst>
            </c:dLbl>
            <c:dLbl>
              <c:idx val="10"/>
              <c:layout>
                <c:manualLayout>
                  <c:x val="2.7307333768538935E-3"/>
                  <c:y val="-0.160847793712306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623-46F0-919A-E2059C12FBEB}"/>
                </c:ext>
              </c:extLst>
            </c:dLbl>
            <c:dLbl>
              <c:idx val="11"/>
              <c:layout>
                <c:manualLayout>
                  <c:x val="8.1903733374166527E-3"/>
                  <c:y val="-0.158757106772311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623-46F0-919A-E2059C12FBEB}"/>
                </c:ext>
              </c:extLst>
            </c:dLbl>
            <c:numFmt formatCode="#,##0.0" sourceLinked="0"/>
            <c:spPr>
              <a:solidFill>
                <a:schemeClr val="accent3">
                  <a:lumMod val="20000"/>
                  <a:lumOff val="80000"/>
                </a:schemeClr>
              </a:solidFill>
              <a:ln w="6350">
                <a:solidFill>
                  <a:schemeClr val="accent3"/>
                </a:solidFill>
              </a:ln>
              <a:effectLst/>
            </c:spPr>
            <c:txPr>
              <a:bodyPr rot="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'ЗВР-інт 2022-2023'!$B$2:$M$2</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'ЗВР-інт 2022-2023'!$B$6:$M$6</c:f>
              <c:numCache>
                <c:formatCode>#,##0</c:formatCode>
                <c:ptCount val="12"/>
                <c:pt idx="0">
                  <c:v>29086.959999999999</c:v>
                </c:pt>
                <c:pt idx="1">
                  <c:v>27552.86</c:v>
                </c:pt>
                <c:pt idx="2">
                  <c:v>28107.45</c:v>
                </c:pt>
                <c:pt idx="3">
                  <c:v>26945</c:v>
                </c:pt>
                <c:pt idx="4">
                  <c:v>25102</c:v>
                </c:pt>
                <c:pt idx="5">
                  <c:v>22802</c:v>
                </c:pt>
                <c:pt idx="6">
                  <c:v>22387</c:v>
                </c:pt>
                <c:pt idx="7">
                  <c:v>25439</c:v>
                </c:pt>
                <c:pt idx="8">
                  <c:v>23932</c:v>
                </c:pt>
                <c:pt idx="9">
                  <c:v>24739.790544979278</c:v>
                </c:pt>
                <c:pt idx="10">
                  <c:v>27720.106773064555</c:v>
                </c:pt>
                <c:pt idx="11">
                  <c:v>27157.633414554515</c:v>
                </c:pt>
              </c:numCache>
            </c:numRef>
          </c:val>
          <c:extLst>
            <c:ext xmlns:c16="http://schemas.microsoft.com/office/drawing/2014/chart" uri="{C3380CC4-5D6E-409C-BE32-E72D297353CC}">
              <c16:uniqueId val="{0000000C-4623-46F0-919A-E2059C12FBEB}"/>
            </c:ext>
          </c:extLst>
        </c:ser>
        <c:dLbls>
          <c:showLegendKey val="0"/>
          <c:showVal val="0"/>
          <c:showCatName val="0"/>
          <c:showSerName val="0"/>
          <c:showPercent val="0"/>
          <c:showBubbleSize val="0"/>
        </c:dLbls>
        <c:axId val="108910896"/>
        <c:axId val="108908816"/>
      </c:areaChart>
      <c:barChart>
        <c:barDir val="col"/>
        <c:grouping val="clustered"/>
        <c:varyColors val="0"/>
        <c:ser>
          <c:idx val="0"/>
          <c:order val="0"/>
          <c:tx>
            <c:strRef>
              <c:f>'ЗВР-інт 2022-2023'!$A$3</c:f>
              <c:strCache>
                <c:ptCount val="1"/>
                <c:pt idx="0">
                  <c:v>Обсяги інтервенцій за місяцями</c:v>
                </c:pt>
              </c:strCache>
            </c:strRef>
          </c:tx>
          <c:spPr>
            <a:solidFill>
              <a:schemeClr val="accent1"/>
            </a:solidFill>
            <a:ln>
              <a:noFill/>
            </a:ln>
            <a:effectLst/>
          </c:spPr>
          <c:invertIfNegative val="0"/>
          <c:dLbls>
            <c:dLbl>
              <c:idx val="6"/>
              <c:layout>
                <c:manualLayout>
                  <c:x val="-1.3653902597144292E-3"/>
                  <c:y val="4.178019832435086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623-46F0-919A-E2059C12FBEB}"/>
                </c:ext>
              </c:extLst>
            </c:dLbl>
            <c:numFmt formatCode="#,##0.0" sourceLinked="0"/>
            <c:spPr>
              <a:noFill/>
              <a:ln>
                <a:noFill/>
              </a:ln>
              <a:effectLst/>
            </c:spPr>
            <c:txPr>
              <a:bodyPr rot="0" spcFirstLastPara="1" vertOverflow="ellipsis" vert="horz" wrap="square" anchor="ctr" anchorCtr="1"/>
              <a:lstStyle/>
              <a:p>
                <a:pPr>
                  <a:defRPr sz="6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'ЗВР-інт 2022-2023'!$B$2:$M$2</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'ЗВР-інт 2022-2023'!$B$3:$M$3</c:f>
              <c:numCache>
                <c:formatCode>#,##0</c:formatCode>
                <c:ptCount val="12"/>
                <c:pt idx="0">
                  <c:v>-1313.5</c:v>
                </c:pt>
                <c:pt idx="1">
                  <c:v>-357.8</c:v>
                </c:pt>
                <c:pt idx="2">
                  <c:v>-1728</c:v>
                </c:pt>
                <c:pt idx="3">
                  <c:v>-2201</c:v>
                </c:pt>
                <c:pt idx="4">
                  <c:v>-3354.2</c:v>
                </c:pt>
                <c:pt idx="5">
                  <c:v>-3956.3</c:v>
                </c:pt>
                <c:pt idx="6">
                  <c:v>-1195</c:v>
                </c:pt>
                <c:pt idx="7">
                  <c:v>-1329.7</c:v>
                </c:pt>
                <c:pt idx="8">
                  <c:v>-2737.7</c:v>
                </c:pt>
                <c:pt idx="9">
                  <c:v>-2718.1674550207213</c:v>
                </c:pt>
                <c:pt idx="10">
                  <c:v>-1545.8769760056684</c:v>
                </c:pt>
                <c:pt idx="11">
                  <c:v>-2001.1408585100389</c:v>
                </c:pt>
              </c:numCache>
            </c:numRef>
          </c:val>
          <c:extLst>
            <c:ext xmlns:c16="http://schemas.microsoft.com/office/drawing/2014/chart" uri="{C3380CC4-5D6E-409C-BE32-E72D297353CC}">
              <c16:uniqueId val="{0000000E-4623-46F0-919A-E2059C12FBEB}"/>
            </c:ext>
          </c:extLst>
        </c:ser>
        <c:ser>
          <c:idx val="1"/>
          <c:order val="1"/>
          <c:tx>
            <c:strRef>
              <c:f>'ЗВР-інт 2022-2023'!$A$4</c:f>
              <c:strCache>
                <c:ptCount val="1"/>
                <c:pt idx="0">
                  <c:v>Сальдо платіжного балансу</c:v>
                </c:pt>
              </c:strCache>
            </c:strRef>
          </c:tx>
          <c:spPr>
            <a:solidFill>
              <a:schemeClr val="accent2"/>
            </a:solidFill>
            <a:ln>
              <a:noFill/>
            </a:ln>
            <a:effectLst/>
          </c:spPr>
          <c:invertIfNegative val="0"/>
          <c:dLbls>
            <c:dLbl>
              <c:idx val="6"/>
              <c:layout>
                <c:manualLayout>
                  <c:x val="-1.3653902597144292E-3"/>
                  <c:y val="-2.089009916217543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623-46F0-919A-E2059C12FBEB}"/>
                </c:ext>
              </c:extLst>
            </c:dLbl>
            <c:dLbl>
              <c:idx val="7"/>
              <c:layout>
                <c:manualLayout>
                  <c:x val="-1.3647219379051519E-3"/>
                  <c:y val="5.6426332288401215E-2"/>
                </c:manualLayout>
              </c:layout>
              <c:numFmt formatCode="#,##0.0" sourceLinked="0"/>
              <c:spPr>
                <a:solidFill>
                  <a:schemeClr val="accent2">
                    <a:lumMod val="20000"/>
                    <a:lumOff val="80000"/>
                  </a:schemeClr>
                </a:solidFill>
                <a:ln>
                  <a:noFill/>
                </a:ln>
                <a:effectLst/>
              </c:spPr>
              <c:txPr>
                <a:bodyPr rot="0" spcFirstLastPara="1" vertOverflow="ellipsis" vert="horz" wrap="square" anchor="ctr" anchorCtr="1"/>
                <a:lstStyle/>
                <a:p>
                  <a:pPr>
                    <a:defRPr sz="6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623-46F0-919A-E2059C12FBEB}"/>
                </c:ext>
              </c:extLst>
            </c:dLbl>
            <c:dLbl>
              <c:idx val="11"/>
              <c:layout>
                <c:manualLayout>
                  <c:x val="1.365390259714329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623-46F0-919A-E2059C12FBEB}"/>
                </c:ext>
              </c:extLst>
            </c:dLbl>
            <c:numFmt formatCode="#,##0.0" sourceLinked="0"/>
            <c:spPr>
              <a:noFill/>
              <a:ln>
                <a:noFill/>
              </a:ln>
              <a:effectLst/>
            </c:spPr>
            <c:txPr>
              <a:bodyPr rot="0" spcFirstLastPara="1" vertOverflow="ellipsis" vert="horz" wrap="square" anchor="ctr" anchorCtr="1"/>
              <a:lstStyle/>
              <a:p>
                <a:pPr>
                  <a:defRPr sz="6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'ЗВР-інт 2022-2023'!$B$2:$M$2</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'ЗВР-інт 2022-2023'!$B$4:$M$4</c:f>
              <c:numCache>
                <c:formatCode>#,##0</c:formatCode>
                <c:ptCount val="12"/>
                <c:pt idx="0">
                  <c:v>-1762</c:v>
                </c:pt>
                <c:pt idx="1">
                  <c:v>-1658</c:v>
                </c:pt>
                <c:pt idx="2">
                  <c:v>679</c:v>
                </c:pt>
                <c:pt idx="3">
                  <c:v>-867</c:v>
                </c:pt>
                <c:pt idx="4">
                  <c:v>-1921</c:v>
                </c:pt>
                <c:pt idx="5">
                  <c:v>-2220</c:v>
                </c:pt>
                <c:pt idx="6">
                  <c:v>-299</c:v>
                </c:pt>
                <c:pt idx="7">
                  <c:v>3105</c:v>
                </c:pt>
                <c:pt idx="8">
                  <c:v>-1375</c:v>
                </c:pt>
                <c:pt idx="9">
                  <c:v>752.31773977477394</c:v>
                </c:pt>
                <c:pt idx="10">
                  <c:v>3110.6275413402882</c:v>
                </c:pt>
                <c:pt idx="11">
                  <c:v>-562.47335851003891</c:v>
                </c:pt>
              </c:numCache>
            </c:numRef>
          </c:val>
          <c:extLst>
            <c:ext xmlns:c16="http://schemas.microsoft.com/office/drawing/2014/chart" uri="{C3380CC4-5D6E-409C-BE32-E72D297353CC}">
              <c16:uniqueId val="{00000012-4623-46F0-919A-E2059C12FBEB}"/>
            </c:ext>
          </c:extLst>
        </c:ser>
        <c:ser>
          <c:idx val="2"/>
          <c:order val="2"/>
          <c:tx>
            <c:strRef>
              <c:f>'ЗВР-інт 2022-2023'!$A$5</c:f>
              <c:strCache>
                <c:ptCount val="1"/>
                <c:pt idx="0">
                  <c:v>Сальдо операцій приватного сект.</c:v>
                </c:pt>
              </c:strCache>
            </c:strRef>
          </c:tx>
          <c:spPr>
            <a:solidFill>
              <a:schemeClr val="accent4"/>
            </a:solidFill>
            <a:ln>
              <a:noFill/>
            </a:ln>
            <a:effectLst/>
          </c:spPr>
          <c:invertIfNegative val="0"/>
          <c:dLbls>
            <c:numFmt formatCode="#,##0.0" sourceLinked="0"/>
            <c:spPr>
              <a:noFill/>
              <a:ln>
                <a:noFill/>
              </a:ln>
              <a:effectLst/>
            </c:spPr>
            <c:txPr>
              <a:bodyPr rot="0" spcFirstLastPara="1" vertOverflow="ellipsis" vert="horz" wrap="square" anchor="ctr" anchorCtr="1"/>
              <a:lstStyle/>
              <a:p>
                <a:pPr>
                  <a:defRPr sz="600" b="1" i="0" u="none" strike="noStrike" kern="1200" baseline="0">
                    <a:solidFill>
                      <a:schemeClr val="accent5"/>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'ЗВР-інт 2022-2023'!$B$2:$M$2</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'ЗВР-інт 2022-2023'!$B$5:$M$5</c:f>
              <c:numCache>
                <c:formatCode>#,##0</c:formatCode>
                <c:ptCount val="12"/>
                <c:pt idx="0">
                  <c:v>-1336</c:v>
                </c:pt>
                <c:pt idx="1">
                  <c:v>-1281</c:v>
                </c:pt>
                <c:pt idx="2">
                  <c:v>-2197</c:v>
                </c:pt>
                <c:pt idx="3">
                  <c:v>-2498</c:v>
                </c:pt>
                <c:pt idx="4">
                  <c:v>-3519</c:v>
                </c:pt>
                <c:pt idx="5">
                  <c:v>-5342</c:v>
                </c:pt>
                <c:pt idx="6">
                  <c:v>-2993</c:v>
                </c:pt>
                <c:pt idx="7">
                  <c:v>-1474</c:v>
                </c:pt>
                <c:pt idx="8">
                  <c:v>-2695</c:v>
                </c:pt>
                <c:pt idx="9">
                  <c:v>-2773.640260225226</c:v>
                </c:pt>
                <c:pt idx="10">
                  <c:v>-1515.5656627506553</c:v>
                </c:pt>
                <c:pt idx="11">
                  <c:v>-2001.1408585100389</c:v>
                </c:pt>
              </c:numCache>
            </c:numRef>
          </c:val>
          <c:extLst>
            <c:ext xmlns:c16="http://schemas.microsoft.com/office/drawing/2014/chart" uri="{C3380CC4-5D6E-409C-BE32-E72D297353CC}">
              <c16:uniqueId val="{00000013-4623-46F0-919A-E2059C12FBEB}"/>
            </c:ext>
          </c:extLst>
        </c:ser>
        <c:dLbls>
          <c:showLegendKey val="0"/>
          <c:showVal val="0"/>
          <c:showCatName val="0"/>
          <c:showSerName val="0"/>
          <c:showPercent val="0"/>
          <c:showBubbleSize val="0"/>
        </c:dLbls>
        <c:gapWidth val="100"/>
        <c:axId val="108908400"/>
        <c:axId val="108910480"/>
      </c:barChart>
      <c:catAx>
        <c:axId val="108908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08910480"/>
        <c:crosses val="autoZero"/>
        <c:auto val="1"/>
        <c:lblAlgn val="ctr"/>
        <c:lblOffset val="100"/>
        <c:noMultiLvlLbl val="0"/>
      </c:catAx>
      <c:valAx>
        <c:axId val="108910480"/>
        <c:scaling>
          <c:orientation val="minMax"/>
          <c:max val="6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08908400"/>
        <c:crosses val="autoZero"/>
        <c:crossBetween val="between"/>
        <c:dispUnits>
          <c:builtInUnit val="thousands"/>
        </c:dispUnits>
      </c:valAx>
      <c:valAx>
        <c:axId val="108908816"/>
        <c:scaling>
          <c:orientation val="minMax"/>
          <c:min val="-3500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accent4"/>
                </a:solidFill>
                <a:latin typeface="+mn-lt"/>
                <a:ea typeface="+mn-ea"/>
                <a:cs typeface="+mn-cs"/>
              </a:defRPr>
            </a:pPr>
            <a:endParaRPr lang="en-US"/>
          </a:p>
        </c:txPr>
        <c:crossAx val="108910896"/>
        <c:crosses val="max"/>
        <c:crossBetween val="between"/>
        <c:dispUnits>
          <c:builtInUnit val="thousands"/>
        </c:dispUnits>
      </c:valAx>
      <c:catAx>
        <c:axId val="108910896"/>
        <c:scaling>
          <c:orientation val="minMax"/>
        </c:scaling>
        <c:delete val="1"/>
        <c:axPos val="b"/>
        <c:numFmt formatCode="General" sourceLinked="1"/>
        <c:majorTickMark val="out"/>
        <c:minorTickMark val="none"/>
        <c:tickLblPos val="nextTo"/>
        <c:crossAx val="108908816"/>
        <c:crosses val="autoZero"/>
        <c:auto val="1"/>
        <c:lblAlgn val="ctr"/>
        <c:lblOffset val="100"/>
        <c:noMultiLvlLbl val="0"/>
      </c:catAx>
      <c:spPr>
        <a:noFill/>
        <a:ln>
          <a:noFill/>
        </a:ln>
        <a:effectLst/>
      </c:spPr>
    </c:plotArea>
    <c:legend>
      <c:legendPos val="t"/>
      <c:layout>
        <c:manualLayout>
          <c:xMode val="edge"/>
          <c:yMode val="edge"/>
          <c:x val="0"/>
          <c:y val="0.15162537537537538"/>
          <c:w val="1"/>
          <c:h val="0.13993393393393394"/>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600" b="1">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229550055529455E-2"/>
          <c:y val="0.20896109637488947"/>
          <c:w val="0.89770474672010681"/>
          <c:h val="0.71422155909224871"/>
        </c:manualLayout>
      </c:layout>
      <c:lineChart>
        <c:grouping val="standard"/>
        <c:varyColors val="0"/>
        <c:ser>
          <c:idx val="0"/>
          <c:order val="0"/>
          <c:tx>
            <c:strRef>
              <c:f>REER!$B$1</c:f>
              <c:strCache>
                <c:ptCount val="1"/>
                <c:pt idx="0">
                  <c:v>РЕОК (06.2015=1)</c:v>
                </c:pt>
              </c:strCache>
            </c:strRef>
          </c:tx>
          <c:spPr>
            <a:ln w="28575" cap="rnd">
              <a:solidFill>
                <a:schemeClr val="accent5"/>
              </a:solidFill>
              <a:round/>
            </a:ln>
            <a:effectLst/>
          </c:spPr>
          <c:marker>
            <c:symbol val="none"/>
          </c:marker>
          <c:cat>
            <c:numRef>
              <c:f>REER!$A$74:$A$143</c:f>
              <c:numCache>
                <c:formatCode>mm/yyyy</c:formatCode>
                <c:ptCount val="70"/>
                <c:pt idx="0">
                  <c:v>42736</c:v>
                </c:pt>
                <c:pt idx="1">
                  <c:v>42767</c:v>
                </c:pt>
                <c:pt idx="2">
                  <c:v>42795</c:v>
                </c:pt>
                <c:pt idx="3">
                  <c:v>42826</c:v>
                </c:pt>
                <c:pt idx="4">
                  <c:v>42856</c:v>
                </c:pt>
                <c:pt idx="5">
                  <c:v>42887</c:v>
                </c:pt>
                <c:pt idx="6">
                  <c:v>42917</c:v>
                </c:pt>
                <c:pt idx="7">
                  <c:v>42948</c:v>
                </c:pt>
                <c:pt idx="8">
                  <c:v>42979</c:v>
                </c:pt>
                <c:pt idx="9">
                  <c:v>43009</c:v>
                </c:pt>
                <c:pt idx="10">
                  <c:v>43040</c:v>
                </c:pt>
                <c:pt idx="11">
                  <c:v>43070</c:v>
                </c:pt>
                <c:pt idx="12">
                  <c:v>43101</c:v>
                </c:pt>
                <c:pt idx="13">
                  <c:v>43132</c:v>
                </c:pt>
                <c:pt idx="14">
                  <c:v>43160</c:v>
                </c:pt>
                <c:pt idx="15">
                  <c:v>43191</c:v>
                </c:pt>
                <c:pt idx="16">
                  <c:v>43221</c:v>
                </c:pt>
                <c:pt idx="17">
                  <c:v>43252</c:v>
                </c:pt>
                <c:pt idx="18">
                  <c:v>43282</c:v>
                </c:pt>
                <c:pt idx="19">
                  <c:v>43313</c:v>
                </c:pt>
                <c:pt idx="20">
                  <c:v>43344</c:v>
                </c:pt>
                <c:pt idx="21">
                  <c:v>43374</c:v>
                </c:pt>
                <c:pt idx="22">
                  <c:v>43405</c:v>
                </c:pt>
                <c:pt idx="23">
                  <c:v>43435</c:v>
                </c:pt>
                <c:pt idx="24">
                  <c:v>43466</c:v>
                </c:pt>
                <c:pt idx="25">
                  <c:v>43497</c:v>
                </c:pt>
                <c:pt idx="26">
                  <c:v>43525</c:v>
                </c:pt>
                <c:pt idx="27">
                  <c:v>43556</c:v>
                </c:pt>
                <c:pt idx="28">
                  <c:v>43586</c:v>
                </c:pt>
                <c:pt idx="29">
                  <c:v>43617</c:v>
                </c:pt>
                <c:pt idx="30">
                  <c:v>43647</c:v>
                </c:pt>
                <c:pt idx="31">
                  <c:v>43678</c:v>
                </c:pt>
                <c:pt idx="32">
                  <c:v>43709</c:v>
                </c:pt>
                <c:pt idx="33">
                  <c:v>43740</c:v>
                </c:pt>
                <c:pt idx="34">
                  <c:v>43770</c:v>
                </c:pt>
                <c:pt idx="35">
                  <c:v>43800</c:v>
                </c:pt>
                <c:pt idx="36">
                  <c:v>43831</c:v>
                </c:pt>
                <c:pt idx="37">
                  <c:v>43862</c:v>
                </c:pt>
                <c:pt idx="38">
                  <c:v>43891</c:v>
                </c:pt>
                <c:pt idx="39">
                  <c:v>43922</c:v>
                </c:pt>
                <c:pt idx="40">
                  <c:v>43952</c:v>
                </c:pt>
                <c:pt idx="41">
                  <c:v>43983</c:v>
                </c:pt>
                <c:pt idx="42">
                  <c:v>44013</c:v>
                </c:pt>
                <c:pt idx="43">
                  <c:v>44044</c:v>
                </c:pt>
                <c:pt idx="44">
                  <c:v>44075</c:v>
                </c:pt>
                <c:pt idx="45">
                  <c:v>44105</c:v>
                </c:pt>
                <c:pt idx="46">
                  <c:v>44136</c:v>
                </c:pt>
                <c:pt idx="47">
                  <c:v>44166</c:v>
                </c:pt>
                <c:pt idx="48">
                  <c:v>44197</c:v>
                </c:pt>
                <c:pt idx="49">
                  <c:v>44228</c:v>
                </c:pt>
                <c:pt idx="50">
                  <c:v>44256</c:v>
                </c:pt>
                <c:pt idx="51">
                  <c:v>44287</c:v>
                </c:pt>
                <c:pt idx="52">
                  <c:v>44317</c:v>
                </c:pt>
                <c:pt idx="53">
                  <c:v>44348</c:v>
                </c:pt>
                <c:pt idx="54">
                  <c:v>44378</c:v>
                </c:pt>
                <c:pt idx="55">
                  <c:v>44409</c:v>
                </c:pt>
                <c:pt idx="56">
                  <c:v>44440</c:v>
                </c:pt>
                <c:pt idx="57">
                  <c:v>44470</c:v>
                </c:pt>
                <c:pt idx="58">
                  <c:v>44501</c:v>
                </c:pt>
                <c:pt idx="59">
                  <c:v>44531</c:v>
                </c:pt>
                <c:pt idx="60">
                  <c:v>44562</c:v>
                </c:pt>
                <c:pt idx="61">
                  <c:v>44593</c:v>
                </c:pt>
                <c:pt idx="62">
                  <c:v>44621</c:v>
                </c:pt>
                <c:pt idx="63">
                  <c:v>44652</c:v>
                </c:pt>
                <c:pt idx="64">
                  <c:v>44682</c:v>
                </c:pt>
                <c:pt idx="65">
                  <c:v>44713</c:v>
                </c:pt>
                <c:pt idx="66">
                  <c:v>44743</c:v>
                </c:pt>
                <c:pt idx="67">
                  <c:v>44774</c:v>
                </c:pt>
                <c:pt idx="68">
                  <c:v>44805</c:v>
                </c:pt>
                <c:pt idx="69">
                  <c:v>44835</c:v>
                </c:pt>
              </c:numCache>
            </c:numRef>
          </c:cat>
          <c:val>
            <c:numRef>
              <c:f>REER!$B$74:$B$143</c:f>
              <c:numCache>
                <c:formatCode>#,##0.00</c:formatCode>
                <c:ptCount val="70"/>
                <c:pt idx="0">
                  <c:v>0.98101283749748525</c:v>
                </c:pt>
                <c:pt idx="1">
                  <c:v>0.97776988096622475</c:v>
                </c:pt>
                <c:pt idx="2">
                  <c:v>0.99357197029635791</c:v>
                </c:pt>
                <c:pt idx="3">
                  <c:v>0.99381481310493547</c:v>
                </c:pt>
                <c:pt idx="4">
                  <c:v>1.0077587740335348</c:v>
                </c:pt>
                <c:pt idx="5">
                  <c:v>1.0286621640386318</c:v>
                </c:pt>
                <c:pt idx="6">
                  <c:v>1.0324657937980253</c:v>
                </c:pt>
                <c:pt idx="7">
                  <c:v>1.0295153112863693</c:v>
                </c:pt>
                <c:pt idx="8">
                  <c:v>1.0141126238990319</c:v>
                </c:pt>
                <c:pt idx="9">
                  <c:v>1.0141834806461241</c:v>
                </c:pt>
                <c:pt idx="10">
                  <c:v>1.0271395042559734</c:v>
                </c:pt>
                <c:pt idx="11">
                  <c:v>0.99747395660635818</c:v>
                </c:pt>
                <c:pt idx="12">
                  <c:v>0.95365367643686383</c:v>
                </c:pt>
                <c:pt idx="13">
                  <c:v>0.99813282273344961</c:v>
                </c:pt>
                <c:pt idx="14">
                  <c:v>1.040983099801889</c:v>
                </c:pt>
                <c:pt idx="15">
                  <c:v>1.0681368612710396</c:v>
                </c:pt>
                <c:pt idx="16">
                  <c:v>1.0978629273928693</c:v>
                </c:pt>
                <c:pt idx="17">
                  <c:v>1.1041037247591095</c:v>
                </c:pt>
                <c:pt idx="18">
                  <c:v>1.0923053989582605</c:v>
                </c:pt>
                <c:pt idx="19">
                  <c:v>1.073719671474286</c:v>
                </c:pt>
                <c:pt idx="20">
                  <c:v>1.0708650742293291</c:v>
                </c:pt>
                <c:pt idx="21">
                  <c:v>1.0873014892010466</c:v>
                </c:pt>
                <c:pt idx="22">
                  <c:v>1.1123908836617962</c:v>
                </c:pt>
                <c:pt idx="23">
                  <c:v>1.1283314938891951</c:v>
                </c:pt>
                <c:pt idx="24">
                  <c:v>1.1287890971818622</c:v>
                </c:pt>
                <c:pt idx="25">
                  <c:v>1.160787066705524</c:v>
                </c:pt>
                <c:pt idx="26">
                  <c:v>1.1755499002684537</c:v>
                </c:pt>
                <c:pt idx="27">
                  <c:v>1.1897686118605195</c:v>
                </c:pt>
                <c:pt idx="28">
                  <c:v>1.2224220365026057</c:v>
                </c:pt>
                <c:pt idx="29">
                  <c:v>1.2014598739551892</c:v>
                </c:pt>
                <c:pt idx="30">
                  <c:v>1.2247947742846068</c:v>
                </c:pt>
                <c:pt idx="31">
                  <c:v>1.2591470695697822</c:v>
                </c:pt>
                <c:pt idx="32">
                  <c:v>1.302265404550409</c:v>
                </c:pt>
                <c:pt idx="33">
                  <c:v>1.2919323085468142</c:v>
                </c:pt>
                <c:pt idx="34">
                  <c:v>1.315503845117441</c:v>
                </c:pt>
                <c:pt idx="35">
                  <c:v>1.3444064257720703</c:v>
                </c:pt>
                <c:pt idx="36">
                  <c:v>1.2969855967231811</c:v>
                </c:pt>
                <c:pt idx="37">
                  <c:v>1.2969748882683949</c:v>
                </c:pt>
                <c:pt idx="38">
                  <c:v>1.2404912350497157</c:v>
                </c:pt>
                <c:pt idx="39">
                  <c:v>1.2532473040637369</c:v>
                </c:pt>
                <c:pt idx="40">
                  <c:v>1.2643295528790819</c:v>
                </c:pt>
                <c:pt idx="41">
                  <c:v>1.2333965300968133</c:v>
                </c:pt>
                <c:pt idx="42">
                  <c:v>1.1886133218773072</c:v>
                </c:pt>
                <c:pt idx="43">
                  <c:v>1.1684926450337751</c:v>
                </c:pt>
                <c:pt idx="44">
                  <c:v>1.163396940543818</c:v>
                </c:pt>
                <c:pt idx="45">
                  <c:v>1.1653229286298099</c:v>
                </c:pt>
                <c:pt idx="46">
                  <c:v>1.1732067883668453</c:v>
                </c:pt>
                <c:pt idx="47">
                  <c:v>1.1587772885349727</c:v>
                </c:pt>
                <c:pt idx="48">
                  <c:v>1.1606296266702854</c:v>
                </c:pt>
                <c:pt idx="49">
                  <c:v>1.1787243918759522</c:v>
                </c:pt>
                <c:pt idx="50">
                  <c:v>1.2164236659040613</c:v>
                </c:pt>
                <c:pt idx="51">
                  <c:v>1.2175970001111991</c:v>
                </c:pt>
                <c:pt idx="52">
                  <c:v>1.2253465846792759</c:v>
                </c:pt>
                <c:pt idx="53">
                  <c:v>1.240300844097634</c:v>
                </c:pt>
                <c:pt idx="54">
                  <c:v>1.2554981172281778</c:v>
                </c:pt>
                <c:pt idx="55">
                  <c:v>1.2675480103344705</c:v>
                </c:pt>
                <c:pt idx="56">
                  <c:v>1.2784951254078978</c:v>
                </c:pt>
                <c:pt idx="57">
                  <c:v>1.3053106122689584</c:v>
                </c:pt>
                <c:pt idx="58">
                  <c:v>1.3228737657130758</c:v>
                </c:pt>
                <c:pt idx="59">
                  <c:v>1.3074001673261797</c:v>
                </c:pt>
                <c:pt idx="60">
                  <c:v>1.2635753789798947</c:v>
                </c:pt>
                <c:pt idx="61">
                  <c:v>1.264138421072609</c:v>
                </c:pt>
                <c:pt idx="62">
                  <c:v>1.2958978088796422</c:v>
                </c:pt>
                <c:pt idx="63">
                  <c:v>1.3332567418812589</c:v>
                </c:pt>
                <c:pt idx="64">
                  <c:v>1.3930960056837547</c:v>
                </c:pt>
                <c:pt idx="65">
                  <c:v>1.4311907904238237</c:v>
                </c:pt>
                <c:pt idx="66">
                  <c:v>1.3600464446205751</c:v>
                </c:pt>
                <c:pt idx="67">
                  <c:v>1.1903183552708574</c:v>
                </c:pt>
                <c:pt idx="68">
                  <c:v>1.2284947942100792</c:v>
                </c:pt>
                <c:pt idx="69">
                  <c:v>1.2639908333854588</c:v>
                </c:pt>
              </c:numCache>
            </c:numRef>
          </c:val>
          <c:smooth val="0"/>
          <c:extLst>
            <c:ext xmlns:c16="http://schemas.microsoft.com/office/drawing/2014/chart" uri="{C3380CC4-5D6E-409C-BE32-E72D297353CC}">
              <c16:uniqueId val="{00000000-0FF5-4AD4-B2AA-2DC1CEE35DBC}"/>
            </c:ext>
          </c:extLst>
        </c:ser>
        <c:dLbls>
          <c:showLegendKey val="0"/>
          <c:showVal val="0"/>
          <c:showCatName val="0"/>
          <c:showSerName val="0"/>
          <c:showPercent val="0"/>
          <c:showBubbleSize val="0"/>
        </c:dLbls>
        <c:marker val="1"/>
        <c:smooth val="0"/>
        <c:axId val="2053865152"/>
        <c:axId val="2053867648"/>
      </c:lineChart>
      <c:lineChart>
        <c:grouping val="standard"/>
        <c:varyColors val="0"/>
        <c:ser>
          <c:idx val="1"/>
          <c:order val="1"/>
          <c:tx>
            <c:strRef>
              <c:f>REER!$C$1</c:f>
              <c:strCache>
                <c:ptCount val="1"/>
                <c:pt idx="0">
                  <c:v>Курс НБУ</c:v>
                </c:pt>
              </c:strCache>
            </c:strRef>
          </c:tx>
          <c:spPr>
            <a:ln w="28575" cap="rnd">
              <a:solidFill>
                <a:schemeClr val="accent3"/>
              </a:solidFill>
              <a:round/>
            </a:ln>
            <a:effectLst/>
          </c:spPr>
          <c:marker>
            <c:symbol val="none"/>
          </c:marker>
          <c:cat>
            <c:numRef>
              <c:f>REER!$A$74:$A$143</c:f>
              <c:numCache>
                <c:formatCode>mm/yyyy</c:formatCode>
                <c:ptCount val="70"/>
                <c:pt idx="0">
                  <c:v>42736</c:v>
                </c:pt>
                <c:pt idx="1">
                  <c:v>42767</c:v>
                </c:pt>
                <c:pt idx="2">
                  <c:v>42795</c:v>
                </c:pt>
                <c:pt idx="3">
                  <c:v>42826</c:v>
                </c:pt>
                <c:pt idx="4">
                  <c:v>42856</c:v>
                </c:pt>
                <c:pt idx="5">
                  <c:v>42887</c:v>
                </c:pt>
                <c:pt idx="6">
                  <c:v>42917</c:v>
                </c:pt>
                <c:pt idx="7">
                  <c:v>42948</c:v>
                </c:pt>
                <c:pt idx="8">
                  <c:v>42979</c:v>
                </c:pt>
                <c:pt idx="9">
                  <c:v>43009</c:v>
                </c:pt>
                <c:pt idx="10">
                  <c:v>43040</c:v>
                </c:pt>
                <c:pt idx="11">
                  <c:v>43070</c:v>
                </c:pt>
                <c:pt idx="12">
                  <c:v>43101</c:v>
                </c:pt>
                <c:pt idx="13">
                  <c:v>43132</c:v>
                </c:pt>
                <c:pt idx="14">
                  <c:v>43160</c:v>
                </c:pt>
                <c:pt idx="15">
                  <c:v>43191</c:v>
                </c:pt>
                <c:pt idx="16">
                  <c:v>43221</c:v>
                </c:pt>
                <c:pt idx="17">
                  <c:v>43252</c:v>
                </c:pt>
                <c:pt idx="18">
                  <c:v>43282</c:v>
                </c:pt>
                <c:pt idx="19">
                  <c:v>43313</c:v>
                </c:pt>
                <c:pt idx="20">
                  <c:v>43344</c:v>
                </c:pt>
                <c:pt idx="21">
                  <c:v>43374</c:v>
                </c:pt>
                <c:pt idx="22">
                  <c:v>43405</c:v>
                </c:pt>
                <c:pt idx="23">
                  <c:v>43435</c:v>
                </c:pt>
                <c:pt idx="24">
                  <c:v>43466</c:v>
                </c:pt>
                <c:pt idx="25">
                  <c:v>43497</c:v>
                </c:pt>
                <c:pt idx="26">
                  <c:v>43525</c:v>
                </c:pt>
                <c:pt idx="27">
                  <c:v>43556</c:v>
                </c:pt>
                <c:pt idx="28">
                  <c:v>43586</c:v>
                </c:pt>
                <c:pt idx="29">
                  <c:v>43617</c:v>
                </c:pt>
                <c:pt idx="30">
                  <c:v>43647</c:v>
                </c:pt>
                <c:pt idx="31">
                  <c:v>43678</c:v>
                </c:pt>
                <c:pt idx="32">
                  <c:v>43709</c:v>
                </c:pt>
                <c:pt idx="33">
                  <c:v>43740</c:v>
                </c:pt>
                <c:pt idx="34">
                  <c:v>43770</c:v>
                </c:pt>
                <c:pt idx="35">
                  <c:v>43800</c:v>
                </c:pt>
                <c:pt idx="36">
                  <c:v>43831</c:v>
                </c:pt>
                <c:pt idx="37">
                  <c:v>43862</c:v>
                </c:pt>
                <c:pt idx="38">
                  <c:v>43891</c:v>
                </c:pt>
                <c:pt idx="39">
                  <c:v>43922</c:v>
                </c:pt>
                <c:pt idx="40">
                  <c:v>43952</c:v>
                </c:pt>
                <c:pt idx="41">
                  <c:v>43983</c:v>
                </c:pt>
                <c:pt idx="42">
                  <c:v>44013</c:v>
                </c:pt>
                <c:pt idx="43">
                  <c:v>44044</c:v>
                </c:pt>
                <c:pt idx="44">
                  <c:v>44075</c:v>
                </c:pt>
                <c:pt idx="45">
                  <c:v>44105</c:v>
                </c:pt>
                <c:pt idx="46">
                  <c:v>44136</c:v>
                </c:pt>
                <c:pt idx="47">
                  <c:v>44166</c:v>
                </c:pt>
                <c:pt idx="48">
                  <c:v>44197</c:v>
                </c:pt>
                <c:pt idx="49">
                  <c:v>44228</c:v>
                </c:pt>
                <c:pt idx="50">
                  <c:v>44256</c:v>
                </c:pt>
                <c:pt idx="51">
                  <c:v>44287</c:v>
                </c:pt>
                <c:pt idx="52">
                  <c:v>44317</c:v>
                </c:pt>
                <c:pt idx="53">
                  <c:v>44348</c:v>
                </c:pt>
                <c:pt idx="54">
                  <c:v>44378</c:v>
                </c:pt>
                <c:pt idx="55">
                  <c:v>44409</c:v>
                </c:pt>
                <c:pt idx="56">
                  <c:v>44440</c:v>
                </c:pt>
                <c:pt idx="57">
                  <c:v>44470</c:v>
                </c:pt>
                <c:pt idx="58">
                  <c:v>44501</c:v>
                </c:pt>
                <c:pt idx="59">
                  <c:v>44531</c:v>
                </c:pt>
                <c:pt idx="60">
                  <c:v>44562</c:v>
                </c:pt>
                <c:pt idx="61">
                  <c:v>44593</c:v>
                </c:pt>
                <c:pt idx="62">
                  <c:v>44621</c:v>
                </c:pt>
                <c:pt idx="63">
                  <c:v>44652</c:v>
                </c:pt>
                <c:pt idx="64">
                  <c:v>44682</c:v>
                </c:pt>
                <c:pt idx="65">
                  <c:v>44713</c:v>
                </c:pt>
                <c:pt idx="66">
                  <c:v>44743</c:v>
                </c:pt>
                <c:pt idx="67">
                  <c:v>44774</c:v>
                </c:pt>
                <c:pt idx="68">
                  <c:v>44805</c:v>
                </c:pt>
                <c:pt idx="69">
                  <c:v>44835</c:v>
                </c:pt>
              </c:numCache>
            </c:numRef>
          </c:cat>
          <c:val>
            <c:numRef>
              <c:f>REER!$C$74:$C$143</c:f>
              <c:numCache>
                <c:formatCode>General</c:formatCode>
                <c:ptCount val="70"/>
                <c:pt idx="0">
                  <c:v>27.150611903225798</c:v>
                </c:pt>
                <c:pt idx="1">
                  <c:v>27.027771071428578</c:v>
                </c:pt>
                <c:pt idx="2">
                  <c:v>27.001562419354837</c:v>
                </c:pt>
                <c:pt idx="3">
                  <c:v>26.856827100000014</c:v>
                </c:pt>
                <c:pt idx="4">
                  <c:v>26.423693</c:v>
                </c:pt>
                <c:pt idx="5">
                  <c:v>26.108858166666668</c:v>
                </c:pt>
                <c:pt idx="6">
                  <c:v>25.969315225806444</c:v>
                </c:pt>
                <c:pt idx="7">
                  <c:v>25.635271419354826</c:v>
                </c:pt>
                <c:pt idx="8">
                  <c:v>26.10860709999999</c:v>
                </c:pt>
                <c:pt idx="9">
                  <c:v>26.654977096774203</c:v>
                </c:pt>
                <c:pt idx="10">
                  <c:v>26.705274633333332</c:v>
                </c:pt>
                <c:pt idx="11">
                  <c:v>27.516507935483883</c:v>
                </c:pt>
                <c:pt idx="12">
                  <c:v>28.434328612903219</c:v>
                </c:pt>
                <c:pt idx="13">
                  <c:v>27.171049392857139</c:v>
                </c:pt>
                <c:pt idx="14">
                  <c:v>26.341204741935485</c:v>
                </c:pt>
                <c:pt idx="15">
                  <c:v>26.151748566666665</c:v>
                </c:pt>
                <c:pt idx="16">
                  <c:v>26.181224580645161</c:v>
                </c:pt>
                <c:pt idx="17">
                  <c:v>26.202170466666661</c:v>
                </c:pt>
                <c:pt idx="18">
                  <c:v>26.400686419354855</c:v>
                </c:pt>
                <c:pt idx="19">
                  <c:v>27.482209032258066</c:v>
                </c:pt>
                <c:pt idx="20">
                  <c:v>28.191267433333341</c:v>
                </c:pt>
                <c:pt idx="21">
                  <c:v>28.127382419354841</c:v>
                </c:pt>
                <c:pt idx="22">
                  <c:v>27.933498133333334</c:v>
                </c:pt>
                <c:pt idx="23">
                  <c:v>27.789138709677424</c:v>
                </c:pt>
                <c:pt idx="24">
                  <c:v>27.879174999999989</c:v>
                </c:pt>
                <c:pt idx="25">
                  <c:v>27.160679178571421</c:v>
                </c:pt>
                <c:pt idx="26">
                  <c:v>26.863534580645165</c:v>
                </c:pt>
                <c:pt idx="27">
                  <c:v>26.811495299999994</c:v>
                </c:pt>
                <c:pt idx="28">
                  <c:v>26.378847709677427</c:v>
                </c:pt>
                <c:pt idx="29">
                  <c:v>26.500110633333335</c:v>
                </c:pt>
                <c:pt idx="30">
                  <c:v>25.751355387096766</c:v>
                </c:pt>
                <c:pt idx="31">
                  <c:v>25.246989612903224</c:v>
                </c:pt>
                <c:pt idx="32">
                  <c:v>24.769724166666666</c:v>
                </c:pt>
                <c:pt idx="33">
                  <c:v>24.808206516129029</c:v>
                </c:pt>
                <c:pt idx="34">
                  <c:v>24.367518633333326</c:v>
                </c:pt>
                <c:pt idx="35">
                  <c:v>23.609435129032253</c:v>
                </c:pt>
                <c:pt idx="36">
                  <c:v>24.119351612903227</c:v>
                </c:pt>
                <c:pt idx="37">
                  <c:v>24.596524137931045</c:v>
                </c:pt>
                <c:pt idx="38">
                  <c:v>26.412293548387101</c:v>
                </c:pt>
                <c:pt idx="39">
                  <c:v>27.224653333333325</c:v>
                </c:pt>
                <c:pt idx="40">
                  <c:v>26.814329032258055</c:v>
                </c:pt>
                <c:pt idx="41">
                  <c:v>26.707343333333327</c:v>
                </c:pt>
                <c:pt idx="42">
                  <c:v>27.312838709677415</c:v>
                </c:pt>
                <c:pt idx="43">
                  <c:v>27.521419354838709</c:v>
                </c:pt>
                <c:pt idx="44">
                  <c:v>27.976716666666668</c:v>
                </c:pt>
                <c:pt idx="45">
                  <c:v>28.324951612903224</c:v>
                </c:pt>
                <c:pt idx="46">
                  <c:v>28.310153333333343</c:v>
                </c:pt>
                <c:pt idx="47">
                  <c:v>28.169719354838708</c:v>
                </c:pt>
                <c:pt idx="48">
                  <c:v>28.219770967741937</c:v>
                </c:pt>
                <c:pt idx="49">
                  <c:v>27.884660714285712</c:v>
                </c:pt>
                <c:pt idx="50">
                  <c:v>27.795558064516129</c:v>
                </c:pt>
                <c:pt idx="51">
                  <c:v>27.930006666666667</c:v>
                </c:pt>
                <c:pt idx="52">
                  <c:v>27.602848387096767</c:v>
                </c:pt>
                <c:pt idx="53">
                  <c:v>27.239873333333321</c:v>
                </c:pt>
                <c:pt idx="54">
                  <c:v>27.214548387096777</c:v>
                </c:pt>
                <c:pt idx="55">
                  <c:v>26.78485483870967</c:v>
                </c:pt>
                <c:pt idx="56">
                  <c:v>26.727786666666663</c:v>
                </c:pt>
                <c:pt idx="57">
                  <c:v>26.374677419354835</c:v>
                </c:pt>
                <c:pt idx="58">
                  <c:v>26.446223333333332</c:v>
                </c:pt>
                <c:pt idx="59">
                  <c:v>27.21346451612904</c:v>
                </c:pt>
                <c:pt idx="60">
                  <c:v>27.981270967741931</c:v>
                </c:pt>
                <c:pt idx="61">
                  <c:v>28.413664285714287</c:v>
                </c:pt>
                <c:pt idx="62">
                  <c:v>29.254900000000013</c:v>
                </c:pt>
                <c:pt idx="63">
                  <c:v>29.254900000000013</c:v>
                </c:pt>
                <c:pt idx="64">
                  <c:v>29.254900000000013</c:v>
                </c:pt>
                <c:pt idx="65">
                  <c:v>29.254900000000013</c:v>
                </c:pt>
                <c:pt idx="66">
                  <c:v>31.850083870967769</c:v>
                </c:pt>
                <c:pt idx="67">
                  <c:v>36.568600000000032</c:v>
                </c:pt>
                <c:pt idx="68">
                  <c:v>36.568600000000032</c:v>
                </c:pt>
                <c:pt idx="69">
                  <c:v>36.568600000000032</c:v>
                </c:pt>
              </c:numCache>
            </c:numRef>
          </c:val>
          <c:smooth val="0"/>
          <c:extLst>
            <c:ext xmlns:c16="http://schemas.microsoft.com/office/drawing/2014/chart" uri="{C3380CC4-5D6E-409C-BE32-E72D297353CC}">
              <c16:uniqueId val="{00000001-0FF5-4AD4-B2AA-2DC1CEE35DBC}"/>
            </c:ext>
          </c:extLst>
        </c:ser>
        <c:dLbls>
          <c:showLegendKey val="0"/>
          <c:showVal val="0"/>
          <c:showCatName val="0"/>
          <c:showSerName val="0"/>
          <c:showPercent val="0"/>
          <c:showBubbleSize val="0"/>
        </c:dLbls>
        <c:marker val="1"/>
        <c:smooth val="0"/>
        <c:axId val="2053869312"/>
        <c:axId val="2053870976"/>
      </c:lineChart>
      <c:dateAx>
        <c:axId val="2053865152"/>
        <c:scaling>
          <c:orientation val="minMax"/>
        </c:scaling>
        <c:delete val="0"/>
        <c:axPos val="b"/>
        <c:majorGridlines>
          <c:spPr>
            <a:ln w="9525" cap="flat" cmpd="sng" algn="ctr">
              <a:solidFill>
                <a:schemeClr val="tx1">
                  <a:lumMod val="15000"/>
                  <a:lumOff val="85000"/>
                </a:schemeClr>
              </a:solidFill>
              <a:round/>
            </a:ln>
            <a:effectLst/>
          </c:spPr>
        </c:majorGridlines>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2053867648"/>
        <c:crosses val="autoZero"/>
        <c:auto val="1"/>
        <c:lblOffset val="100"/>
        <c:baseTimeUnit val="days"/>
        <c:majorUnit val="1"/>
        <c:majorTimeUnit val="years"/>
      </c:dateAx>
      <c:valAx>
        <c:axId val="2053867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accent5"/>
                </a:solidFill>
                <a:latin typeface="+mn-lt"/>
                <a:ea typeface="+mn-ea"/>
                <a:cs typeface="+mn-cs"/>
              </a:defRPr>
            </a:pPr>
            <a:endParaRPr lang="en-US"/>
          </a:p>
        </c:txPr>
        <c:crossAx val="2053865152"/>
        <c:crosses val="autoZero"/>
        <c:crossBetween val="between"/>
      </c:valAx>
      <c:valAx>
        <c:axId val="20538709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accent3"/>
                </a:solidFill>
                <a:latin typeface="+mn-lt"/>
                <a:ea typeface="+mn-ea"/>
                <a:cs typeface="+mn-cs"/>
              </a:defRPr>
            </a:pPr>
            <a:endParaRPr lang="en-US"/>
          </a:p>
        </c:txPr>
        <c:crossAx val="2053869312"/>
        <c:crosses val="max"/>
        <c:crossBetween val="between"/>
      </c:valAx>
      <c:dateAx>
        <c:axId val="2053869312"/>
        <c:scaling>
          <c:orientation val="minMax"/>
        </c:scaling>
        <c:delete val="1"/>
        <c:axPos val="b"/>
        <c:numFmt formatCode="mm/yyyy" sourceLinked="1"/>
        <c:majorTickMark val="out"/>
        <c:minorTickMark val="none"/>
        <c:tickLblPos val="nextTo"/>
        <c:crossAx val="2053870976"/>
        <c:crosses val="autoZero"/>
        <c:auto val="1"/>
        <c:lblOffset val="100"/>
        <c:baseTimeUnit val="months"/>
      </c:dateAx>
      <c:spPr>
        <a:noFill/>
        <a:ln>
          <a:noFill/>
        </a:ln>
        <a:effectLst/>
      </c:spPr>
    </c:plotArea>
    <c:legend>
      <c:legendPos val="t"/>
      <c:layout>
        <c:manualLayout>
          <c:xMode val="edge"/>
          <c:yMode val="edge"/>
          <c:x val="0"/>
          <c:y val="0.12520041261420572"/>
          <c:w val="1"/>
          <c:h val="4.5313750373184351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1">
          <a:solidFill>
            <a:schemeClr val="tx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447863531756395E-2"/>
          <c:y val="0.25809980893874157"/>
          <c:w val="0.62981071120706689"/>
          <c:h val="0.59632274456813983"/>
        </c:manualLayout>
      </c:layout>
      <c:barChart>
        <c:barDir val="col"/>
        <c:grouping val="clustered"/>
        <c:varyColors val="0"/>
        <c:ser>
          <c:idx val="1"/>
          <c:order val="1"/>
          <c:tx>
            <c:strRef>
              <c:f>'Прогноз Зарплати 2023'!$A$150</c:f>
              <c:strCache>
                <c:ptCount val="1"/>
                <c:pt idx="0">
                  <c:v>USD </c:v>
                </c:pt>
              </c:strCache>
            </c:strRef>
          </c:tx>
          <c:spPr>
            <a:solidFill>
              <a:schemeClr val="accent5">
                <a:lumMod val="40000"/>
                <a:lumOff val="60000"/>
              </a:schemeClr>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0-0E43-4DCB-87C6-80421CB528F9}"/>
                </c:ext>
              </c:extLst>
            </c:dLbl>
            <c:dLbl>
              <c:idx val="3"/>
              <c:delete val="1"/>
              <c:extLst>
                <c:ext xmlns:c15="http://schemas.microsoft.com/office/drawing/2012/chart" uri="{CE6537A1-D6FC-4f65-9D91-7224C49458BB}"/>
                <c:ext xmlns:c16="http://schemas.microsoft.com/office/drawing/2014/chart" uri="{C3380CC4-5D6E-409C-BE32-E72D297353CC}">
                  <c16:uniqueId val="{00000001-0E43-4DCB-87C6-80421CB528F9}"/>
                </c:ext>
              </c:extLst>
            </c:dLbl>
            <c:dLbl>
              <c:idx val="5"/>
              <c:delete val="1"/>
              <c:extLst>
                <c:ext xmlns:c15="http://schemas.microsoft.com/office/drawing/2012/chart" uri="{CE6537A1-D6FC-4f65-9D91-7224C49458BB}"/>
                <c:ext xmlns:c16="http://schemas.microsoft.com/office/drawing/2014/chart" uri="{C3380CC4-5D6E-409C-BE32-E72D297353CC}">
                  <c16:uniqueId val="{00000002-0E43-4DCB-87C6-80421CB528F9}"/>
                </c:ext>
              </c:extLst>
            </c:dLbl>
            <c:dLbl>
              <c:idx val="7"/>
              <c:delete val="1"/>
              <c:extLst>
                <c:ext xmlns:c15="http://schemas.microsoft.com/office/drawing/2012/chart" uri="{CE6537A1-D6FC-4f65-9D91-7224C49458BB}"/>
                <c:ext xmlns:c16="http://schemas.microsoft.com/office/drawing/2014/chart" uri="{C3380CC4-5D6E-409C-BE32-E72D297353CC}">
                  <c16:uniqueId val="{00000003-0E43-4DCB-87C6-80421CB528F9}"/>
                </c:ext>
              </c:extLst>
            </c:dLbl>
            <c:dLbl>
              <c:idx val="9"/>
              <c:delete val="1"/>
              <c:extLst>
                <c:ext xmlns:c15="http://schemas.microsoft.com/office/drawing/2012/chart" uri="{CE6537A1-D6FC-4f65-9D91-7224C49458BB}"/>
                <c:ext xmlns:c16="http://schemas.microsoft.com/office/drawing/2014/chart" uri="{C3380CC4-5D6E-409C-BE32-E72D297353CC}">
                  <c16:uniqueId val="{00000004-0E43-4DCB-87C6-80421CB528F9}"/>
                </c:ext>
              </c:extLst>
            </c:dLbl>
            <c:dLbl>
              <c:idx val="12"/>
              <c:delete val="1"/>
              <c:extLst>
                <c:ext xmlns:c15="http://schemas.microsoft.com/office/drawing/2012/chart" uri="{CE6537A1-D6FC-4f65-9D91-7224C49458BB}"/>
                <c:ext xmlns:c16="http://schemas.microsoft.com/office/drawing/2014/chart" uri="{C3380CC4-5D6E-409C-BE32-E72D297353CC}">
                  <c16:uniqueId val="{00000005-0E43-4DCB-87C6-80421CB528F9}"/>
                </c:ext>
              </c:extLst>
            </c:dLbl>
            <c:dLbl>
              <c:idx val="14"/>
              <c:delete val="1"/>
              <c:extLst>
                <c:ext xmlns:c15="http://schemas.microsoft.com/office/drawing/2012/chart" uri="{CE6537A1-D6FC-4f65-9D91-7224C49458BB}"/>
                <c:ext xmlns:c16="http://schemas.microsoft.com/office/drawing/2014/chart" uri="{C3380CC4-5D6E-409C-BE32-E72D297353CC}">
                  <c16:uniqueId val="{00000006-0E43-4DCB-87C6-80421CB528F9}"/>
                </c:ext>
              </c:extLst>
            </c:dLbl>
            <c:dLbl>
              <c:idx val="16"/>
              <c:delete val="1"/>
              <c:extLst>
                <c:ext xmlns:c15="http://schemas.microsoft.com/office/drawing/2012/chart" uri="{CE6537A1-D6FC-4f65-9D91-7224C49458BB}"/>
                <c:ext xmlns:c16="http://schemas.microsoft.com/office/drawing/2014/chart" uri="{C3380CC4-5D6E-409C-BE32-E72D297353CC}">
                  <c16:uniqueId val="{00000007-0E43-4DCB-87C6-80421CB528F9}"/>
                </c:ext>
              </c:extLst>
            </c:dLbl>
            <c:dLbl>
              <c:idx val="19"/>
              <c:delete val="1"/>
              <c:extLst>
                <c:ext xmlns:c15="http://schemas.microsoft.com/office/drawing/2012/chart" uri="{CE6537A1-D6FC-4f65-9D91-7224C49458BB}"/>
                <c:ext xmlns:c16="http://schemas.microsoft.com/office/drawing/2014/chart" uri="{C3380CC4-5D6E-409C-BE32-E72D297353CC}">
                  <c16:uniqueId val="{00000008-0E43-4DCB-87C6-80421CB528F9}"/>
                </c:ext>
              </c:extLst>
            </c:dLbl>
            <c:dLbl>
              <c:idx val="21"/>
              <c:delete val="1"/>
              <c:extLst>
                <c:ext xmlns:c15="http://schemas.microsoft.com/office/drawing/2012/chart" uri="{CE6537A1-D6FC-4f65-9D91-7224C49458BB}"/>
                <c:ext xmlns:c16="http://schemas.microsoft.com/office/drawing/2014/chart" uri="{C3380CC4-5D6E-409C-BE32-E72D297353CC}">
                  <c16:uniqueId val="{00000009-0E43-4DCB-87C6-80421CB528F9}"/>
                </c:ext>
              </c:extLst>
            </c:dLbl>
            <c:dLbl>
              <c:idx val="24"/>
              <c:delete val="1"/>
              <c:extLst>
                <c:ext xmlns:c15="http://schemas.microsoft.com/office/drawing/2012/chart" uri="{CE6537A1-D6FC-4f65-9D91-7224C49458BB}"/>
                <c:ext xmlns:c16="http://schemas.microsoft.com/office/drawing/2014/chart" uri="{C3380CC4-5D6E-409C-BE32-E72D297353CC}">
                  <c16:uniqueId val="{0000000A-0E43-4DCB-87C6-80421CB528F9}"/>
                </c:ext>
              </c:extLst>
            </c:dLbl>
            <c:dLbl>
              <c:idx val="27"/>
              <c:delete val="1"/>
              <c:extLst>
                <c:ext xmlns:c15="http://schemas.microsoft.com/office/drawing/2012/chart" uri="{CE6537A1-D6FC-4f65-9D91-7224C49458BB}"/>
                <c:ext xmlns:c16="http://schemas.microsoft.com/office/drawing/2014/chart" uri="{C3380CC4-5D6E-409C-BE32-E72D297353CC}">
                  <c16:uniqueId val="{0000000B-0E43-4DCB-87C6-80421CB528F9}"/>
                </c:ext>
              </c:extLst>
            </c:dLbl>
            <c:dLbl>
              <c:idx val="29"/>
              <c:delete val="1"/>
              <c:extLst>
                <c:ext xmlns:c15="http://schemas.microsoft.com/office/drawing/2012/chart" uri="{CE6537A1-D6FC-4f65-9D91-7224C49458BB}"/>
                <c:ext xmlns:c16="http://schemas.microsoft.com/office/drawing/2014/chart" uri="{C3380CC4-5D6E-409C-BE32-E72D297353CC}">
                  <c16:uniqueId val="{0000000C-0E43-4DCB-87C6-80421CB528F9}"/>
                </c:ext>
              </c:extLst>
            </c:dLbl>
            <c:dLbl>
              <c:idx val="31"/>
              <c:delete val="1"/>
              <c:extLst>
                <c:ext xmlns:c15="http://schemas.microsoft.com/office/drawing/2012/chart" uri="{CE6537A1-D6FC-4f65-9D91-7224C49458BB}"/>
                <c:ext xmlns:c16="http://schemas.microsoft.com/office/drawing/2014/chart" uri="{C3380CC4-5D6E-409C-BE32-E72D297353CC}">
                  <c16:uniqueId val="{0000000D-0E43-4DCB-87C6-80421CB528F9}"/>
                </c:ext>
              </c:extLst>
            </c:dLbl>
            <c:dLbl>
              <c:idx val="33"/>
              <c:delete val="1"/>
              <c:extLst>
                <c:ext xmlns:c15="http://schemas.microsoft.com/office/drawing/2012/chart" uri="{CE6537A1-D6FC-4f65-9D91-7224C49458BB}"/>
                <c:ext xmlns:c16="http://schemas.microsoft.com/office/drawing/2014/chart" uri="{C3380CC4-5D6E-409C-BE32-E72D297353CC}">
                  <c16:uniqueId val="{0000000E-0E43-4DCB-87C6-80421CB528F9}"/>
                </c:ext>
              </c:extLst>
            </c:dLbl>
            <c:dLbl>
              <c:idx val="34"/>
              <c:layout>
                <c:manualLayout>
                  <c:x val="-5.031754531203911E-3"/>
                  <c:y val="4.280011134769046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F50-4B86-86B7-97169603D747}"/>
                </c:ext>
              </c:extLst>
            </c:dLbl>
            <c:dLbl>
              <c:idx val="35"/>
              <c:layout>
                <c:manualLayout>
                  <c:x val="-9.2247767417990676E-17"/>
                  <c:y val="1.42601882800488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AFD-48B8-8D00-751B8703F44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2023'!$N$131:$AW$131</c:f>
              <c:numCache>
                <c:formatCode>_(* #\ ##0_);_(* \(#\ ##0\);_(* "-"??_);_(@_)</c:formatCode>
                <c:ptCount val="36"/>
                <c:pt idx="0">
                  <c:v>437.17576638387527</c:v>
                </c:pt>
                <c:pt idx="1">
                  <c:v>450.03237186855824</c:v>
                </c:pt>
                <c:pt idx="2">
                  <c:v>489.71853590437973</c:v>
                </c:pt>
                <c:pt idx="3">
                  <c:v>484.89079842463303</c:v>
                </c:pt>
                <c:pt idx="4">
                  <c:v>489.09420289855069</c:v>
                </c:pt>
                <c:pt idx="5">
                  <c:v>525.44297195704064</c:v>
                </c:pt>
                <c:pt idx="6">
                  <c:v>527.10777323798527</c:v>
                </c:pt>
                <c:pt idx="7">
                  <c:v>523.05680119581461</c:v>
                </c:pt>
                <c:pt idx="8">
                  <c:v>532.66221927987112</c:v>
                </c:pt>
                <c:pt idx="9">
                  <c:v>532.61281759575274</c:v>
                </c:pt>
                <c:pt idx="10">
                  <c:v>539.96219281663514</c:v>
                </c:pt>
                <c:pt idx="11">
                  <c:v>641.41859610437336</c:v>
                </c:pt>
                <c:pt idx="12">
                  <c:v>520.97927090779126</c:v>
                </c:pt>
                <c:pt idx="13">
                  <c:v>509.07429880100358</c:v>
                </c:pt>
                <c:pt idx="14">
                  <c:v>505.2105484476819</c:v>
                </c:pt>
                <c:pt idx="15">
                  <c:v>471.7244754514366</c:v>
                </c:pt>
                <c:pt idx="16">
                  <c:v>466.3658097443041</c:v>
                </c:pt>
                <c:pt idx="17">
                  <c:v>469.36083438424225</c:v>
                </c:pt>
                <c:pt idx="18">
                  <c:v>397.43643831285976</c:v>
                </c:pt>
                <c:pt idx="19">
                  <c:v>401.43916096836119</c:v>
                </c:pt>
                <c:pt idx="20">
                  <c:v>400.40795106389305</c:v>
                </c:pt>
                <c:pt idx="21">
                  <c:v>445.3256342741177</c:v>
                </c:pt>
                <c:pt idx="22">
                  <c:v>449.74106509284508</c:v>
                </c:pt>
                <c:pt idx="23">
                  <c:v>456.62913717005983</c:v>
                </c:pt>
                <c:pt idx="24">
                  <c:v>417.86300161192986</c:v>
                </c:pt>
                <c:pt idx="25">
                  <c:v>422.25887911052553</c:v>
                </c:pt>
                <c:pt idx="26">
                  <c:v>426.1588801839747</c:v>
                </c:pt>
                <c:pt idx="27">
                  <c:v>463.13311048283276</c:v>
                </c:pt>
                <c:pt idx="28">
                  <c:v>469.07700312251023</c:v>
                </c:pt>
                <c:pt idx="29">
                  <c:v>476.80983432364405</c:v>
                </c:pt>
                <c:pt idx="30">
                  <c:v>479.03418102269615</c:v>
                </c:pt>
                <c:pt idx="31">
                  <c:v>476.88460486737767</c:v>
                </c:pt>
                <c:pt idx="32">
                  <c:v>485.52502050861364</c:v>
                </c:pt>
                <c:pt idx="33">
                  <c:v>491.90158004571197</c:v>
                </c:pt>
                <c:pt idx="34">
                  <c:v>489.28477469184526</c:v>
                </c:pt>
                <c:pt idx="35">
                  <c:v>535.24038449333057</c:v>
                </c:pt>
              </c:numCache>
            </c:numRef>
          </c:val>
          <c:extLst>
            <c:ext xmlns:c16="http://schemas.microsoft.com/office/drawing/2014/chart" uri="{C3380CC4-5D6E-409C-BE32-E72D297353CC}">
              <c16:uniqueId val="{0000000F-0E43-4DCB-87C6-80421CB528F9}"/>
            </c:ext>
          </c:extLst>
        </c:ser>
        <c:dLbls>
          <c:showLegendKey val="0"/>
          <c:showVal val="0"/>
          <c:showCatName val="0"/>
          <c:showSerName val="0"/>
          <c:showPercent val="0"/>
          <c:showBubbleSize val="0"/>
        </c:dLbls>
        <c:gapWidth val="150"/>
        <c:axId val="554919048"/>
        <c:axId val="554922248"/>
        <c:extLst>
          <c:ext xmlns:c15="http://schemas.microsoft.com/office/drawing/2012/chart" uri="{02D57815-91ED-43cb-92C2-25804820EDAC}">
            <c15:filteredBarSeries>
              <c15:ser>
                <c:idx val="2"/>
                <c:order val="2"/>
                <c:tx>
                  <c:strRef>
                    <c:extLst>
                      <c:ext uri="{02D57815-91ED-43cb-92C2-25804820EDAC}">
                        <c15:formulaRef>
                          <c15:sqref>'Прогноз Зарплати 2023'!$A$132</c15:sqref>
                        </c15:formulaRef>
                      </c:ext>
                    </c:extLst>
                    <c:strCache>
                      <c:ptCount val="1"/>
                      <c:pt idx="0">
                        <c:v>USD (сценарій 2)</c:v>
                      </c:pt>
                    </c:strCache>
                  </c:strRef>
                </c:tx>
                <c:spPr>
                  <a:solidFill>
                    <a:schemeClr val="accent2">
                      <a:lumMod val="60000"/>
                      <a:lumOff val="40000"/>
                    </a:schemeClr>
                  </a:solidFill>
                  <a:ln>
                    <a:noFill/>
                  </a:ln>
                  <a:effectLst/>
                </c:spPr>
                <c:invertIfNegative val="0"/>
                <c:dLbls>
                  <c:dLbl>
                    <c:idx val="0"/>
                    <c:layout>
                      <c:manualLayout>
                        <c:x val="2.8852464776706358E-3"/>
                        <c:y val="-7.0786050007310136E-17"/>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29-0E43-4DCB-87C6-80421CB528F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'Прогноз Зарплати 2023'!$N$127:$AW$128</c15:sqref>
                        </c15:formulaRef>
                      </c:ext>
                    </c:extLst>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extLst>
                      <c:ext uri="{02D57815-91ED-43cb-92C2-25804820EDAC}">
                        <c15:formulaRef>
                          <c15:sqref>'Прогноз Зарплати 2023'!$AL$132:$AW$132</c15:sqref>
                        </c15:formulaRef>
                      </c:ext>
                    </c:extLst>
                    <c:numCache>
                      <c:formatCode>_-* #\ ##0\ _₴_-;\-* #\ ##0\ _₴_-;_-* "-"?\ _₴_-;_-@_-</c:formatCode>
                      <c:ptCount val="12"/>
                      <c:pt idx="0">
                        <c:v>417.86300161192986</c:v>
                      </c:pt>
                      <c:pt idx="1">
                        <c:v>422.25887911052553</c:v>
                      </c:pt>
                      <c:pt idx="2">
                        <c:v>426.1588801839747</c:v>
                      </c:pt>
                      <c:pt idx="3">
                        <c:v>463.13311048283276</c:v>
                      </c:pt>
                      <c:pt idx="4">
                        <c:v>469.07700312251023</c:v>
                      </c:pt>
                      <c:pt idx="5">
                        <c:v>476.80983432364405</c:v>
                      </c:pt>
                      <c:pt idx="6">
                        <c:v>456.27075585940645</c:v>
                      </c:pt>
                      <c:pt idx="7">
                        <c:v>445.27284868919793</c:v>
                      </c:pt>
                      <c:pt idx="8">
                        <c:v>450.35166776776026</c:v>
                      </c:pt>
                      <c:pt idx="9">
                        <c:v>447.82503126516718</c:v>
                      </c:pt>
                      <c:pt idx="10">
                        <c:v>442.2095693878191</c:v>
                      </c:pt>
                      <c:pt idx="11">
                        <c:v>482.60636073389554</c:v>
                      </c:pt>
                    </c:numCache>
                  </c:numRef>
                </c:val>
                <c:extLst>
                  <c:ext xmlns:c16="http://schemas.microsoft.com/office/drawing/2014/chart" uri="{C3380CC4-5D6E-409C-BE32-E72D297353CC}">
                    <c16:uniqueId val="{0000002A-0E43-4DCB-87C6-80421CB528F9}"/>
                  </c:ext>
                </c:extLst>
              </c15:ser>
            </c15:filteredBarSeries>
          </c:ext>
        </c:extLst>
      </c:barChart>
      <c:lineChart>
        <c:grouping val="standard"/>
        <c:varyColors val="0"/>
        <c:ser>
          <c:idx val="0"/>
          <c:order val="0"/>
          <c:tx>
            <c:strRef>
              <c:f>'Прогноз Зарплати 2023'!$A$143</c:f>
              <c:strCache>
                <c:ptCount val="1"/>
                <c:pt idx="0">
                  <c:v>UAH</c:v>
                </c:pt>
              </c:strCache>
            </c:strRef>
          </c:tx>
          <c:spPr>
            <a:ln w="28575" cap="rnd">
              <a:solidFill>
                <a:schemeClr val="accent5"/>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0-0E43-4DCB-87C6-80421CB528F9}"/>
                </c:ext>
              </c:extLst>
            </c:dLbl>
            <c:dLbl>
              <c:idx val="3"/>
              <c:delete val="1"/>
              <c:extLst>
                <c:ext xmlns:c15="http://schemas.microsoft.com/office/drawing/2012/chart" uri="{CE6537A1-D6FC-4f65-9D91-7224C49458BB}"/>
                <c:ext xmlns:c16="http://schemas.microsoft.com/office/drawing/2014/chart" uri="{C3380CC4-5D6E-409C-BE32-E72D297353CC}">
                  <c16:uniqueId val="{00000011-0E43-4DCB-87C6-80421CB528F9}"/>
                </c:ext>
              </c:extLst>
            </c:dLbl>
            <c:dLbl>
              <c:idx val="4"/>
              <c:delete val="1"/>
              <c:extLst>
                <c:ext xmlns:c15="http://schemas.microsoft.com/office/drawing/2012/chart" uri="{CE6537A1-D6FC-4f65-9D91-7224C49458BB}"/>
                <c:ext xmlns:c16="http://schemas.microsoft.com/office/drawing/2014/chart" uri="{C3380CC4-5D6E-409C-BE32-E72D297353CC}">
                  <c16:uniqueId val="{00000012-0E43-4DCB-87C6-80421CB528F9}"/>
                </c:ext>
              </c:extLst>
            </c:dLbl>
            <c:dLbl>
              <c:idx val="6"/>
              <c:delete val="1"/>
              <c:extLst>
                <c:ext xmlns:c15="http://schemas.microsoft.com/office/drawing/2012/chart" uri="{CE6537A1-D6FC-4f65-9D91-7224C49458BB}"/>
                <c:ext xmlns:c16="http://schemas.microsoft.com/office/drawing/2014/chart" uri="{C3380CC4-5D6E-409C-BE32-E72D297353CC}">
                  <c16:uniqueId val="{00000013-0E43-4DCB-87C6-80421CB528F9}"/>
                </c:ext>
              </c:extLst>
            </c:dLbl>
            <c:dLbl>
              <c:idx val="7"/>
              <c:delete val="1"/>
              <c:extLst>
                <c:ext xmlns:c15="http://schemas.microsoft.com/office/drawing/2012/chart" uri="{CE6537A1-D6FC-4f65-9D91-7224C49458BB}"/>
                <c:ext xmlns:c16="http://schemas.microsoft.com/office/drawing/2014/chart" uri="{C3380CC4-5D6E-409C-BE32-E72D297353CC}">
                  <c16:uniqueId val="{00000014-0E43-4DCB-87C6-80421CB528F9}"/>
                </c:ext>
              </c:extLst>
            </c:dLbl>
            <c:dLbl>
              <c:idx val="9"/>
              <c:delete val="1"/>
              <c:extLst>
                <c:ext xmlns:c15="http://schemas.microsoft.com/office/drawing/2012/chart" uri="{CE6537A1-D6FC-4f65-9D91-7224C49458BB}"/>
                <c:ext xmlns:c16="http://schemas.microsoft.com/office/drawing/2014/chart" uri="{C3380CC4-5D6E-409C-BE32-E72D297353CC}">
                  <c16:uniqueId val="{00000015-0E43-4DCB-87C6-80421CB528F9}"/>
                </c:ext>
              </c:extLst>
            </c:dLbl>
            <c:dLbl>
              <c:idx val="10"/>
              <c:delete val="1"/>
              <c:extLst>
                <c:ext xmlns:c15="http://schemas.microsoft.com/office/drawing/2012/chart" uri="{CE6537A1-D6FC-4f65-9D91-7224C49458BB}"/>
                <c:ext xmlns:c16="http://schemas.microsoft.com/office/drawing/2014/chart" uri="{C3380CC4-5D6E-409C-BE32-E72D297353CC}">
                  <c16:uniqueId val="{00000016-0E43-4DCB-87C6-80421CB528F9}"/>
                </c:ext>
              </c:extLst>
            </c:dLbl>
            <c:dLbl>
              <c:idx val="12"/>
              <c:delete val="1"/>
              <c:extLst>
                <c:ext xmlns:c15="http://schemas.microsoft.com/office/drawing/2012/chart" uri="{CE6537A1-D6FC-4f65-9D91-7224C49458BB}"/>
                <c:ext xmlns:c16="http://schemas.microsoft.com/office/drawing/2014/chart" uri="{C3380CC4-5D6E-409C-BE32-E72D297353CC}">
                  <c16:uniqueId val="{00000017-0E43-4DCB-87C6-80421CB528F9}"/>
                </c:ext>
              </c:extLst>
            </c:dLbl>
            <c:dLbl>
              <c:idx val="14"/>
              <c:delete val="1"/>
              <c:extLst>
                <c:ext xmlns:c15="http://schemas.microsoft.com/office/drawing/2012/chart" uri="{CE6537A1-D6FC-4f65-9D91-7224C49458BB}"/>
                <c:ext xmlns:c16="http://schemas.microsoft.com/office/drawing/2014/chart" uri="{C3380CC4-5D6E-409C-BE32-E72D297353CC}">
                  <c16:uniqueId val="{00000018-0E43-4DCB-87C6-80421CB528F9}"/>
                </c:ext>
              </c:extLst>
            </c:dLbl>
            <c:dLbl>
              <c:idx val="15"/>
              <c:delete val="1"/>
              <c:extLst>
                <c:ext xmlns:c15="http://schemas.microsoft.com/office/drawing/2012/chart" uri="{CE6537A1-D6FC-4f65-9D91-7224C49458BB}"/>
                <c:ext xmlns:c16="http://schemas.microsoft.com/office/drawing/2014/chart" uri="{C3380CC4-5D6E-409C-BE32-E72D297353CC}">
                  <c16:uniqueId val="{00000019-0E43-4DCB-87C6-80421CB528F9}"/>
                </c:ext>
              </c:extLst>
            </c:dLbl>
            <c:dLbl>
              <c:idx val="16"/>
              <c:delete val="1"/>
              <c:extLst>
                <c:ext xmlns:c15="http://schemas.microsoft.com/office/drawing/2012/chart" uri="{CE6537A1-D6FC-4f65-9D91-7224C49458BB}"/>
                <c:ext xmlns:c16="http://schemas.microsoft.com/office/drawing/2014/chart" uri="{C3380CC4-5D6E-409C-BE32-E72D297353CC}">
                  <c16:uniqueId val="{0000001A-0E43-4DCB-87C6-80421CB528F9}"/>
                </c:ext>
              </c:extLst>
            </c:dLbl>
            <c:dLbl>
              <c:idx val="18"/>
              <c:delete val="1"/>
              <c:extLst>
                <c:ext xmlns:c15="http://schemas.microsoft.com/office/drawing/2012/chart" uri="{CE6537A1-D6FC-4f65-9D91-7224C49458BB}"/>
                <c:ext xmlns:c16="http://schemas.microsoft.com/office/drawing/2014/chart" uri="{C3380CC4-5D6E-409C-BE32-E72D297353CC}">
                  <c16:uniqueId val="{0000001B-0E43-4DCB-87C6-80421CB528F9}"/>
                </c:ext>
              </c:extLst>
            </c:dLbl>
            <c:dLbl>
              <c:idx val="19"/>
              <c:delete val="1"/>
              <c:extLst>
                <c:ext xmlns:c15="http://schemas.microsoft.com/office/drawing/2012/chart" uri="{CE6537A1-D6FC-4f65-9D91-7224C49458BB}"/>
                <c:ext xmlns:c16="http://schemas.microsoft.com/office/drawing/2014/chart" uri="{C3380CC4-5D6E-409C-BE32-E72D297353CC}">
                  <c16:uniqueId val="{0000001C-0E43-4DCB-87C6-80421CB528F9}"/>
                </c:ext>
              </c:extLst>
            </c:dLbl>
            <c:dLbl>
              <c:idx val="21"/>
              <c:delete val="1"/>
              <c:extLst>
                <c:ext xmlns:c15="http://schemas.microsoft.com/office/drawing/2012/chart" uri="{CE6537A1-D6FC-4f65-9D91-7224C49458BB}"/>
                <c:ext xmlns:c16="http://schemas.microsoft.com/office/drawing/2014/chart" uri="{C3380CC4-5D6E-409C-BE32-E72D297353CC}">
                  <c16:uniqueId val="{0000001D-0E43-4DCB-87C6-80421CB528F9}"/>
                </c:ext>
              </c:extLst>
            </c:dLbl>
            <c:dLbl>
              <c:idx val="22"/>
              <c:delete val="1"/>
              <c:extLst>
                <c:ext xmlns:c15="http://schemas.microsoft.com/office/drawing/2012/chart" uri="{CE6537A1-D6FC-4f65-9D91-7224C49458BB}"/>
                <c:ext xmlns:c16="http://schemas.microsoft.com/office/drawing/2014/chart" uri="{C3380CC4-5D6E-409C-BE32-E72D297353CC}">
                  <c16:uniqueId val="{0000001E-0E43-4DCB-87C6-80421CB528F9}"/>
                </c:ext>
              </c:extLst>
            </c:dLbl>
            <c:dLbl>
              <c:idx val="24"/>
              <c:delete val="1"/>
              <c:extLst>
                <c:ext xmlns:c15="http://schemas.microsoft.com/office/drawing/2012/chart" uri="{CE6537A1-D6FC-4f65-9D91-7224C49458BB}"/>
                <c:ext xmlns:c16="http://schemas.microsoft.com/office/drawing/2014/chart" uri="{C3380CC4-5D6E-409C-BE32-E72D297353CC}">
                  <c16:uniqueId val="{0000001F-0E43-4DCB-87C6-80421CB528F9}"/>
                </c:ext>
              </c:extLst>
            </c:dLbl>
            <c:dLbl>
              <c:idx val="25"/>
              <c:delete val="1"/>
              <c:extLst>
                <c:ext xmlns:c15="http://schemas.microsoft.com/office/drawing/2012/chart" uri="{CE6537A1-D6FC-4f65-9D91-7224C49458BB}"/>
                <c:ext xmlns:c16="http://schemas.microsoft.com/office/drawing/2014/chart" uri="{C3380CC4-5D6E-409C-BE32-E72D297353CC}">
                  <c16:uniqueId val="{00000020-0E43-4DCB-87C6-80421CB528F9}"/>
                </c:ext>
              </c:extLst>
            </c:dLbl>
            <c:dLbl>
              <c:idx val="27"/>
              <c:delete val="1"/>
              <c:extLst>
                <c:ext xmlns:c15="http://schemas.microsoft.com/office/drawing/2012/chart" uri="{CE6537A1-D6FC-4f65-9D91-7224C49458BB}"/>
                <c:ext xmlns:c16="http://schemas.microsoft.com/office/drawing/2014/chart" uri="{C3380CC4-5D6E-409C-BE32-E72D297353CC}">
                  <c16:uniqueId val="{00000021-0E43-4DCB-87C6-80421CB528F9}"/>
                </c:ext>
              </c:extLst>
            </c:dLbl>
            <c:dLbl>
              <c:idx val="28"/>
              <c:delete val="1"/>
              <c:extLst>
                <c:ext xmlns:c15="http://schemas.microsoft.com/office/drawing/2012/chart" uri="{CE6537A1-D6FC-4f65-9D91-7224C49458BB}"/>
                <c:ext xmlns:c16="http://schemas.microsoft.com/office/drawing/2014/chart" uri="{C3380CC4-5D6E-409C-BE32-E72D297353CC}">
                  <c16:uniqueId val="{00000022-0E43-4DCB-87C6-80421CB528F9}"/>
                </c:ext>
              </c:extLst>
            </c:dLbl>
            <c:dLbl>
              <c:idx val="29"/>
              <c:layout>
                <c:manualLayout>
                  <c:x val="-5.4908733146554006E-2"/>
                  <c:y val="-3.56013237469066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AFD-48B8-8D00-751B8703F44D}"/>
                </c:ext>
              </c:extLst>
            </c:dLbl>
            <c:dLbl>
              <c:idx val="30"/>
              <c:delete val="1"/>
              <c:extLst>
                <c:ext xmlns:c15="http://schemas.microsoft.com/office/drawing/2012/chart" uri="{CE6537A1-D6FC-4f65-9D91-7224C49458BB}"/>
                <c:ext xmlns:c16="http://schemas.microsoft.com/office/drawing/2014/chart" uri="{C3380CC4-5D6E-409C-BE32-E72D297353CC}">
                  <c16:uniqueId val="{00000023-0E43-4DCB-87C6-80421CB528F9}"/>
                </c:ext>
              </c:extLst>
            </c:dLbl>
            <c:dLbl>
              <c:idx val="31"/>
              <c:delete val="1"/>
              <c:extLst>
                <c:ext xmlns:c15="http://schemas.microsoft.com/office/drawing/2012/chart" uri="{CE6537A1-D6FC-4f65-9D91-7224C49458BB}"/>
                <c:ext xmlns:c16="http://schemas.microsoft.com/office/drawing/2014/chart" uri="{C3380CC4-5D6E-409C-BE32-E72D297353CC}">
                  <c16:uniqueId val="{00000024-0E43-4DCB-87C6-80421CB528F9}"/>
                </c:ext>
              </c:extLst>
            </c:dLbl>
            <c:dLbl>
              <c:idx val="32"/>
              <c:layout>
                <c:manualLayout>
                  <c:x val="-5.4406275918420455E-2"/>
                  <c:y val="-3.33786615688825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0E43-4DCB-87C6-80421CB528F9}"/>
                </c:ext>
              </c:extLst>
            </c:dLbl>
            <c:dLbl>
              <c:idx val="33"/>
              <c:delete val="1"/>
              <c:extLst>
                <c:ext xmlns:c15="http://schemas.microsoft.com/office/drawing/2012/chart" uri="{CE6537A1-D6FC-4f65-9D91-7224C49458BB}"/>
                <c:ext xmlns:c16="http://schemas.microsoft.com/office/drawing/2014/chart" uri="{C3380CC4-5D6E-409C-BE32-E72D297353CC}">
                  <c16:uniqueId val="{00000026-0E43-4DCB-87C6-80421CB528F9}"/>
                </c:ext>
              </c:extLst>
            </c:dLbl>
            <c:dLbl>
              <c:idx val="34"/>
              <c:delete val="1"/>
              <c:extLst>
                <c:ext xmlns:c15="http://schemas.microsoft.com/office/drawing/2012/chart" uri="{CE6537A1-D6FC-4f65-9D91-7224C49458BB}"/>
                <c:ext xmlns:c16="http://schemas.microsoft.com/office/drawing/2014/chart" uri="{C3380CC4-5D6E-409C-BE32-E72D297353CC}">
                  <c16:uniqueId val="{00000027-0E43-4DCB-87C6-80421CB528F9}"/>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2023'!$N$129:$AW$129</c:f>
              <c:numCache>
                <c:formatCode>_(* #\ ##0_);_(* \(#\ ##0\);_(* "-"??_);_(@_)</c:formatCode>
                <c:ptCount val="36"/>
                <c:pt idx="0">
                  <c:v>12337</c:v>
                </c:pt>
                <c:pt idx="1">
                  <c:v>12549</c:v>
                </c:pt>
                <c:pt idx="2">
                  <c:v>13612</c:v>
                </c:pt>
                <c:pt idx="3">
                  <c:v>13543</c:v>
                </c:pt>
                <c:pt idx="4">
                  <c:v>13499</c:v>
                </c:pt>
                <c:pt idx="5">
                  <c:v>14313</c:v>
                </c:pt>
                <c:pt idx="6">
                  <c:v>14345</c:v>
                </c:pt>
                <c:pt idx="7">
                  <c:v>13997</c:v>
                </c:pt>
                <c:pt idx="8">
                  <c:v>14239</c:v>
                </c:pt>
                <c:pt idx="9">
                  <c:v>14045</c:v>
                </c:pt>
                <c:pt idx="10">
                  <c:v>14282</c:v>
                </c:pt>
                <c:pt idx="11">
                  <c:v>17453</c:v>
                </c:pt>
                <c:pt idx="12">
                  <c:v>14577</c:v>
                </c:pt>
                <c:pt idx="13">
                  <c:v>14462.800828936512</c:v>
                </c:pt>
                <c:pt idx="14">
                  <c:v>14777.408542094696</c:v>
                </c:pt>
                <c:pt idx="15">
                  <c:v>13797.94090695452</c:v>
                </c:pt>
                <c:pt idx="16">
                  <c:v>13641.199935020895</c:v>
                </c:pt>
                <c:pt idx="17">
                  <c:v>13728.804405739085</c:v>
                </c:pt>
                <c:pt idx="18">
                  <c:v>14534.250549101282</c:v>
                </c:pt>
                <c:pt idx="19">
                  <c:v>14680.630116612969</c:v>
                </c:pt>
                <c:pt idx="20">
                  <c:v>14642.918770406568</c:v>
                </c:pt>
                <c:pt idx="21">
                  <c:v>16285.558445404484</c:v>
                </c:pt>
                <c:pt idx="22">
                  <c:v>16447.030750445345</c:v>
                </c:pt>
                <c:pt idx="23">
                  <c:v>16698.927546309089</c:v>
                </c:pt>
                <c:pt idx="24">
                  <c:v>15281.249968948276</c:v>
                </c:pt>
                <c:pt idx="25">
                  <c:v>15442.007209071919</c:v>
                </c:pt>
                <c:pt idx="26">
                  <c:v>15584.630248327954</c:v>
                </c:pt>
                <c:pt idx="27">
                  <c:v>16936.777850357194</c:v>
                </c:pt>
                <c:pt idx="28">
                  <c:v>17154.146004190199</c:v>
                </c:pt>
                <c:pt idx="29">
                  <c:v>17436.935641215663</c:v>
                </c:pt>
                <c:pt idx="30">
                  <c:v>17518.28</c:v>
                </c:pt>
                <c:pt idx="31">
                  <c:v>17439.670000000002</c:v>
                </c:pt>
                <c:pt idx="32">
                  <c:v>17755.650000000001</c:v>
                </c:pt>
                <c:pt idx="33">
                  <c:v>17963.73</c:v>
                </c:pt>
                <c:pt idx="34">
                  <c:v>17810.099999999999</c:v>
                </c:pt>
                <c:pt idx="35">
                  <c:v>19654.830000000002</c:v>
                </c:pt>
              </c:numCache>
            </c:numRef>
          </c:val>
          <c:smooth val="0"/>
          <c:extLst>
            <c:ext xmlns:c16="http://schemas.microsoft.com/office/drawing/2014/chart" uri="{C3380CC4-5D6E-409C-BE32-E72D297353CC}">
              <c16:uniqueId val="{00000028-0E43-4DCB-87C6-80421CB528F9}"/>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2000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900"/>
          <c:min val="3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0"/>
          <c:y val="0.12388447289958943"/>
          <c:w val="0.74262477559768136"/>
          <c:h val="4.5271278433512065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9675885064234578E-2"/>
          <c:y val="0.23291592985558504"/>
          <c:w val="0.88607384524860255"/>
          <c:h val="0.62046750663129979"/>
        </c:manualLayout>
      </c:layout>
      <c:areaChart>
        <c:grouping val="standard"/>
        <c:varyColors val="0"/>
        <c:ser>
          <c:idx val="2"/>
          <c:order val="2"/>
          <c:tx>
            <c:strRef>
              <c:f>'Дефлятор модель (CPI-PPI) (С-1)'!$G$1</c:f>
              <c:strCache>
                <c:ptCount val="1"/>
                <c:pt idx="0">
                  <c:v>Дефлятор</c:v>
                </c:pt>
              </c:strCache>
            </c:strRef>
          </c:tx>
          <c:spPr>
            <a:solidFill>
              <a:srgbClr val="BADBE8"/>
            </a:solidFill>
            <a:ln>
              <a:noFill/>
            </a:ln>
            <a:effectLst/>
          </c:spPr>
          <c:dLbls>
            <c:dLbl>
              <c:idx val="0"/>
              <c:layout>
                <c:manualLayout>
                  <c:x val="3.9911703707333226E-2"/>
                  <c:y val="-5.12743698687278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1B-4D79-BD3E-3C6F039F7479}"/>
                </c:ext>
              </c:extLst>
            </c:dLbl>
            <c:dLbl>
              <c:idx val="1"/>
              <c:layout>
                <c:manualLayout>
                  <c:x val="2.2164118794467415E-2"/>
                  <c:y val="-5.4651249016145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1B-4D79-BD3E-3C6F039F7479}"/>
                </c:ext>
              </c:extLst>
            </c:dLbl>
            <c:dLbl>
              <c:idx val="2"/>
              <c:layout>
                <c:manualLayout>
                  <c:x val="1.9766734544737149E-2"/>
                  <c:y val="-6.55850831978641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1B-4D79-BD3E-3C6F039F7479}"/>
                </c:ext>
              </c:extLst>
            </c:dLbl>
            <c:dLbl>
              <c:idx val="3"/>
              <c:layout>
                <c:manualLayout>
                  <c:x val="3.0017644859829152E-2"/>
                  <c:y val="-5.96670770067546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1B-4D79-BD3E-3C6F039F7479}"/>
                </c:ext>
              </c:extLst>
            </c:dLbl>
            <c:dLbl>
              <c:idx val="4"/>
              <c:layout>
                <c:manualLayout>
                  <c:x val="0"/>
                  <c:y val="7.93495898599576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1B-4D79-BD3E-3C6F039F7479}"/>
                </c:ext>
              </c:extLst>
            </c:dLbl>
            <c:dLbl>
              <c:idx val="5"/>
              <c:layout>
                <c:manualLayout>
                  <c:x val="9.5525731612666684E-3"/>
                  <c:y val="6.47325601489129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1B-4D79-BD3E-3C6F039F7479}"/>
                </c:ext>
              </c:extLst>
            </c:dLbl>
            <c:dLbl>
              <c:idx val="6"/>
              <c:layout>
                <c:manualLayout>
                  <c:x val="1.0917226470018949E-2"/>
                  <c:y val="4.38510891331345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1B-4D79-BD3E-3C6F039F7479}"/>
                </c:ext>
              </c:extLst>
            </c:dLbl>
            <c:dLbl>
              <c:idx val="7"/>
              <c:layout>
                <c:manualLayout>
                  <c:x val="1.0917226470018851E-2"/>
                  <c:y val="2.29696181173560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1B-4D79-BD3E-3C6F039F7479}"/>
                </c:ext>
              </c:extLst>
            </c:dLbl>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extLst>
                <c:ext xmlns:c15="http://schemas.microsoft.com/office/drawing/2012/chart" uri="{02D57815-91ED-43cb-92C2-25804820EDAC}">
                  <c15:fullRef>
                    <c15:sqref>'Дефлятор модель (CPI-PPI) (С-1)'!$A$98:$B$105</c15:sqref>
                  </c15:fullRef>
                </c:ext>
              </c:extLst>
              <c:f>'Дефлятор модель (CPI-PPI) (С-1)'!$A$98:$B$105</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extLst>
                <c:ext xmlns:c15="http://schemas.microsoft.com/office/drawing/2012/chart" uri="{02D57815-91ED-43cb-92C2-25804820EDAC}">
                  <c15:fullRef>
                    <c15:sqref>'Дефлятор модель (CPI-PPI) (С-1)'!$G$46:$G$57</c15:sqref>
                  </c15:fullRef>
                </c:ext>
              </c:extLst>
              <c:f>'Дефлятор модель (CPI-PPI) (С-1)'!$G$46:$G$53</c:f>
              <c:numCache>
                <c:formatCode>0.0%</c:formatCode>
                <c:ptCount val="8"/>
                <c:pt idx="0">
                  <c:v>0.217</c:v>
                </c:pt>
                <c:pt idx="1">
                  <c:v>0.27300000000000002</c:v>
                </c:pt>
                <c:pt idx="2">
                  <c:v>0.26100000000000001</c:v>
                </c:pt>
                <c:pt idx="3">
                  <c:v>0.24399999999999999</c:v>
                </c:pt>
                <c:pt idx="4">
                  <c:v>0.255</c:v>
                </c:pt>
                <c:pt idx="5">
                  <c:v>0.377</c:v>
                </c:pt>
                <c:pt idx="6">
                  <c:v>0.38100000000000001</c:v>
                </c:pt>
                <c:pt idx="7">
                  <c:v>0.36499999999999999</c:v>
                </c:pt>
              </c:numCache>
            </c:numRef>
          </c:val>
          <c:extLst>
            <c:ext xmlns:c15="http://schemas.microsoft.com/office/drawing/2012/chart" uri="{02D57815-91ED-43cb-92C2-25804820EDAC}">
              <c15:categoryFilterExceptions>
                <c15:categoryFilterException>
                  <c15:sqref>'Дефлятор модель (CPI-PPI) (С-1)'!$G$56</c15:sqref>
                  <c15:dLbl>
                    <c:idx val="7"/>
                    <c:layout>
                      <c:manualLayout>
                        <c:x val="-4.0939599262571442E-3"/>
                        <c:y val="-1.2528882609467001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4-B70F-4346-9331-001E55069E4E}"/>
                      </c:ext>
                    </c:extLst>
                  </c15:dLbl>
                </c15:categoryFilterException>
                <c15:categoryFilterException>
                  <c15:sqref>'Дефлятор модель (CPI-PPI) (С-1)'!$G$57</c15:sqref>
                  <c15:dLbl>
                    <c:idx val="7"/>
                    <c:layout>
                      <c:manualLayout>
                        <c:x val="-2.0469799631285819E-2"/>
                        <c:y val="2.0881471015778337E-3"/>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5-B70F-4346-9331-001E55069E4E}"/>
                      </c:ext>
                    </c:extLst>
                  </c15:dLbl>
                </c15:categoryFilterException>
              </c15:categoryFilterExceptions>
            </c:ext>
            <c:ext xmlns:c16="http://schemas.microsoft.com/office/drawing/2014/chart" uri="{C3380CC4-5D6E-409C-BE32-E72D297353CC}">
              <c16:uniqueId val="{0000000A-601B-4D79-BD3E-3C6F039F7479}"/>
            </c:ext>
          </c:extLst>
        </c:ser>
        <c:dLbls>
          <c:showLegendKey val="0"/>
          <c:showVal val="0"/>
          <c:showCatName val="0"/>
          <c:showSerName val="0"/>
          <c:showPercent val="0"/>
          <c:showBubbleSize val="0"/>
        </c:dLbls>
        <c:axId val="720532336"/>
        <c:axId val="720530736"/>
      </c:areaChart>
      <c:barChart>
        <c:barDir val="col"/>
        <c:grouping val="clustered"/>
        <c:varyColors val="0"/>
        <c:ser>
          <c:idx val="0"/>
          <c:order val="0"/>
          <c:tx>
            <c:strRef>
              <c:f>'Дефлятор модель (CPI-PPI) (С-1)'!$E$1</c:f>
              <c:strCache>
                <c:ptCount val="1"/>
                <c:pt idx="0">
                  <c:v>CPI</c:v>
                </c:pt>
              </c:strCache>
            </c:strRef>
          </c:tx>
          <c:spPr>
            <a:solidFill>
              <a:schemeClr val="accent3"/>
            </a:solidFill>
            <a:ln>
              <a:noFill/>
            </a:ln>
            <a:effectLst/>
          </c:spPr>
          <c:invertIfNegative val="0"/>
          <c:dLbls>
            <c:dLbl>
              <c:idx val="5"/>
              <c:layout>
                <c:manualLayout>
                  <c:x val="-5.458613235009525E-3"/>
                  <c:y val="1.46170297110447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01B-4D79-BD3E-3C6F039F7479}"/>
                </c:ext>
              </c:extLst>
            </c:dLbl>
            <c:dLbl>
              <c:idx val="6"/>
              <c:layout>
                <c:manualLayout>
                  <c:x val="-1.3646533087524814E-3"/>
                  <c:y val="1.25288826094668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01B-4D79-BD3E-3C6F039F7479}"/>
                </c:ext>
              </c:extLst>
            </c:dLbl>
            <c:dLbl>
              <c:idx val="7"/>
              <c:layout>
                <c:manualLayout>
                  <c:x val="-6.8232665437619067E-3"/>
                  <c:y val="1.4617029711044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01B-4D79-BD3E-3C6F039F7479}"/>
                </c:ext>
              </c:extLst>
            </c:dLbl>
            <c:spPr>
              <a:noFill/>
              <a:ln>
                <a:noFill/>
              </a:ln>
              <a:effectLst/>
            </c:spPr>
            <c:txPr>
              <a:bodyPr rot="0" spcFirstLastPara="1" vertOverflow="ellipsis" vert="horz" wrap="square" anchor="ctr" anchorCtr="1"/>
              <a:lstStyle/>
              <a:p>
                <a:pPr>
                  <a:defRPr sz="600" b="1" i="0" u="none" strike="noStrike" kern="1200" baseline="0">
                    <a:solidFill>
                      <a:schemeClr val="accent3"/>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'Дефлятор модель (CPI-PPI) (С-1)'!$A$102:$B$113</c15:sqref>
                  </c15:fullRef>
                </c:ext>
              </c:extLst>
              <c:f>'Дефлятор модель (CPI-PPI) (С-1)'!$A$102:$B$109</c:f>
              <c:multiLvlStrCache>
                <c:ptCount val="8"/>
                <c:lvl>
                  <c:pt idx="0">
                    <c:v>1Q</c:v>
                  </c:pt>
                  <c:pt idx="1">
                    <c:v>2Q</c:v>
                  </c:pt>
                  <c:pt idx="2">
                    <c:v>3Q</c:v>
                  </c:pt>
                  <c:pt idx="3">
                    <c:v>4Q</c:v>
                  </c:pt>
                  <c:pt idx="4">
                    <c:v>1Q</c:v>
                  </c:pt>
                  <c:pt idx="5">
                    <c:v>2Q</c:v>
                  </c:pt>
                  <c:pt idx="6">
                    <c:v>3Q</c:v>
                  </c:pt>
                  <c:pt idx="7">
                    <c:v>4Q</c:v>
                  </c:pt>
                </c:lvl>
                <c:lvl>
                  <c:pt idx="0">
                    <c:v>2021</c:v>
                  </c:pt>
                  <c:pt idx="4">
                    <c:v>2022</c:v>
                  </c:pt>
                </c:lvl>
              </c:multiLvlStrCache>
            </c:multiLvlStrRef>
          </c:cat>
          <c:val>
            <c:numRef>
              <c:extLst>
                <c:ext xmlns:c15="http://schemas.microsoft.com/office/drawing/2012/chart" uri="{02D57815-91ED-43cb-92C2-25804820EDAC}">
                  <c15:fullRef>
                    <c15:sqref>'Дефлятор модель (CPI-PPI) (С-1)'!$E$46:$E$57</c15:sqref>
                  </c15:fullRef>
                </c:ext>
              </c:extLst>
              <c:f>'Дефлятор модель (CPI-PPI) (С-1)'!$E$46:$E$53</c:f>
              <c:numCache>
                <c:formatCode>0.0%</c:formatCode>
                <c:ptCount val="8"/>
                <c:pt idx="0">
                  <c:v>7.3666666666666672E-2</c:v>
                </c:pt>
                <c:pt idx="1">
                  <c:v>9.1333333333333336E-2</c:v>
                </c:pt>
                <c:pt idx="2">
                  <c:v>0.10466666666666667</c:v>
                </c:pt>
                <c:pt idx="3">
                  <c:v>0.104</c:v>
                </c:pt>
                <c:pt idx="4">
                  <c:v>0.11466666666666669</c:v>
                </c:pt>
                <c:pt idx="5">
                  <c:v>0.18633333333333335</c:v>
                </c:pt>
                <c:pt idx="6">
                  <c:v>0.23533333333333331</c:v>
                </c:pt>
                <c:pt idx="7">
                  <c:v>0.26566666666666666</c:v>
                </c:pt>
              </c:numCache>
            </c:numRef>
          </c:val>
          <c:extLst>
            <c:ext xmlns:c15="http://schemas.microsoft.com/office/drawing/2012/chart" uri="{02D57815-91ED-43cb-92C2-25804820EDAC}">
              <c15:categoryFilterExceptions>
                <c15:categoryFilterException>
                  <c15:sqref>'Дефлятор модель (CPI-PPI) (С-1)'!$E$55</c15:sqref>
                  <c15:dLbl>
                    <c:idx val="7"/>
                    <c:layout>
                      <c:manualLayout>
                        <c:x val="-1.2281879778771432E-2"/>
                        <c:y val="8.3525884063113346E-3"/>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0-B70F-4346-9331-001E55069E4E}"/>
                      </c:ext>
                    </c:extLst>
                  </c15:dLbl>
                </c15:categoryFilterException>
                <c15:categoryFilterException>
                  <c15:sqref>'Дефлятор модель (CPI-PPI) (С-1)'!$E$56</c15:sqref>
                  <c15:dLbl>
                    <c:idx val="7"/>
                    <c:layout>
                      <c:manualLayout>
                        <c:x val="-2.7292340884575036E-3"/>
                        <c:y val="1.5543766578249336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1-B70F-4346-9331-001E55069E4E}"/>
                      </c:ext>
                    </c:extLst>
                  </c15:dLbl>
                </c15:categoryFilterException>
                <c15:categoryFilterException>
                  <c15:sqref>'Дефлятор модель (CPI-PPI) (С-1)'!$E$57</c15:sqref>
                  <c15:dLbl>
                    <c:idx val="7"/>
                    <c:layout>
                      <c:manualLayout>
                        <c:x val="4.6898597626751828E-3"/>
                        <c:y val="6.7668729737695252E-3"/>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2-B70F-4346-9331-001E55069E4E}"/>
                      </c:ext>
                    </c:extLst>
                  </c15:dLbl>
                </c15:categoryFilterException>
              </c15:categoryFilterExceptions>
            </c:ext>
            <c:ext xmlns:c16="http://schemas.microsoft.com/office/drawing/2014/chart" uri="{C3380CC4-5D6E-409C-BE32-E72D297353CC}">
              <c16:uniqueId val="{00000011-601B-4D79-BD3E-3C6F039F7479}"/>
            </c:ext>
          </c:extLst>
        </c:ser>
        <c:ser>
          <c:idx val="1"/>
          <c:order val="1"/>
          <c:tx>
            <c:strRef>
              <c:f>'Дефлятор модель (CPI-PPI) (С-1)'!$F$1</c:f>
              <c:strCache>
                <c:ptCount val="1"/>
                <c:pt idx="0">
                  <c:v>PPI</c:v>
                </c:pt>
              </c:strCache>
            </c:strRef>
          </c:tx>
          <c:spPr>
            <a:solidFill>
              <a:schemeClr val="accent1"/>
            </a:solidFill>
            <a:ln>
              <a:noFill/>
            </a:ln>
            <a:effectLst/>
          </c:spPr>
          <c:invertIfNegative val="0"/>
          <c:dLbls>
            <c:dLbl>
              <c:idx val="3"/>
              <c:layout>
                <c:manualLayout>
                  <c:x val="0"/>
                  <c:y val="1.40362511052166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01B-4D79-BD3E-3C6F039F7479}"/>
                </c:ext>
              </c:extLst>
            </c:dLbl>
            <c:dLbl>
              <c:idx val="4"/>
              <c:layout>
                <c:manualLayout>
                  <c:x val="3.1136608806511721E-3"/>
                  <c:y val="9.357500736811082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01B-4D79-BD3E-3C6F039F7479}"/>
                </c:ext>
              </c:extLst>
            </c:dLbl>
            <c:dLbl>
              <c:idx val="5"/>
              <c:layout>
                <c:manualLayout>
                  <c:x val="3.1136608806511721E-3"/>
                  <c:y val="2.3393751842027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01B-4D79-BD3E-3C6F039F7479}"/>
                </c:ext>
              </c:extLst>
            </c:dLbl>
            <c:dLbl>
              <c:idx val="6"/>
              <c:layout>
                <c:manualLayout>
                  <c:x val="6.2273217613023442E-3"/>
                  <c:y val="2.3393751842027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01B-4D79-BD3E-3C6F039F7479}"/>
                </c:ext>
              </c:extLst>
            </c:dLbl>
            <c:dLbl>
              <c:idx val="7"/>
              <c:layout>
                <c:manualLayout>
                  <c:x val="3.1136608806511721E-3"/>
                  <c:y val="1.87150014736221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01B-4D79-BD3E-3C6F039F7479}"/>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'Дефлятор модель (CPI-PPI) (С-1)'!$A$102:$B$113</c15:sqref>
                  </c15:fullRef>
                </c:ext>
              </c:extLst>
              <c:f>'Дефлятор модель (CPI-PPI) (С-1)'!$A$102:$B$109</c:f>
              <c:multiLvlStrCache>
                <c:ptCount val="8"/>
                <c:lvl>
                  <c:pt idx="0">
                    <c:v>1Q</c:v>
                  </c:pt>
                  <c:pt idx="1">
                    <c:v>2Q</c:v>
                  </c:pt>
                  <c:pt idx="2">
                    <c:v>3Q</c:v>
                  </c:pt>
                  <c:pt idx="3">
                    <c:v>4Q</c:v>
                  </c:pt>
                  <c:pt idx="4">
                    <c:v>1Q</c:v>
                  </c:pt>
                  <c:pt idx="5">
                    <c:v>2Q</c:v>
                  </c:pt>
                  <c:pt idx="6">
                    <c:v>3Q</c:v>
                  </c:pt>
                  <c:pt idx="7">
                    <c:v>4Q</c:v>
                  </c:pt>
                </c:lvl>
                <c:lvl>
                  <c:pt idx="0">
                    <c:v>2021</c:v>
                  </c:pt>
                  <c:pt idx="4">
                    <c:v>2022</c:v>
                  </c:pt>
                </c:lvl>
              </c:multiLvlStrCache>
            </c:multiLvlStrRef>
          </c:cat>
          <c:val>
            <c:numRef>
              <c:extLst>
                <c:ext xmlns:c15="http://schemas.microsoft.com/office/drawing/2012/chart" uri="{02D57815-91ED-43cb-92C2-25804820EDAC}">
                  <c15:fullRef>
                    <c15:sqref>'Дефлятор модель (CPI-PPI) (С-1)'!$F$46:$F$57</c15:sqref>
                  </c15:fullRef>
                </c:ext>
              </c:extLst>
              <c:f>'Дефлятор модель (CPI-PPI) (С-1)'!$F$46:$F$53</c:f>
              <c:numCache>
                <c:formatCode>0.0%</c:formatCode>
                <c:ptCount val="8"/>
                <c:pt idx="0">
                  <c:v>0.23500000000000001</c:v>
                </c:pt>
                <c:pt idx="1">
                  <c:v>0.33333333333333331</c:v>
                </c:pt>
                <c:pt idx="2">
                  <c:v>0.44599999999999995</c:v>
                </c:pt>
                <c:pt idx="3">
                  <c:v>0.60033333333333327</c:v>
                </c:pt>
                <c:pt idx="4">
                  <c:v>0.5987304620534567</c:v>
                </c:pt>
                <c:pt idx="5">
                  <c:v>0.61971599669989452</c:v>
                </c:pt>
                <c:pt idx="6">
                  <c:v>0.70140457155676506</c:v>
                </c:pt>
                <c:pt idx="7">
                  <c:v>0.52628589945178506</c:v>
                </c:pt>
              </c:numCache>
            </c:numRef>
          </c:val>
          <c:extLst>
            <c:ext xmlns:c15="http://schemas.microsoft.com/office/drawing/2012/chart" uri="{02D57815-91ED-43cb-92C2-25804820EDAC}">
              <c15:categoryFilterExceptions>
                <c15:categoryFilterException>
                  <c15:sqref>'Дефлятор модель (CPI-PPI) (С-1)'!$F$57</c15:sqref>
                  <c15:dLbl>
                    <c:idx val="7"/>
                    <c:layout>
                      <c:manualLayout>
                        <c:x val="-1.1416624676565148E-16"/>
                        <c:y val="1.4036251105216623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3-B70F-4346-9331-001E55069E4E}"/>
                      </c:ext>
                    </c:extLst>
                  </c15:dLbl>
                </c15:categoryFilterException>
              </c15:categoryFilterExceptions>
            </c:ext>
            <c:ext xmlns:c16="http://schemas.microsoft.com/office/drawing/2014/chart" uri="{C3380CC4-5D6E-409C-BE32-E72D297353CC}">
              <c16:uniqueId val="{00000018-601B-4D79-BD3E-3C6F039F7479}"/>
            </c:ext>
          </c:extLst>
        </c:ser>
        <c:dLbls>
          <c:showLegendKey val="0"/>
          <c:showVal val="0"/>
          <c:showCatName val="0"/>
          <c:showSerName val="0"/>
          <c:showPercent val="0"/>
          <c:showBubbleSize val="0"/>
        </c:dLbls>
        <c:gapWidth val="219"/>
        <c:axId val="720532336"/>
        <c:axId val="720530736"/>
      </c:barChart>
      <c:catAx>
        <c:axId val="7205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720530736"/>
        <c:crosses val="autoZero"/>
        <c:auto val="1"/>
        <c:lblAlgn val="ctr"/>
        <c:lblOffset val="100"/>
        <c:noMultiLvlLbl val="0"/>
      </c:catAx>
      <c:valAx>
        <c:axId val="720530736"/>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720532336"/>
        <c:crosses val="autoZero"/>
        <c:crossBetween val="between"/>
      </c:valAx>
      <c:spPr>
        <a:noFill/>
        <a:ln>
          <a:noFill/>
        </a:ln>
        <a:effectLst/>
      </c:spPr>
    </c:plotArea>
    <c:legend>
      <c:legendPos val="t"/>
      <c:layout>
        <c:manualLayout>
          <c:xMode val="edge"/>
          <c:yMode val="edge"/>
          <c:x val="0"/>
          <c:y val="0.16757368110816387"/>
          <c:w val="1"/>
          <c:h val="5.4266832644217396E-2"/>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600" b="1">
          <a:solidFill>
            <a:sysClr val="windowText" lastClr="000000"/>
          </a:solidFill>
        </a:defRPr>
      </a:pPr>
      <a:endParaRPr lang="en-US"/>
    </a:p>
  </c:txPr>
  <c:printSettings>
    <c:headerFooter/>
    <c:pageMargins b="0.75" l="0.7" r="0.7" t="0.75" header="0.3" footer="0.3"/>
    <c:pageSetup/>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xMode val="edge"/>
          <c:yMode val="edge"/>
          <c:x val="0"/>
          <c:y val="2.4640661068192061E-2"/>
          <c:w val="0.96680497925311204"/>
          <c:h val="0.81314181525033791"/>
        </c:manualLayout>
      </c:layout>
      <c:lineChart>
        <c:grouping val="standard"/>
        <c:varyColors val="0"/>
        <c:ser>
          <c:idx val="1"/>
          <c:order val="0"/>
          <c:tx>
            <c:strRef>
              <c:f>'Очікування по безробіттю'!$B$1</c:f>
              <c:strCache>
                <c:ptCount val="1"/>
                <c:pt idx="0">
                  <c:v>С/г</c:v>
                </c:pt>
              </c:strCache>
            </c:strRef>
          </c:tx>
          <c:spPr>
            <a:ln w="25400" cap="rnd" cmpd="sng">
              <a:solidFill>
                <a:srgbClr val="057D46"/>
              </a:solidFill>
              <a:prstDash val="solid"/>
              <a:round/>
            </a:ln>
            <a:effectLst/>
          </c:spPr>
          <c:marker>
            <c:symbol val="none"/>
          </c:marker>
          <c:cat>
            <c:strRef>
              <c:f>'Очікування по безробіттю'!$H$4:$H$20</c:f>
              <c:strCache>
                <c:ptCount val="17"/>
                <c:pt idx="0">
                  <c:v>I.19</c:v>
                </c:pt>
                <c:pt idx="2">
                  <c:v>IІI.19</c:v>
                </c:pt>
                <c:pt idx="4">
                  <c:v>I.20</c:v>
                </c:pt>
                <c:pt idx="6">
                  <c:v>IІI.20</c:v>
                </c:pt>
                <c:pt idx="8">
                  <c:v>I.21</c:v>
                </c:pt>
                <c:pt idx="10">
                  <c:v>III.21</c:v>
                </c:pt>
                <c:pt idx="12">
                  <c:v>I.22</c:v>
                </c:pt>
                <c:pt idx="14">
                  <c:v>III.22</c:v>
                </c:pt>
                <c:pt idx="16">
                  <c:v>I.23</c:v>
                </c:pt>
              </c:strCache>
            </c:strRef>
          </c:cat>
          <c:val>
            <c:numRef>
              <c:f>'Очікування по безробіттю'!$B$4:$B$20</c:f>
              <c:numCache>
                <c:formatCode>General</c:formatCode>
                <c:ptCount val="17"/>
                <c:pt idx="0">
                  <c:v>-7</c:v>
                </c:pt>
                <c:pt idx="1">
                  <c:v>-6</c:v>
                </c:pt>
                <c:pt idx="2">
                  <c:v>-16.399999999999999</c:v>
                </c:pt>
                <c:pt idx="3">
                  <c:v>-20.3</c:v>
                </c:pt>
                <c:pt idx="4">
                  <c:v>-26.5</c:v>
                </c:pt>
                <c:pt idx="5">
                  <c:v>-11.8</c:v>
                </c:pt>
                <c:pt idx="6">
                  <c:v>-22.9</c:v>
                </c:pt>
                <c:pt idx="7">
                  <c:v>-20.2</c:v>
                </c:pt>
                <c:pt idx="8">
                  <c:v>-11.8</c:v>
                </c:pt>
                <c:pt idx="9">
                  <c:v>-7.1</c:v>
                </c:pt>
                <c:pt idx="10">
                  <c:v>-8.8000000000000007</c:v>
                </c:pt>
                <c:pt idx="11">
                  <c:v>-6.9</c:v>
                </c:pt>
                <c:pt idx="12">
                  <c:v>3.8</c:v>
                </c:pt>
                <c:pt idx="13">
                  <c:v>-10.9</c:v>
                </c:pt>
                <c:pt idx="14">
                  <c:v>-24.5</c:v>
                </c:pt>
                <c:pt idx="15">
                  <c:v>-26.1</c:v>
                </c:pt>
                <c:pt idx="16" formatCode="0.0">
                  <c:v>-6.5</c:v>
                </c:pt>
              </c:numCache>
            </c:numRef>
          </c:val>
          <c:smooth val="0"/>
          <c:extLst>
            <c:ext xmlns:c16="http://schemas.microsoft.com/office/drawing/2014/chart" uri="{C3380CC4-5D6E-409C-BE32-E72D297353CC}">
              <c16:uniqueId val="{00000000-77B4-4DF1-B807-7B03DEEA34A9}"/>
            </c:ext>
          </c:extLst>
        </c:ser>
        <c:ser>
          <c:idx val="2"/>
          <c:order val="1"/>
          <c:tx>
            <c:strRef>
              <c:f>'Очікування по безробіттю'!$C$1</c:f>
              <c:strCache>
                <c:ptCount val="1"/>
                <c:pt idx="0">
                  <c:v>Промисловість</c:v>
                </c:pt>
              </c:strCache>
            </c:strRef>
          </c:tx>
          <c:spPr>
            <a:ln w="25400" cap="rnd" cmpd="sng">
              <a:solidFill>
                <a:srgbClr val="91C864"/>
              </a:solidFill>
              <a:prstDash val="solid"/>
              <a:round/>
            </a:ln>
            <a:effectLst/>
          </c:spPr>
          <c:marker>
            <c:symbol val="none"/>
          </c:marker>
          <c:cat>
            <c:strRef>
              <c:f>'Очікування по безробіттю'!$H$4:$H$20</c:f>
              <c:strCache>
                <c:ptCount val="17"/>
                <c:pt idx="0">
                  <c:v>I.19</c:v>
                </c:pt>
                <c:pt idx="2">
                  <c:v>IІI.19</c:v>
                </c:pt>
                <c:pt idx="4">
                  <c:v>I.20</c:v>
                </c:pt>
                <c:pt idx="6">
                  <c:v>IІI.20</c:v>
                </c:pt>
                <c:pt idx="8">
                  <c:v>I.21</c:v>
                </c:pt>
                <c:pt idx="10">
                  <c:v>III.21</c:v>
                </c:pt>
                <c:pt idx="12">
                  <c:v>I.22</c:v>
                </c:pt>
                <c:pt idx="14">
                  <c:v>III.22</c:v>
                </c:pt>
                <c:pt idx="16">
                  <c:v>I.23</c:v>
                </c:pt>
              </c:strCache>
            </c:strRef>
          </c:cat>
          <c:val>
            <c:numRef>
              <c:f>'Очікування по безробіттю'!$C$4:$C$20</c:f>
              <c:numCache>
                <c:formatCode>General</c:formatCode>
                <c:ptCount val="17"/>
                <c:pt idx="0">
                  <c:v>5.9</c:v>
                </c:pt>
                <c:pt idx="1">
                  <c:v>-3.4</c:v>
                </c:pt>
                <c:pt idx="2">
                  <c:v>-2</c:v>
                </c:pt>
                <c:pt idx="3">
                  <c:v>-9.4</c:v>
                </c:pt>
                <c:pt idx="4">
                  <c:v>-6.1</c:v>
                </c:pt>
                <c:pt idx="5">
                  <c:v>-20.9</c:v>
                </c:pt>
                <c:pt idx="6">
                  <c:v>-8.6999999999999993</c:v>
                </c:pt>
                <c:pt idx="7">
                  <c:v>-10.7</c:v>
                </c:pt>
                <c:pt idx="8">
                  <c:v>-1</c:v>
                </c:pt>
                <c:pt idx="9">
                  <c:v>1</c:v>
                </c:pt>
                <c:pt idx="10">
                  <c:v>-2</c:v>
                </c:pt>
                <c:pt idx="11">
                  <c:v>1</c:v>
                </c:pt>
                <c:pt idx="12">
                  <c:v>-3.3</c:v>
                </c:pt>
                <c:pt idx="13">
                  <c:v>-33</c:v>
                </c:pt>
                <c:pt idx="14">
                  <c:v>-26.6</c:v>
                </c:pt>
                <c:pt idx="15">
                  <c:v>-25.9</c:v>
                </c:pt>
                <c:pt idx="16" formatCode="0.0">
                  <c:v>-16.399999999999999</c:v>
                </c:pt>
              </c:numCache>
            </c:numRef>
          </c:val>
          <c:smooth val="0"/>
          <c:extLst>
            <c:ext xmlns:c16="http://schemas.microsoft.com/office/drawing/2014/chart" uri="{C3380CC4-5D6E-409C-BE32-E72D297353CC}">
              <c16:uniqueId val="{00000001-77B4-4DF1-B807-7B03DEEA34A9}"/>
            </c:ext>
          </c:extLst>
        </c:ser>
        <c:ser>
          <c:idx val="3"/>
          <c:order val="2"/>
          <c:tx>
            <c:strRef>
              <c:f>'Очікування по безробіттю'!$D$1</c:f>
              <c:strCache>
                <c:ptCount val="1"/>
                <c:pt idx="0">
                  <c:v>Будівництво</c:v>
                </c:pt>
              </c:strCache>
            </c:strRef>
          </c:tx>
          <c:spPr>
            <a:ln w="25400" cap="rnd" cmpd="sng">
              <a:solidFill>
                <a:srgbClr val="7D0532"/>
              </a:solidFill>
              <a:prstDash val="solid"/>
              <a:round/>
            </a:ln>
            <a:effectLst/>
          </c:spPr>
          <c:marker>
            <c:symbol val="none"/>
          </c:marker>
          <c:cat>
            <c:strRef>
              <c:f>'Очікування по безробіттю'!$H$4:$H$20</c:f>
              <c:strCache>
                <c:ptCount val="17"/>
                <c:pt idx="0">
                  <c:v>I.19</c:v>
                </c:pt>
                <c:pt idx="2">
                  <c:v>IІI.19</c:v>
                </c:pt>
                <c:pt idx="4">
                  <c:v>I.20</c:v>
                </c:pt>
                <c:pt idx="6">
                  <c:v>IІI.20</c:v>
                </c:pt>
                <c:pt idx="8">
                  <c:v>I.21</c:v>
                </c:pt>
                <c:pt idx="10">
                  <c:v>III.21</c:v>
                </c:pt>
                <c:pt idx="12">
                  <c:v>I.22</c:v>
                </c:pt>
                <c:pt idx="14">
                  <c:v>III.22</c:v>
                </c:pt>
                <c:pt idx="16">
                  <c:v>I.23</c:v>
                </c:pt>
              </c:strCache>
            </c:strRef>
          </c:cat>
          <c:val>
            <c:numRef>
              <c:f>'Очікування по безробіттю'!$D$4:$D$20</c:f>
              <c:numCache>
                <c:formatCode>General</c:formatCode>
                <c:ptCount val="17"/>
                <c:pt idx="0">
                  <c:v>21.1</c:v>
                </c:pt>
                <c:pt idx="1">
                  <c:v>11.1</c:v>
                </c:pt>
                <c:pt idx="2">
                  <c:v>16.7</c:v>
                </c:pt>
                <c:pt idx="3">
                  <c:v>11.1</c:v>
                </c:pt>
                <c:pt idx="4">
                  <c:v>30</c:v>
                </c:pt>
                <c:pt idx="5">
                  <c:v>0</c:v>
                </c:pt>
                <c:pt idx="6">
                  <c:v>-9.1</c:v>
                </c:pt>
                <c:pt idx="7">
                  <c:v>-9.1</c:v>
                </c:pt>
                <c:pt idx="8">
                  <c:v>0</c:v>
                </c:pt>
                <c:pt idx="9">
                  <c:v>5</c:v>
                </c:pt>
                <c:pt idx="10">
                  <c:v>13.6</c:v>
                </c:pt>
                <c:pt idx="11">
                  <c:v>4.5</c:v>
                </c:pt>
                <c:pt idx="12">
                  <c:v>5</c:v>
                </c:pt>
                <c:pt idx="13">
                  <c:v>-50</c:v>
                </c:pt>
                <c:pt idx="14">
                  <c:v>-21.1</c:v>
                </c:pt>
                <c:pt idx="15">
                  <c:v>-5.3</c:v>
                </c:pt>
                <c:pt idx="16" formatCode="0.0">
                  <c:v>-33.299999999999997</c:v>
                </c:pt>
              </c:numCache>
            </c:numRef>
          </c:val>
          <c:smooth val="0"/>
          <c:extLst>
            <c:ext xmlns:c16="http://schemas.microsoft.com/office/drawing/2014/chart" uri="{C3380CC4-5D6E-409C-BE32-E72D297353CC}">
              <c16:uniqueId val="{00000002-77B4-4DF1-B807-7B03DEEA34A9}"/>
            </c:ext>
          </c:extLst>
        </c:ser>
        <c:ser>
          <c:idx val="4"/>
          <c:order val="3"/>
          <c:tx>
            <c:strRef>
              <c:f>'Очікування по безробіттю'!$E$1</c:f>
              <c:strCache>
                <c:ptCount val="1"/>
                <c:pt idx="0">
                  <c:v>Торгівля</c:v>
                </c:pt>
              </c:strCache>
            </c:strRef>
          </c:tx>
          <c:spPr>
            <a:ln w="25400" cap="rnd" cmpd="sng">
              <a:solidFill>
                <a:srgbClr val="DC4B64"/>
              </a:solidFill>
              <a:prstDash val="solid"/>
              <a:round/>
            </a:ln>
            <a:effectLst/>
          </c:spPr>
          <c:marker>
            <c:symbol val="none"/>
          </c:marker>
          <c:cat>
            <c:strRef>
              <c:f>'Очікування по безробіттю'!$H$4:$H$20</c:f>
              <c:strCache>
                <c:ptCount val="17"/>
                <c:pt idx="0">
                  <c:v>I.19</c:v>
                </c:pt>
                <c:pt idx="2">
                  <c:v>IІI.19</c:v>
                </c:pt>
                <c:pt idx="4">
                  <c:v>I.20</c:v>
                </c:pt>
                <c:pt idx="6">
                  <c:v>IІI.20</c:v>
                </c:pt>
                <c:pt idx="8">
                  <c:v>I.21</c:v>
                </c:pt>
                <c:pt idx="10">
                  <c:v>III.21</c:v>
                </c:pt>
                <c:pt idx="12">
                  <c:v>I.22</c:v>
                </c:pt>
                <c:pt idx="14">
                  <c:v>III.22</c:v>
                </c:pt>
                <c:pt idx="16">
                  <c:v>I.23</c:v>
                </c:pt>
              </c:strCache>
            </c:strRef>
          </c:cat>
          <c:val>
            <c:numRef>
              <c:f>'Очікування по безробіттю'!$E$4:$E$20</c:f>
              <c:numCache>
                <c:formatCode>General</c:formatCode>
                <c:ptCount val="17"/>
                <c:pt idx="0">
                  <c:v>15.4</c:v>
                </c:pt>
                <c:pt idx="1">
                  <c:v>15.7</c:v>
                </c:pt>
                <c:pt idx="2">
                  <c:v>11.1</c:v>
                </c:pt>
                <c:pt idx="3">
                  <c:v>10.9</c:v>
                </c:pt>
                <c:pt idx="4">
                  <c:v>0.7</c:v>
                </c:pt>
                <c:pt idx="5">
                  <c:v>-19.899999999999999</c:v>
                </c:pt>
                <c:pt idx="6">
                  <c:v>0</c:v>
                </c:pt>
                <c:pt idx="7">
                  <c:v>-4.9000000000000004</c:v>
                </c:pt>
                <c:pt idx="8">
                  <c:v>10.1</c:v>
                </c:pt>
                <c:pt idx="9">
                  <c:v>8</c:v>
                </c:pt>
                <c:pt idx="10">
                  <c:v>12.6</c:v>
                </c:pt>
                <c:pt idx="11">
                  <c:v>11.3</c:v>
                </c:pt>
                <c:pt idx="12">
                  <c:v>6.9</c:v>
                </c:pt>
                <c:pt idx="13">
                  <c:v>-31.1</c:v>
                </c:pt>
                <c:pt idx="14">
                  <c:v>-21.3</c:v>
                </c:pt>
                <c:pt idx="15">
                  <c:v>-5.3</c:v>
                </c:pt>
                <c:pt idx="16" formatCode="0.0">
                  <c:v>-10.4</c:v>
                </c:pt>
              </c:numCache>
            </c:numRef>
          </c:val>
          <c:smooth val="0"/>
          <c:extLst>
            <c:ext xmlns:c16="http://schemas.microsoft.com/office/drawing/2014/chart" uri="{C3380CC4-5D6E-409C-BE32-E72D297353CC}">
              <c16:uniqueId val="{00000003-77B4-4DF1-B807-7B03DEEA34A9}"/>
            </c:ext>
          </c:extLst>
        </c:ser>
        <c:ser>
          <c:idx val="5"/>
          <c:order val="4"/>
          <c:tx>
            <c:strRef>
              <c:f>'Очікування по безробіттю'!$F$1</c:f>
              <c:strCache>
                <c:ptCount val="1"/>
                <c:pt idx="0">
                  <c:v>Транспорт</c:v>
                </c:pt>
              </c:strCache>
            </c:strRef>
          </c:tx>
          <c:spPr>
            <a:ln w="25400" cmpd="sng">
              <a:solidFill>
                <a:srgbClr val="005591"/>
              </a:solidFill>
              <a:prstDash val="solid"/>
            </a:ln>
          </c:spPr>
          <c:marker>
            <c:symbol val="none"/>
          </c:marker>
          <c:cat>
            <c:strRef>
              <c:f>'Очікування по безробіттю'!$H$4:$H$20</c:f>
              <c:strCache>
                <c:ptCount val="17"/>
                <c:pt idx="0">
                  <c:v>I.19</c:v>
                </c:pt>
                <c:pt idx="2">
                  <c:v>IІI.19</c:v>
                </c:pt>
                <c:pt idx="4">
                  <c:v>I.20</c:v>
                </c:pt>
                <c:pt idx="6">
                  <c:v>IІI.20</c:v>
                </c:pt>
                <c:pt idx="8">
                  <c:v>I.21</c:v>
                </c:pt>
                <c:pt idx="10">
                  <c:v>III.21</c:v>
                </c:pt>
                <c:pt idx="12">
                  <c:v>I.22</c:v>
                </c:pt>
                <c:pt idx="14">
                  <c:v>III.22</c:v>
                </c:pt>
                <c:pt idx="16">
                  <c:v>I.23</c:v>
                </c:pt>
              </c:strCache>
            </c:strRef>
          </c:cat>
          <c:val>
            <c:numRef>
              <c:f>'Очікування по безробіттю'!$F$4:$F$20</c:f>
              <c:numCache>
                <c:formatCode>General</c:formatCode>
                <c:ptCount val="17"/>
                <c:pt idx="0">
                  <c:v>-1.2</c:v>
                </c:pt>
                <c:pt idx="1">
                  <c:v>11.1</c:v>
                </c:pt>
                <c:pt idx="2">
                  <c:v>11</c:v>
                </c:pt>
                <c:pt idx="3">
                  <c:v>-1.1000000000000001</c:v>
                </c:pt>
                <c:pt idx="4">
                  <c:v>-1.1000000000000001</c:v>
                </c:pt>
                <c:pt idx="5">
                  <c:v>-15.7</c:v>
                </c:pt>
                <c:pt idx="6">
                  <c:v>-21.5</c:v>
                </c:pt>
                <c:pt idx="7">
                  <c:v>-14.6</c:v>
                </c:pt>
                <c:pt idx="8">
                  <c:v>-14.9</c:v>
                </c:pt>
                <c:pt idx="9">
                  <c:v>-14.6</c:v>
                </c:pt>
                <c:pt idx="10">
                  <c:v>-1.1000000000000001</c:v>
                </c:pt>
                <c:pt idx="11">
                  <c:v>2.2000000000000002</c:v>
                </c:pt>
                <c:pt idx="12">
                  <c:v>-8.6</c:v>
                </c:pt>
                <c:pt idx="13">
                  <c:v>-27.1</c:v>
                </c:pt>
                <c:pt idx="14">
                  <c:v>-32.9</c:v>
                </c:pt>
                <c:pt idx="15">
                  <c:v>-28.9</c:v>
                </c:pt>
                <c:pt idx="16" formatCode="0.0">
                  <c:v>-31.8</c:v>
                </c:pt>
              </c:numCache>
            </c:numRef>
          </c:val>
          <c:smooth val="0"/>
          <c:extLst>
            <c:ext xmlns:c16="http://schemas.microsoft.com/office/drawing/2014/chart" uri="{C3380CC4-5D6E-409C-BE32-E72D297353CC}">
              <c16:uniqueId val="{00000004-77B4-4DF1-B807-7B03DEEA34A9}"/>
            </c:ext>
          </c:extLst>
        </c:ser>
        <c:ser>
          <c:idx val="6"/>
          <c:order val="5"/>
          <c:tx>
            <c:strRef>
              <c:f>'Очікування по безробіттю'!$G$1</c:f>
              <c:strCache>
                <c:ptCount val="1"/>
                <c:pt idx="0">
                  <c:v>Послуги</c:v>
                </c:pt>
              </c:strCache>
            </c:strRef>
          </c:tx>
          <c:spPr>
            <a:ln w="25400" cap="rnd" cmpd="sng">
              <a:solidFill>
                <a:srgbClr val="46AFE6"/>
              </a:solidFill>
              <a:prstDash val="solid"/>
              <a:round/>
            </a:ln>
            <a:effectLst/>
          </c:spPr>
          <c:marker>
            <c:symbol val="none"/>
          </c:marker>
          <c:cat>
            <c:strRef>
              <c:f>'Очікування по безробіттю'!$H$4:$H$20</c:f>
              <c:strCache>
                <c:ptCount val="17"/>
                <c:pt idx="0">
                  <c:v>I.19</c:v>
                </c:pt>
                <c:pt idx="2">
                  <c:v>IІI.19</c:v>
                </c:pt>
                <c:pt idx="4">
                  <c:v>I.20</c:v>
                </c:pt>
                <c:pt idx="6">
                  <c:v>IІI.20</c:v>
                </c:pt>
                <c:pt idx="8">
                  <c:v>I.21</c:v>
                </c:pt>
                <c:pt idx="10">
                  <c:v>III.21</c:v>
                </c:pt>
                <c:pt idx="12">
                  <c:v>I.22</c:v>
                </c:pt>
                <c:pt idx="14">
                  <c:v>III.22</c:v>
                </c:pt>
                <c:pt idx="16">
                  <c:v>I.23</c:v>
                </c:pt>
              </c:strCache>
            </c:strRef>
          </c:cat>
          <c:val>
            <c:numRef>
              <c:f>'Очікування по безробіттю'!$G$4:$G$20</c:f>
              <c:numCache>
                <c:formatCode>General</c:formatCode>
                <c:ptCount val="17"/>
                <c:pt idx="0">
                  <c:v>6.3</c:v>
                </c:pt>
                <c:pt idx="1">
                  <c:v>8.4</c:v>
                </c:pt>
                <c:pt idx="2">
                  <c:v>8.1999999999999993</c:v>
                </c:pt>
                <c:pt idx="3">
                  <c:v>13.1</c:v>
                </c:pt>
                <c:pt idx="4">
                  <c:v>5.9</c:v>
                </c:pt>
                <c:pt idx="5">
                  <c:v>-16.5</c:v>
                </c:pt>
                <c:pt idx="6">
                  <c:v>-8.4</c:v>
                </c:pt>
                <c:pt idx="7">
                  <c:v>-2.5</c:v>
                </c:pt>
                <c:pt idx="8">
                  <c:v>0</c:v>
                </c:pt>
                <c:pt idx="9">
                  <c:v>-0.8</c:v>
                </c:pt>
                <c:pt idx="10">
                  <c:v>6.7</c:v>
                </c:pt>
                <c:pt idx="11">
                  <c:v>4.8</c:v>
                </c:pt>
                <c:pt idx="12">
                  <c:v>9.1999999999999993</c:v>
                </c:pt>
                <c:pt idx="13">
                  <c:v>-33.700000000000003</c:v>
                </c:pt>
                <c:pt idx="14">
                  <c:v>-25</c:v>
                </c:pt>
                <c:pt idx="15">
                  <c:v>-18.8</c:v>
                </c:pt>
                <c:pt idx="16" formatCode="0.0">
                  <c:v>-17</c:v>
                </c:pt>
              </c:numCache>
            </c:numRef>
          </c:val>
          <c:smooth val="0"/>
          <c:extLst>
            <c:ext xmlns:c16="http://schemas.microsoft.com/office/drawing/2014/chart" uri="{C3380CC4-5D6E-409C-BE32-E72D297353CC}">
              <c16:uniqueId val="{00000005-77B4-4DF1-B807-7B03DEEA34A9}"/>
            </c:ext>
          </c:extLst>
        </c:ser>
        <c:dLbls>
          <c:showLegendKey val="0"/>
          <c:showVal val="0"/>
          <c:showCatName val="0"/>
          <c:showSerName val="0"/>
          <c:showPercent val="0"/>
          <c:showBubbleSize val="0"/>
        </c:dLbls>
        <c:smooth val="0"/>
        <c:axId val="719169336"/>
        <c:axId val="719173256"/>
      </c:lineChart>
      <c:catAx>
        <c:axId val="719169336"/>
        <c:scaling>
          <c:orientation val="minMax"/>
        </c:scaling>
        <c:delete val="0"/>
        <c:axPos val="b"/>
        <c:majorGridlines>
          <c:spPr>
            <a:ln w="3175" cap="flat" cmpd="sng" algn="ctr">
              <a:solidFill>
                <a:srgbClr val="8C969B">
                  <a:alpha val="50000"/>
                </a:srgbClr>
              </a:solidFill>
              <a:prstDash val="solid"/>
              <a:round/>
              <a:headEnd type="none" w="med" len="med"/>
              <a:tailEnd type="none" w="med" len="med"/>
            </a:ln>
          </c:spPr>
        </c:majorGridlines>
        <c:numFmt formatCode="@" sourceLinked="0"/>
        <c:majorTickMark val="in"/>
        <c:minorTickMark val="none"/>
        <c:tickLblPos val="low"/>
        <c:spPr>
          <a:noFill/>
          <a:ln w="9525" cap="flat" cmpd="sng" algn="ctr">
            <a:solidFill>
              <a:srgbClr val="505050"/>
            </a:solidFill>
            <a:prstDash val="solid"/>
            <a:round/>
            <a:headEnd type="none" w="med" len="med"/>
            <a:tailEnd type="none" w="med" len="med"/>
          </a:ln>
          <a:effectLst/>
        </c:spPr>
        <c:txPr>
          <a:bodyPr rot="0" vert="horz"/>
          <a:lstStyle/>
          <a:p>
            <a:pPr>
              <a:defRPr/>
            </a:pPr>
            <a:endParaRPr lang="en-US"/>
          </a:p>
        </c:txPr>
        <c:crossAx val="719173256"/>
        <c:crosses val="autoZero"/>
        <c:auto val="1"/>
        <c:lblAlgn val="ctr"/>
        <c:lblOffset val="100"/>
        <c:tickMarkSkip val="4"/>
        <c:noMultiLvlLbl val="0"/>
      </c:catAx>
      <c:valAx>
        <c:axId val="719173256"/>
        <c:scaling>
          <c:orientation val="minMax"/>
        </c:scaling>
        <c:delete val="0"/>
        <c:axPos val="l"/>
        <c:majorGridlines>
          <c:spPr>
            <a:ln w="3175" cap="flat" cmpd="sng" algn="ctr">
              <a:solidFill>
                <a:srgbClr val="8C969B">
                  <a:alpha val="50000"/>
                </a:srgbClr>
              </a:solidFill>
              <a:prstDash val="solid"/>
              <a:round/>
              <a:headEnd type="none" w="med" len="med"/>
              <a:tailEnd type="none" w="med" len="med"/>
            </a:ln>
            <a:effectLst/>
          </c:spPr>
        </c:majorGridlines>
        <c:numFmt formatCode="0" sourceLinked="0"/>
        <c:majorTickMark val="in"/>
        <c:minorTickMark val="none"/>
        <c:tickLblPos val="low"/>
        <c:spPr>
          <a:noFill/>
          <a:ln w="9525">
            <a:solidFill>
              <a:srgbClr val="505050"/>
            </a:solidFill>
            <a:prstDash val="solid"/>
          </a:ln>
          <a:effectLst/>
        </c:spPr>
        <c:txPr>
          <a:bodyPr rot="0" vert="horz"/>
          <a:lstStyle/>
          <a:p>
            <a:pPr>
              <a:defRPr/>
            </a:pPr>
            <a:endParaRPr lang="en-US"/>
          </a:p>
        </c:txPr>
        <c:crossAx val="719169336"/>
        <c:crosses val="autoZero"/>
        <c:crossBetween val="between"/>
      </c:valAx>
      <c:spPr>
        <a:noFill/>
        <a:ln w="9525">
          <a:solidFill>
            <a:srgbClr val="505050"/>
          </a:solidFill>
        </a:ln>
        <a:effectLst/>
        <a:extLst>
          <a:ext uri="{909E8E84-426E-40DD-AFC4-6F175D3DCCD1}">
            <a14:hiddenFill xmlns:a14="http://schemas.microsoft.com/office/drawing/2010/main">
              <a:noFill/>
            </a14:hiddenFill>
          </a:ext>
        </a:extLst>
      </c:spPr>
    </c:plotArea>
    <c:legend>
      <c:legendPos val="b"/>
      <c:layout>
        <c:manualLayout>
          <c:xMode val="edge"/>
          <c:yMode val="edge"/>
          <c:x val="0"/>
          <c:y val="0.83778247631852998"/>
          <c:w val="0.99585062240663902"/>
          <c:h val="0.15400413167620036"/>
        </c:manualLayout>
      </c:layout>
      <c:overlay val="0"/>
      <c:spPr>
        <a:noFill/>
        <a:ln>
          <a:noFill/>
        </a:ln>
        <a:effectLst/>
        <a:extLst>
          <a:ext uri="{91240B29-F687-4F45-9708-019B960494DF}">
            <a14:hiddenLine xmlns:a14="http://schemas.microsoft.com/office/drawing/2010/main">
              <a:noFill/>
            </a14:hiddenLine>
          </a:ext>
        </a:extLst>
      </c:spPr>
      <c:txPr>
        <a:bodyPr rot="0" vert="horz"/>
        <a:lstStyle/>
        <a:p>
          <a:pPr>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900" b="0" i="0" strike="noStrike">
          <a:solidFill>
            <a:srgbClr val="000000"/>
          </a:solidFill>
          <a:latin typeface="+mn-lt"/>
          <a:ea typeface="Arial"/>
          <a:cs typeface="Aria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86450811905774"/>
          <c:y val="5.3999990655015893E-2"/>
          <c:w val="0.84718299735354663"/>
          <c:h val="0.61584639338125924"/>
        </c:manualLayout>
      </c:layout>
      <c:barChart>
        <c:barDir val="col"/>
        <c:grouping val="stacked"/>
        <c:varyColors val="0"/>
        <c:ser>
          <c:idx val="0"/>
          <c:order val="0"/>
          <c:tx>
            <c:strRef>
              <c:f>'Статус тих хто мав роботу'!$B$1</c:f>
              <c:strCache>
                <c:ptCount val="1"/>
                <c:pt idx="0">
                  <c:v>Не працюю</c:v>
                </c:pt>
              </c:strCache>
            </c:strRef>
          </c:tx>
          <c:spPr>
            <a:solidFill>
              <a:schemeClr val="accent1"/>
            </a:solidFill>
            <a:ln>
              <a:noFill/>
            </a:ln>
            <a:effectLst/>
            <a:extLst>
              <a:ext uri="{91240B29-F687-4F45-9708-019B960494DF}">
                <a14:hiddenLine xmlns:a14="http://schemas.microsoft.com/office/drawing/2010/main">
                  <a:noFill/>
                </a14:hiddenLine>
              </a:ext>
            </a:extLst>
          </c:spPr>
          <c:invertIfNegative val="0"/>
          <c:cat>
            <c:strRef>
              <c:f>'Статус тих хто мав роботу'!$A$4:$A$12</c:f>
              <c:strCache>
                <c:ptCount val="9"/>
                <c:pt idx="0">
                  <c:v>03'22</c:v>
                </c:pt>
                <c:pt idx="1">
                  <c:v>04'22</c:v>
                </c:pt>
                <c:pt idx="2">
                  <c:v>04'22</c:v>
                </c:pt>
                <c:pt idx="3">
                  <c:v>06'22</c:v>
                </c:pt>
                <c:pt idx="4">
                  <c:v>07'22</c:v>
                </c:pt>
                <c:pt idx="5">
                  <c:v>09'22</c:v>
                </c:pt>
                <c:pt idx="6">
                  <c:v>10'22</c:v>
                </c:pt>
                <c:pt idx="7">
                  <c:v>12'22</c:v>
                </c:pt>
                <c:pt idx="8">
                  <c:v>02'23</c:v>
                </c:pt>
              </c:strCache>
            </c:strRef>
          </c:cat>
          <c:val>
            <c:numRef>
              <c:f>'Статус тих хто мав роботу'!$B$4:$B$12</c:f>
              <c:numCache>
                <c:formatCode>0.0</c:formatCode>
                <c:ptCount val="9"/>
                <c:pt idx="0">
                  <c:v>53</c:v>
                </c:pt>
                <c:pt idx="1">
                  <c:v>41</c:v>
                </c:pt>
                <c:pt idx="2">
                  <c:v>39.39</c:v>
                </c:pt>
                <c:pt idx="3">
                  <c:v>35.35</c:v>
                </c:pt>
                <c:pt idx="4">
                  <c:v>39.39</c:v>
                </c:pt>
                <c:pt idx="5">
                  <c:v>36.729999999999997</c:v>
                </c:pt>
                <c:pt idx="6">
                  <c:v>34.69</c:v>
                </c:pt>
                <c:pt idx="7">
                  <c:v>33.33</c:v>
                </c:pt>
                <c:pt idx="8">
                  <c:v>36.729999999999997</c:v>
                </c:pt>
              </c:numCache>
            </c:numRef>
          </c:val>
          <c:extLst>
            <c:ext xmlns:c16="http://schemas.microsoft.com/office/drawing/2014/chart" uri="{C3380CC4-5D6E-409C-BE32-E72D297353CC}">
              <c16:uniqueId val="{00000000-6457-49DD-BCD2-3E4ADE88DA62}"/>
            </c:ext>
          </c:extLst>
        </c:ser>
        <c:ser>
          <c:idx val="1"/>
          <c:order val="1"/>
          <c:tx>
            <c:strRef>
              <c:f>'Статус тих хто мав роботу'!$C$1</c:f>
              <c:strCache>
                <c:ptCount val="1"/>
                <c:pt idx="0">
                  <c:v>Інше</c:v>
                </c:pt>
              </c:strCache>
            </c:strRef>
          </c:tx>
          <c:spPr>
            <a:solidFill>
              <a:srgbClr val="00B050"/>
            </a:solidFill>
            <a:ln>
              <a:noFill/>
            </a:ln>
            <a:effectLst/>
            <a:extLst>
              <a:ext uri="{91240B29-F687-4F45-9708-019B960494DF}">
                <a14:hiddenLine xmlns:a14="http://schemas.microsoft.com/office/drawing/2010/main">
                  <a:noFill/>
                </a14:hiddenLine>
              </a:ext>
            </a:extLst>
          </c:spPr>
          <c:invertIfNegative val="0"/>
          <c:cat>
            <c:strRef>
              <c:f>'Статус тих хто мав роботу'!$A$4:$A$12</c:f>
              <c:strCache>
                <c:ptCount val="9"/>
                <c:pt idx="0">
                  <c:v>03'22</c:v>
                </c:pt>
                <c:pt idx="1">
                  <c:v>04'22</c:v>
                </c:pt>
                <c:pt idx="2">
                  <c:v>04'22</c:v>
                </c:pt>
                <c:pt idx="3">
                  <c:v>06'22</c:v>
                </c:pt>
                <c:pt idx="4">
                  <c:v>07'22</c:v>
                </c:pt>
                <c:pt idx="5">
                  <c:v>09'22</c:v>
                </c:pt>
                <c:pt idx="6">
                  <c:v>10'22</c:v>
                </c:pt>
                <c:pt idx="7">
                  <c:v>12'22</c:v>
                </c:pt>
                <c:pt idx="8">
                  <c:v>02'23</c:v>
                </c:pt>
              </c:strCache>
            </c:strRef>
          </c:cat>
          <c:val>
            <c:numRef>
              <c:f>'Статус тих хто мав роботу'!$C$4:$C$12</c:f>
              <c:numCache>
                <c:formatCode>0.0</c:formatCode>
                <c:ptCount val="9"/>
                <c:pt idx="0">
                  <c:v>1</c:v>
                </c:pt>
                <c:pt idx="1">
                  <c:v>1</c:v>
                </c:pt>
                <c:pt idx="2">
                  <c:v>1.01</c:v>
                </c:pt>
                <c:pt idx="3">
                  <c:v>1.01</c:v>
                </c:pt>
                <c:pt idx="4">
                  <c:v>1.01</c:v>
                </c:pt>
                <c:pt idx="5">
                  <c:v>1.02</c:v>
                </c:pt>
                <c:pt idx="6">
                  <c:v>1.02</c:v>
                </c:pt>
                <c:pt idx="7">
                  <c:v>1.01</c:v>
                </c:pt>
                <c:pt idx="8">
                  <c:v>1.02</c:v>
                </c:pt>
              </c:numCache>
            </c:numRef>
          </c:val>
          <c:extLst>
            <c:ext xmlns:c16="http://schemas.microsoft.com/office/drawing/2014/chart" uri="{C3380CC4-5D6E-409C-BE32-E72D297353CC}">
              <c16:uniqueId val="{00000001-6457-49DD-BCD2-3E4ADE88DA62}"/>
            </c:ext>
          </c:extLst>
        </c:ser>
        <c:ser>
          <c:idx val="2"/>
          <c:order val="2"/>
          <c:tx>
            <c:strRef>
              <c:f>'Статус тих хто мав роботу'!$D$1</c:f>
              <c:strCache>
                <c:ptCount val="1"/>
                <c:pt idx="0">
                  <c:v>Працюю на новій роботі</c:v>
                </c:pt>
              </c:strCache>
            </c:strRef>
          </c:tx>
          <c:spPr>
            <a:solidFill>
              <a:schemeClr val="accent3"/>
            </a:solidFill>
            <a:ln>
              <a:noFill/>
            </a:ln>
            <a:effectLst/>
            <a:extLst>
              <a:ext uri="{91240B29-F687-4F45-9708-019B960494DF}">
                <a14:hiddenLine xmlns:a14="http://schemas.microsoft.com/office/drawing/2010/main">
                  <a:noFill/>
                </a14:hiddenLine>
              </a:ext>
            </a:extLst>
          </c:spPr>
          <c:invertIfNegative val="0"/>
          <c:cat>
            <c:strRef>
              <c:f>'Статус тих хто мав роботу'!$A$4:$A$12</c:f>
              <c:strCache>
                <c:ptCount val="9"/>
                <c:pt idx="0">
                  <c:v>03'22</c:v>
                </c:pt>
                <c:pt idx="1">
                  <c:v>04'22</c:v>
                </c:pt>
                <c:pt idx="2">
                  <c:v>04'22</c:v>
                </c:pt>
                <c:pt idx="3">
                  <c:v>06'22</c:v>
                </c:pt>
                <c:pt idx="4">
                  <c:v>07'22</c:v>
                </c:pt>
                <c:pt idx="5">
                  <c:v>09'22</c:v>
                </c:pt>
                <c:pt idx="6">
                  <c:v>10'22</c:v>
                </c:pt>
                <c:pt idx="7">
                  <c:v>12'22</c:v>
                </c:pt>
                <c:pt idx="8">
                  <c:v>02'23</c:v>
                </c:pt>
              </c:strCache>
            </c:strRef>
          </c:cat>
          <c:val>
            <c:numRef>
              <c:f>'Статус тих хто мав роботу'!$D$4:$D$12</c:f>
              <c:numCache>
                <c:formatCode>0.0</c:formatCode>
                <c:ptCount val="9"/>
                <c:pt idx="0">
                  <c:v>2</c:v>
                </c:pt>
                <c:pt idx="1">
                  <c:v>3</c:v>
                </c:pt>
                <c:pt idx="2">
                  <c:v>3.03</c:v>
                </c:pt>
                <c:pt idx="3">
                  <c:v>7.07</c:v>
                </c:pt>
                <c:pt idx="4">
                  <c:v>6.06</c:v>
                </c:pt>
                <c:pt idx="5">
                  <c:v>6.12</c:v>
                </c:pt>
                <c:pt idx="6">
                  <c:v>7.14</c:v>
                </c:pt>
                <c:pt idx="7">
                  <c:v>8.08</c:v>
                </c:pt>
                <c:pt idx="8">
                  <c:v>8.16</c:v>
                </c:pt>
              </c:numCache>
            </c:numRef>
          </c:val>
          <c:extLst>
            <c:ext xmlns:c16="http://schemas.microsoft.com/office/drawing/2014/chart" uri="{C3380CC4-5D6E-409C-BE32-E72D297353CC}">
              <c16:uniqueId val="{00000002-6457-49DD-BCD2-3E4ADE88DA62}"/>
            </c:ext>
          </c:extLst>
        </c:ser>
        <c:ser>
          <c:idx val="3"/>
          <c:order val="3"/>
          <c:tx>
            <c:strRef>
              <c:f>'Статус тих хто мав роботу'!$E$1</c:f>
              <c:strCache>
                <c:ptCount val="1"/>
                <c:pt idx="0">
                  <c:v>Працюю частково</c:v>
                </c:pt>
              </c:strCache>
            </c:strRef>
          </c:tx>
          <c:spPr>
            <a:solidFill>
              <a:schemeClr val="bg2"/>
            </a:solidFill>
            <a:ln>
              <a:noFill/>
            </a:ln>
            <a:effectLst/>
            <a:extLst>
              <a:ext uri="{91240B29-F687-4F45-9708-019B960494DF}">
                <a14:hiddenLine xmlns:a14="http://schemas.microsoft.com/office/drawing/2010/main">
                  <a:noFill/>
                </a14:hiddenLine>
              </a:ext>
            </a:extLst>
          </c:spPr>
          <c:invertIfNegative val="0"/>
          <c:cat>
            <c:strRef>
              <c:f>'Статус тих хто мав роботу'!$A$4:$A$12</c:f>
              <c:strCache>
                <c:ptCount val="9"/>
                <c:pt idx="0">
                  <c:v>03'22</c:v>
                </c:pt>
                <c:pt idx="1">
                  <c:v>04'22</c:v>
                </c:pt>
                <c:pt idx="2">
                  <c:v>04'22</c:v>
                </c:pt>
                <c:pt idx="3">
                  <c:v>06'22</c:v>
                </c:pt>
                <c:pt idx="4">
                  <c:v>07'22</c:v>
                </c:pt>
                <c:pt idx="5">
                  <c:v>09'22</c:v>
                </c:pt>
                <c:pt idx="6">
                  <c:v>10'22</c:v>
                </c:pt>
                <c:pt idx="7">
                  <c:v>12'22</c:v>
                </c:pt>
                <c:pt idx="8">
                  <c:v>02'23</c:v>
                </c:pt>
              </c:strCache>
            </c:strRef>
          </c:cat>
          <c:val>
            <c:numRef>
              <c:f>'Статус тих хто мав роботу'!$E$4:$E$12</c:f>
              <c:numCache>
                <c:formatCode>0.0</c:formatCode>
                <c:ptCount val="9"/>
                <c:pt idx="0">
                  <c:v>21</c:v>
                </c:pt>
                <c:pt idx="1">
                  <c:v>26</c:v>
                </c:pt>
                <c:pt idx="2">
                  <c:v>24.24</c:v>
                </c:pt>
                <c:pt idx="3">
                  <c:v>18.18</c:v>
                </c:pt>
                <c:pt idx="4">
                  <c:v>19.190000000000001</c:v>
                </c:pt>
                <c:pt idx="5">
                  <c:v>19.39</c:v>
                </c:pt>
                <c:pt idx="6">
                  <c:v>18.37</c:v>
                </c:pt>
                <c:pt idx="7">
                  <c:v>17.170000000000002</c:v>
                </c:pt>
                <c:pt idx="8">
                  <c:v>17.350000000000001</c:v>
                </c:pt>
              </c:numCache>
            </c:numRef>
          </c:val>
          <c:extLst>
            <c:ext xmlns:c16="http://schemas.microsoft.com/office/drawing/2014/chart" uri="{C3380CC4-5D6E-409C-BE32-E72D297353CC}">
              <c16:uniqueId val="{00000003-6457-49DD-BCD2-3E4ADE88DA62}"/>
            </c:ext>
          </c:extLst>
        </c:ser>
        <c:ser>
          <c:idx val="4"/>
          <c:order val="4"/>
          <c:tx>
            <c:strRef>
              <c:f>'Статус тих хто мав роботу'!$F$1</c:f>
              <c:strCache>
                <c:ptCount val="1"/>
                <c:pt idx="0">
                  <c:v>Працюю у звичайному режимі</c:v>
                </c:pt>
              </c:strCache>
            </c:strRef>
          </c:tx>
          <c:spPr>
            <a:solidFill>
              <a:schemeClr val="accent2"/>
            </a:solidFill>
            <a:ln>
              <a:noFill/>
            </a:ln>
            <a:effectLst/>
            <a:extLst>
              <a:ext uri="{91240B29-F687-4F45-9708-019B960494DF}">
                <a14:hiddenLine xmlns:a14="http://schemas.microsoft.com/office/drawing/2010/main">
                  <a:noFill/>
                </a14:hiddenLine>
              </a:ext>
            </a:extLst>
          </c:spPr>
          <c:invertIfNegative val="0"/>
          <c:cat>
            <c:strRef>
              <c:f>'Статус тих хто мав роботу'!$A$4:$A$12</c:f>
              <c:strCache>
                <c:ptCount val="9"/>
                <c:pt idx="0">
                  <c:v>03'22</c:v>
                </c:pt>
                <c:pt idx="1">
                  <c:v>04'22</c:v>
                </c:pt>
                <c:pt idx="2">
                  <c:v>04'22</c:v>
                </c:pt>
                <c:pt idx="3">
                  <c:v>06'22</c:v>
                </c:pt>
                <c:pt idx="4">
                  <c:v>07'22</c:v>
                </c:pt>
                <c:pt idx="5">
                  <c:v>09'22</c:v>
                </c:pt>
                <c:pt idx="6">
                  <c:v>10'22</c:v>
                </c:pt>
                <c:pt idx="7">
                  <c:v>12'22</c:v>
                </c:pt>
                <c:pt idx="8">
                  <c:v>02'23</c:v>
                </c:pt>
              </c:strCache>
            </c:strRef>
          </c:cat>
          <c:val>
            <c:numRef>
              <c:f>'Статус тих хто мав роботу'!$F$4:$F$12</c:f>
              <c:numCache>
                <c:formatCode>0.0</c:formatCode>
                <c:ptCount val="9"/>
                <c:pt idx="0">
                  <c:v>23</c:v>
                </c:pt>
                <c:pt idx="1">
                  <c:v>29</c:v>
                </c:pt>
                <c:pt idx="2">
                  <c:v>32.32</c:v>
                </c:pt>
                <c:pt idx="3">
                  <c:v>38.380000000000003</c:v>
                </c:pt>
                <c:pt idx="4">
                  <c:v>34.340000000000003</c:v>
                </c:pt>
                <c:pt idx="5">
                  <c:v>36.729999999999997</c:v>
                </c:pt>
                <c:pt idx="6">
                  <c:v>38.78</c:v>
                </c:pt>
                <c:pt idx="7">
                  <c:v>40.4</c:v>
                </c:pt>
                <c:pt idx="8">
                  <c:v>36.729999999999997</c:v>
                </c:pt>
              </c:numCache>
            </c:numRef>
          </c:val>
          <c:extLst>
            <c:ext xmlns:c16="http://schemas.microsoft.com/office/drawing/2014/chart" uri="{C3380CC4-5D6E-409C-BE32-E72D297353CC}">
              <c16:uniqueId val="{00000004-6457-49DD-BCD2-3E4ADE88DA62}"/>
            </c:ext>
          </c:extLst>
        </c:ser>
        <c:dLbls>
          <c:showLegendKey val="0"/>
          <c:showVal val="0"/>
          <c:showCatName val="0"/>
          <c:showSerName val="0"/>
          <c:showPercent val="0"/>
          <c:showBubbleSize val="0"/>
        </c:dLbls>
        <c:gapWidth val="50"/>
        <c:overlap val="100"/>
        <c:axId val="47766575"/>
        <c:axId val="47767407"/>
      </c:barChart>
      <c:catAx>
        <c:axId val="47766575"/>
        <c:scaling>
          <c:orientation val="minMax"/>
        </c:scaling>
        <c:delete val="0"/>
        <c:axPos val="b"/>
        <c:majorGridlines>
          <c:spPr>
            <a:ln w="3175" cap="flat" cmpd="sng" algn="ctr">
              <a:solidFill>
                <a:srgbClr val="8C969B">
                  <a:alpha val="50000"/>
                </a:srgbClr>
              </a:solidFill>
              <a:prstDash val="solid"/>
              <a:round/>
              <a:headEnd type="none" w="med" len="med"/>
              <a:tailEnd type="none" w="med" len="med"/>
            </a:ln>
            <a:effectLst/>
          </c:spPr>
        </c:majorGridlines>
        <c:numFmt formatCode="@" sourceLinked="0"/>
        <c:majorTickMark val="in"/>
        <c:minorTickMark val="none"/>
        <c:tickLblPos val="low"/>
        <c:spPr>
          <a:noFill/>
          <a:ln w="9525" cap="flat" cmpd="sng" algn="ctr">
            <a:solidFill>
              <a:srgbClr val="505050"/>
            </a:solidFill>
            <a:prstDash val="solid"/>
            <a:round/>
            <a:headEnd type="none" w="med" len="med"/>
            <a:tailEnd type="none" w="med" len="med"/>
          </a:ln>
          <a:effectLst/>
        </c:spPr>
        <c:txPr>
          <a:bodyPr rot="0" spcFirstLastPara="1" vertOverflow="ellipsis" wrap="square" anchor="ctr" anchorCtr="1"/>
          <a:lstStyle/>
          <a:p>
            <a:pPr>
              <a:defRPr sz="900" b="0" i="0" u="none" strike="noStrike" kern="1200" baseline="0">
                <a:solidFill>
                  <a:srgbClr val="000000"/>
                </a:solidFill>
                <a:latin typeface="+mn-lt"/>
                <a:ea typeface="Arial"/>
                <a:cs typeface="Arial"/>
              </a:defRPr>
            </a:pPr>
            <a:endParaRPr lang="en-US"/>
          </a:p>
        </c:txPr>
        <c:crossAx val="47767407"/>
        <c:crosses val="autoZero"/>
        <c:auto val="1"/>
        <c:lblAlgn val="ctr"/>
        <c:lblOffset val="100"/>
        <c:noMultiLvlLbl val="0"/>
      </c:catAx>
      <c:valAx>
        <c:axId val="47767407"/>
        <c:scaling>
          <c:orientation val="minMax"/>
          <c:max val="100"/>
        </c:scaling>
        <c:delete val="0"/>
        <c:axPos val="l"/>
        <c:majorGridlines>
          <c:spPr>
            <a:ln w="3175" cap="flat" cmpd="sng" algn="ctr">
              <a:solidFill>
                <a:srgbClr val="8C969B">
                  <a:alpha val="50000"/>
                </a:srgbClr>
              </a:solidFill>
              <a:prstDash val="solid"/>
              <a:round/>
              <a:headEnd type="none" w="med" len="med"/>
              <a:tailEnd type="none" w="med" len="med"/>
            </a:ln>
            <a:effectLst/>
          </c:spPr>
        </c:majorGridlines>
        <c:numFmt formatCode="0" sourceLinked="0"/>
        <c:majorTickMark val="in"/>
        <c:minorTickMark val="none"/>
        <c:tickLblPos val="low"/>
        <c:spPr>
          <a:noFill/>
          <a:ln w="9525">
            <a:noFill/>
            <a:prstDash val="solid"/>
          </a:ln>
          <a:effectLst/>
        </c:spPr>
        <c:txPr>
          <a:bodyPr rot="0" spcFirstLastPara="1" vertOverflow="ellipsis" wrap="square" anchor="ctr" anchorCtr="1"/>
          <a:lstStyle/>
          <a:p>
            <a:pPr>
              <a:defRPr sz="900" b="0" i="0" u="none" strike="noStrike" kern="1200" baseline="0">
                <a:solidFill>
                  <a:srgbClr val="000000"/>
                </a:solidFill>
                <a:latin typeface="+mn-lt"/>
                <a:ea typeface="Arial"/>
                <a:cs typeface="Arial"/>
              </a:defRPr>
            </a:pPr>
            <a:endParaRPr lang="en-US"/>
          </a:p>
        </c:txPr>
        <c:crossAx val="47766575"/>
        <c:crosses val="autoZero"/>
        <c:crossBetween val="between"/>
      </c:valAx>
      <c:spPr>
        <a:noFill/>
        <a:ln w="9525">
          <a:solidFill>
            <a:srgbClr val="505050"/>
          </a:solidFill>
        </a:ln>
        <a:effectLst/>
        <a:extLst>
          <a:ext uri="{909E8E84-426E-40DD-AFC4-6F175D3DCCD1}">
            <a14:hiddenFill xmlns:a14="http://schemas.microsoft.com/office/drawing/2010/main">
              <a:noFill/>
            </a14:hiddenFill>
          </a:ext>
        </a:extLst>
      </c:spPr>
    </c:plotArea>
    <c:legend>
      <c:legendPos val="b"/>
      <c:layout>
        <c:manualLayout>
          <c:xMode val="edge"/>
          <c:yMode val="edge"/>
          <c:x val="0"/>
          <c:y val="0.75479504568370792"/>
          <c:w val="1"/>
          <c:h val="0.24520495431629202"/>
        </c:manualLayout>
      </c:layout>
      <c:overlay val="0"/>
      <c:spPr>
        <a:no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900" b="0" i="0" u="none" strike="noStrike" kern="1200" baseline="0">
              <a:solidFill>
                <a:srgbClr val="000000"/>
              </a:solidFill>
              <a:latin typeface="+mn-lt"/>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900" b="0" i="0" strike="noStrike">
          <a:solidFill>
            <a:srgbClr val="000000"/>
          </a:solidFill>
          <a:latin typeface="+mn-lt"/>
          <a:ea typeface="Arial"/>
          <a:cs typeface="Aria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004402180819788E-2"/>
          <c:y val="0.1663735596788328"/>
          <c:w val="0.88405724361998639"/>
          <c:h val="0.68169387563701489"/>
        </c:manualLayout>
      </c:layout>
      <c:barChart>
        <c:barDir val="col"/>
        <c:grouping val="clustered"/>
        <c:varyColors val="0"/>
        <c:ser>
          <c:idx val="0"/>
          <c:order val="0"/>
          <c:tx>
            <c:strRef>
              <c:f>'Ворк юа (вакансії)'!$K$6</c:f>
              <c:strCache>
                <c:ptCount val="1"/>
                <c:pt idx="0">
                  <c:v>Вакансії</c:v>
                </c:pt>
              </c:strCache>
            </c:strRef>
          </c:tx>
          <c:spPr>
            <a:solidFill>
              <a:schemeClr val="accent1"/>
            </a:solidFill>
            <a:ln>
              <a:noFill/>
            </a:ln>
            <a:effectLst/>
          </c:spPr>
          <c:invertIfNegative val="0"/>
          <c:dLbls>
            <c:dLbl>
              <c:idx val="0"/>
              <c:tx>
                <c:rich>
                  <a:bodyPr/>
                  <a:lstStyle/>
                  <a:p>
                    <a:fld id="{B61C6A36-D26D-40CE-9360-0848FCB3805E}" type="CELLRANGE">
                      <a:rPr lang="en-US"/>
                      <a:pPr/>
                      <a:t>[ДІАПАЗОН КЛІТИНОК]</a:t>
                    </a:fld>
                    <a:endParaRPr lang="en-US" baseline="0"/>
                  </a:p>
                  <a:p>
                    <a:fld id="{05D7DB93-CC9A-4B30-89E3-6A6C46304FBB}"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6564-4C4F-895B-7BD91B42B06D}"/>
                </c:ext>
              </c:extLst>
            </c:dLbl>
            <c:dLbl>
              <c:idx val="1"/>
              <c:tx>
                <c:rich>
                  <a:bodyPr/>
                  <a:lstStyle/>
                  <a:p>
                    <a:fld id="{C8BE4243-15B1-430F-B0E2-C126299AB639}" type="CELLRANGE">
                      <a:rPr lang="en-US"/>
                      <a:pPr/>
                      <a:t>[ДІАПАЗОН КЛІТИНОК]</a:t>
                    </a:fld>
                    <a:endParaRPr lang="en-US" baseline="0"/>
                  </a:p>
                  <a:p>
                    <a:fld id="{368ACB04-27D6-41AF-93D3-A5B77C249CD2}"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6564-4C4F-895B-7BD91B42B06D}"/>
                </c:ext>
              </c:extLst>
            </c:dLbl>
            <c:dLbl>
              <c:idx val="2"/>
              <c:layout>
                <c:manualLayout>
                  <c:x val="2.245088647610061E-2"/>
                  <c:y val="1.896633192335332E-2"/>
                </c:manualLayout>
              </c:layout>
              <c:tx>
                <c:rich>
                  <a:bodyPr/>
                  <a:lstStyle/>
                  <a:p>
                    <a:fld id="{10F0EC6C-0E7C-4E04-BAD9-EF8CF4ADE08D}" type="CELLRANGE">
                      <a:rPr lang="en-US"/>
                      <a:pPr/>
                      <a:t>[ДІАПАЗОН КЛІТИНОК]</a:t>
                    </a:fld>
                    <a:endParaRPr lang="en-US" baseline="0"/>
                  </a:p>
                  <a:p>
                    <a:fld id="{26E41F6C-F097-4574-8221-5F1ED3789C24}"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6564-4C4F-895B-7BD91B42B06D}"/>
                </c:ext>
              </c:extLst>
            </c:dLbl>
            <c:dLbl>
              <c:idx val="3"/>
              <c:tx>
                <c:rich>
                  <a:bodyPr/>
                  <a:lstStyle/>
                  <a:p>
                    <a:fld id="{BA628203-7A82-444D-BED0-0B23176538C9}" type="CELLRANGE">
                      <a:rPr lang="en-US"/>
                      <a:pPr/>
                      <a:t>[ДІАПАЗОН КЛІТИНОК]</a:t>
                    </a:fld>
                    <a:endParaRPr lang="en-US" baseline="0"/>
                  </a:p>
                  <a:p>
                    <a:fld id="{9E690C6C-59C6-486A-8C86-B3DDF34D85DF}"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6564-4C4F-895B-7BD91B42B06D}"/>
                </c:ext>
              </c:extLst>
            </c:dLbl>
            <c:dLbl>
              <c:idx val="4"/>
              <c:tx>
                <c:rich>
                  <a:bodyPr/>
                  <a:lstStyle/>
                  <a:p>
                    <a:fld id="{2FAD5C80-59C3-49F7-A262-4A3B39915D6A}" type="CELLRANGE">
                      <a:rPr lang="en-US"/>
                      <a:pPr/>
                      <a:t>[ДІАПАЗОН КЛІТИНОК]</a:t>
                    </a:fld>
                    <a:endParaRPr lang="en-US" baseline="0"/>
                  </a:p>
                  <a:p>
                    <a:fld id="{D3EE798A-7DD1-4416-BEC4-4C0AD4E5EB5C}"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6564-4C4F-895B-7BD91B42B06D}"/>
                </c:ext>
              </c:extLst>
            </c:dLbl>
            <c:dLbl>
              <c:idx val="5"/>
              <c:tx>
                <c:rich>
                  <a:bodyPr/>
                  <a:lstStyle/>
                  <a:p>
                    <a:fld id="{15EB2A31-6E47-400F-AB08-D746DADDD98A}" type="CELLRANGE">
                      <a:rPr lang="en-US"/>
                      <a:pPr/>
                      <a:t>[ДІАПАЗОН КЛІТИНОК]</a:t>
                    </a:fld>
                    <a:endParaRPr lang="en-US" baseline="0"/>
                  </a:p>
                  <a:p>
                    <a:fld id="{23B967C2-378E-41E0-BE05-3B2ED4299634}"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6564-4C4F-895B-7BD91B42B06D}"/>
                </c:ext>
              </c:extLst>
            </c:dLbl>
            <c:dLbl>
              <c:idx val="6"/>
              <c:tx>
                <c:rich>
                  <a:bodyPr/>
                  <a:lstStyle/>
                  <a:p>
                    <a:fld id="{25A8F019-C539-434D-98C4-46EB0162D150}" type="CELLRANGE">
                      <a:rPr lang="en-US"/>
                      <a:pPr/>
                      <a:t>[ДІАПАЗОН КЛІТИНОК]</a:t>
                    </a:fld>
                    <a:endParaRPr lang="en-US" baseline="0"/>
                  </a:p>
                  <a:p>
                    <a:fld id="{C73E174B-4E17-4718-B80C-8412BF037BB0}"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6564-4C4F-895B-7BD91B42B06D}"/>
                </c:ext>
              </c:extLst>
            </c:dLbl>
            <c:dLbl>
              <c:idx val="7"/>
              <c:tx>
                <c:rich>
                  <a:bodyPr/>
                  <a:lstStyle/>
                  <a:p>
                    <a:fld id="{A1C67E79-BC76-4BDB-B4F5-F43523898555}" type="CELLRANGE">
                      <a:rPr lang="en-US"/>
                      <a:pPr/>
                      <a:t>[ДІАПАЗОН КЛІТИНОК]</a:t>
                    </a:fld>
                    <a:endParaRPr lang="en-US" baseline="0"/>
                  </a:p>
                  <a:p>
                    <a:fld id="{2B3DB98A-93AF-4712-AB1A-A984A0B11352}"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6564-4C4F-895B-7BD91B42B06D}"/>
                </c:ext>
              </c:extLst>
            </c:dLbl>
            <c:dLbl>
              <c:idx val="8"/>
              <c:tx>
                <c:rich>
                  <a:bodyPr/>
                  <a:lstStyle/>
                  <a:p>
                    <a:fld id="{6AB37585-CBD1-4171-BB04-193A42FD41B6}" type="CELLRANGE">
                      <a:rPr lang="en-US"/>
                      <a:pPr/>
                      <a:t>[ДІАПАЗОН КЛІТИНОК]</a:t>
                    </a:fld>
                    <a:endParaRPr lang="en-US" baseline="0"/>
                  </a:p>
                  <a:p>
                    <a:fld id="{5400EBA5-30FC-4CF5-BA0E-2E6252BDDEF4}"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6564-4C4F-895B-7BD91B42B06D}"/>
                </c:ext>
              </c:extLst>
            </c:dLbl>
            <c:dLbl>
              <c:idx val="9"/>
              <c:tx>
                <c:rich>
                  <a:bodyPr/>
                  <a:lstStyle/>
                  <a:p>
                    <a:fld id="{48AE5CF9-0ADA-46C3-8F56-E747F6BE0A66}" type="CELLRANGE">
                      <a:rPr lang="en-US"/>
                      <a:pPr/>
                      <a:t>[ДІАПАЗОН КЛІТИНОК]</a:t>
                    </a:fld>
                    <a:endParaRPr lang="en-US" baseline="0"/>
                  </a:p>
                  <a:p>
                    <a:fld id="{DB6F02DB-0C3C-478A-88CF-055DB47E426F}"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6564-4C4F-895B-7BD91B42B06D}"/>
                </c:ext>
              </c:extLst>
            </c:dLbl>
            <c:dLbl>
              <c:idx val="10"/>
              <c:tx>
                <c:rich>
                  <a:bodyPr/>
                  <a:lstStyle/>
                  <a:p>
                    <a:fld id="{502D87AF-AB53-4277-A08F-A919AFFD4713}" type="CELLRANGE">
                      <a:rPr lang="en-US"/>
                      <a:pPr/>
                      <a:t>[ДІАПАЗОН КЛІТИНОК]</a:t>
                    </a:fld>
                    <a:endParaRPr lang="en-US" baseline="0"/>
                  </a:p>
                  <a:p>
                    <a:fld id="{6F716C67-A8E4-4453-80B8-6ACB427D2AFB}"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6564-4C4F-895B-7BD91B42B06D}"/>
                </c:ext>
              </c:extLst>
            </c:dLbl>
            <c:dLbl>
              <c:idx val="11"/>
              <c:tx>
                <c:rich>
                  <a:bodyPr/>
                  <a:lstStyle/>
                  <a:p>
                    <a:fld id="{0287E62D-63C5-48A3-9863-52293445709F}" type="CELLRANGE">
                      <a:rPr lang="en-US"/>
                      <a:pPr/>
                      <a:t>[ДІАПАЗОН КЛІТИНОК]</a:t>
                    </a:fld>
                    <a:endParaRPr lang="en-US" baseline="0"/>
                  </a:p>
                  <a:p>
                    <a:fld id="{B2EB1BD5-D179-4095-967C-4F1C7A3D5D00}"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6564-4C4F-895B-7BD91B42B06D}"/>
                </c:ext>
              </c:extLst>
            </c:dLbl>
            <c:dLbl>
              <c:idx val="12"/>
              <c:layout>
                <c:manualLayout>
                  <c:x val="-7.4877410350023396E-3"/>
                  <c:y val="0"/>
                </c:manualLayout>
              </c:layout>
              <c:tx>
                <c:rich>
                  <a:bodyPr/>
                  <a:lstStyle/>
                  <a:p>
                    <a:fld id="{BC143B0A-6CAC-4E84-8FAA-03E35B63F2CB}" type="CELLRANGE">
                      <a:rPr lang="en-US" b="0">
                        <a:solidFill>
                          <a:schemeClr val="accent3"/>
                        </a:solidFill>
                      </a:rPr>
                      <a:pPr/>
                      <a:t>[ДІАПАЗОН КЛІТИНОК]</a:t>
                    </a:fld>
                    <a:endParaRPr lang="en-US" b="0" baseline="0">
                      <a:solidFill>
                        <a:schemeClr val="accent3"/>
                      </a:solidFill>
                    </a:endParaRPr>
                  </a:p>
                  <a:p>
                    <a:fld id="{76953D3D-32F1-4B00-9E28-DD888BF93FA7}"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C-6564-4C4F-895B-7BD91B42B06D}"/>
                </c:ext>
              </c:extLst>
            </c:dLbl>
            <c:dLbl>
              <c:idx val="13"/>
              <c:layout>
                <c:manualLayout>
                  <c:x val="-7.4877410350023396E-3"/>
                  <c:y val="0"/>
                </c:manualLayout>
              </c:layout>
              <c:tx>
                <c:rich>
                  <a:bodyPr/>
                  <a:lstStyle/>
                  <a:p>
                    <a:fld id="{8D573E76-ACE6-4109-99BF-9A608E1CD197}" type="CELLRANGE">
                      <a:rPr lang="en-US" b="0">
                        <a:solidFill>
                          <a:schemeClr val="accent3"/>
                        </a:solidFill>
                      </a:rPr>
                      <a:pPr/>
                      <a:t>[ДІАПАЗОН КЛІТИНОК]</a:t>
                    </a:fld>
                    <a:endParaRPr lang="en-US" b="0" baseline="0">
                      <a:solidFill>
                        <a:schemeClr val="accent3"/>
                      </a:solidFill>
                    </a:endParaRPr>
                  </a:p>
                  <a:p>
                    <a:fld id="{83B78989-A2EF-48B6-8C6C-6F2B13F3D626}"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D-6564-4C4F-895B-7BD91B42B06D}"/>
                </c:ext>
              </c:extLst>
            </c:dLbl>
            <c:dLbl>
              <c:idx val="14"/>
              <c:tx>
                <c:rich>
                  <a:bodyPr/>
                  <a:lstStyle/>
                  <a:p>
                    <a:fld id="{BA3BE84A-906C-4349-96B2-D652ED70396E}" type="CELLRANGE">
                      <a:rPr lang="en-US" b="0">
                        <a:solidFill>
                          <a:schemeClr val="accent3"/>
                        </a:solidFill>
                      </a:rPr>
                      <a:pPr/>
                      <a:t>[ДІАПАЗОН КЛІТИНОК]</a:t>
                    </a:fld>
                    <a:endParaRPr lang="en-US" b="0" baseline="0">
                      <a:solidFill>
                        <a:schemeClr val="accent3"/>
                      </a:solidFill>
                    </a:endParaRPr>
                  </a:p>
                  <a:p>
                    <a:fld id="{1A02627E-916B-4DAA-AFBD-E320006F8C58}"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E-6564-4C4F-895B-7BD91B42B06D}"/>
                </c:ext>
              </c:extLst>
            </c:dLbl>
            <c:dLbl>
              <c:idx val="15"/>
              <c:layout>
                <c:manualLayout>
                  <c:x val="1.4992901528164199E-2"/>
                  <c:y val="7.5864548386686765E-3"/>
                </c:manualLayout>
              </c:layout>
              <c:tx>
                <c:rich>
                  <a:bodyPr/>
                  <a:lstStyle/>
                  <a:p>
                    <a:fld id="{54EB73F4-A0CD-4FBA-91CD-62846A7F91C4}" type="CELLRANGE">
                      <a:rPr lang="en-US">
                        <a:solidFill>
                          <a:srgbClr val="00B050"/>
                        </a:solidFill>
                      </a:rPr>
                      <a:pPr/>
                      <a:t>[ДІАПАЗОН КЛІТИНОК]</a:t>
                    </a:fld>
                    <a:r>
                      <a:rPr lang="en-US" baseline="0"/>
                      <a:t>
</a:t>
                    </a:r>
                    <a:fld id="{A54B7F5F-EE3D-4027-936F-2BCF4551431E}"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F-6564-4C4F-895B-7BD91B42B06D}"/>
                </c:ext>
              </c:extLst>
            </c:dLbl>
            <c:dLbl>
              <c:idx val="16"/>
              <c:delete val="1"/>
              <c:extLst>
                <c:ext xmlns:c15="http://schemas.microsoft.com/office/drawing/2012/chart" uri="{CE6537A1-D6FC-4f65-9D91-7224C49458BB}"/>
                <c:ext xmlns:c16="http://schemas.microsoft.com/office/drawing/2014/chart" uri="{C3380CC4-5D6E-409C-BE32-E72D297353CC}">
                  <c16:uniqueId val="{00000010-6564-4C4F-895B-7BD91B42B06D}"/>
                </c:ext>
              </c:extLst>
            </c:dLbl>
            <c:dLbl>
              <c:idx val="17"/>
              <c:layout>
                <c:manualLayout>
                  <c:x val="-3.3016810863002445E-5"/>
                  <c:y val="7.5888808365871018E-3"/>
                </c:manualLayout>
              </c:layout>
              <c:tx>
                <c:rich>
                  <a:bodyPr/>
                  <a:lstStyle/>
                  <a:p>
                    <a:fld id="{5D590E34-1FF6-40AB-AD01-C6B02D8CCE64}" type="CELLRANGE">
                      <a:rPr lang="en-US">
                        <a:solidFill>
                          <a:srgbClr val="00B050"/>
                        </a:solidFill>
                      </a:rPr>
                      <a:pPr/>
                      <a:t>[ДІАПАЗОН КЛІТИНОК]</a:t>
                    </a:fld>
                    <a:r>
                      <a:rPr lang="en-US" baseline="0"/>
                      <a:t>
</a:t>
                    </a:r>
                    <a:fld id="{1F6F7EF6-8A7D-4234-81C2-8367D51E9BE7}"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1-6564-4C4F-895B-7BD91B42B06D}"/>
                </c:ext>
              </c:extLst>
            </c:dLbl>
            <c:dLbl>
              <c:idx val="18"/>
              <c:layout>
                <c:manualLayout>
                  <c:x val="2.9977298977245326E-2"/>
                  <c:y val="1.1529810950878908E-2"/>
                </c:manualLayout>
              </c:layout>
              <c:tx>
                <c:rich>
                  <a:bodyPr/>
                  <a:lstStyle/>
                  <a:p>
                    <a:fld id="{D018A3A5-BD07-4747-990B-7956DCD3CD11}" type="CELLRANGE">
                      <a:rPr lang="en-US">
                        <a:solidFill>
                          <a:srgbClr val="00B050"/>
                        </a:solidFill>
                      </a:rPr>
                      <a:pPr/>
                      <a:t>[ДІАПАЗОН КЛІТИНОК]</a:t>
                    </a:fld>
                    <a:r>
                      <a:rPr lang="en-US" baseline="0"/>
                      <a:t>
</a:t>
                    </a:r>
                    <a:fld id="{75999539-F03E-4082-8829-1167F5DD5FB2}"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2-6564-4C4F-895B-7BD91B42B06D}"/>
                </c:ext>
              </c:extLst>
            </c:dLbl>
            <c:dLbl>
              <c:idx val="19"/>
              <c:delete val="1"/>
              <c:extLst>
                <c:ext xmlns:c15="http://schemas.microsoft.com/office/drawing/2012/chart" uri="{CE6537A1-D6FC-4f65-9D91-7224C49458BB}"/>
                <c:ext xmlns:c16="http://schemas.microsoft.com/office/drawing/2014/chart" uri="{C3380CC4-5D6E-409C-BE32-E72D297353CC}">
                  <c16:uniqueId val="{00000001-325A-4929-9D44-7E400070F7A9}"/>
                </c:ext>
              </c:extLst>
            </c:dLbl>
            <c:dLbl>
              <c:idx val="20"/>
              <c:delete val="1"/>
              <c:extLst>
                <c:ext xmlns:c15="http://schemas.microsoft.com/office/drawing/2012/chart" uri="{CE6537A1-D6FC-4f65-9D91-7224C49458BB}"/>
                <c:ext xmlns:c16="http://schemas.microsoft.com/office/drawing/2014/chart" uri="{C3380CC4-5D6E-409C-BE32-E72D297353CC}">
                  <c16:uniqueId val="{00000002-325A-4929-9D44-7E400070F7A9}"/>
                </c:ext>
              </c:extLst>
            </c:dLbl>
            <c:dLbl>
              <c:idx val="21"/>
              <c:layout>
                <c:manualLayout>
                  <c:x val="-9.9690953141623323E-3"/>
                  <c:y val="1.1344049686774851E-2"/>
                </c:manualLayout>
              </c:layout>
              <c:tx>
                <c:rich>
                  <a:bodyPr/>
                  <a:lstStyle/>
                  <a:p>
                    <a:fld id="{F489A180-FAD1-40E0-BB7E-9C058591F1A3}" type="CELLRANGE">
                      <a:rPr lang="en-US">
                        <a:solidFill>
                          <a:srgbClr val="00B050"/>
                        </a:solidFill>
                      </a:rPr>
                      <a:pPr/>
                      <a:t>[ДІАПАЗОН КЛІТИНОК]</a:t>
                    </a:fld>
                    <a:r>
                      <a:rPr lang="en-US" baseline="0"/>
                      <a:t>
</a:t>
                    </a:r>
                    <a:fld id="{CD0D3BF3-4D82-41DC-8F5B-2799EE156F20}"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DE60-4E41-A25D-18A62055E5FD}"/>
                </c:ext>
              </c:extLst>
            </c:dLbl>
            <c:dLbl>
              <c:idx val="22"/>
              <c:delete val="1"/>
              <c:extLst>
                <c:ext xmlns:c15="http://schemas.microsoft.com/office/drawing/2012/chart" uri="{CE6537A1-D6FC-4f65-9D91-7224C49458BB}"/>
                <c:ext xmlns:c16="http://schemas.microsoft.com/office/drawing/2014/chart" uri="{C3380CC4-5D6E-409C-BE32-E72D297353CC}">
                  <c16:uniqueId val="{00000000-2D18-4041-950F-2CC245769E39}"/>
                </c:ext>
              </c:extLst>
            </c:dLbl>
            <c:dLbl>
              <c:idx val="23"/>
              <c:tx>
                <c:rich>
                  <a:bodyPr/>
                  <a:lstStyle/>
                  <a:p>
                    <a:fld id="{03751D60-975C-43DD-8F08-893AE078E882}" type="CELLRANGE">
                      <a:rPr lang="en-US">
                        <a:solidFill>
                          <a:srgbClr val="00B050"/>
                        </a:solidFill>
                      </a:rPr>
                      <a:pPr/>
                      <a:t>[ДІАПАЗОН КЛІТИНОК]</a:t>
                    </a:fld>
                    <a:r>
                      <a:rPr lang="en-US" baseline="0"/>
                      <a:t>
</a:t>
                    </a:r>
                    <a:fld id="{EFEDFB09-D850-4453-B2EF-DDB071EEE81A}"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6321-4E59-81B0-488B261E7442}"/>
                </c:ext>
              </c:extLst>
            </c:dLbl>
            <c:dLbl>
              <c:idx val="24"/>
              <c:layout>
                <c:manualLayout>
                  <c:x val="1.2498349135379953E-2"/>
                  <c:y val="1.5373246073013234E-2"/>
                </c:manualLayout>
              </c:layout>
              <c:tx>
                <c:rich>
                  <a:bodyPr/>
                  <a:lstStyle/>
                  <a:p>
                    <a:fld id="{1127306D-D6C9-4773-822A-3867A80C7B3E}" type="CELLRANGE">
                      <a:rPr lang="en-US">
                        <a:solidFill>
                          <a:srgbClr val="00B050"/>
                        </a:solidFill>
                      </a:rPr>
                      <a:pPr/>
                      <a:t>[ДІАПАЗОН КЛІТИНОК]</a:t>
                    </a:fld>
                    <a:r>
                      <a:rPr lang="en-US" baseline="0"/>
                      <a:t>
</a:t>
                    </a:r>
                    <a:fld id="{56EFFA48-3042-42CD-BAD2-5998FE8728E2}"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71F1-4AFD-A6A2-6AFA3C9F54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cat>
            <c:multiLvlStrRef>
              <c:extLst>
                <c:ext xmlns:c15="http://schemas.microsoft.com/office/drawing/2012/chart" uri="{02D57815-91ED-43cb-92C2-25804820EDAC}">
                  <c15:fullRef>
                    <c15:sqref>'Ворк юа (вакансії)'!$L$4:$AU$5</c15:sqref>
                  </c15:fullRef>
                </c:ext>
              </c:extLst>
              <c:f>'Ворк юа (вакансії)'!$L$4:$AU$5</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lvl>
                <c:lvl>
                  <c:pt idx="0">
                    <c:v>2022</c:v>
                  </c:pt>
                  <c:pt idx="12">
                    <c:v>2023</c:v>
                  </c:pt>
                  <c:pt idx="24">
                    <c:v>2024</c:v>
                  </c:pt>
                </c:lvl>
              </c:multiLvlStrCache>
            </c:multiLvlStrRef>
          </c:cat>
          <c:val>
            <c:numRef>
              <c:extLst>
                <c:ext xmlns:c15="http://schemas.microsoft.com/office/drawing/2012/chart" uri="{02D57815-91ED-43cb-92C2-25804820EDAC}">
                  <c15:fullRef>
                    <c15:sqref>'Ворк юа (вакансії)'!$L$6:$AU$6</c15:sqref>
                  </c15:fullRef>
                </c:ext>
              </c:extLst>
              <c:f>'Ворк юа (вакансії)'!$L$6:$AJ$6</c:f>
              <c:numCache>
                <c:formatCode>0</c:formatCode>
                <c:ptCount val="25"/>
                <c:pt idx="0">
                  <c:v>40.381</c:v>
                </c:pt>
                <c:pt idx="1">
                  <c:v>58.487000000000002</c:v>
                </c:pt>
                <c:pt idx="2">
                  <c:v>43.033000000000001</c:v>
                </c:pt>
                <c:pt idx="3">
                  <c:v>8.6690000000000005</c:v>
                </c:pt>
                <c:pt idx="4">
                  <c:v>10.782</c:v>
                </c:pt>
                <c:pt idx="5">
                  <c:v>15.028</c:v>
                </c:pt>
                <c:pt idx="6">
                  <c:v>19.501000000000001</c:v>
                </c:pt>
                <c:pt idx="7">
                  <c:v>21.385999999999999</c:v>
                </c:pt>
                <c:pt idx="8">
                  <c:v>28.579000000000001</c:v>
                </c:pt>
                <c:pt idx="9">
                  <c:v>30.204000000000001</c:v>
                </c:pt>
                <c:pt idx="10">
                  <c:v>27.495000000000001</c:v>
                </c:pt>
                <c:pt idx="11">
                  <c:v>29.016999999999999</c:v>
                </c:pt>
                <c:pt idx="12">
                  <c:v>23.998999999999999</c:v>
                </c:pt>
                <c:pt idx="13">
                  <c:v>37.073</c:v>
                </c:pt>
                <c:pt idx="14">
                  <c:v>41.246000000000002</c:v>
                </c:pt>
                <c:pt idx="15">
                  <c:v>44.970999999999997</c:v>
                </c:pt>
                <c:pt idx="16">
                  <c:v>47.929000000000002</c:v>
                </c:pt>
                <c:pt idx="17">
                  <c:v>54.924999999999997</c:v>
                </c:pt>
                <c:pt idx="18">
                  <c:v>52.889000000000003</c:v>
                </c:pt>
                <c:pt idx="19">
                  <c:v>51.746000000000002</c:v>
                </c:pt>
                <c:pt idx="20">
                  <c:v>60.482999999999997</c:v>
                </c:pt>
                <c:pt idx="21">
                  <c:v>58.685000000000002</c:v>
                </c:pt>
                <c:pt idx="22">
                  <c:v>58.533999999999999</c:v>
                </c:pt>
                <c:pt idx="23">
                  <c:v>53.444000000000003</c:v>
                </c:pt>
                <c:pt idx="24">
                  <c:v>38.594000000000001</c:v>
                </c:pt>
              </c:numCache>
            </c:numRef>
          </c:val>
          <c:extLst>
            <c:ext xmlns:c15="http://schemas.microsoft.com/office/drawing/2012/chart" uri="{02D57815-91ED-43cb-92C2-25804820EDAC}">
              <c15:datalabelsRange>
                <c15:f>'Ворк юа (вакансії)'!$L$9:$AU$9</c15:f>
                <c15:dlblRangeCache>
                  <c:ptCount val="36"/>
                  <c:pt idx="12">
                    <c:v>-41%</c:v>
                  </c:pt>
                  <c:pt idx="13">
                    <c:v>-37%</c:v>
                  </c:pt>
                  <c:pt idx="14">
                    <c:v>-4%</c:v>
                  </c:pt>
                  <c:pt idx="15">
                    <c:v>419%</c:v>
                  </c:pt>
                  <c:pt idx="16">
                    <c:v>345%</c:v>
                  </c:pt>
                  <c:pt idx="17">
                    <c:v>265%</c:v>
                  </c:pt>
                  <c:pt idx="18">
                    <c:v>171%</c:v>
                  </c:pt>
                  <c:pt idx="19">
                    <c:v>142%</c:v>
                  </c:pt>
                  <c:pt idx="20">
                    <c:v>112%</c:v>
                  </c:pt>
                  <c:pt idx="21">
                    <c:v>94%</c:v>
                  </c:pt>
                  <c:pt idx="22">
                    <c:v>113%</c:v>
                  </c:pt>
                  <c:pt idx="23">
                    <c:v>84%</c:v>
                  </c:pt>
                  <c:pt idx="24">
                    <c:v>61%</c:v>
                  </c:pt>
                </c15:dlblRangeCache>
              </c15:datalabelsRange>
            </c:ext>
            <c:ext xmlns:c16="http://schemas.microsoft.com/office/drawing/2014/chart" uri="{C3380CC4-5D6E-409C-BE32-E72D297353CC}">
              <c16:uniqueId val="{00000013-6564-4C4F-895B-7BD91B42B06D}"/>
            </c:ext>
          </c:extLst>
        </c:ser>
        <c:dLbls>
          <c:showLegendKey val="0"/>
          <c:showVal val="0"/>
          <c:showCatName val="0"/>
          <c:showSerName val="0"/>
          <c:showPercent val="0"/>
          <c:showBubbleSize val="0"/>
        </c:dLbls>
        <c:gapWidth val="150"/>
        <c:axId val="1240480720"/>
        <c:axId val="1284388192"/>
      </c:barChart>
      <c:lineChart>
        <c:grouping val="standard"/>
        <c:varyColors val="0"/>
        <c:ser>
          <c:idx val="1"/>
          <c:order val="1"/>
          <c:tx>
            <c:strRef>
              <c:f>'Ворк юа (вакансії)'!$K$7</c:f>
              <c:strCache>
                <c:ptCount val="1"/>
                <c:pt idx="0">
                  <c:v>Резюме</c:v>
                </c:pt>
              </c:strCache>
            </c:strRef>
          </c:tx>
          <c:spPr>
            <a:ln w="28575" cap="rnd">
              <a:solidFill>
                <a:schemeClr val="accent4"/>
              </a:solidFill>
              <a:round/>
            </a:ln>
            <a:effectLst/>
          </c:spPr>
          <c:marker>
            <c:symbol val="circle"/>
            <c:size val="6"/>
            <c:spPr>
              <a:solidFill>
                <a:schemeClr val="accent4">
                  <a:lumMod val="20000"/>
                  <a:lumOff val="80000"/>
                </a:schemeClr>
              </a:solidFill>
              <a:ln w="9525">
                <a:solidFill>
                  <a:schemeClr val="accent4"/>
                </a:solidFill>
              </a:ln>
              <a:effectLst/>
            </c:spPr>
          </c:marker>
          <c:dLbls>
            <c:dLbl>
              <c:idx val="0"/>
              <c:tx>
                <c:rich>
                  <a:bodyPr/>
                  <a:lstStyle/>
                  <a:p>
                    <a:fld id="{5418C8B0-387C-4D06-B4F5-4830A4488F9A}" type="CELLRANGE">
                      <a:rPr lang="en-US"/>
                      <a:pPr/>
                      <a:t>[ДІАПАЗОН КЛІТИНОК]</a:t>
                    </a:fld>
                    <a:endParaRPr lang="en-US" baseline="0"/>
                  </a:p>
                  <a:p>
                    <a:fld id="{0D23D3B4-E770-41F1-985E-EAA56534E2F3}"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4-6564-4C4F-895B-7BD91B42B06D}"/>
                </c:ext>
              </c:extLst>
            </c:dLbl>
            <c:dLbl>
              <c:idx val="1"/>
              <c:tx>
                <c:rich>
                  <a:bodyPr/>
                  <a:lstStyle/>
                  <a:p>
                    <a:fld id="{03C63FA4-A9D5-4DC0-BC78-B3F81136B175}" type="CELLRANGE">
                      <a:rPr lang="en-US"/>
                      <a:pPr/>
                      <a:t>[ДІАПАЗОН КЛІТИНОК]</a:t>
                    </a:fld>
                    <a:endParaRPr lang="en-US" baseline="0"/>
                  </a:p>
                  <a:p>
                    <a:fld id="{848AC2BC-BA61-468E-954C-4D7DB3598847}"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5-6564-4C4F-895B-7BD91B42B06D}"/>
                </c:ext>
              </c:extLst>
            </c:dLbl>
            <c:dLbl>
              <c:idx val="2"/>
              <c:layout>
                <c:manualLayout>
                  <c:x val="9.0925108124687085E-3"/>
                  <c:y val="-5.868183097085531E-2"/>
                </c:manualLayout>
              </c:layout>
              <c:tx>
                <c:rich>
                  <a:bodyPr/>
                  <a:lstStyle/>
                  <a:p>
                    <a:fld id="{9B7D5F1A-4245-41E4-A759-A4E66D61BD03}" type="CELLRANGE">
                      <a:rPr lang="en-US"/>
                      <a:pPr/>
                      <a:t>[ДІАПАЗОН КЛІТИНОК]</a:t>
                    </a:fld>
                    <a:endParaRPr lang="en-US" baseline="0"/>
                  </a:p>
                  <a:p>
                    <a:fld id="{EFFB43A9-89F9-41B8-9930-E23924E6C187}" type="VALUE">
                      <a:rPr lang="en-US"/>
                      <a:pPr/>
                      <a:t>[ЗНАЧЕННЯ]</a:t>
                    </a:fld>
                    <a:endParaRPr lang="en-US"/>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6-6564-4C4F-895B-7BD91B42B06D}"/>
                </c:ext>
              </c:extLst>
            </c:dLbl>
            <c:dLbl>
              <c:idx val="3"/>
              <c:tx>
                <c:rich>
                  <a:bodyPr/>
                  <a:lstStyle/>
                  <a:p>
                    <a:fld id="{363D6210-54C5-4349-8D68-4474A176B9B2}" type="CELLRANGE">
                      <a:rPr lang="en-US"/>
                      <a:pPr/>
                      <a:t>[ДІАПАЗОН КЛІТИНОК]</a:t>
                    </a:fld>
                    <a:endParaRPr lang="en-US" baseline="0"/>
                  </a:p>
                  <a:p>
                    <a:fld id="{D579C0CC-84F0-4385-9DCD-C7832326E31A}"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7-6564-4C4F-895B-7BD91B42B06D}"/>
                </c:ext>
              </c:extLst>
            </c:dLbl>
            <c:dLbl>
              <c:idx val="4"/>
              <c:tx>
                <c:rich>
                  <a:bodyPr/>
                  <a:lstStyle/>
                  <a:p>
                    <a:fld id="{E02DDE42-D04D-4E63-8D7F-EF2FBC61D751}" type="CELLRANGE">
                      <a:rPr lang="en-US"/>
                      <a:pPr/>
                      <a:t>[ДІАПАЗОН КЛІТИНОК]</a:t>
                    </a:fld>
                    <a:endParaRPr lang="en-US" baseline="0"/>
                  </a:p>
                  <a:p>
                    <a:fld id="{376ACEBC-E930-4287-A47A-423FD4FB3240}"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8-6564-4C4F-895B-7BD91B42B06D}"/>
                </c:ext>
              </c:extLst>
            </c:dLbl>
            <c:dLbl>
              <c:idx val="5"/>
              <c:tx>
                <c:rich>
                  <a:bodyPr/>
                  <a:lstStyle/>
                  <a:p>
                    <a:fld id="{F4625182-39F0-49B6-B86F-42D7C36C87DE}" type="CELLRANGE">
                      <a:rPr lang="en-US"/>
                      <a:pPr/>
                      <a:t>[ДІАПАЗОН КЛІТИНОК]</a:t>
                    </a:fld>
                    <a:endParaRPr lang="en-US" baseline="0"/>
                  </a:p>
                  <a:p>
                    <a:fld id="{640335EC-3225-473D-B5CF-326586776828}"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9-6564-4C4F-895B-7BD91B42B06D}"/>
                </c:ext>
              </c:extLst>
            </c:dLbl>
            <c:dLbl>
              <c:idx val="6"/>
              <c:tx>
                <c:rich>
                  <a:bodyPr/>
                  <a:lstStyle/>
                  <a:p>
                    <a:fld id="{53BDD0B3-7D4F-4D15-8563-DCD5DAED67B9}" type="CELLRANGE">
                      <a:rPr lang="en-US"/>
                      <a:pPr/>
                      <a:t>[ДІАПАЗОН КЛІТИНОК]</a:t>
                    </a:fld>
                    <a:endParaRPr lang="en-US" baseline="0"/>
                  </a:p>
                  <a:p>
                    <a:fld id="{C8717776-7B8A-4D16-94D2-EEF881685486}"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A-6564-4C4F-895B-7BD91B42B06D}"/>
                </c:ext>
              </c:extLst>
            </c:dLbl>
            <c:dLbl>
              <c:idx val="7"/>
              <c:tx>
                <c:rich>
                  <a:bodyPr/>
                  <a:lstStyle/>
                  <a:p>
                    <a:fld id="{AD7716B6-D806-414C-A041-61577DE51779}" type="CELLRANGE">
                      <a:rPr lang="en-US"/>
                      <a:pPr/>
                      <a:t>[ДІАПАЗОН КЛІТИНОК]</a:t>
                    </a:fld>
                    <a:endParaRPr lang="en-US" baseline="0"/>
                  </a:p>
                  <a:p>
                    <a:fld id="{40CB901B-852D-448F-A1DE-3C647CB4770B}"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B-6564-4C4F-895B-7BD91B42B06D}"/>
                </c:ext>
              </c:extLst>
            </c:dLbl>
            <c:dLbl>
              <c:idx val="8"/>
              <c:tx>
                <c:rich>
                  <a:bodyPr/>
                  <a:lstStyle/>
                  <a:p>
                    <a:fld id="{764C9DDE-D40D-4208-9B4A-BA4BF97A6BD7}" type="CELLRANGE">
                      <a:rPr lang="en-US"/>
                      <a:pPr/>
                      <a:t>[ДІАПАЗОН КЛІТИНОК]</a:t>
                    </a:fld>
                    <a:endParaRPr lang="en-US" baseline="0"/>
                  </a:p>
                  <a:p>
                    <a:fld id="{88D3F951-8F7F-42D9-886E-62C3201E989C}"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C-6564-4C4F-895B-7BD91B42B06D}"/>
                </c:ext>
              </c:extLst>
            </c:dLbl>
            <c:dLbl>
              <c:idx val="9"/>
              <c:tx>
                <c:rich>
                  <a:bodyPr/>
                  <a:lstStyle/>
                  <a:p>
                    <a:fld id="{4C05E7BC-7C4B-4B51-BE24-21B86CD57338}" type="CELLRANGE">
                      <a:rPr lang="en-US"/>
                      <a:pPr/>
                      <a:t>[ДІАПАЗОН КЛІТИНОК]</a:t>
                    </a:fld>
                    <a:endParaRPr lang="en-US" baseline="0"/>
                  </a:p>
                  <a:p>
                    <a:fld id="{E96630AB-D677-4B48-B440-B16B950B9811}"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D-6564-4C4F-895B-7BD91B42B06D}"/>
                </c:ext>
              </c:extLst>
            </c:dLbl>
            <c:dLbl>
              <c:idx val="10"/>
              <c:tx>
                <c:rich>
                  <a:bodyPr/>
                  <a:lstStyle/>
                  <a:p>
                    <a:fld id="{839A72A2-D862-47BD-814B-B45D651E2E73}" type="CELLRANGE">
                      <a:rPr lang="en-US"/>
                      <a:pPr/>
                      <a:t>[ДІАПАЗОН КЛІТИНОК]</a:t>
                    </a:fld>
                    <a:endParaRPr lang="en-US" baseline="0"/>
                  </a:p>
                  <a:p>
                    <a:fld id="{F593487B-83B5-46A8-8F55-A7A16687106B}"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E-6564-4C4F-895B-7BD91B42B06D}"/>
                </c:ext>
              </c:extLst>
            </c:dLbl>
            <c:dLbl>
              <c:idx val="11"/>
              <c:tx>
                <c:rich>
                  <a:bodyPr/>
                  <a:lstStyle/>
                  <a:p>
                    <a:fld id="{2E257FCB-6A7D-4EA8-A1B2-A8285A381992}" type="CELLRANGE">
                      <a:rPr lang="en-US"/>
                      <a:pPr/>
                      <a:t>[ДІАПАЗОН КЛІТИНОК]</a:t>
                    </a:fld>
                    <a:endParaRPr lang="en-US" baseline="0"/>
                  </a:p>
                  <a:p>
                    <a:fld id="{877DC598-4A33-487D-A3BF-B13A1EDE2E09}"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F-6564-4C4F-895B-7BD91B42B06D}"/>
                </c:ext>
              </c:extLst>
            </c:dLbl>
            <c:dLbl>
              <c:idx val="12"/>
              <c:tx>
                <c:rich>
                  <a:bodyPr/>
                  <a:lstStyle/>
                  <a:p>
                    <a:fld id="{0341CABA-95B2-436B-AA9C-BFFFF3B60FA4}" type="CELLRANGE">
                      <a:rPr lang="en-US" b="0">
                        <a:solidFill>
                          <a:srgbClr val="00B050"/>
                        </a:solidFill>
                      </a:rPr>
                      <a:pPr/>
                      <a:t>[ДІАПАЗОН КЛІТИНОК]</a:t>
                    </a:fld>
                    <a:endParaRPr lang="en-US" b="0" baseline="0">
                      <a:solidFill>
                        <a:srgbClr val="00B050"/>
                      </a:solidFill>
                    </a:endParaRPr>
                  </a:p>
                  <a:p>
                    <a:fld id="{997EBBBF-65E3-4F1F-94BF-24776F9BFC3E}"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0-6564-4C4F-895B-7BD91B42B06D}"/>
                </c:ext>
              </c:extLst>
            </c:dLbl>
            <c:dLbl>
              <c:idx val="13"/>
              <c:layout>
                <c:manualLayout>
                  <c:x val="-5.6709847664189496E-2"/>
                  <c:y val="-6.2667102085817522E-2"/>
                </c:manualLayout>
              </c:layout>
              <c:tx>
                <c:rich>
                  <a:bodyPr/>
                  <a:lstStyle/>
                  <a:p>
                    <a:fld id="{6A6AF6F9-A0BB-4112-9A70-B2F511BA2D73}" type="CELLRANGE">
                      <a:rPr lang="en-US" b="0">
                        <a:solidFill>
                          <a:schemeClr val="accent3"/>
                        </a:solidFill>
                      </a:rPr>
                      <a:pPr/>
                      <a:t>[ДІАПАЗОН КЛІТИНОК]</a:t>
                    </a:fld>
                    <a:endParaRPr lang="en-US" b="0" baseline="0">
                      <a:solidFill>
                        <a:schemeClr val="accent3"/>
                      </a:solidFill>
                    </a:endParaRPr>
                  </a:p>
                  <a:p>
                    <a:fld id="{D9A1C4B1-008B-4104-B40E-024B612857DF}" type="VALUE">
                      <a:rPr lang="en-US"/>
                      <a:pPr/>
                      <a:t>[ЗНАЧЕННЯ]</a:t>
                    </a:fld>
                    <a:endParaRPr lang="en-US"/>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1-6564-4C4F-895B-7BD91B42B06D}"/>
                </c:ext>
              </c:extLst>
            </c:dLbl>
            <c:dLbl>
              <c:idx val="14"/>
              <c:layout>
                <c:manualLayout>
                  <c:x val="-4.6741645687298723E-2"/>
                  <c:y val="-7.00616301248672E-2"/>
                </c:manualLayout>
              </c:layout>
              <c:tx>
                <c:rich>
                  <a:bodyPr/>
                  <a:lstStyle/>
                  <a:p>
                    <a:fld id="{43FCEC49-A25A-4C9B-9CBB-2A6A9EDB9F0F}" type="CELLRANGE">
                      <a:rPr lang="en-US" b="0">
                        <a:solidFill>
                          <a:srgbClr val="00B050"/>
                        </a:solidFill>
                      </a:rPr>
                      <a:pPr/>
                      <a:t>[ДІАПАЗОН КЛІТИНОК]</a:t>
                    </a:fld>
                    <a:endParaRPr lang="en-US" b="0" baseline="0">
                      <a:solidFill>
                        <a:srgbClr val="00B050"/>
                      </a:solidFill>
                    </a:endParaRPr>
                  </a:p>
                  <a:p>
                    <a:fld id="{E22B58ED-43A4-44ED-AD88-9CCD024A7510}" type="VALUE">
                      <a:rPr lang="en-US"/>
                      <a:pPr/>
                      <a:t>[ЗНАЧЕННЯ]</a:t>
                    </a:fld>
                    <a:endParaRPr lang="en-US"/>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2-6564-4C4F-895B-7BD91B42B06D}"/>
                </c:ext>
              </c:extLst>
            </c:dLbl>
            <c:dLbl>
              <c:idx val="15"/>
              <c:tx>
                <c:rich>
                  <a:bodyPr/>
                  <a:lstStyle/>
                  <a:p>
                    <a:fld id="{E1BFA647-7DB2-4735-B6B4-78366B2B7E2D}" type="CELLRANGE">
                      <a:rPr lang="en-US">
                        <a:solidFill>
                          <a:srgbClr val="00B050"/>
                        </a:solidFill>
                      </a:rPr>
                      <a:pPr/>
                      <a:t>[ДІАПАЗОН КЛІТИНОК]</a:t>
                    </a:fld>
                    <a:r>
                      <a:rPr lang="en-US" baseline="0"/>
                      <a:t>
</a:t>
                    </a:r>
                    <a:fld id="{37FBEC42-171C-4D62-BF61-36275AA9DCCE}" type="VALUE">
                      <a:rPr lang="en-US" baseline="0"/>
                      <a:pPr/>
                      <a:t>[ЗНАЧЕННЯ]</a:t>
                    </a:fld>
                    <a:endParaRPr lang="en-US" baseline="0"/>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3-6564-4C4F-895B-7BD91B42B06D}"/>
                </c:ext>
              </c:extLst>
            </c:dLbl>
            <c:dLbl>
              <c:idx val="16"/>
              <c:layout>
                <c:manualLayout>
                  <c:x val="-4.0570585202249793E-2"/>
                  <c:y val="-6.6472026316893265E-2"/>
                </c:manualLayout>
              </c:layout>
              <c:tx>
                <c:rich>
                  <a:bodyPr/>
                  <a:lstStyle/>
                  <a:p>
                    <a:fld id="{D6F5E7A8-65DC-4A01-B359-F34F80D46B70}" type="CELLRANGE">
                      <a:rPr lang="en-US">
                        <a:solidFill>
                          <a:schemeClr val="accent3"/>
                        </a:solidFill>
                      </a:rPr>
                      <a:pPr/>
                      <a:t>[ДІАПАЗОН КЛІТИНОК]</a:t>
                    </a:fld>
                    <a:r>
                      <a:rPr lang="en-US" baseline="0"/>
                      <a:t>
</a:t>
                    </a:r>
                    <a:fld id="{F6E6A5EE-F423-465A-95A8-C95FFB4DAADC}" type="VALUE">
                      <a:rPr lang="en-US" baseline="0"/>
                      <a:pPr/>
                      <a:t>[ЗНАЧЕННЯ]</a:t>
                    </a:fld>
                    <a:endParaRPr lang="en-US" baseline="0"/>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4-6564-4C4F-895B-7BD91B42B06D}"/>
                </c:ext>
              </c:extLst>
            </c:dLbl>
            <c:dLbl>
              <c:idx val="17"/>
              <c:delete val="1"/>
              <c:extLst>
                <c:ext xmlns:c15="http://schemas.microsoft.com/office/drawing/2012/chart" uri="{CE6537A1-D6FC-4f65-9D91-7224C49458BB}"/>
                <c:ext xmlns:c16="http://schemas.microsoft.com/office/drawing/2014/chart" uri="{C3380CC4-5D6E-409C-BE32-E72D297353CC}">
                  <c16:uniqueId val="{00000025-6564-4C4F-895B-7BD91B42B06D}"/>
                </c:ext>
              </c:extLst>
            </c:dLbl>
            <c:dLbl>
              <c:idx val="18"/>
              <c:layout>
                <c:manualLayout>
                  <c:x val="-4.7947406946838231E-2"/>
                  <c:y val="-5.5095535040409246E-2"/>
                </c:manualLayout>
              </c:layout>
              <c:tx>
                <c:rich>
                  <a:bodyPr/>
                  <a:lstStyle/>
                  <a:p>
                    <a:fld id="{2DDD1E30-095A-4ADB-A0CA-FAB04EA928DE}" type="CELLRANGE">
                      <a:rPr lang="en-US" baseline="0">
                        <a:solidFill>
                          <a:schemeClr val="accent3"/>
                        </a:solidFill>
                      </a:rPr>
                      <a:pPr/>
                      <a:t>[ДІАПАЗОН КЛІТИНОК]</a:t>
                    </a:fld>
                    <a:r>
                      <a:rPr lang="en-US" baseline="0"/>
                      <a:t>
</a:t>
                    </a:r>
                    <a:fld id="{86C21A28-A0BE-4563-9B2E-BD87523B1E19}" type="VALUE">
                      <a:rPr lang="en-US" baseline="0"/>
                      <a:pPr/>
                      <a:t>[ЗНАЧЕННЯ]</a:t>
                    </a:fld>
                    <a:endParaRPr lang="en-US" baseline="0"/>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6-6564-4C4F-895B-7BD91B42B06D}"/>
                </c:ext>
              </c:extLst>
            </c:dLbl>
            <c:dLbl>
              <c:idx val="19"/>
              <c:delete val="1"/>
              <c:extLst>
                <c:ext xmlns:c15="http://schemas.microsoft.com/office/drawing/2012/chart" uri="{CE6537A1-D6FC-4f65-9D91-7224C49458BB}"/>
                <c:ext xmlns:c16="http://schemas.microsoft.com/office/drawing/2014/chart" uri="{C3380CC4-5D6E-409C-BE32-E72D297353CC}">
                  <c16:uniqueId val="{00000000-325A-4929-9D44-7E400070F7A9}"/>
                </c:ext>
              </c:extLst>
            </c:dLbl>
            <c:dLbl>
              <c:idx val="20"/>
              <c:tx>
                <c:rich>
                  <a:bodyPr/>
                  <a:lstStyle/>
                  <a:p>
                    <a:fld id="{44E72BC4-41B1-48C9-8DC0-9CC7EF2092DA}" type="CELLRANGE">
                      <a:rPr lang="en-US">
                        <a:solidFill>
                          <a:schemeClr val="accent3"/>
                        </a:solidFill>
                      </a:rPr>
                      <a:pPr/>
                      <a:t>[ДІАПАЗОН КЛІТИНОК]</a:t>
                    </a:fld>
                    <a:r>
                      <a:rPr lang="en-US" baseline="0"/>
                      <a:t>
</a:t>
                    </a:r>
                    <a:fld id="{D616833B-8F74-46EA-ADC2-C2FA3D674629}" type="VALUE">
                      <a:rPr lang="en-US" baseline="0"/>
                      <a:pPr/>
                      <a:t>[ЗНАЧЕННЯ]</a:t>
                    </a:fld>
                    <a:endParaRPr lang="en-US" baseline="0"/>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325A-4929-9D44-7E400070F7A9}"/>
                </c:ext>
              </c:extLst>
            </c:dLbl>
            <c:dLbl>
              <c:idx val="21"/>
              <c:delete val="1"/>
              <c:extLst>
                <c:ext xmlns:c15="http://schemas.microsoft.com/office/drawing/2012/chart" uri="{CE6537A1-D6FC-4f65-9D91-7224C49458BB}"/>
                <c:ext xmlns:c16="http://schemas.microsoft.com/office/drawing/2014/chart" uri="{C3380CC4-5D6E-409C-BE32-E72D297353CC}">
                  <c16:uniqueId val="{00000003-DE60-4E41-A25D-18A62055E5FD}"/>
                </c:ext>
              </c:extLst>
            </c:dLbl>
            <c:dLbl>
              <c:idx val="22"/>
              <c:layout>
                <c:manualLayout>
                  <c:x val="-6.7649547537901228E-2"/>
                  <c:y val="-7.8546920765339118E-2"/>
                </c:manualLayout>
              </c:layout>
              <c:tx>
                <c:rich>
                  <a:bodyPr/>
                  <a:lstStyle/>
                  <a:p>
                    <a:fld id="{C8ED5068-EC13-49D1-B1AA-7F16590B82CE}" type="CELLRANGE">
                      <a:rPr lang="en-US">
                        <a:solidFill>
                          <a:schemeClr val="accent3"/>
                        </a:solidFill>
                      </a:rPr>
                      <a:pPr/>
                      <a:t>[ДІАПАЗОН КЛІТИНОК]</a:t>
                    </a:fld>
                    <a:r>
                      <a:rPr lang="en-US" baseline="0"/>
                      <a:t>
</a:t>
                    </a:r>
                    <a:fld id="{036FC96C-915D-4766-B41E-4D040CD625E1}" type="VALUE">
                      <a:rPr lang="en-US" baseline="0"/>
                      <a:pPr/>
                      <a:t>[ЗНАЧЕННЯ]</a:t>
                    </a:fld>
                    <a:endParaRPr lang="en-US" baseline="0"/>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2D18-4041-950F-2CC245769E39}"/>
                </c:ext>
              </c:extLst>
            </c:dLbl>
            <c:dLbl>
              <c:idx val="23"/>
              <c:layout>
                <c:manualLayout>
                  <c:x val="-2.3903929225096633E-2"/>
                  <c:y val="-6.7516996818222264E-2"/>
                </c:manualLayout>
              </c:layout>
              <c:tx>
                <c:rich>
                  <a:bodyPr/>
                  <a:lstStyle/>
                  <a:p>
                    <a:fld id="{842FF260-5DA4-4308-A20A-B304041BA4E1}" type="CELLRANGE">
                      <a:rPr lang="en-US">
                        <a:solidFill>
                          <a:schemeClr val="accent3"/>
                        </a:solidFill>
                      </a:rPr>
                      <a:pPr/>
                      <a:t>[ДІАПАЗОН КЛІТИНОК]</a:t>
                    </a:fld>
                    <a:r>
                      <a:rPr lang="en-US" baseline="0"/>
                      <a:t>
</a:t>
                    </a:r>
                    <a:fld id="{DBFEC533-BD57-4BAE-9AD8-B99229CD1FFE}" type="VALUE">
                      <a:rPr lang="en-US" baseline="0"/>
                      <a:pPr/>
                      <a:t>[ЗНАЧЕННЯ]</a:t>
                    </a:fld>
                    <a:endParaRPr lang="en-US" baseline="0"/>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6321-4E59-81B0-488B261E7442}"/>
                </c:ext>
              </c:extLst>
            </c:dLbl>
            <c:dLbl>
              <c:idx val="24"/>
              <c:layout>
                <c:manualLayout>
                  <c:x val="-2.3261691221494168E-2"/>
                  <c:y val="-6.3299340705632062E-2"/>
                </c:manualLayout>
              </c:layout>
              <c:tx>
                <c:rich>
                  <a:bodyPr/>
                  <a:lstStyle/>
                  <a:p>
                    <a:fld id="{66041230-527D-47C9-A22F-4BFBC2C55629}" type="CELLRANGE">
                      <a:rPr lang="en-US">
                        <a:solidFill>
                          <a:schemeClr val="accent3"/>
                        </a:solidFill>
                      </a:rPr>
                      <a:pPr/>
                      <a:t>[ДІАПАЗОН КЛІТИНОК]</a:t>
                    </a:fld>
                    <a:r>
                      <a:rPr lang="en-US" baseline="0"/>
                      <a:t>
</a:t>
                    </a:r>
                    <a:fld id="{467E356E-32F1-4622-9C46-3F7ACD5ABC59}" type="VALUE">
                      <a:rPr lang="en-US" baseline="0"/>
                      <a:pPr/>
                      <a:t>[ЗНАЧЕННЯ]</a:t>
                    </a:fld>
                    <a:endParaRPr lang="en-US" baseline="0"/>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71F1-4AFD-A6A2-6AFA3C9F54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cat>
            <c:multiLvlStrRef>
              <c:extLst>
                <c:ext xmlns:c15="http://schemas.microsoft.com/office/drawing/2012/chart" uri="{02D57815-91ED-43cb-92C2-25804820EDAC}">
                  <c15:fullRef>
                    <c15:sqref>'Ворк юа (вакансії)'!$L$4:$AU$5</c15:sqref>
                  </c15:fullRef>
                </c:ext>
              </c:extLst>
              <c:f>'Ворк юа (вакансії)'!$L$4:$AU$5</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lvl>
                <c:lvl>
                  <c:pt idx="0">
                    <c:v>2022</c:v>
                  </c:pt>
                  <c:pt idx="12">
                    <c:v>2023</c:v>
                  </c:pt>
                  <c:pt idx="24">
                    <c:v>2024</c:v>
                  </c:pt>
                </c:lvl>
              </c:multiLvlStrCache>
            </c:multiLvlStrRef>
          </c:cat>
          <c:val>
            <c:numRef>
              <c:extLst>
                <c:ext xmlns:c15="http://schemas.microsoft.com/office/drawing/2012/chart" uri="{02D57815-91ED-43cb-92C2-25804820EDAC}">
                  <c15:fullRef>
                    <c15:sqref>'Ворк юа (вакансії)'!$L$7:$AU$7</c15:sqref>
                  </c15:fullRef>
                </c:ext>
              </c:extLst>
              <c:f>'Ворк юа (вакансії)'!$L$7:$AJ$7</c:f>
              <c:numCache>
                <c:formatCode>0</c:formatCode>
                <c:ptCount val="25"/>
                <c:pt idx="0">
                  <c:v>79.98</c:v>
                </c:pt>
                <c:pt idx="1">
                  <c:v>124.209</c:v>
                </c:pt>
                <c:pt idx="2">
                  <c:v>54.927</c:v>
                </c:pt>
                <c:pt idx="3">
                  <c:v>99.314999999999998</c:v>
                </c:pt>
                <c:pt idx="4">
                  <c:v>131.221</c:v>
                </c:pt>
                <c:pt idx="5">
                  <c:v>152.328</c:v>
                </c:pt>
                <c:pt idx="6">
                  <c:v>152.80000000000001</c:v>
                </c:pt>
                <c:pt idx="7">
                  <c:v>141.55799999999999</c:v>
                </c:pt>
                <c:pt idx="8">
                  <c:v>136.57900000000001</c:v>
                </c:pt>
                <c:pt idx="9">
                  <c:v>125.685</c:v>
                </c:pt>
                <c:pt idx="10">
                  <c:v>113.485</c:v>
                </c:pt>
                <c:pt idx="11">
                  <c:v>104.94199999999999</c:v>
                </c:pt>
                <c:pt idx="12">
                  <c:v>84.114000000000004</c:v>
                </c:pt>
                <c:pt idx="13">
                  <c:v>114.64700000000001</c:v>
                </c:pt>
                <c:pt idx="14">
                  <c:v>114.04300000000001</c:v>
                </c:pt>
                <c:pt idx="15">
                  <c:v>104.616</c:v>
                </c:pt>
                <c:pt idx="16">
                  <c:v>93.132000000000005</c:v>
                </c:pt>
                <c:pt idx="17">
                  <c:v>91.554000000000002</c:v>
                </c:pt>
                <c:pt idx="18">
                  <c:v>97.444000000000003</c:v>
                </c:pt>
                <c:pt idx="19">
                  <c:v>89.995999999999995</c:v>
                </c:pt>
                <c:pt idx="20">
                  <c:v>89.701999999999998</c:v>
                </c:pt>
                <c:pt idx="21">
                  <c:v>88.165000000000006</c:v>
                </c:pt>
                <c:pt idx="22">
                  <c:v>88.247</c:v>
                </c:pt>
                <c:pt idx="23">
                  <c:v>83.915000000000006</c:v>
                </c:pt>
                <c:pt idx="24">
                  <c:v>59.853000000000002</c:v>
                </c:pt>
              </c:numCache>
            </c:numRef>
          </c:val>
          <c:smooth val="0"/>
          <c:extLst>
            <c:ext xmlns:c15="http://schemas.microsoft.com/office/drawing/2012/chart" uri="{02D57815-91ED-43cb-92C2-25804820EDAC}">
              <c15:datalabelsRange>
                <c15:f>'Ворк юа (вакансії)'!$L$10:$AU$10</c15:f>
                <c15:dlblRangeCache>
                  <c:ptCount val="36"/>
                  <c:pt idx="12">
                    <c:v>5%</c:v>
                  </c:pt>
                  <c:pt idx="13">
                    <c:v>-8%</c:v>
                  </c:pt>
                  <c:pt idx="14">
                    <c:v>108%</c:v>
                  </c:pt>
                  <c:pt idx="15">
                    <c:v>5%</c:v>
                  </c:pt>
                  <c:pt idx="16">
                    <c:v>-29%</c:v>
                  </c:pt>
                  <c:pt idx="17">
                    <c:v>-40%</c:v>
                  </c:pt>
                  <c:pt idx="18">
                    <c:v>-36%</c:v>
                  </c:pt>
                  <c:pt idx="19">
                    <c:v>-36%</c:v>
                  </c:pt>
                  <c:pt idx="20">
                    <c:v>-34%</c:v>
                  </c:pt>
                  <c:pt idx="21">
                    <c:v>-30%</c:v>
                  </c:pt>
                  <c:pt idx="22">
                    <c:v>-22%</c:v>
                  </c:pt>
                  <c:pt idx="23">
                    <c:v>-20%</c:v>
                  </c:pt>
                  <c:pt idx="24">
                    <c:v>-29%</c:v>
                  </c:pt>
                </c15:dlblRangeCache>
              </c15:datalabelsRange>
            </c:ext>
            <c:ext xmlns:c16="http://schemas.microsoft.com/office/drawing/2014/chart" uri="{C3380CC4-5D6E-409C-BE32-E72D297353CC}">
              <c16:uniqueId val="{00000027-6564-4C4F-895B-7BD91B42B06D}"/>
            </c:ext>
          </c:extLst>
        </c:ser>
        <c:dLbls>
          <c:showLegendKey val="0"/>
          <c:showVal val="0"/>
          <c:showCatName val="0"/>
          <c:showSerName val="0"/>
          <c:showPercent val="0"/>
          <c:showBubbleSize val="0"/>
        </c:dLbls>
        <c:marker val="1"/>
        <c:smooth val="0"/>
        <c:axId val="251091391"/>
        <c:axId val="251080575"/>
      </c:lineChart>
      <c:catAx>
        <c:axId val="1240480720"/>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84388192"/>
        <c:crosses val="autoZero"/>
        <c:auto val="1"/>
        <c:lblAlgn val="ctr"/>
        <c:lblOffset val="100"/>
        <c:noMultiLvlLbl val="0"/>
      </c:catAx>
      <c:valAx>
        <c:axId val="1284388192"/>
        <c:scaling>
          <c:orientation val="minMax"/>
          <c:max val="22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40480720"/>
        <c:crosses val="autoZero"/>
        <c:crossBetween val="between"/>
      </c:valAx>
      <c:valAx>
        <c:axId val="25108057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noFill/>
                <a:latin typeface="+mn-lt"/>
                <a:ea typeface="+mn-ea"/>
                <a:cs typeface="+mn-cs"/>
              </a:defRPr>
            </a:pPr>
            <a:endParaRPr lang="en-US"/>
          </a:p>
        </c:txPr>
        <c:crossAx val="251091391"/>
        <c:crosses val="max"/>
        <c:crossBetween val="between"/>
      </c:valAx>
      <c:catAx>
        <c:axId val="251091391"/>
        <c:scaling>
          <c:orientation val="minMax"/>
        </c:scaling>
        <c:delete val="1"/>
        <c:axPos val="b"/>
        <c:numFmt formatCode="General" sourceLinked="1"/>
        <c:majorTickMark val="out"/>
        <c:minorTickMark val="none"/>
        <c:tickLblPos val="nextTo"/>
        <c:crossAx val="251080575"/>
        <c:crosses val="autoZero"/>
        <c:auto val="1"/>
        <c:lblAlgn val="ctr"/>
        <c:lblOffset val="100"/>
        <c:noMultiLvlLbl val="0"/>
      </c:catAx>
      <c:spPr>
        <a:noFill/>
        <a:ln>
          <a:noFill/>
        </a:ln>
        <a:effectLst/>
      </c:spPr>
    </c:plotArea>
    <c:legend>
      <c:legendPos val="t"/>
      <c:layout>
        <c:manualLayout>
          <c:xMode val="edge"/>
          <c:yMode val="edge"/>
          <c:x val="0.30243956478671757"/>
          <c:y val="8.3451860462754601E-2"/>
          <c:w val="0.38015341635512706"/>
          <c:h val="6.395536729272487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45057244860272"/>
          <c:y val="0.25809980893874157"/>
          <c:w val="0.7955322784102703"/>
          <c:h val="0.59632274456813983"/>
        </c:manualLayout>
      </c:layout>
      <c:barChart>
        <c:barDir val="col"/>
        <c:grouping val="clustered"/>
        <c:varyColors val="0"/>
        <c:ser>
          <c:idx val="1"/>
          <c:order val="1"/>
          <c:tx>
            <c:strRef>
              <c:f>'Прогноз Зарплати 2023'!$A$150</c:f>
              <c:strCache>
                <c:ptCount val="1"/>
                <c:pt idx="0">
                  <c:v>USD </c:v>
                </c:pt>
              </c:strCache>
            </c:strRef>
          </c:tx>
          <c:spPr>
            <a:solidFill>
              <a:schemeClr val="accent5">
                <a:lumMod val="40000"/>
                <a:lumOff val="60000"/>
              </a:schemeClr>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0-6D30-4912-9E7D-06B47933C4A4}"/>
                </c:ext>
              </c:extLst>
            </c:dLbl>
            <c:dLbl>
              <c:idx val="3"/>
              <c:delete val="1"/>
              <c:extLst>
                <c:ext xmlns:c15="http://schemas.microsoft.com/office/drawing/2012/chart" uri="{CE6537A1-D6FC-4f65-9D91-7224C49458BB}"/>
                <c:ext xmlns:c16="http://schemas.microsoft.com/office/drawing/2014/chart" uri="{C3380CC4-5D6E-409C-BE32-E72D297353CC}">
                  <c16:uniqueId val="{00000001-6D30-4912-9E7D-06B47933C4A4}"/>
                </c:ext>
              </c:extLst>
            </c:dLbl>
            <c:dLbl>
              <c:idx val="5"/>
              <c:delete val="1"/>
              <c:extLst>
                <c:ext xmlns:c15="http://schemas.microsoft.com/office/drawing/2012/chart" uri="{CE6537A1-D6FC-4f65-9D91-7224C49458BB}"/>
                <c:ext xmlns:c16="http://schemas.microsoft.com/office/drawing/2014/chart" uri="{C3380CC4-5D6E-409C-BE32-E72D297353CC}">
                  <c16:uniqueId val="{00000002-6D30-4912-9E7D-06B47933C4A4}"/>
                </c:ext>
              </c:extLst>
            </c:dLbl>
            <c:dLbl>
              <c:idx val="7"/>
              <c:delete val="1"/>
              <c:extLst>
                <c:ext xmlns:c15="http://schemas.microsoft.com/office/drawing/2012/chart" uri="{CE6537A1-D6FC-4f65-9D91-7224C49458BB}"/>
                <c:ext xmlns:c16="http://schemas.microsoft.com/office/drawing/2014/chart" uri="{C3380CC4-5D6E-409C-BE32-E72D297353CC}">
                  <c16:uniqueId val="{00000003-6D30-4912-9E7D-06B47933C4A4}"/>
                </c:ext>
              </c:extLst>
            </c:dLbl>
            <c:dLbl>
              <c:idx val="9"/>
              <c:delete val="1"/>
              <c:extLst>
                <c:ext xmlns:c15="http://schemas.microsoft.com/office/drawing/2012/chart" uri="{CE6537A1-D6FC-4f65-9D91-7224C49458BB}"/>
                <c:ext xmlns:c16="http://schemas.microsoft.com/office/drawing/2014/chart" uri="{C3380CC4-5D6E-409C-BE32-E72D297353CC}">
                  <c16:uniqueId val="{00000004-6D30-4912-9E7D-06B47933C4A4}"/>
                </c:ext>
              </c:extLst>
            </c:dLbl>
            <c:dLbl>
              <c:idx val="12"/>
              <c:delete val="1"/>
              <c:extLst>
                <c:ext xmlns:c15="http://schemas.microsoft.com/office/drawing/2012/chart" uri="{CE6537A1-D6FC-4f65-9D91-7224C49458BB}"/>
                <c:ext xmlns:c16="http://schemas.microsoft.com/office/drawing/2014/chart" uri="{C3380CC4-5D6E-409C-BE32-E72D297353CC}">
                  <c16:uniqueId val="{00000005-6D30-4912-9E7D-06B47933C4A4}"/>
                </c:ext>
              </c:extLst>
            </c:dLbl>
            <c:dLbl>
              <c:idx val="14"/>
              <c:delete val="1"/>
              <c:extLst>
                <c:ext xmlns:c15="http://schemas.microsoft.com/office/drawing/2012/chart" uri="{CE6537A1-D6FC-4f65-9D91-7224C49458BB}"/>
                <c:ext xmlns:c16="http://schemas.microsoft.com/office/drawing/2014/chart" uri="{C3380CC4-5D6E-409C-BE32-E72D297353CC}">
                  <c16:uniqueId val="{00000006-6D30-4912-9E7D-06B47933C4A4}"/>
                </c:ext>
              </c:extLst>
            </c:dLbl>
            <c:dLbl>
              <c:idx val="16"/>
              <c:delete val="1"/>
              <c:extLst>
                <c:ext xmlns:c15="http://schemas.microsoft.com/office/drawing/2012/chart" uri="{CE6537A1-D6FC-4f65-9D91-7224C49458BB}"/>
                <c:ext xmlns:c16="http://schemas.microsoft.com/office/drawing/2014/chart" uri="{C3380CC4-5D6E-409C-BE32-E72D297353CC}">
                  <c16:uniqueId val="{00000007-6D30-4912-9E7D-06B47933C4A4}"/>
                </c:ext>
              </c:extLst>
            </c:dLbl>
            <c:dLbl>
              <c:idx val="19"/>
              <c:delete val="1"/>
              <c:extLst>
                <c:ext xmlns:c15="http://schemas.microsoft.com/office/drawing/2012/chart" uri="{CE6537A1-D6FC-4f65-9D91-7224C49458BB}"/>
                <c:ext xmlns:c16="http://schemas.microsoft.com/office/drawing/2014/chart" uri="{C3380CC4-5D6E-409C-BE32-E72D297353CC}">
                  <c16:uniqueId val="{00000008-6D30-4912-9E7D-06B47933C4A4}"/>
                </c:ext>
              </c:extLst>
            </c:dLbl>
            <c:dLbl>
              <c:idx val="21"/>
              <c:delete val="1"/>
              <c:extLst>
                <c:ext xmlns:c15="http://schemas.microsoft.com/office/drawing/2012/chart" uri="{CE6537A1-D6FC-4f65-9D91-7224C49458BB}"/>
                <c:ext xmlns:c16="http://schemas.microsoft.com/office/drawing/2014/chart" uri="{C3380CC4-5D6E-409C-BE32-E72D297353CC}">
                  <c16:uniqueId val="{00000009-6D30-4912-9E7D-06B47933C4A4}"/>
                </c:ext>
              </c:extLst>
            </c:dLbl>
            <c:dLbl>
              <c:idx val="24"/>
              <c:delete val="1"/>
              <c:extLst>
                <c:ext xmlns:c15="http://schemas.microsoft.com/office/drawing/2012/chart" uri="{CE6537A1-D6FC-4f65-9D91-7224C49458BB}"/>
                <c:ext xmlns:c16="http://schemas.microsoft.com/office/drawing/2014/chart" uri="{C3380CC4-5D6E-409C-BE32-E72D297353CC}">
                  <c16:uniqueId val="{0000000A-6D30-4912-9E7D-06B47933C4A4}"/>
                </c:ext>
              </c:extLst>
            </c:dLbl>
            <c:dLbl>
              <c:idx val="27"/>
              <c:delete val="1"/>
              <c:extLst>
                <c:ext xmlns:c15="http://schemas.microsoft.com/office/drawing/2012/chart" uri="{CE6537A1-D6FC-4f65-9D91-7224C49458BB}"/>
                <c:ext xmlns:c16="http://schemas.microsoft.com/office/drawing/2014/chart" uri="{C3380CC4-5D6E-409C-BE32-E72D297353CC}">
                  <c16:uniqueId val="{0000000B-6D30-4912-9E7D-06B47933C4A4}"/>
                </c:ext>
              </c:extLst>
            </c:dLbl>
            <c:dLbl>
              <c:idx val="29"/>
              <c:delete val="1"/>
              <c:extLst>
                <c:ext xmlns:c15="http://schemas.microsoft.com/office/drawing/2012/chart" uri="{CE6537A1-D6FC-4f65-9D91-7224C49458BB}"/>
                <c:ext xmlns:c16="http://schemas.microsoft.com/office/drawing/2014/chart" uri="{C3380CC4-5D6E-409C-BE32-E72D297353CC}">
                  <c16:uniqueId val="{0000000C-6D30-4912-9E7D-06B47933C4A4}"/>
                </c:ext>
              </c:extLst>
            </c:dLbl>
            <c:dLbl>
              <c:idx val="31"/>
              <c:delete val="1"/>
              <c:extLst>
                <c:ext xmlns:c15="http://schemas.microsoft.com/office/drawing/2012/chart" uri="{CE6537A1-D6FC-4f65-9D91-7224C49458BB}"/>
                <c:ext xmlns:c16="http://schemas.microsoft.com/office/drawing/2014/chart" uri="{C3380CC4-5D6E-409C-BE32-E72D297353CC}">
                  <c16:uniqueId val="{0000000D-6D30-4912-9E7D-06B47933C4A4}"/>
                </c:ext>
              </c:extLst>
            </c:dLbl>
            <c:dLbl>
              <c:idx val="33"/>
              <c:delete val="1"/>
              <c:extLst>
                <c:ext xmlns:c15="http://schemas.microsoft.com/office/drawing/2012/chart" uri="{CE6537A1-D6FC-4f65-9D91-7224C49458BB}"/>
                <c:ext xmlns:c16="http://schemas.microsoft.com/office/drawing/2014/chart" uri="{C3380CC4-5D6E-409C-BE32-E72D297353CC}">
                  <c16:uniqueId val="{0000000E-6D30-4912-9E7D-06B47933C4A4}"/>
                </c:ext>
              </c:extLst>
            </c:dLbl>
            <c:dLbl>
              <c:idx val="35"/>
              <c:layout>
                <c:manualLayout>
                  <c:x val="0"/>
                  <c:y val="1.8540051255212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D30-4912-9E7D-06B47933C4A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2023'!$N$131:$AW$131</c:f>
              <c:numCache>
                <c:formatCode>_(* #\ ##0_);_(* \(#\ ##0\);_(* "-"??_);_(@_)</c:formatCode>
                <c:ptCount val="36"/>
                <c:pt idx="0">
                  <c:v>437.17576638387527</c:v>
                </c:pt>
                <c:pt idx="1">
                  <c:v>450.03237186855824</c:v>
                </c:pt>
                <c:pt idx="2">
                  <c:v>489.71853590437973</c:v>
                </c:pt>
                <c:pt idx="3">
                  <c:v>484.89079842463303</c:v>
                </c:pt>
                <c:pt idx="4">
                  <c:v>489.09420289855069</c:v>
                </c:pt>
                <c:pt idx="5">
                  <c:v>525.44297195704064</c:v>
                </c:pt>
                <c:pt idx="6">
                  <c:v>527.10777323798527</c:v>
                </c:pt>
                <c:pt idx="7">
                  <c:v>523.05680119581461</c:v>
                </c:pt>
                <c:pt idx="8">
                  <c:v>532.66221927987112</c:v>
                </c:pt>
                <c:pt idx="9">
                  <c:v>532.61281759575274</c:v>
                </c:pt>
                <c:pt idx="10">
                  <c:v>539.96219281663514</c:v>
                </c:pt>
                <c:pt idx="11">
                  <c:v>641.41859610437336</c:v>
                </c:pt>
                <c:pt idx="12">
                  <c:v>520.97927090779126</c:v>
                </c:pt>
                <c:pt idx="13">
                  <c:v>509.07429880100358</c:v>
                </c:pt>
                <c:pt idx="14">
                  <c:v>505.2105484476819</c:v>
                </c:pt>
                <c:pt idx="15">
                  <c:v>471.7244754514366</c:v>
                </c:pt>
                <c:pt idx="16">
                  <c:v>466.3658097443041</c:v>
                </c:pt>
                <c:pt idx="17">
                  <c:v>469.36083438424225</c:v>
                </c:pt>
                <c:pt idx="18">
                  <c:v>397.43643831285976</c:v>
                </c:pt>
                <c:pt idx="19">
                  <c:v>401.43916096836119</c:v>
                </c:pt>
                <c:pt idx="20">
                  <c:v>400.40795106389305</c:v>
                </c:pt>
                <c:pt idx="21">
                  <c:v>445.3256342741177</c:v>
                </c:pt>
                <c:pt idx="22">
                  <c:v>449.74106509284508</c:v>
                </c:pt>
                <c:pt idx="23">
                  <c:v>456.62913717005983</c:v>
                </c:pt>
                <c:pt idx="24">
                  <c:v>417.86300161192986</c:v>
                </c:pt>
                <c:pt idx="25">
                  <c:v>422.25887911052553</c:v>
                </c:pt>
                <c:pt idx="26">
                  <c:v>426.1588801839747</c:v>
                </c:pt>
                <c:pt idx="27">
                  <c:v>463.13311048283276</c:v>
                </c:pt>
                <c:pt idx="28">
                  <c:v>469.07700312251023</c:v>
                </c:pt>
                <c:pt idx="29">
                  <c:v>476.80983432364405</c:v>
                </c:pt>
                <c:pt idx="30">
                  <c:v>479.03418102269615</c:v>
                </c:pt>
                <c:pt idx="31">
                  <c:v>476.88460486737767</c:v>
                </c:pt>
                <c:pt idx="32">
                  <c:v>485.52502050861364</c:v>
                </c:pt>
                <c:pt idx="33">
                  <c:v>491.90158004571197</c:v>
                </c:pt>
                <c:pt idx="34">
                  <c:v>489.28477469184526</c:v>
                </c:pt>
                <c:pt idx="35">
                  <c:v>535.24038449333057</c:v>
                </c:pt>
              </c:numCache>
            </c:numRef>
          </c:val>
          <c:extLst>
            <c:ext xmlns:c16="http://schemas.microsoft.com/office/drawing/2014/chart" uri="{C3380CC4-5D6E-409C-BE32-E72D297353CC}">
              <c16:uniqueId val="{00000010-6D30-4912-9E7D-06B47933C4A4}"/>
            </c:ext>
          </c:extLst>
        </c:ser>
        <c:dLbls>
          <c:showLegendKey val="0"/>
          <c:showVal val="0"/>
          <c:showCatName val="0"/>
          <c:showSerName val="0"/>
          <c:showPercent val="0"/>
          <c:showBubbleSize val="0"/>
        </c:dLbls>
        <c:gapWidth val="150"/>
        <c:axId val="554919048"/>
        <c:axId val="554922248"/>
        <c:extLst>
          <c:ext xmlns:c15="http://schemas.microsoft.com/office/drawing/2012/chart" uri="{02D57815-91ED-43cb-92C2-25804820EDAC}">
            <c15:filteredBarSeries>
              <c15:ser>
                <c:idx val="2"/>
                <c:order val="2"/>
                <c:tx>
                  <c:strRef>
                    <c:extLst>
                      <c:ext uri="{02D57815-91ED-43cb-92C2-25804820EDAC}">
                        <c15:formulaRef>
                          <c15:sqref>'Прогноз Зарплати 2023'!$A$132</c15:sqref>
                        </c15:formulaRef>
                      </c:ext>
                    </c:extLst>
                    <c:strCache>
                      <c:ptCount val="1"/>
                      <c:pt idx="0">
                        <c:v>USD (сценарій 2)</c:v>
                      </c:pt>
                    </c:strCache>
                  </c:strRef>
                </c:tx>
                <c:spPr>
                  <a:solidFill>
                    <a:schemeClr val="accent2">
                      <a:lumMod val="60000"/>
                      <a:lumOff val="40000"/>
                    </a:schemeClr>
                  </a:solidFill>
                  <a:ln>
                    <a:noFill/>
                  </a:ln>
                  <a:effectLst/>
                </c:spPr>
                <c:invertIfNegative val="0"/>
                <c:dLbls>
                  <c:dLbl>
                    <c:idx val="0"/>
                    <c:layout>
                      <c:manualLayout>
                        <c:x val="2.8852464776706358E-3"/>
                        <c:y val="-7.0786050007310136E-17"/>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2B-6D30-4912-9E7D-06B47933C4A4}"/>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'Прогноз Зарплати 2023'!$N$127:$AW$128</c15:sqref>
                        </c15:formulaRef>
                      </c:ext>
                    </c:extLst>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extLst>
                      <c:ext uri="{02D57815-91ED-43cb-92C2-25804820EDAC}">
                        <c15:formulaRef>
                          <c15:sqref>'Прогноз Зарплати 2023'!$AL$132:$AW$132</c15:sqref>
                        </c15:formulaRef>
                      </c:ext>
                    </c:extLst>
                    <c:numCache>
                      <c:formatCode>_-* #\ ##0\ _₴_-;\-* #\ ##0\ _₴_-;_-* "-"?\ _₴_-;_-@_-</c:formatCode>
                      <c:ptCount val="12"/>
                      <c:pt idx="0">
                        <c:v>417.86300161192986</c:v>
                      </c:pt>
                      <c:pt idx="1">
                        <c:v>422.25887911052553</c:v>
                      </c:pt>
                      <c:pt idx="2">
                        <c:v>426.1588801839747</c:v>
                      </c:pt>
                      <c:pt idx="3">
                        <c:v>463.13311048283276</c:v>
                      </c:pt>
                      <c:pt idx="4">
                        <c:v>469.07700312251023</c:v>
                      </c:pt>
                      <c:pt idx="5">
                        <c:v>476.80983432364405</c:v>
                      </c:pt>
                      <c:pt idx="6">
                        <c:v>456.27075585940645</c:v>
                      </c:pt>
                      <c:pt idx="7">
                        <c:v>445.27284868919793</c:v>
                      </c:pt>
                      <c:pt idx="8">
                        <c:v>450.35166776776026</c:v>
                      </c:pt>
                      <c:pt idx="9">
                        <c:v>447.82503126516718</c:v>
                      </c:pt>
                      <c:pt idx="10">
                        <c:v>442.2095693878191</c:v>
                      </c:pt>
                      <c:pt idx="11">
                        <c:v>482.60636073389554</c:v>
                      </c:pt>
                    </c:numCache>
                  </c:numRef>
                </c:val>
                <c:extLst>
                  <c:ext xmlns:c16="http://schemas.microsoft.com/office/drawing/2014/chart" uri="{C3380CC4-5D6E-409C-BE32-E72D297353CC}">
                    <c16:uniqueId val="{0000002C-6D30-4912-9E7D-06B47933C4A4}"/>
                  </c:ext>
                </c:extLst>
              </c15:ser>
            </c15:filteredBarSeries>
          </c:ext>
        </c:extLst>
      </c:barChart>
      <c:lineChart>
        <c:grouping val="standard"/>
        <c:varyColors val="0"/>
        <c:ser>
          <c:idx val="0"/>
          <c:order val="0"/>
          <c:tx>
            <c:strRef>
              <c:f>'Прогноз Зарплати 2023'!$A$143</c:f>
              <c:strCache>
                <c:ptCount val="1"/>
                <c:pt idx="0">
                  <c:v>UAH</c:v>
                </c:pt>
              </c:strCache>
            </c:strRef>
          </c:tx>
          <c:spPr>
            <a:ln w="28575" cap="rnd">
              <a:solidFill>
                <a:schemeClr val="accent5"/>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1-6D30-4912-9E7D-06B47933C4A4}"/>
                </c:ext>
              </c:extLst>
            </c:dLbl>
            <c:dLbl>
              <c:idx val="3"/>
              <c:delete val="1"/>
              <c:extLst>
                <c:ext xmlns:c15="http://schemas.microsoft.com/office/drawing/2012/chart" uri="{CE6537A1-D6FC-4f65-9D91-7224C49458BB}"/>
                <c:ext xmlns:c16="http://schemas.microsoft.com/office/drawing/2014/chart" uri="{C3380CC4-5D6E-409C-BE32-E72D297353CC}">
                  <c16:uniqueId val="{00000012-6D30-4912-9E7D-06B47933C4A4}"/>
                </c:ext>
              </c:extLst>
            </c:dLbl>
            <c:dLbl>
              <c:idx val="4"/>
              <c:delete val="1"/>
              <c:extLst>
                <c:ext xmlns:c15="http://schemas.microsoft.com/office/drawing/2012/chart" uri="{CE6537A1-D6FC-4f65-9D91-7224C49458BB}"/>
                <c:ext xmlns:c16="http://schemas.microsoft.com/office/drawing/2014/chart" uri="{C3380CC4-5D6E-409C-BE32-E72D297353CC}">
                  <c16:uniqueId val="{00000013-6D30-4912-9E7D-06B47933C4A4}"/>
                </c:ext>
              </c:extLst>
            </c:dLbl>
            <c:dLbl>
              <c:idx val="6"/>
              <c:delete val="1"/>
              <c:extLst>
                <c:ext xmlns:c15="http://schemas.microsoft.com/office/drawing/2012/chart" uri="{CE6537A1-D6FC-4f65-9D91-7224C49458BB}"/>
                <c:ext xmlns:c16="http://schemas.microsoft.com/office/drawing/2014/chart" uri="{C3380CC4-5D6E-409C-BE32-E72D297353CC}">
                  <c16:uniqueId val="{00000014-6D30-4912-9E7D-06B47933C4A4}"/>
                </c:ext>
              </c:extLst>
            </c:dLbl>
            <c:dLbl>
              <c:idx val="7"/>
              <c:delete val="1"/>
              <c:extLst>
                <c:ext xmlns:c15="http://schemas.microsoft.com/office/drawing/2012/chart" uri="{CE6537A1-D6FC-4f65-9D91-7224C49458BB}"/>
                <c:ext xmlns:c16="http://schemas.microsoft.com/office/drawing/2014/chart" uri="{C3380CC4-5D6E-409C-BE32-E72D297353CC}">
                  <c16:uniqueId val="{00000015-6D30-4912-9E7D-06B47933C4A4}"/>
                </c:ext>
              </c:extLst>
            </c:dLbl>
            <c:dLbl>
              <c:idx val="9"/>
              <c:delete val="1"/>
              <c:extLst>
                <c:ext xmlns:c15="http://schemas.microsoft.com/office/drawing/2012/chart" uri="{CE6537A1-D6FC-4f65-9D91-7224C49458BB}"/>
                <c:ext xmlns:c16="http://schemas.microsoft.com/office/drawing/2014/chart" uri="{C3380CC4-5D6E-409C-BE32-E72D297353CC}">
                  <c16:uniqueId val="{00000016-6D30-4912-9E7D-06B47933C4A4}"/>
                </c:ext>
              </c:extLst>
            </c:dLbl>
            <c:dLbl>
              <c:idx val="10"/>
              <c:delete val="1"/>
              <c:extLst>
                <c:ext xmlns:c15="http://schemas.microsoft.com/office/drawing/2012/chart" uri="{CE6537A1-D6FC-4f65-9D91-7224C49458BB}"/>
                <c:ext xmlns:c16="http://schemas.microsoft.com/office/drawing/2014/chart" uri="{C3380CC4-5D6E-409C-BE32-E72D297353CC}">
                  <c16:uniqueId val="{00000017-6D30-4912-9E7D-06B47933C4A4}"/>
                </c:ext>
              </c:extLst>
            </c:dLbl>
            <c:dLbl>
              <c:idx val="12"/>
              <c:delete val="1"/>
              <c:extLst>
                <c:ext xmlns:c15="http://schemas.microsoft.com/office/drawing/2012/chart" uri="{CE6537A1-D6FC-4f65-9D91-7224C49458BB}"/>
                <c:ext xmlns:c16="http://schemas.microsoft.com/office/drawing/2014/chart" uri="{C3380CC4-5D6E-409C-BE32-E72D297353CC}">
                  <c16:uniqueId val="{00000018-6D30-4912-9E7D-06B47933C4A4}"/>
                </c:ext>
              </c:extLst>
            </c:dLbl>
            <c:dLbl>
              <c:idx val="14"/>
              <c:delete val="1"/>
              <c:extLst>
                <c:ext xmlns:c15="http://schemas.microsoft.com/office/drawing/2012/chart" uri="{CE6537A1-D6FC-4f65-9D91-7224C49458BB}"/>
                <c:ext xmlns:c16="http://schemas.microsoft.com/office/drawing/2014/chart" uri="{C3380CC4-5D6E-409C-BE32-E72D297353CC}">
                  <c16:uniqueId val="{00000019-6D30-4912-9E7D-06B47933C4A4}"/>
                </c:ext>
              </c:extLst>
            </c:dLbl>
            <c:dLbl>
              <c:idx val="15"/>
              <c:delete val="1"/>
              <c:extLst>
                <c:ext xmlns:c15="http://schemas.microsoft.com/office/drawing/2012/chart" uri="{CE6537A1-D6FC-4f65-9D91-7224C49458BB}"/>
                <c:ext xmlns:c16="http://schemas.microsoft.com/office/drawing/2014/chart" uri="{C3380CC4-5D6E-409C-BE32-E72D297353CC}">
                  <c16:uniqueId val="{0000001A-6D30-4912-9E7D-06B47933C4A4}"/>
                </c:ext>
              </c:extLst>
            </c:dLbl>
            <c:dLbl>
              <c:idx val="16"/>
              <c:delete val="1"/>
              <c:extLst>
                <c:ext xmlns:c15="http://schemas.microsoft.com/office/drawing/2012/chart" uri="{CE6537A1-D6FC-4f65-9D91-7224C49458BB}"/>
                <c:ext xmlns:c16="http://schemas.microsoft.com/office/drawing/2014/chart" uri="{C3380CC4-5D6E-409C-BE32-E72D297353CC}">
                  <c16:uniqueId val="{0000001B-6D30-4912-9E7D-06B47933C4A4}"/>
                </c:ext>
              </c:extLst>
            </c:dLbl>
            <c:dLbl>
              <c:idx val="18"/>
              <c:delete val="1"/>
              <c:extLst>
                <c:ext xmlns:c15="http://schemas.microsoft.com/office/drawing/2012/chart" uri="{CE6537A1-D6FC-4f65-9D91-7224C49458BB}"/>
                <c:ext xmlns:c16="http://schemas.microsoft.com/office/drawing/2014/chart" uri="{C3380CC4-5D6E-409C-BE32-E72D297353CC}">
                  <c16:uniqueId val="{0000001C-6D30-4912-9E7D-06B47933C4A4}"/>
                </c:ext>
              </c:extLst>
            </c:dLbl>
            <c:dLbl>
              <c:idx val="19"/>
              <c:delete val="1"/>
              <c:extLst>
                <c:ext xmlns:c15="http://schemas.microsoft.com/office/drawing/2012/chart" uri="{CE6537A1-D6FC-4f65-9D91-7224C49458BB}"/>
                <c:ext xmlns:c16="http://schemas.microsoft.com/office/drawing/2014/chart" uri="{C3380CC4-5D6E-409C-BE32-E72D297353CC}">
                  <c16:uniqueId val="{0000001D-6D30-4912-9E7D-06B47933C4A4}"/>
                </c:ext>
              </c:extLst>
            </c:dLbl>
            <c:dLbl>
              <c:idx val="21"/>
              <c:delete val="1"/>
              <c:extLst>
                <c:ext xmlns:c15="http://schemas.microsoft.com/office/drawing/2012/chart" uri="{CE6537A1-D6FC-4f65-9D91-7224C49458BB}"/>
                <c:ext xmlns:c16="http://schemas.microsoft.com/office/drawing/2014/chart" uri="{C3380CC4-5D6E-409C-BE32-E72D297353CC}">
                  <c16:uniqueId val="{0000001E-6D30-4912-9E7D-06B47933C4A4}"/>
                </c:ext>
              </c:extLst>
            </c:dLbl>
            <c:dLbl>
              <c:idx val="22"/>
              <c:delete val="1"/>
              <c:extLst>
                <c:ext xmlns:c15="http://schemas.microsoft.com/office/drawing/2012/chart" uri="{CE6537A1-D6FC-4f65-9D91-7224C49458BB}"/>
                <c:ext xmlns:c16="http://schemas.microsoft.com/office/drawing/2014/chart" uri="{C3380CC4-5D6E-409C-BE32-E72D297353CC}">
                  <c16:uniqueId val="{0000001F-6D30-4912-9E7D-06B47933C4A4}"/>
                </c:ext>
              </c:extLst>
            </c:dLbl>
            <c:dLbl>
              <c:idx val="24"/>
              <c:delete val="1"/>
              <c:extLst>
                <c:ext xmlns:c15="http://schemas.microsoft.com/office/drawing/2012/chart" uri="{CE6537A1-D6FC-4f65-9D91-7224C49458BB}"/>
                <c:ext xmlns:c16="http://schemas.microsoft.com/office/drawing/2014/chart" uri="{C3380CC4-5D6E-409C-BE32-E72D297353CC}">
                  <c16:uniqueId val="{00000020-6D30-4912-9E7D-06B47933C4A4}"/>
                </c:ext>
              </c:extLst>
            </c:dLbl>
            <c:dLbl>
              <c:idx val="25"/>
              <c:delete val="1"/>
              <c:extLst>
                <c:ext xmlns:c15="http://schemas.microsoft.com/office/drawing/2012/chart" uri="{CE6537A1-D6FC-4f65-9D91-7224C49458BB}"/>
                <c:ext xmlns:c16="http://schemas.microsoft.com/office/drawing/2014/chart" uri="{C3380CC4-5D6E-409C-BE32-E72D297353CC}">
                  <c16:uniqueId val="{00000021-6D30-4912-9E7D-06B47933C4A4}"/>
                </c:ext>
              </c:extLst>
            </c:dLbl>
            <c:dLbl>
              <c:idx val="27"/>
              <c:delete val="1"/>
              <c:extLst>
                <c:ext xmlns:c15="http://schemas.microsoft.com/office/drawing/2012/chart" uri="{CE6537A1-D6FC-4f65-9D91-7224C49458BB}"/>
                <c:ext xmlns:c16="http://schemas.microsoft.com/office/drawing/2014/chart" uri="{C3380CC4-5D6E-409C-BE32-E72D297353CC}">
                  <c16:uniqueId val="{00000022-6D30-4912-9E7D-06B47933C4A4}"/>
                </c:ext>
              </c:extLst>
            </c:dLbl>
            <c:dLbl>
              <c:idx val="28"/>
              <c:delete val="1"/>
              <c:extLst>
                <c:ext xmlns:c15="http://schemas.microsoft.com/office/drawing/2012/chart" uri="{CE6537A1-D6FC-4f65-9D91-7224C49458BB}"/>
                <c:ext xmlns:c16="http://schemas.microsoft.com/office/drawing/2014/chart" uri="{C3380CC4-5D6E-409C-BE32-E72D297353CC}">
                  <c16:uniqueId val="{00000023-6D30-4912-9E7D-06B47933C4A4}"/>
                </c:ext>
              </c:extLst>
            </c:dLbl>
            <c:dLbl>
              <c:idx val="29"/>
              <c:layout>
                <c:manualLayout>
                  <c:x val="-5.4908733146554006E-2"/>
                  <c:y val="-3.56013237469066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6D30-4912-9E7D-06B47933C4A4}"/>
                </c:ext>
              </c:extLst>
            </c:dLbl>
            <c:dLbl>
              <c:idx val="30"/>
              <c:delete val="1"/>
              <c:extLst>
                <c:ext xmlns:c15="http://schemas.microsoft.com/office/drawing/2012/chart" uri="{CE6537A1-D6FC-4f65-9D91-7224C49458BB}"/>
                <c:ext xmlns:c16="http://schemas.microsoft.com/office/drawing/2014/chart" uri="{C3380CC4-5D6E-409C-BE32-E72D297353CC}">
                  <c16:uniqueId val="{00000025-6D30-4912-9E7D-06B47933C4A4}"/>
                </c:ext>
              </c:extLst>
            </c:dLbl>
            <c:dLbl>
              <c:idx val="31"/>
              <c:delete val="1"/>
              <c:extLst>
                <c:ext xmlns:c15="http://schemas.microsoft.com/office/drawing/2012/chart" uri="{CE6537A1-D6FC-4f65-9D91-7224C49458BB}"/>
                <c:ext xmlns:c16="http://schemas.microsoft.com/office/drawing/2014/chart" uri="{C3380CC4-5D6E-409C-BE32-E72D297353CC}">
                  <c16:uniqueId val="{00000026-6D30-4912-9E7D-06B47933C4A4}"/>
                </c:ext>
              </c:extLst>
            </c:dLbl>
            <c:dLbl>
              <c:idx val="32"/>
              <c:layout>
                <c:manualLayout>
                  <c:x val="-5.4406275918420455E-2"/>
                  <c:y val="-3.33786615688825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6D30-4912-9E7D-06B47933C4A4}"/>
                </c:ext>
              </c:extLst>
            </c:dLbl>
            <c:dLbl>
              <c:idx val="33"/>
              <c:delete val="1"/>
              <c:extLst>
                <c:ext xmlns:c15="http://schemas.microsoft.com/office/drawing/2012/chart" uri="{CE6537A1-D6FC-4f65-9D91-7224C49458BB}"/>
                <c:ext xmlns:c16="http://schemas.microsoft.com/office/drawing/2014/chart" uri="{C3380CC4-5D6E-409C-BE32-E72D297353CC}">
                  <c16:uniqueId val="{00000028-6D30-4912-9E7D-06B47933C4A4}"/>
                </c:ext>
              </c:extLst>
            </c:dLbl>
            <c:dLbl>
              <c:idx val="34"/>
              <c:delete val="1"/>
              <c:extLst>
                <c:ext xmlns:c15="http://schemas.microsoft.com/office/drawing/2012/chart" uri="{CE6537A1-D6FC-4f65-9D91-7224C49458BB}"/>
                <c:ext xmlns:c16="http://schemas.microsoft.com/office/drawing/2014/chart" uri="{C3380CC4-5D6E-409C-BE32-E72D297353CC}">
                  <c16:uniqueId val="{00000029-6D30-4912-9E7D-06B47933C4A4}"/>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2023'!$N$129:$AW$129</c:f>
              <c:numCache>
                <c:formatCode>_(* #\ ##0_);_(* \(#\ ##0\);_(* "-"??_);_(@_)</c:formatCode>
                <c:ptCount val="36"/>
                <c:pt idx="0">
                  <c:v>12337</c:v>
                </c:pt>
                <c:pt idx="1">
                  <c:v>12549</c:v>
                </c:pt>
                <c:pt idx="2">
                  <c:v>13612</c:v>
                </c:pt>
                <c:pt idx="3">
                  <c:v>13543</c:v>
                </c:pt>
                <c:pt idx="4">
                  <c:v>13499</c:v>
                </c:pt>
                <c:pt idx="5">
                  <c:v>14313</c:v>
                </c:pt>
                <c:pt idx="6">
                  <c:v>14345</c:v>
                </c:pt>
                <c:pt idx="7">
                  <c:v>13997</c:v>
                </c:pt>
                <c:pt idx="8">
                  <c:v>14239</c:v>
                </c:pt>
                <c:pt idx="9">
                  <c:v>14045</c:v>
                </c:pt>
                <c:pt idx="10">
                  <c:v>14282</c:v>
                </c:pt>
                <c:pt idx="11">
                  <c:v>17453</c:v>
                </c:pt>
                <c:pt idx="12">
                  <c:v>14577</c:v>
                </c:pt>
                <c:pt idx="13">
                  <c:v>14462.800828936512</c:v>
                </c:pt>
                <c:pt idx="14">
                  <c:v>14777.408542094696</c:v>
                </c:pt>
                <c:pt idx="15">
                  <c:v>13797.94090695452</c:v>
                </c:pt>
                <c:pt idx="16">
                  <c:v>13641.199935020895</c:v>
                </c:pt>
                <c:pt idx="17">
                  <c:v>13728.804405739085</c:v>
                </c:pt>
                <c:pt idx="18">
                  <c:v>14534.250549101282</c:v>
                </c:pt>
                <c:pt idx="19">
                  <c:v>14680.630116612969</c:v>
                </c:pt>
                <c:pt idx="20">
                  <c:v>14642.918770406568</c:v>
                </c:pt>
                <c:pt idx="21">
                  <c:v>16285.558445404484</c:v>
                </c:pt>
                <c:pt idx="22">
                  <c:v>16447.030750445345</c:v>
                </c:pt>
                <c:pt idx="23">
                  <c:v>16698.927546309089</c:v>
                </c:pt>
                <c:pt idx="24">
                  <c:v>15281.249968948276</c:v>
                </c:pt>
                <c:pt idx="25">
                  <c:v>15442.007209071919</c:v>
                </c:pt>
                <c:pt idx="26">
                  <c:v>15584.630248327954</c:v>
                </c:pt>
                <c:pt idx="27">
                  <c:v>16936.777850357194</c:v>
                </c:pt>
                <c:pt idx="28">
                  <c:v>17154.146004190199</c:v>
                </c:pt>
                <c:pt idx="29">
                  <c:v>17436.935641215663</c:v>
                </c:pt>
                <c:pt idx="30">
                  <c:v>17518.28</c:v>
                </c:pt>
                <c:pt idx="31">
                  <c:v>17439.670000000002</c:v>
                </c:pt>
                <c:pt idx="32">
                  <c:v>17755.650000000001</c:v>
                </c:pt>
                <c:pt idx="33">
                  <c:v>17963.73</c:v>
                </c:pt>
                <c:pt idx="34">
                  <c:v>17810.099999999999</c:v>
                </c:pt>
                <c:pt idx="35">
                  <c:v>19654.830000000002</c:v>
                </c:pt>
              </c:numCache>
            </c:numRef>
          </c:val>
          <c:smooth val="0"/>
          <c:extLst>
            <c:ext xmlns:c16="http://schemas.microsoft.com/office/drawing/2014/chart" uri="{C3380CC4-5D6E-409C-BE32-E72D297353CC}">
              <c16:uniqueId val="{0000002A-6D30-4912-9E7D-06B47933C4A4}"/>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19500"/>
          <c:min val="800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900"/>
          <c:min val="3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0"/>
          <c:y val="0.17153075341157911"/>
          <c:w val="0.99874005602969851"/>
          <c:h val="4.5271278433512065E-2"/>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675885064234578E-2"/>
          <c:y val="0.23291592985558504"/>
          <c:w val="0.88607384524860255"/>
          <c:h val="0.62046750663129979"/>
        </c:manualLayout>
      </c:layout>
      <c:areaChart>
        <c:grouping val="standard"/>
        <c:varyColors val="0"/>
        <c:ser>
          <c:idx val="2"/>
          <c:order val="2"/>
          <c:tx>
            <c:strRef>
              <c:f>'Дефлятор модель (CPI-PPI) (С-1)'!$G$1</c:f>
              <c:strCache>
                <c:ptCount val="1"/>
                <c:pt idx="0">
                  <c:v>Дефлятор</c:v>
                </c:pt>
              </c:strCache>
            </c:strRef>
          </c:tx>
          <c:spPr>
            <a:solidFill>
              <a:schemeClr val="accent1">
                <a:lumMod val="40000"/>
                <a:lumOff val="60000"/>
              </a:schemeClr>
            </a:solidFill>
            <a:ln>
              <a:noFill/>
            </a:ln>
            <a:effectLst/>
          </c:spPr>
          <c:dLbls>
            <c:dLbl>
              <c:idx val="0"/>
              <c:layout>
                <c:manualLayout>
                  <c:x val="6.2273217613023442E-3"/>
                  <c:y val="6.06347627468316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ED0-4941-BE6B-FB79CAD4C09C}"/>
                </c:ext>
              </c:extLst>
            </c:dLbl>
            <c:dLbl>
              <c:idx val="1"/>
              <c:layout>
                <c:manualLayout>
                  <c:x val="6.4389035990977455E-3"/>
                  <c:y val="6.47325375773651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ED0-4941-BE6B-FB79CAD4C09C}"/>
                </c:ext>
              </c:extLst>
            </c:dLbl>
            <c:dLbl>
              <c:idx val="2"/>
              <c:layout>
                <c:manualLayout>
                  <c:x val="4.6898597626752964E-3"/>
                  <c:y val="4.385094311818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D0-4941-BE6B-FB79CAD4C09C}"/>
                </c:ext>
              </c:extLst>
            </c:dLbl>
            <c:dLbl>
              <c:idx val="3"/>
              <c:layout>
                <c:manualLayout>
                  <c:x val="4.6898597626752964E-3"/>
                  <c:y val="2.2969717064544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ED0-4941-BE6B-FB79CAD4C09C}"/>
                </c:ext>
              </c:extLst>
            </c:dLbl>
            <c:dLbl>
              <c:idx val="4"/>
              <c:layout>
                <c:manualLayout>
                  <c:x val="3.1136608806511721E-3"/>
                  <c:y val="4.678750368405455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6A9-4C67-9F47-4847C6765DD4}"/>
                </c:ext>
              </c:extLst>
            </c:dLbl>
            <c:dLbl>
              <c:idx val="6"/>
              <c:layout>
                <c:manualLayout>
                  <c:x val="2.1334706286162599E-3"/>
                  <c:y val="1.08650162098437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ED0-4941-BE6B-FB79CAD4C09C}"/>
                </c:ext>
              </c:extLst>
            </c:dLbl>
            <c:dLbl>
              <c:idx val="7"/>
              <c:layout>
                <c:manualLayout>
                  <c:x val="1.3258801608316171E-3"/>
                  <c:y val="1.61243737105806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ED0-4941-BE6B-FB79CAD4C09C}"/>
                </c:ext>
              </c:extLst>
            </c:dLbl>
            <c:dLbl>
              <c:idx val="8"/>
              <c:layout>
                <c:manualLayout>
                  <c:x val="-1.1416624676565148E-16"/>
                  <c:y val="1.40362511052166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A9-4C67-9F47-4847C6765DD4}"/>
                </c:ext>
              </c:extLst>
            </c:dLbl>
            <c:dLbl>
              <c:idx val="9"/>
              <c:layout>
                <c:manualLayout>
                  <c:x val="0"/>
                  <c:y val="9.357500736810995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6A9-4C67-9F47-4847C6765DD4}"/>
                </c:ext>
              </c:extLst>
            </c:dLbl>
            <c:dLbl>
              <c:idx val="10"/>
              <c:layout>
                <c:manualLayout>
                  <c:x val="3.1136608806511721E-3"/>
                  <c:y val="1.40362511052167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6A9-4C67-9F47-4847C6765DD4}"/>
                </c:ext>
              </c:extLst>
            </c:dLbl>
            <c:dLbl>
              <c:idx val="11"/>
              <c:layout>
                <c:manualLayout>
                  <c:x val="3.1136608806511721E-3"/>
                  <c:y val="9.357500736810995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6A9-4C67-9F47-4847C6765DD4}"/>
                </c:ext>
              </c:extLst>
            </c:dLbl>
            <c:numFmt formatCode="0%" sourceLinked="0"/>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extLst>
                <c:ext xmlns:c15="http://schemas.microsoft.com/office/drawing/2012/chart" uri="{02D57815-91ED-43cb-92C2-25804820EDAC}">
                  <c15:fullRef>
                    <c15:sqref>'Дефлятор модель (CPI-PPI) (С-1)'!$A$102:$B$117</c15:sqref>
                  </c15:fullRef>
                </c:ext>
              </c:extLst>
              <c:f>'Дефлятор модель (CPI-PPI) (С-1)'!$A$106:$B$117</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2022</c:v>
                  </c:pt>
                  <c:pt idx="4">
                    <c:v>2023</c:v>
                  </c:pt>
                  <c:pt idx="8">
                    <c:v>2024</c:v>
                  </c:pt>
                </c:lvl>
              </c:multiLvlStrCache>
            </c:multiLvlStrRef>
          </c:cat>
          <c:val>
            <c:numRef>
              <c:extLst>
                <c:ext xmlns:c15="http://schemas.microsoft.com/office/drawing/2012/chart" uri="{02D57815-91ED-43cb-92C2-25804820EDAC}">
                  <c15:fullRef>
                    <c15:sqref>'Дефлятор модель (CPI-PPI) (С-1)'!$G$46:$G$61</c15:sqref>
                  </c15:fullRef>
                </c:ext>
              </c:extLst>
              <c:f>'Дефлятор модель (CPI-PPI) (С-1)'!$G$50:$G$61</c:f>
              <c:numCache>
                <c:formatCode>0.0%</c:formatCode>
                <c:ptCount val="12"/>
                <c:pt idx="0">
                  <c:v>0.255</c:v>
                </c:pt>
                <c:pt idx="1">
                  <c:v>0.377</c:v>
                </c:pt>
                <c:pt idx="2">
                  <c:v>0.38100000000000001</c:v>
                </c:pt>
                <c:pt idx="3">
                  <c:v>0.36499999999999999</c:v>
                </c:pt>
                <c:pt idx="4">
                  <c:v>0.32352897978587086</c:v>
                </c:pt>
                <c:pt idx="5">
                  <c:v>0.24452071690527979</c:v>
                </c:pt>
                <c:pt idx="6">
                  <c:v>0.15986862682673927</c:v>
                </c:pt>
                <c:pt idx="7">
                  <c:v>0.13882334769167104</c:v>
                </c:pt>
                <c:pt idx="8">
                  <c:v>0.12278552200261865</c:v>
                </c:pt>
                <c:pt idx="9">
                  <c:v>9.659560064061079E-2</c:v>
                </c:pt>
                <c:pt idx="10">
                  <c:v>9.6103727543275508E-2</c:v>
                </c:pt>
                <c:pt idx="11">
                  <c:v>0.11054685467633842</c:v>
                </c:pt>
              </c:numCache>
            </c:numRef>
          </c:val>
          <c:extLst>
            <c:ext xmlns:c15="http://schemas.microsoft.com/office/drawing/2012/chart" uri="{02D57815-91ED-43cb-92C2-25804820EDAC}">
              <c15:categoryFilterExceptions>
                <c15:categoryFilterException>
                  <c15:sqref>'Дефлятор модель (CPI-PPI) (С-1)'!$G$46</c15:sqref>
                  <c15:dLbl>
                    <c:idx val="-1"/>
                    <c:layout>
                      <c:manualLayout>
                        <c:x val="3.9911703707333226E-2"/>
                        <c:y val="-5.1274369868727895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2-19BC-475E-B1F7-C07D0C5776AE}"/>
                      </c:ext>
                    </c:extLst>
                  </c15:dLbl>
                </c15:categoryFilterException>
                <c15:categoryFilterException>
                  <c15:sqref>'Дефлятор модель (CPI-PPI) (С-1)'!$G$47</c15:sqref>
                  <c15:dLbl>
                    <c:idx val="-1"/>
                    <c:layout>
                      <c:manualLayout>
                        <c:x val="2.2164118794467415E-2"/>
                        <c:y val="-5.465124901614573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3-19BC-475E-B1F7-C07D0C5776AE}"/>
                      </c:ext>
                    </c:extLst>
                  </c15:dLbl>
                </c15:categoryFilterException>
                <c15:categoryFilterException>
                  <c15:sqref>'Дефлятор модель (CPI-PPI) (С-1)'!$G$48</c15:sqref>
                  <c15:dLbl>
                    <c:idx val="-1"/>
                    <c:layout>
                      <c:manualLayout>
                        <c:x val="1.9766734544737149E-2"/>
                        <c:y val="-6.5585083197864186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4-19BC-475E-B1F7-C07D0C5776AE}"/>
                      </c:ext>
                    </c:extLst>
                  </c15:dLbl>
                </c15:categoryFilterException>
                <c15:categoryFilterException>
                  <c15:sqref>'Дефлятор модель (CPI-PPI) (С-1)'!$G$49</c15:sqref>
                  <c15:dLbl>
                    <c:idx val="-1"/>
                    <c:layout>
                      <c:manualLayout>
                        <c:x val="3.0017644859829152E-2"/>
                        <c:y val="-5.9667077006754658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5-19BC-475E-B1F7-C07D0C5776AE}"/>
                      </c:ext>
                    </c:extLst>
                  </c15:dLbl>
                </c15:categoryFilterException>
              </c15:categoryFilterExceptions>
            </c:ext>
            <c:ext xmlns:c16="http://schemas.microsoft.com/office/drawing/2014/chart" uri="{C3380CC4-5D6E-409C-BE32-E72D297353CC}">
              <c16:uniqueId val="{00000006-8ED0-4941-BE6B-FB79CAD4C09C}"/>
            </c:ext>
          </c:extLst>
        </c:ser>
        <c:dLbls>
          <c:showLegendKey val="0"/>
          <c:showVal val="0"/>
          <c:showCatName val="0"/>
          <c:showSerName val="0"/>
          <c:showPercent val="0"/>
          <c:showBubbleSize val="0"/>
        </c:dLbls>
        <c:axId val="720532336"/>
        <c:axId val="720530736"/>
      </c:areaChart>
      <c:barChart>
        <c:barDir val="col"/>
        <c:grouping val="clustered"/>
        <c:varyColors val="0"/>
        <c:ser>
          <c:idx val="0"/>
          <c:order val="0"/>
          <c:tx>
            <c:strRef>
              <c:f>'Дефлятор модель (CPI-PPI) (С-1)'!$E$1</c:f>
              <c:strCache>
                <c:ptCount val="1"/>
                <c:pt idx="0">
                  <c:v>CPI</c:v>
                </c:pt>
              </c:strCache>
            </c:strRef>
          </c:tx>
          <c:spPr>
            <a:solidFill>
              <a:schemeClr val="accent3"/>
            </a:solidFill>
            <a:ln>
              <a:noFill/>
            </a:ln>
            <a:effectLst/>
          </c:spPr>
          <c:invertIfNegative val="0"/>
          <c:dLbls>
            <c:dLbl>
              <c:idx val="1"/>
              <c:layout>
                <c:manualLayout>
                  <c:x val="-5.458613235009525E-3"/>
                  <c:y val="1.46170297110447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ED0-4941-BE6B-FB79CAD4C09C}"/>
                </c:ext>
              </c:extLst>
            </c:dLbl>
            <c:dLbl>
              <c:idx val="2"/>
              <c:layout>
                <c:manualLayout>
                  <c:x val="-1.3646533087524814E-3"/>
                  <c:y val="1.25288826094668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ED0-4941-BE6B-FB79CAD4C09C}"/>
                </c:ext>
              </c:extLst>
            </c:dLbl>
            <c:dLbl>
              <c:idx val="3"/>
              <c:layout>
                <c:manualLayout>
                  <c:x val="-6.8232665437619067E-3"/>
                  <c:y val="1.4617029711044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ED0-4941-BE6B-FB79CAD4C09C}"/>
                </c:ext>
              </c:extLst>
            </c:dLbl>
            <c:dLbl>
              <c:idx val="5"/>
              <c:layout>
                <c:manualLayout>
                  <c:x val="-1.2281879778771432E-2"/>
                  <c:y val="8.35258840631133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ED0-4941-BE6B-FB79CAD4C09C}"/>
                </c:ext>
              </c:extLst>
            </c:dLbl>
            <c:dLbl>
              <c:idx val="6"/>
              <c:layout>
                <c:manualLayout>
                  <c:x val="-2.7292340884575036E-3"/>
                  <c:y val="1.55437665782493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ED0-4941-BE6B-FB79CAD4C09C}"/>
                </c:ext>
              </c:extLst>
            </c:dLbl>
            <c:dLbl>
              <c:idx val="7"/>
              <c:layout>
                <c:manualLayout>
                  <c:x val="-1.5374619986270471E-3"/>
                  <c:y val="2.0803124078986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ED0-4941-BE6B-FB79CAD4C09C}"/>
                </c:ext>
              </c:extLst>
            </c:dLbl>
            <c:dLbl>
              <c:idx val="8"/>
              <c:layout>
                <c:manualLayout>
                  <c:x val="0"/>
                  <c:y val="1.40362511052166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6A9-4C67-9F47-4847C6765DD4}"/>
                </c:ext>
              </c:extLst>
            </c:dLbl>
            <c:dLbl>
              <c:idx val="9"/>
              <c:layout>
                <c:manualLayout>
                  <c:x val="-1.1416624676565148E-16"/>
                  <c:y val="1.40362511052165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6A9-4C67-9F47-4847C6765DD4}"/>
                </c:ext>
              </c:extLst>
            </c:dLbl>
            <c:dLbl>
              <c:idx val="10"/>
              <c:layout>
                <c:manualLayout>
                  <c:x val="-6.2273217613024578E-3"/>
                  <c:y val="2.3393751842027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6A9-4C67-9F47-4847C6765DD4}"/>
                </c:ext>
              </c:extLst>
            </c:dLbl>
            <c:dLbl>
              <c:idx val="11"/>
              <c:layout>
                <c:manualLayout>
                  <c:x val="0"/>
                  <c:y val="1.40362511052167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6A9-4C67-9F47-4847C6765DD4}"/>
                </c:ext>
              </c:extLst>
            </c:dLbl>
            <c:spPr>
              <a:noFill/>
              <a:ln>
                <a:noFill/>
              </a:ln>
              <a:effectLst/>
            </c:spPr>
            <c:txPr>
              <a:bodyPr rot="0" spcFirstLastPara="1" vertOverflow="ellipsis" vert="horz" wrap="square" anchor="ctr" anchorCtr="1"/>
              <a:lstStyle/>
              <a:p>
                <a:pPr>
                  <a:defRPr sz="600" b="0" i="0" u="none" strike="noStrike" kern="1200" baseline="0">
                    <a:solidFill>
                      <a:schemeClr val="accent3"/>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'Дефлятор модель (CPI-PPI) (С-1)'!$A$102:$B$117</c15:sqref>
                  </c15:fullRef>
                </c:ext>
              </c:extLst>
              <c:f>'Дефлятор модель (CPI-PPI) (С-1)'!$A$106:$B$117</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2022</c:v>
                  </c:pt>
                  <c:pt idx="4">
                    <c:v>2023</c:v>
                  </c:pt>
                  <c:pt idx="8">
                    <c:v>2024</c:v>
                  </c:pt>
                </c:lvl>
              </c:multiLvlStrCache>
            </c:multiLvlStrRef>
          </c:cat>
          <c:val>
            <c:numRef>
              <c:extLst>
                <c:ext xmlns:c15="http://schemas.microsoft.com/office/drawing/2012/chart" uri="{02D57815-91ED-43cb-92C2-25804820EDAC}">
                  <c15:fullRef>
                    <c15:sqref>'Дефлятор модель (CPI-PPI) (С-1)'!$E$46:$E$61</c15:sqref>
                  </c15:fullRef>
                </c:ext>
              </c:extLst>
              <c:f>'Дефлятор модель (CPI-PPI) (С-1)'!$E$50:$E$61</c:f>
              <c:numCache>
                <c:formatCode>0.0%</c:formatCode>
                <c:ptCount val="12"/>
                <c:pt idx="0">
                  <c:v>0.11466666666666669</c:v>
                </c:pt>
                <c:pt idx="1">
                  <c:v>0.18633333333333335</c:v>
                </c:pt>
                <c:pt idx="2">
                  <c:v>0.23533333333333331</c:v>
                </c:pt>
                <c:pt idx="3">
                  <c:v>0.26566666666666666</c:v>
                </c:pt>
                <c:pt idx="4">
                  <c:v>0.24066666666666667</c:v>
                </c:pt>
                <c:pt idx="5">
                  <c:v>0.15333333333333332</c:v>
                </c:pt>
                <c:pt idx="6">
                  <c:v>9.0000000000000011E-2</c:v>
                </c:pt>
                <c:pt idx="7">
                  <c:v>5.1666666666666666E-2</c:v>
                </c:pt>
                <c:pt idx="8">
                  <c:v>7.5344806299750808E-2</c:v>
                </c:pt>
                <c:pt idx="9">
                  <c:v>5.8349286013724827E-2</c:v>
                </c:pt>
                <c:pt idx="10">
                  <c:v>6.1424262647632934E-2</c:v>
                </c:pt>
                <c:pt idx="11">
                  <c:v>7.8194631643714083E-2</c:v>
                </c:pt>
              </c:numCache>
            </c:numRef>
          </c:val>
          <c:extLst>
            <c:ext xmlns:c16="http://schemas.microsoft.com/office/drawing/2014/chart" uri="{C3380CC4-5D6E-409C-BE32-E72D297353CC}">
              <c16:uniqueId val="{0000000D-8ED0-4941-BE6B-FB79CAD4C09C}"/>
            </c:ext>
          </c:extLst>
        </c:ser>
        <c:ser>
          <c:idx val="1"/>
          <c:order val="1"/>
          <c:tx>
            <c:strRef>
              <c:f>'Дефлятор модель (CPI-PPI) (С-1)'!$F$1</c:f>
              <c:strCache>
                <c:ptCount val="1"/>
                <c:pt idx="0">
                  <c:v>PPI</c:v>
                </c:pt>
              </c:strCache>
            </c:strRef>
          </c:tx>
          <c:spPr>
            <a:solidFill>
              <a:schemeClr val="accent1"/>
            </a:solidFill>
            <a:ln>
              <a:noFill/>
            </a:ln>
            <a:effectLst/>
          </c:spPr>
          <c:invertIfNegative val="0"/>
          <c:dLbls>
            <c:dLbl>
              <c:idx val="0"/>
              <c:layout>
                <c:manualLayout>
                  <c:x val="3.1136608806511721E-3"/>
                  <c:y val="9.357500736811082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ED0-4941-BE6B-FB79CAD4C09C}"/>
                </c:ext>
              </c:extLst>
            </c:dLbl>
            <c:dLbl>
              <c:idx val="1"/>
              <c:layout>
                <c:manualLayout>
                  <c:x val="3.1136608806511721E-3"/>
                  <c:y val="2.3393751842027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ED0-4941-BE6B-FB79CAD4C09C}"/>
                </c:ext>
              </c:extLst>
            </c:dLbl>
            <c:dLbl>
              <c:idx val="2"/>
              <c:layout>
                <c:manualLayout>
                  <c:x val="6.2273217613023442E-3"/>
                  <c:y val="2.3393751842027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ED0-4941-BE6B-FB79CAD4C09C}"/>
                </c:ext>
              </c:extLst>
            </c:dLbl>
            <c:dLbl>
              <c:idx val="3"/>
              <c:layout>
                <c:manualLayout>
                  <c:x val="3.1136608806511721E-3"/>
                  <c:y val="1.87150014736221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ED0-4941-BE6B-FB79CAD4C09C}"/>
                </c:ext>
              </c:extLst>
            </c:dLbl>
            <c:dLbl>
              <c:idx val="7"/>
              <c:layout>
                <c:manualLayout>
                  <c:x val="6.2273217613022297E-3"/>
                  <c:y val="-4.678750368405626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8ED0-4941-BE6B-FB79CAD4C09C}"/>
                </c:ext>
              </c:extLst>
            </c:dLbl>
            <c:dLbl>
              <c:idx val="9"/>
              <c:layout>
                <c:manualLayout>
                  <c:x val="-1.1416624676565148E-16"/>
                  <c:y val="-4.678750368405541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8ED0-4941-BE6B-FB79CAD4C09C}"/>
                </c:ext>
              </c:extLst>
            </c:dLbl>
            <c:dLbl>
              <c:idx val="10"/>
              <c:layout>
                <c:manualLayout>
                  <c:x val="0"/>
                  <c:y val="-9.357500736811082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8ED0-4941-BE6B-FB79CAD4C09C}"/>
                </c:ext>
              </c:extLst>
            </c:dLbl>
            <c:dLbl>
              <c:idx val="11"/>
              <c:layout>
                <c:manualLayout>
                  <c:x val="-1.1416624676565148E-16"/>
                  <c:y val="-1.40362511052166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8ED0-4941-BE6B-FB79CAD4C09C}"/>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'Дефлятор модель (CPI-PPI) (С-1)'!$A$102:$B$117</c15:sqref>
                  </c15:fullRef>
                </c:ext>
              </c:extLst>
              <c:f>'Дефлятор модель (CPI-PPI) (С-1)'!$A$106:$B$117</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2022</c:v>
                  </c:pt>
                  <c:pt idx="4">
                    <c:v>2023</c:v>
                  </c:pt>
                  <c:pt idx="8">
                    <c:v>2024</c:v>
                  </c:pt>
                </c:lvl>
              </c:multiLvlStrCache>
            </c:multiLvlStrRef>
          </c:cat>
          <c:val>
            <c:numRef>
              <c:extLst>
                <c:ext xmlns:c15="http://schemas.microsoft.com/office/drawing/2012/chart" uri="{02D57815-91ED-43cb-92C2-25804820EDAC}">
                  <c15:fullRef>
                    <c15:sqref>'Дефлятор модель (CPI-PPI) (С-1)'!$F$46:$F$61</c15:sqref>
                  </c15:fullRef>
                </c:ext>
              </c:extLst>
              <c:f>'Дефлятор модель (CPI-PPI) (С-1)'!$F$50:$F$61</c:f>
              <c:numCache>
                <c:formatCode>0.0%</c:formatCode>
                <c:ptCount val="12"/>
                <c:pt idx="0">
                  <c:v>0.5987304620534567</c:v>
                </c:pt>
                <c:pt idx="1">
                  <c:v>0.61971599669989452</c:v>
                </c:pt>
                <c:pt idx="2">
                  <c:v>0.70140457155676506</c:v>
                </c:pt>
                <c:pt idx="3">
                  <c:v>0.52628589945178506</c:v>
                </c:pt>
                <c:pt idx="4">
                  <c:v>0.36623879864348213</c:v>
                </c:pt>
                <c:pt idx="5">
                  <c:v>0.28842351942229133</c:v>
                </c:pt>
                <c:pt idx="6">
                  <c:v>0.16493965570810051</c:v>
                </c:pt>
                <c:pt idx="7">
                  <c:v>0.15300599389618763</c:v>
                </c:pt>
                <c:pt idx="8">
                  <c:v>0.14266666666666666</c:v>
                </c:pt>
                <c:pt idx="9">
                  <c:v>9.0981452158612905E-2</c:v>
                </c:pt>
                <c:pt idx="10">
                  <c:v>8.7011869601261935E-2</c:v>
                </c:pt>
                <c:pt idx="11">
                  <c:v>0.10897886031419056</c:v>
                </c:pt>
              </c:numCache>
            </c:numRef>
          </c:val>
          <c:extLst>
            <c:ext xmlns:c15="http://schemas.microsoft.com/office/drawing/2012/chart" uri="{02D57815-91ED-43cb-92C2-25804820EDAC}">
              <c15:categoryFilterExceptions>
                <c15:categoryFilterException>
                  <c15:sqref>'Дефлятор модель (CPI-PPI) (С-1)'!$F$49</c15:sqref>
                  <c15:dLbl>
                    <c:idx val="-1"/>
                    <c:layout>
                      <c:manualLayout>
                        <c:x val="0"/>
                        <c:y val="1.4036251105216623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1-19BC-475E-B1F7-C07D0C5776AE}"/>
                      </c:ext>
                    </c:extLst>
                  </c15:dLbl>
                </c15:categoryFilterException>
              </c15:categoryFilterExceptions>
            </c:ext>
            <c:ext xmlns:c16="http://schemas.microsoft.com/office/drawing/2014/chart" uri="{C3380CC4-5D6E-409C-BE32-E72D297353CC}">
              <c16:uniqueId val="{00000013-8ED0-4941-BE6B-FB79CAD4C09C}"/>
            </c:ext>
          </c:extLst>
        </c:ser>
        <c:dLbls>
          <c:showLegendKey val="0"/>
          <c:showVal val="0"/>
          <c:showCatName val="0"/>
          <c:showSerName val="0"/>
          <c:showPercent val="0"/>
          <c:showBubbleSize val="0"/>
        </c:dLbls>
        <c:gapWidth val="219"/>
        <c:axId val="720532336"/>
        <c:axId val="720530736"/>
      </c:barChart>
      <c:catAx>
        <c:axId val="7205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720530736"/>
        <c:crosses val="autoZero"/>
        <c:auto val="1"/>
        <c:lblAlgn val="ctr"/>
        <c:lblOffset val="100"/>
        <c:noMultiLvlLbl val="0"/>
      </c:catAx>
      <c:valAx>
        <c:axId val="720530736"/>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720532336"/>
        <c:crosses val="autoZero"/>
        <c:crossBetween val="between"/>
      </c:valAx>
      <c:spPr>
        <a:noFill/>
        <a:ln>
          <a:noFill/>
        </a:ln>
        <a:effectLst/>
      </c:spPr>
    </c:plotArea>
    <c:legend>
      <c:legendPos val="t"/>
      <c:layout>
        <c:manualLayout>
          <c:xMode val="edge"/>
          <c:yMode val="edge"/>
          <c:x val="0"/>
          <c:y val="0.16757368110816387"/>
          <c:w val="1"/>
          <c:h val="5.4266832644217396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600" b="1">
          <a:solidFill>
            <a:sysClr val="windowText" lastClr="000000"/>
          </a:solidFill>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448058308592039"/>
          <c:y val="0.14237038665970297"/>
          <c:w val="0.80784232932514077"/>
          <c:h val="0.73051495485679874"/>
        </c:manualLayout>
      </c:layout>
      <c:lineChart>
        <c:grouping val="standard"/>
        <c:varyColors val="0"/>
        <c:ser>
          <c:idx val="0"/>
          <c:order val="0"/>
          <c:tx>
            <c:strRef>
              <c:f>'ІЦВ (Стрим Інфл)+'!$D$270</c:f>
              <c:strCache>
                <c:ptCount val="1"/>
                <c:pt idx="0">
                  <c:v>ІЦВ</c:v>
                </c:pt>
              </c:strCache>
            </c:strRef>
          </c:tx>
          <c:spPr>
            <a:ln w="9525" cap="rnd">
              <a:solidFill>
                <a:schemeClr val="accent1"/>
              </a:solidFill>
              <a:round/>
            </a:ln>
            <a:effectLst/>
          </c:spPr>
          <c:marker>
            <c:symbol val="circle"/>
            <c:size val="5"/>
            <c:spPr>
              <a:solidFill>
                <a:schemeClr val="accent1">
                  <a:lumMod val="20000"/>
                  <a:lumOff val="80000"/>
                </a:schemeClr>
              </a:solidFill>
              <a:ln w="9525">
                <a:solidFill>
                  <a:schemeClr val="accent1"/>
                </a:solidFill>
              </a:ln>
              <a:effectLst/>
            </c:spPr>
          </c:marker>
          <c:dLbls>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C3D-42D8-9D9F-106743F6A605}"/>
                </c:ext>
              </c:extLst>
            </c:dLbl>
            <c:dLbl>
              <c:idx val="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C3D-42D8-9D9F-106743F6A605}"/>
                </c:ext>
              </c:extLst>
            </c:dLbl>
            <c:dLbl>
              <c:idx val="12"/>
              <c:layout>
                <c:manualLayout>
                  <c:x val="-4.8719716297232145E-2"/>
                  <c:y val="-3.45928360295966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C3D-42D8-9D9F-106743F6A60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'ІЦВ (Стрим Інфл)+'!$B$272:$C$319</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'ІЦВ (Стрим Інфл)+'!$D$272:$D$319</c:f>
              <c:numCache>
                <c:formatCode>0%</c:formatCode>
                <c:ptCount val="48"/>
                <c:pt idx="0" formatCode="0.0%">
                  <c:v>0.17599999999999999</c:v>
                </c:pt>
                <c:pt idx="1">
                  <c:v>0.26600000000000001</c:v>
                </c:pt>
                <c:pt idx="2">
                  <c:v>0.26300000000000001</c:v>
                </c:pt>
                <c:pt idx="3">
                  <c:v>0.27800000000000002</c:v>
                </c:pt>
                <c:pt idx="4">
                  <c:v>0.33100000000000002</c:v>
                </c:pt>
                <c:pt idx="5">
                  <c:v>0.39100000000000001</c:v>
                </c:pt>
                <c:pt idx="6">
                  <c:v>0.42199999999999988</c:v>
                </c:pt>
                <c:pt idx="7">
                  <c:v>0.46500000000000002</c:v>
                </c:pt>
                <c:pt idx="8">
                  <c:v>0.45100000000000001</c:v>
                </c:pt>
                <c:pt idx="9">
                  <c:v>0.57199999999999995</c:v>
                </c:pt>
                <c:pt idx="10">
                  <c:v>0.60699999999999998</c:v>
                </c:pt>
                <c:pt idx="11">
                  <c:v>0.622</c:v>
                </c:pt>
                <c:pt idx="12">
                  <c:v>0.69099999999999995</c:v>
                </c:pt>
                <c:pt idx="13">
                  <c:v>0.53500000000000003</c:v>
                </c:pt>
              </c:numCache>
            </c:numRef>
          </c:val>
          <c:smooth val="0"/>
          <c:extLst>
            <c:ext xmlns:c16="http://schemas.microsoft.com/office/drawing/2014/chart" uri="{C3380CC4-5D6E-409C-BE32-E72D297353CC}">
              <c16:uniqueId val="{00000003-5C3D-42D8-9D9F-106743F6A605}"/>
            </c:ext>
          </c:extLst>
        </c:ser>
        <c:ser>
          <c:idx val="2"/>
          <c:order val="2"/>
          <c:tx>
            <c:strRef>
              <c:f>'ІЦВ (Стрим Інфл)+'!$F$270</c:f>
              <c:strCache>
                <c:ptCount val="1"/>
                <c:pt idx="0">
                  <c:v>ІЦВ-F</c:v>
                </c:pt>
              </c:strCache>
            </c:strRef>
          </c:tx>
          <c:spPr>
            <a:ln w="9525" cap="rnd">
              <a:solidFill>
                <a:schemeClr val="accent1"/>
              </a:solidFill>
              <a:prstDash val="dash"/>
              <a:round/>
            </a:ln>
            <a:effectLst/>
          </c:spPr>
          <c:marker>
            <c:symbol val="none"/>
          </c:marker>
          <c:dLbls>
            <c:dLbl>
              <c:idx val="1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C3D-42D8-9D9F-106743F6A605}"/>
                </c:ext>
              </c:extLst>
            </c:dLbl>
            <c:dLbl>
              <c:idx val="19"/>
              <c:layout>
                <c:manualLayout>
                  <c:x val="-3.1672306674397785E-2"/>
                  <c:y val="-2.26509655363762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3D-42D8-9D9F-106743F6A605}"/>
                </c:ext>
              </c:extLst>
            </c:dLbl>
            <c:dLbl>
              <c:idx val="2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C3D-42D8-9D9F-106743F6A605}"/>
                </c:ext>
              </c:extLst>
            </c:dLbl>
            <c:dLbl>
              <c:idx val="3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C3D-42D8-9D9F-106743F6A605}"/>
                </c:ext>
              </c:extLst>
            </c:dLbl>
            <c:dLbl>
              <c:idx val="4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C3D-42D8-9D9F-106743F6A605}"/>
                </c:ext>
              </c:extLst>
            </c:dLbl>
            <c:dLbl>
              <c:idx val="4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C3D-42D8-9D9F-106743F6A60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'ІЦВ (Стрим Інфл)+'!$B$272:$C$319</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'ІЦВ (Стрим Інфл)+'!$F$272:$F$319</c:f>
              <c:numCache>
                <c:formatCode>General</c:formatCode>
                <c:ptCount val="48"/>
                <c:pt idx="13" formatCode="0%">
                  <c:v>0.53500000000000003</c:v>
                </c:pt>
                <c:pt idx="14" formatCode="0%">
                  <c:v>0.57019138616037024</c:v>
                </c:pt>
                <c:pt idx="15" formatCode="0%">
                  <c:v>0.62967310526321851</c:v>
                </c:pt>
                <c:pt idx="16" formatCode="0%">
                  <c:v>0.62426841470854244</c:v>
                </c:pt>
                <c:pt idx="17" formatCode="0%">
                  <c:v>0.60520647012792284</c:v>
                </c:pt>
                <c:pt idx="18" formatCode="0%">
                  <c:v>0.70414817775523686</c:v>
                </c:pt>
                <c:pt idx="19" formatCode="0%">
                  <c:v>0.71958968373921817</c:v>
                </c:pt>
                <c:pt idx="20" formatCode="0%">
                  <c:v>0.68047585317584036</c:v>
                </c:pt>
                <c:pt idx="21" formatCode="0%">
                  <c:v>0.58804126527813017</c:v>
                </c:pt>
                <c:pt idx="22" formatCode="0%">
                  <c:v>0.52742962154455708</c:v>
                </c:pt>
                <c:pt idx="23" formatCode="0%">
                  <c:v>0.46338681153266803</c:v>
                </c:pt>
                <c:pt idx="24" formatCode="0%">
                  <c:v>0.34363129235076406</c:v>
                </c:pt>
                <c:pt idx="25" formatCode="0%">
                  <c:v>0.39166470562554023</c:v>
                </c:pt>
                <c:pt idx="26" formatCode="0%">
                  <c:v>0.36342039795414216</c:v>
                </c:pt>
                <c:pt idx="27" formatCode="0%">
                  <c:v>0.31382975952882086</c:v>
                </c:pt>
                <c:pt idx="28" formatCode="0%">
                  <c:v>0.28257441046457132</c:v>
                </c:pt>
                <c:pt idx="29" formatCode="0%">
                  <c:v>0.26886638827348186</c:v>
                </c:pt>
                <c:pt idx="30" formatCode="0.0%">
                  <c:v>0.1948085482192834</c:v>
                </c:pt>
                <c:pt idx="31" formatCode="0.0%">
                  <c:v>0.13053000167144946</c:v>
                </c:pt>
                <c:pt idx="32" formatCode="0.0%">
                  <c:v>0.16948041723356866</c:v>
                </c:pt>
                <c:pt idx="33" formatCode="0.0%">
                  <c:v>0.13352640883677336</c:v>
                </c:pt>
                <c:pt idx="34" formatCode="0.0%">
                  <c:v>0.15283281140564919</c:v>
                </c:pt>
                <c:pt idx="35" formatCode="0.0%">
                  <c:v>0.17265876144614034</c:v>
                </c:pt>
                <c:pt idx="36" formatCode="0.0%">
                  <c:v>0.155</c:v>
                </c:pt>
                <c:pt idx="37" formatCode="0.0%">
                  <c:v>0.14299999999999999</c:v>
                </c:pt>
                <c:pt idx="38" formatCode="0.0%">
                  <c:v>0.13</c:v>
                </c:pt>
                <c:pt idx="39" formatCode="0.0%">
                  <c:v>9.3001200095956651E-2</c:v>
                </c:pt>
                <c:pt idx="40" formatCode="0.0%">
                  <c:v>9.4972270262713834E-2</c:v>
                </c:pt>
                <c:pt idx="41" formatCode="0.0%">
                  <c:v>8.4970886117168187E-2</c:v>
                </c:pt>
                <c:pt idx="42" formatCode="0.0%">
                  <c:v>8.4379717478597419E-2</c:v>
                </c:pt>
                <c:pt idx="43" formatCode="0.0%">
                  <c:v>8.4379962065531805E-2</c:v>
                </c:pt>
                <c:pt idx="44" formatCode="0.0%">
                  <c:v>9.2275929259656553E-2</c:v>
                </c:pt>
                <c:pt idx="45" formatCode="0.0%">
                  <c:v>9.3232216386705771E-2</c:v>
                </c:pt>
                <c:pt idx="46" formatCode="0.0%">
                  <c:v>0.10245008391754613</c:v>
                </c:pt>
                <c:pt idx="47" formatCode="0.0%">
                  <c:v>0.13125428063831976</c:v>
                </c:pt>
              </c:numCache>
            </c:numRef>
          </c:val>
          <c:smooth val="0"/>
          <c:extLst>
            <c:ext xmlns:c16="http://schemas.microsoft.com/office/drawing/2014/chart" uri="{C3380CC4-5D6E-409C-BE32-E72D297353CC}">
              <c16:uniqueId val="{0000000A-5C3D-42D8-9D9F-106743F6A605}"/>
            </c:ext>
          </c:extLst>
        </c:ser>
        <c:dLbls>
          <c:showLegendKey val="0"/>
          <c:showVal val="0"/>
          <c:showCatName val="0"/>
          <c:showSerName val="0"/>
          <c:showPercent val="0"/>
          <c:showBubbleSize val="0"/>
        </c:dLbls>
        <c:marker val="1"/>
        <c:smooth val="0"/>
        <c:axId val="2145466127"/>
        <c:axId val="7505440"/>
      </c:lineChart>
      <c:lineChart>
        <c:grouping val="standard"/>
        <c:varyColors val="0"/>
        <c:ser>
          <c:idx val="1"/>
          <c:order val="1"/>
          <c:tx>
            <c:strRef>
              <c:f>'ІЦВ (Стрим Інфл)+'!$E$270</c:f>
              <c:strCache>
                <c:ptCount val="1"/>
                <c:pt idx="0">
                  <c:v>UA-CPI</c:v>
                </c:pt>
              </c:strCache>
            </c:strRef>
          </c:tx>
          <c:spPr>
            <a:ln w="9525" cap="rnd">
              <a:solidFill>
                <a:schemeClr val="accent3"/>
              </a:solidFill>
              <a:round/>
            </a:ln>
            <a:effectLst/>
          </c:spPr>
          <c:marker>
            <c:symbol val="circle"/>
            <c:size val="4"/>
            <c:spPr>
              <a:solidFill>
                <a:schemeClr val="accent3">
                  <a:lumMod val="40000"/>
                  <a:lumOff val="60000"/>
                </a:schemeClr>
              </a:solidFill>
              <a:ln w="9525">
                <a:solidFill>
                  <a:schemeClr val="accent3"/>
                </a:solidFill>
              </a:ln>
              <a:effectLst/>
            </c:spPr>
          </c:marker>
          <c:dLbls>
            <c:dLbl>
              <c:idx val="4"/>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C3D-42D8-9D9F-106743F6A605}"/>
                </c:ext>
              </c:extLst>
            </c:dLbl>
            <c:dLbl>
              <c:idx val="14"/>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C3D-42D8-9D9F-106743F6A605}"/>
                </c:ext>
              </c:extLst>
            </c:dLbl>
            <c:dLbl>
              <c:idx val="1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C3D-42D8-9D9F-106743F6A605}"/>
                </c:ext>
              </c:extLst>
            </c:dLbl>
            <c:dLbl>
              <c:idx val="23"/>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C3D-42D8-9D9F-106743F6A605}"/>
                </c:ext>
              </c:extLst>
            </c:dLbl>
            <c:dLbl>
              <c:idx val="2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C3D-42D8-9D9F-106743F6A60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3"/>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'ІЦВ (Стрим Інфл)+'!$B$272:$C$319</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'ІЦВ (Стрим Інфл)+'!$E$272:$E$319</c:f>
              <c:numCache>
                <c:formatCode>0</c:formatCode>
                <c:ptCount val="48"/>
                <c:pt idx="0">
                  <c:v>107.3942318607757</c:v>
                </c:pt>
                <c:pt idx="1">
                  <c:v>107.27689409677562</c:v>
                </c:pt>
                <c:pt idx="2">
                  <c:v>109.38117039790873</c:v>
                </c:pt>
                <c:pt idx="3">
                  <c:v>114.88689547968715</c:v>
                </c:pt>
                <c:pt idx="4">
                  <c:v>127.36303446213165</c:v>
                </c:pt>
                <c:pt idx="5">
                  <c:v>130.64615081746115</c:v>
                </c:pt>
                <c:pt idx="6">
                  <c:v>130.68952299701678</c:v>
                </c:pt>
                <c:pt idx="7">
                  <c:v>121.37686063335032</c:v>
                </c:pt>
                <c:pt idx="8">
                  <c:v>117.4428654492054</c:v>
                </c:pt>
                <c:pt idx="9">
                  <c:v>129.9378643666553</c:v>
                </c:pt>
                <c:pt idx="10">
                  <c:v>123.5061720626106</c:v>
                </c:pt>
                <c:pt idx="11">
                  <c:v>139.12591896129169</c:v>
                </c:pt>
                <c:pt idx="12">
                  <c:v>155.10996500177873</c:v>
                </c:pt>
                <c:pt idx="13">
                  <c:v>160.75564639999533</c:v>
                </c:pt>
                <c:pt idx="14">
                  <c:v>209.5082557254367</c:v>
                </c:pt>
                <c:pt idx="15">
                  <c:v>190.610414582011</c:v>
                </c:pt>
                <c:pt idx="16">
                  <c:v>183.00936410355791</c:v>
                </c:pt>
                <c:pt idx="17">
                  <c:v>186.75808375886092</c:v>
                </c:pt>
                <c:pt idx="18">
                  <c:v>205.13848403225657</c:v>
                </c:pt>
                <c:pt idx="19">
                  <c:v>230.60665470544814</c:v>
                </c:pt>
                <c:pt idx="20">
                  <c:v>210.54868377955887</c:v>
                </c:pt>
                <c:pt idx="21">
                  <c:v>178.69019960961467</c:v>
                </c:pt>
                <c:pt idx="22">
                  <c:v>164.50445003631515</c:v>
                </c:pt>
                <c:pt idx="23">
                  <c:v>161.90078935475867</c:v>
                </c:pt>
                <c:pt idx="24">
                  <c:v>146.68577622635451</c:v>
                </c:pt>
                <c:pt idx="25">
                  <c:v>138.74359824996117</c:v>
                </c:pt>
                <c:pt idx="26">
                  <c:v>126.90257301984613</c:v>
                </c:pt>
                <c:pt idx="27">
                  <c:v>126.90331385610364</c:v>
                </c:pt>
                <c:pt idx="28">
                  <c:v>111.52648750672626</c:v>
                </c:pt>
                <c:pt idx="29">
                  <c:v>111.55227321847254</c:v>
                </c:pt>
                <c:pt idx="30">
                  <c:v>109.38568070013625</c:v>
                </c:pt>
                <c:pt idx="31">
                  <c:v>109.34920390790697</c:v>
                </c:pt>
                <c:pt idx="32">
                  <c:v>114.50213310122605</c:v>
                </c:pt>
                <c:pt idx="33">
                  <c:v>121.49279304972606</c:v>
                </c:pt>
                <c:pt idx="34">
                  <c:v>110.31591659566976</c:v>
                </c:pt>
              </c:numCache>
            </c:numRef>
          </c:val>
          <c:smooth val="0"/>
          <c:extLst>
            <c:ext xmlns:c16="http://schemas.microsoft.com/office/drawing/2014/chart" uri="{C3380CC4-5D6E-409C-BE32-E72D297353CC}">
              <c16:uniqueId val="{00000010-5C3D-42D8-9D9F-106743F6A605}"/>
            </c:ext>
          </c:extLst>
        </c:ser>
        <c:ser>
          <c:idx val="3"/>
          <c:order val="3"/>
          <c:tx>
            <c:strRef>
              <c:f>'ІЦВ (Стрим Інфл)+'!$G$270</c:f>
              <c:strCache>
                <c:ptCount val="1"/>
                <c:pt idx="0">
                  <c:v>UA-CPI- F</c:v>
                </c:pt>
              </c:strCache>
            </c:strRef>
          </c:tx>
          <c:spPr>
            <a:ln w="9525" cap="rnd">
              <a:solidFill>
                <a:schemeClr val="accent3"/>
              </a:solidFill>
              <a:prstDash val="dash"/>
              <a:round/>
            </a:ln>
            <a:effectLst/>
          </c:spPr>
          <c:marker>
            <c:symbol val="none"/>
          </c:marker>
          <c:dLbls>
            <c:dLbl>
              <c:idx val="33"/>
              <c:layout>
                <c:manualLayout>
                  <c:x val="-2.5502162146730133E-2"/>
                  <c:y val="2.58314410576577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C3D-42D8-9D9F-106743F6A605}"/>
                </c:ext>
              </c:extLst>
            </c:dLbl>
            <c:dLbl>
              <c:idx val="4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C3D-42D8-9D9F-106743F6A605}"/>
                </c:ext>
              </c:extLst>
            </c:dLbl>
            <c:dLbl>
              <c:idx val="4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C3D-42D8-9D9F-106743F6A60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3"/>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'ІЦВ (Стрим Інфл)+'!$B$272:$C$319</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'ІЦВ (Стрим Інфл)+'!$G$272:$G$319</c:f>
              <c:numCache>
                <c:formatCode>General</c:formatCode>
                <c:ptCount val="48"/>
                <c:pt idx="34" formatCode="0">
                  <c:v>110.31591659566976</c:v>
                </c:pt>
                <c:pt idx="35" formatCode="0">
                  <c:v>102.74267749941828</c:v>
                </c:pt>
                <c:pt idx="36" formatCode="0">
                  <c:v>101.93020878921494</c:v>
                </c:pt>
                <c:pt idx="37" formatCode="0">
                  <c:v>101.31443162196511</c:v>
                </c:pt>
                <c:pt idx="38" formatCode="0">
                  <c:v>100.53593474810968</c:v>
                </c:pt>
                <c:pt idx="39" formatCode="0">
                  <c:v>100.91179773295472</c:v>
                </c:pt>
                <c:pt idx="40" formatCode="0">
                  <c:v>101.17796298362366</c:v>
                </c:pt>
                <c:pt idx="41" formatCode="0">
                  <c:v>101.21153785639414</c:v>
                </c:pt>
                <c:pt idx="42" formatCode="0">
                  <c:v>101.82123928676134</c:v>
                </c:pt>
                <c:pt idx="43" formatCode="0">
                  <c:v>102.12258769870664</c:v>
                </c:pt>
                <c:pt idx="44" formatCode="0">
                  <c:v>102.5158661227303</c:v>
                </c:pt>
                <c:pt idx="45" formatCode="0">
                  <c:v>103.00714104124147</c:v>
                </c:pt>
                <c:pt idx="46" formatCode="0">
                  <c:v>105.29329300463289</c:v>
                </c:pt>
                <c:pt idx="47" formatCode="0">
                  <c:v>105.88194455336817</c:v>
                </c:pt>
              </c:numCache>
            </c:numRef>
          </c:val>
          <c:smooth val="0"/>
          <c:extLst>
            <c:ext xmlns:c16="http://schemas.microsoft.com/office/drawing/2014/chart" uri="{C3380CC4-5D6E-409C-BE32-E72D297353CC}">
              <c16:uniqueId val="{00000014-5C3D-42D8-9D9F-106743F6A605}"/>
            </c:ext>
          </c:extLst>
        </c:ser>
        <c:dLbls>
          <c:showLegendKey val="0"/>
          <c:showVal val="0"/>
          <c:showCatName val="0"/>
          <c:showSerName val="0"/>
          <c:showPercent val="0"/>
          <c:showBubbleSize val="0"/>
        </c:dLbls>
        <c:marker val="1"/>
        <c:smooth val="0"/>
        <c:axId val="2145452207"/>
        <c:axId val="7481632"/>
      </c:lineChart>
      <c:catAx>
        <c:axId val="2145466127"/>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7505440"/>
        <c:crosses val="autoZero"/>
        <c:auto val="1"/>
        <c:lblAlgn val="ctr"/>
        <c:lblOffset val="100"/>
        <c:noMultiLvlLbl val="0"/>
      </c:catAx>
      <c:valAx>
        <c:axId val="7505440"/>
        <c:scaling>
          <c:orientation val="minMax"/>
          <c:max val="1"/>
        </c:scaling>
        <c:delete val="0"/>
        <c:axPos val="l"/>
        <c:majorGridlines>
          <c:spPr>
            <a:ln w="9525" cap="flat" cmpd="sng" algn="ctr">
              <a:solidFill>
                <a:schemeClr val="tx1">
                  <a:lumMod val="15000"/>
                  <a:lumOff val="85000"/>
                </a:schemeClr>
              </a:solidFill>
              <a:round/>
            </a:ln>
            <a:effectLst/>
          </c:spPr>
        </c:majorGridlines>
        <c:title>
          <c:tx>
            <c:strRef>
              <c:f>'ІЦВ (Стрим Інфл)+'!$J$270</c:f>
              <c:strCache>
                <c:ptCount val="1"/>
                <c:pt idx="0">
                  <c:v>% р-р</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accent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1"/>
                </a:solidFill>
                <a:latin typeface="+mn-lt"/>
                <a:ea typeface="+mn-ea"/>
                <a:cs typeface="+mn-cs"/>
              </a:defRPr>
            </a:pPr>
            <a:endParaRPr lang="en-US"/>
          </a:p>
        </c:txPr>
        <c:crossAx val="2145466127"/>
        <c:crosses val="autoZero"/>
        <c:crossBetween val="between"/>
      </c:valAx>
      <c:valAx>
        <c:axId val="748163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3"/>
                </a:solidFill>
                <a:latin typeface="+mn-lt"/>
                <a:ea typeface="+mn-ea"/>
                <a:cs typeface="+mn-cs"/>
              </a:defRPr>
            </a:pPr>
            <a:endParaRPr lang="en-US"/>
          </a:p>
        </c:txPr>
        <c:crossAx val="2145452207"/>
        <c:crosses val="max"/>
        <c:crossBetween val="between"/>
      </c:valAx>
      <c:catAx>
        <c:axId val="2145452207"/>
        <c:scaling>
          <c:orientation val="minMax"/>
        </c:scaling>
        <c:delete val="1"/>
        <c:axPos val="b"/>
        <c:numFmt formatCode="General" sourceLinked="1"/>
        <c:majorTickMark val="out"/>
        <c:minorTickMark val="none"/>
        <c:tickLblPos val="nextTo"/>
        <c:crossAx val="7481632"/>
        <c:crosses val="autoZero"/>
        <c:auto val="1"/>
        <c:lblAlgn val="ctr"/>
        <c:lblOffset val="100"/>
        <c:noMultiLvlLbl val="0"/>
      </c:catAx>
      <c:spPr>
        <a:noFill/>
        <a:ln>
          <a:noFill/>
        </a:ln>
        <a:effectLst/>
      </c:spPr>
    </c:plotArea>
    <c:legend>
      <c:legendPos val="t"/>
      <c:legendEntry>
        <c:idx val="1"/>
        <c:delete val="1"/>
      </c:legendEntry>
      <c:legendEntry>
        <c:idx val="3"/>
        <c:delete val="1"/>
      </c:legendEntry>
      <c:layout>
        <c:manualLayout>
          <c:xMode val="edge"/>
          <c:yMode val="edge"/>
          <c:x val="0.18667167045807831"/>
          <c:y val="6.988195879773762E-2"/>
          <c:w val="0.55254534350592055"/>
          <c:h val="4.5483554417051111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014148691501042E-2"/>
          <c:y val="9.582682540916676E-2"/>
          <c:w val="0.89140674609645787"/>
          <c:h val="0.73729605633738127"/>
        </c:manualLayout>
      </c:layout>
      <c:lineChart>
        <c:grouping val="standard"/>
        <c:varyColors val="0"/>
        <c:ser>
          <c:idx val="0"/>
          <c:order val="0"/>
          <c:spPr>
            <a:ln w="12700" cap="rnd">
              <a:solidFill>
                <a:schemeClr val="accent1"/>
              </a:solidFill>
              <a:round/>
            </a:ln>
            <a:effectLst/>
          </c:spPr>
          <c:marker>
            <c:symbol val="circle"/>
            <c:size val="7"/>
            <c:spPr>
              <a:solidFill>
                <a:schemeClr val="accent1">
                  <a:lumMod val="20000"/>
                  <a:lumOff val="80000"/>
                </a:schemeClr>
              </a:solidFill>
              <a:ln w="12700">
                <a:solidFill>
                  <a:schemeClr val="accent1"/>
                </a:solidFill>
              </a:ln>
              <a:effectLst/>
            </c:spPr>
          </c:marker>
          <c:dLbls>
            <c:dLbl>
              <c:idx val="1"/>
              <c:layout>
                <c:manualLayout>
                  <c:x val="-4.6604346042027095E-2"/>
                  <c:y val="4.86636715730430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63-43A5-BE76-FF6830ED0F76}"/>
                </c:ext>
              </c:extLst>
            </c:dLbl>
            <c:dLbl>
              <c:idx val="3"/>
              <c:layout>
                <c:manualLayout>
                  <c:x val="-5.1674357555761503E-2"/>
                  <c:y val="3.45455440514626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63-43A5-BE76-FF6830ED0F76}"/>
                </c:ext>
              </c:extLst>
            </c:dLbl>
            <c:dLbl>
              <c:idx val="5"/>
              <c:layout>
                <c:manualLayout>
                  <c:x val="-5.5724678153169595E-2"/>
                  <c:y val="6.4316947228932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63-43A5-BE76-FF6830ED0F76}"/>
                </c:ext>
              </c:extLst>
            </c:dLbl>
            <c:dLbl>
              <c:idx val="8"/>
              <c:layout>
                <c:manualLayout>
                  <c:x val="-4.6336474278995642E-2"/>
                  <c:y val="4.73047168418066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63-43A5-BE76-FF6830ED0F76}"/>
                </c:ext>
              </c:extLst>
            </c:dLbl>
            <c:dLbl>
              <c:idx val="10"/>
              <c:layout>
                <c:manualLayout>
                  <c:x val="-5.2606821232640703E-2"/>
                  <c:y val="5.58108320353693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63-43A5-BE76-FF6830ED0F76}"/>
                </c:ext>
              </c:extLst>
            </c:dLbl>
            <c:dLbl>
              <c:idx val="12"/>
              <c:layout>
                <c:manualLayout>
                  <c:x val="-5.2377322062520222E-2"/>
                  <c:y val="4.30516592450253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63-43A5-BE76-FF6830ED0F76}"/>
                </c:ext>
              </c:extLst>
            </c:dLbl>
            <c:dLbl>
              <c:idx val="14"/>
              <c:layout>
                <c:manualLayout>
                  <c:x val="-5.5251432013446414E-2"/>
                  <c:y val="4.73047168418066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063-43A5-BE76-FF6830ED0F76}"/>
                </c:ext>
              </c:extLst>
            </c:dLbl>
            <c:dLbl>
              <c:idx val="16"/>
              <c:layout>
                <c:manualLayout>
                  <c:x val="-4.9600316344987884E-2"/>
                  <c:y val="4.30516592450253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063-43A5-BE76-FF6830ED0F76}"/>
                </c:ext>
              </c:extLst>
            </c:dLbl>
            <c:dLbl>
              <c:idx val="18"/>
              <c:layout>
                <c:manualLayout>
                  <c:x val="-3.6126720366988344E-2"/>
                  <c:y val="-4.20094926906014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063-43A5-BE76-FF6830ED0F76}"/>
                </c:ext>
              </c:extLst>
            </c:dLbl>
            <c:dLbl>
              <c:idx val="19"/>
              <c:layout>
                <c:manualLayout>
                  <c:x val="-4.6469274566268745E-2"/>
                  <c:y val="4.73046030524817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063-43A5-BE76-FF6830ED0F76}"/>
                </c:ext>
              </c:extLst>
            </c:dLbl>
            <c:dLbl>
              <c:idx val="20"/>
              <c:layout>
                <c:manualLayout>
                  <c:x val="-1.8091327653460509E-2"/>
                  <c:y val="2.92656223409521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063-43A5-BE76-FF6830ED0F76}"/>
                </c:ext>
              </c:extLst>
            </c:dLbl>
            <c:dLbl>
              <c:idx val="21"/>
              <c:layout>
                <c:manualLayout>
                  <c:x val="-7.825114052472372E-2"/>
                  <c:y val="-4.14041734897667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063-43A5-BE76-FF6830ED0F76}"/>
                </c:ext>
              </c:extLst>
            </c:dLbl>
            <c:dLbl>
              <c:idx val="22"/>
              <c:layout>
                <c:manualLayout>
                  <c:x val="-5.8603481688470679E-3"/>
                  <c:y val="-3.57296946674335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53-4FA8-A095-B8DDD1497381}"/>
                </c:ext>
              </c:extLst>
            </c:dLbl>
            <c:dLbl>
              <c:idx val="23"/>
              <c:layout>
                <c:manualLayout>
                  <c:x val="-3.0642372071828703E-3"/>
                  <c:y val="4.38147196538420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73-4787-A8A9-996E8D55AFAA}"/>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'Беробіття '!$A$6:$B$29</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2022</c:v>
                  </c:pt>
                  <c:pt idx="12">
                    <c:v>2023</c:v>
                  </c:pt>
                </c:lvl>
              </c:multiLvlStrCache>
            </c:multiLvlStrRef>
          </c:cat>
          <c:val>
            <c:numRef>
              <c:f>'Беробіття '!$C$6:$C$29</c:f>
              <c:numCache>
                <c:formatCode>0.0%</c:formatCode>
                <c:ptCount val="24"/>
                <c:pt idx="0">
                  <c:v>0.105</c:v>
                </c:pt>
                <c:pt idx="1">
                  <c:v>8.5999999999999993E-2</c:v>
                </c:pt>
                <c:pt idx="2">
                  <c:v>0.29499999999999998</c:v>
                </c:pt>
                <c:pt idx="3">
                  <c:v>0.27200000000000002</c:v>
                </c:pt>
                <c:pt idx="4">
                  <c:v>0.307</c:v>
                </c:pt>
                <c:pt idx="5">
                  <c:v>0.26</c:v>
                </c:pt>
                <c:pt idx="6">
                  <c:v>0.28199999999999997</c:v>
                </c:pt>
                <c:pt idx="7">
                  <c:v>0.26</c:v>
                </c:pt>
                <c:pt idx="8">
                  <c:v>0.215</c:v>
                </c:pt>
                <c:pt idx="9">
                  <c:v>0.22900000000000001</c:v>
                </c:pt>
                <c:pt idx="10">
                  <c:v>0.19700000000000001</c:v>
                </c:pt>
                <c:pt idx="11">
                  <c:v>0.223</c:v>
                </c:pt>
                <c:pt idx="12">
                  <c:v>0.216</c:v>
                </c:pt>
                <c:pt idx="13">
                  <c:v>0.24199999999999999</c:v>
                </c:pt>
                <c:pt idx="14">
                  <c:v>0.20499999999999999</c:v>
                </c:pt>
                <c:pt idx="15">
                  <c:v>0.20799999999999999</c:v>
                </c:pt>
                <c:pt idx="16">
                  <c:v>0.17699999999999999</c:v>
                </c:pt>
                <c:pt idx="17">
                  <c:v>0.214</c:v>
                </c:pt>
                <c:pt idx="18">
                  <c:v>0.16600000000000001</c:v>
                </c:pt>
                <c:pt idx="19">
                  <c:v>0.151</c:v>
                </c:pt>
                <c:pt idx="20">
                  <c:v>0.159</c:v>
                </c:pt>
                <c:pt idx="21">
                  <c:v>0.184</c:v>
                </c:pt>
                <c:pt idx="22">
                  <c:v>0.2</c:v>
                </c:pt>
                <c:pt idx="23">
                  <c:v>0.161</c:v>
                </c:pt>
              </c:numCache>
            </c:numRef>
          </c:val>
          <c:smooth val="1"/>
          <c:extLst>
            <c:ext xmlns:c16="http://schemas.microsoft.com/office/drawing/2014/chart" uri="{C3380CC4-5D6E-409C-BE32-E72D297353CC}">
              <c16:uniqueId val="{0000000C-C063-43A5-BE76-FF6830ED0F76}"/>
            </c:ext>
          </c:extLst>
        </c:ser>
        <c:dLbls>
          <c:showLegendKey val="0"/>
          <c:showVal val="0"/>
          <c:showCatName val="0"/>
          <c:showSerName val="0"/>
          <c:showPercent val="0"/>
          <c:showBubbleSize val="0"/>
        </c:dLbls>
        <c:marker val="1"/>
        <c:smooth val="0"/>
        <c:axId val="119254592"/>
        <c:axId val="243399439"/>
      </c:lineChart>
      <c:catAx>
        <c:axId val="119254592"/>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43399439"/>
        <c:crosses val="autoZero"/>
        <c:auto val="1"/>
        <c:lblAlgn val="ctr"/>
        <c:lblOffset val="100"/>
        <c:noMultiLvlLbl val="0"/>
      </c:catAx>
      <c:valAx>
        <c:axId val="243399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11925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45057244860272"/>
          <c:y val="0.22592175674593701"/>
          <c:w val="0.79606697033115847"/>
          <c:h val="0.62857870920968895"/>
        </c:manualLayout>
      </c:layout>
      <c:barChart>
        <c:barDir val="col"/>
        <c:grouping val="clustered"/>
        <c:varyColors val="0"/>
        <c:ser>
          <c:idx val="1"/>
          <c:order val="1"/>
          <c:tx>
            <c:strRef>
              <c:f>'Чарти 5-7'!$G$90</c:f>
              <c:strCache>
                <c:ptCount val="1"/>
                <c:pt idx="0">
                  <c:v>USD</c:v>
                </c:pt>
              </c:strCache>
            </c:strRef>
          </c:tx>
          <c:spPr>
            <a:solidFill>
              <a:schemeClr val="accent5">
                <a:lumMod val="20000"/>
                <a:lumOff val="8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2023'!$AK$117:$AW$118</c:f>
              <c:multiLvlStrCache>
                <c:ptCount val="13"/>
                <c:lvl>
                  <c:pt idx="0">
                    <c:v>12</c:v>
                  </c:pt>
                  <c:pt idx="1">
                    <c:v>1</c:v>
                  </c:pt>
                  <c:pt idx="2">
                    <c:v>2</c:v>
                  </c:pt>
                  <c:pt idx="3">
                    <c:v>3</c:v>
                  </c:pt>
                  <c:pt idx="4">
                    <c:v>4</c:v>
                  </c:pt>
                  <c:pt idx="5">
                    <c:v>5</c:v>
                  </c:pt>
                  <c:pt idx="6">
                    <c:v>6</c:v>
                  </c:pt>
                  <c:pt idx="7">
                    <c:v>7</c:v>
                  </c:pt>
                  <c:pt idx="8">
                    <c:v>8</c:v>
                  </c:pt>
                  <c:pt idx="9">
                    <c:v>9</c:v>
                  </c:pt>
                  <c:pt idx="10">
                    <c:v>10</c:v>
                  </c:pt>
                  <c:pt idx="11">
                    <c:v>11</c:v>
                  </c:pt>
                  <c:pt idx="12">
                    <c:v>12</c:v>
                  </c:pt>
                </c:lvl>
                <c:lvl>
                  <c:pt idx="0">
                    <c:v>2022</c:v>
                  </c:pt>
                  <c:pt idx="1">
                    <c:v>2023</c:v>
                  </c:pt>
                </c:lvl>
              </c:multiLvlStrCache>
            </c:multiLvlStrRef>
          </c:cat>
          <c:val>
            <c:numRef>
              <c:f>'Прогноз Зарплати 2023'!$AW$131:$BI$131</c:f>
              <c:numCache>
                <c:formatCode>_-* #\ ##0\ _₴_-;\-* #\ ##0\ _₴_-;_-* "-"?\ _₴_-;_-@_-</c:formatCode>
                <c:ptCount val="13"/>
                <c:pt idx="0" formatCode="_(* #\ ##0_);_(* \(#\ ##0\);_(* &quot;-&quot;??_);_(@_)">
                  <c:v>535.24038449333057</c:v>
                </c:pt>
                <c:pt idx="1">
                  <c:v>508.84681053528681</c:v>
                </c:pt>
                <c:pt idx="2">
                  <c:v>503.19481265994614</c:v>
                </c:pt>
                <c:pt idx="3">
                  <c:v>499.64262863852281</c:v>
                </c:pt>
                <c:pt idx="4">
                  <c:v>499.07458573239524</c:v>
                </c:pt>
                <c:pt idx="5">
                  <c:v>495.36902860105619</c:v>
                </c:pt>
                <c:pt idx="6">
                  <c:v>512.7091228683995</c:v>
                </c:pt>
                <c:pt idx="7">
                  <c:v>518.53943329312915</c:v>
                </c:pt>
                <c:pt idx="8">
                  <c:v>510.40427339581566</c:v>
                </c:pt>
                <c:pt idx="9">
                  <c:v>517.83104008668101</c:v>
                </c:pt>
                <c:pt idx="10">
                  <c:v>535.83128279347136</c:v>
                </c:pt>
                <c:pt idx="11">
                  <c:v>530.22977513119031</c:v>
                </c:pt>
                <c:pt idx="12">
                  <c:v>591.00703827839345</c:v>
                </c:pt>
              </c:numCache>
            </c:numRef>
          </c:val>
          <c:extLst>
            <c:ext xmlns:c16="http://schemas.microsoft.com/office/drawing/2014/chart" uri="{C3380CC4-5D6E-409C-BE32-E72D297353CC}">
              <c16:uniqueId val="{00000000-3877-4D26-8591-84F02D9FC5A3}"/>
            </c:ext>
          </c:extLst>
        </c:ser>
        <c:dLbls>
          <c:showLegendKey val="0"/>
          <c:showVal val="0"/>
          <c:showCatName val="0"/>
          <c:showSerName val="0"/>
          <c:showPercent val="0"/>
          <c:showBubbleSize val="0"/>
        </c:dLbls>
        <c:gapWidth val="150"/>
        <c:axId val="554919048"/>
        <c:axId val="554922248"/>
      </c:barChart>
      <c:lineChart>
        <c:grouping val="standard"/>
        <c:varyColors val="0"/>
        <c:ser>
          <c:idx val="0"/>
          <c:order val="0"/>
          <c:tx>
            <c:strRef>
              <c:f>'Прогноз Зарплати 2023'!$A$143</c:f>
              <c:strCache>
                <c:ptCount val="1"/>
                <c:pt idx="0">
                  <c:v>UAH</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2023'!$AW$127:$BI$128</c:f>
              <c:multiLvlStrCache>
                <c:ptCount val="13"/>
                <c:lvl>
                  <c:pt idx="0">
                    <c:v>12</c:v>
                  </c:pt>
                  <c:pt idx="1">
                    <c:v>1</c:v>
                  </c:pt>
                  <c:pt idx="2">
                    <c:v>2</c:v>
                  </c:pt>
                  <c:pt idx="3">
                    <c:v>3</c:v>
                  </c:pt>
                  <c:pt idx="4">
                    <c:v>4</c:v>
                  </c:pt>
                  <c:pt idx="5">
                    <c:v>5</c:v>
                  </c:pt>
                  <c:pt idx="6">
                    <c:v>6</c:v>
                  </c:pt>
                  <c:pt idx="7">
                    <c:v>7</c:v>
                  </c:pt>
                  <c:pt idx="8">
                    <c:v>8</c:v>
                  </c:pt>
                  <c:pt idx="9">
                    <c:v>9</c:v>
                  </c:pt>
                  <c:pt idx="10">
                    <c:v>10</c:v>
                  </c:pt>
                  <c:pt idx="11">
                    <c:v>11</c:v>
                  </c:pt>
                  <c:pt idx="12">
                    <c:v>12</c:v>
                  </c:pt>
                </c:lvl>
                <c:lvl>
                  <c:pt idx="1">
                    <c:v>2024</c:v>
                  </c:pt>
                </c:lvl>
              </c:multiLvlStrCache>
            </c:multiLvlStrRef>
          </c:cat>
          <c:val>
            <c:numRef>
              <c:f>'Прогноз Зарплати 2023'!$AW$129:$BI$129</c:f>
              <c:numCache>
                <c:formatCode>_-* #\ ##0\ _₴_-;\-* #\ ##0\ _₴_-;_-* "-"?\ _₴_-;_-@_-</c:formatCode>
                <c:ptCount val="13"/>
                <c:pt idx="0" formatCode="_(* #\ ##0_);_(* \(#\ ##0\);_(* &quot;-&quot;??_);_(@_)">
                  <c:v>19654.830000000002</c:v>
                </c:pt>
                <c:pt idx="1">
                  <c:v>19118.511067941676</c:v>
                </c:pt>
                <c:pt idx="2">
                  <c:v>19259.673709713803</c:v>
                </c:pt>
                <c:pt idx="3">
                  <c:v>19538.927916903838</c:v>
                </c:pt>
                <c:pt idx="4">
                  <c:v>19661.395225941844</c:v>
                </c:pt>
                <c:pt idx="5">
                  <c:v>19706.298631327682</c:v>
                </c:pt>
                <c:pt idx="6">
                  <c:v>20589.577773895002</c:v>
                </c:pt>
                <c:pt idx="7">
                  <c:v>21008.954504072528</c:v>
                </c:pt>
                <c:pt idx="8">
                  <c:v>20746.773501915468</c:v>
                </c:pt>
                <c:pt idx="9">
                  <c:v>21162.127376373395</c:v>
                </c:pt>
                <c:pt idx="10">
                  <c:v>21983.554257159536</c:v>
                </c:pt>
                <c:pt idx="11">
                  <c:v>21845.506348591651</c:v>
                </c:pt>
                <c:pt idx="12">
                  <c:v>24469.236765408983</c:v>
                </c:pt>
              </c:numCache>
            </c:numRef>
          </c:val>
          <c:smooth val="0"/>
          <c:extLst>
            <c:ext xmlns:c16="http://schemas.microsoft.com/office/drawing/2014/chart" uri="{C3380CC4-5D6E-409C-BE32-E72D297353CC}">
              <c16:uniqueId val="{00000001-3877-4D26-8591-84F02D9FC5A3}"/>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in val="600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750"/>
          <c:min val="3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4.1616890311461284E-2"/>
          <c:y val="0.1609899537115404"/>
          <c:w val="0.94682161762895478"/>
          <c:h val="7.3129989737642662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447863531756395E-2"/>
          <c:y val="0.17298421606782985"/>
          <c:w val="0.86127135796555443"/>
          <c:h val="0.60483436957764525"/>
        </c:manualLayout>
      </c:layout>
      <c:barChart>
        <c:barDir val="col"/>
        <c:grouping val="clustered"/>
        <c:varyColors val="0"/>
        <c:ser>
          <c:idx val="1"/>
          <c:order val="1"/>
          <c:tx>
            <c:strRef>
              <c:f>'Прогноз Зарплати 2023'!$A$150</c:f>
              <c:strCache>
                <c:ptCount val="1"/>
                <c:pt idx="0">
                  <c:v>USD </c:v>
                </c:pt>
              </c:strCache>
            </c:strRef>
          </c:tx>
          <c:spPr>
            <a:solidFill>
              <a:schemeClr val="accent5">
                <a:lumMod val="40000"/>
                <a:lumOff val="60000"/>
              </a:schemeClr>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0-0A08-4027-9055-5253A0C4B365}"/>
                </c:ext>
              </c:extLst>
            </c:dLbl>
            <c:dLbl>
              <c:idx val="3"/>
              <c:delete val="1"/>
              <c:extLst>
                <c:ext xmlns:c15="http://schemas.microsoft.com/office/drawing/2012/chart" uri="{CE6537A1-D6FC-4f65-9D91-7224C49458BB}"/>
                <c:ext xmlns:c16="http://schemas.microsoft.com/office/drawing/2014/chart" uri="{C3380CC4-5D6E-409C-BE32-E72D297353CC}">
                  <c16:uniqueId val="{00000001-0A08-4027-9055-5253A0C4B365}"/>
                </c:ext>
              </c:extLst>
            </c:dLbl>
            <c:dLbl>
              <c:idx val="5"/>
              <c:delete val="1"/>
              <c:extLst>
                <c:ext xmlns:c15="http://schemas.microsoft.com/office/drawing/2012/chart" uri="{CE6537A1-D6FC-4f65-9D91-7224C49458BB}"/>
                <c:ext xmlns:c16="http://schemas.microsoft.com/office/drawing/2014/chart" uri="{C3380CC4-5D6E-409C-BE32-E72D297353CC}">
                  <c16:uniqueId val="{00000002-0A08-4027-9055-5253A0C4B365}"/>
                </c:ext>
              </c:extLst>
            </c:dLbl>
            <c:dLbl>
              <c:idx val="7"/>
              <c:delete val="1"/>
              <c:extLst>
                <c:ext xmlns:c15="http://schemas.microsoft.com/office/drawing/2012/chart" uri="{CE6537A1-D6FC-4f65-9D91-7224C49458BB}"/>
                <c:ext xmlns:c16="http://schemas.microsoft.com/office/drawing/2014/chart" uri="{C3380CC4-5D6E-409C-BE32-E72D297353CC}">
                  <c16:uniqueId val="{00000003-0A08-4027-9055-5253A0C4B365}"/>
                </c:ext>
              </c:extLst>
            </c:dLbl>
            <c:dLbl>
              <c:idx val="9"/>
              <c:delete val="1"/>
              <c:extLst>
                <c:ext xmlns:c15="http://schemas.microsoft.com/office/drawing/2012/chart" uri="{CE6537A1-D6FC-4f65-9D91-7224C49458BB}"/>
                <c:ext xmlns:c16="http://schemas.microsoft.com/office/drawing/2014/chart" uri="{C3380CC4-5D6E-409C-BE32-E72D297353CC}">
                  <c16:uniqueId val="{00000004-0A08-4027-9055-5253A0C4B365}"/>
                </c:ext>
              </c:extLst>
            </c:dLbl>
            <c:dLbl>
              <c:idx val="11"/>
              <c:layout>
                <c:manualLayout>
                  <c:x val="-4.5865758596997771E-17"/>
                  <c:y val="1.27673520377833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A08-4027-9055-5253A0C4B365}"/>
                </c:ext>
              </c:extLst>
            </c:dLbl>
            <c:dLbl>
              <c:idx val="12"/>
              <c:delete val="1"/>
              <c:extLst>
                <c:ext xmlns:c15="http://schemas.microsoft.com/office/drawing/2012/chart" uri="{CE6537A1-D6FC-4f65-9D91-7224C49458BB}"/>
                <c:ext xmlns:c16="http://schemas.microsoft.com/office/drawing/2014/chart" uri="{C3380CC4-5D6E-409C-BE32-E72D297353CC}">
                  <c16:uniqueId val="{00000006-0A08-4027-9055-5253A0C4B365}"/>
                </c:ext>
              </c:extLst>
            </c:dLbl>
            <c:dLbl>
              <c:idx val="14"/>
              <c:delete val="1"/>
              <c:extLst>
                <c:ext xmlns:c15="http://schemas.microsoft.com/office/drawing/2012/chart" uri="{CE6537A1-D6FC-4f65-9D91-7224C49458BB}"/>
                <c:ext xmlns:c16="http://schemas.microsoft.com/office/drawing/2014/chart" uri="{C3380CC4-5D6E-409C-BE32-E72D297353CC}">
                  <c16:uniqueId val="{00000007-0A08-4027-9055-5253A0C4B365}"/>
                </c:ext>
              </c:extLst>
            </c:dLbl>
            <c:dLbl>
              <c:idx val="16"/>
              <c:delete val="1"/>
              <c:extLst>
                <c:ext xmlns:c15="http://schemas.microsoft.com/office/drawing/2012/chart" uri="{CE6537A1-D6FC-4f65-9D91-7224C49458BB}"/>
                <c:ext xmlns:c16="http://schemas.microsoft.com/office/drawing/2014/chart" uri="{C3380CC4-5D6E-409C-BE32-E72D297353CC}">
                  <c16:uniqueId val="{00000008-0A08-4027-9055-5253A0C4B365}"/>
                </c:ext>
              </c:extLst>
            </c:dLbl>
            <c:dLbl>
              <c:idx val="19"/>
              <c:delete val="1"/>
              <c:extLst>
                <c:ext xmlns:c15="http://schemas.microsoft.com/office/drawing/2012/chart" uri="{CE6537A1-D6FC-4f65-9D91-7224C49458BB}"/>
                <c:ext xmlns:c16="http://schemas.microsoft.com/office/drawing/2014/chart" uri="{C3380CC4-5D6E-409C-BE32-E72D297353CC}">
                  <c16:uniqueId val="{00000009-0A08-4027-9055-5253A0C4B365}"/>
                </c:ext>
              </c:extLst>
            </c:dLbl>
            <c:dLbl>
              <c:idx val="21"/>
              <c:delete val="1"/>
              <c:extLst>
                <c:ext xmlns:c15="http://schemas.microsoft.com/office/drawing/2012/chart" uri="{CE6537A1-D6FC-4f65-9D91-7224C49458BB}"/>
                <c:ext xmlns:c16="http://schemas.microsoft.com/office/drawing/2014/chart" uri="{C3380CC4-5D6E-409C-BE32-E72D297353CC}">
                  <c16:uniqueId val="{0000000A-0A08-4027-9055-5253A0C4B365}"/>
                </c:ext>
              </c:extLst>
            </c:dLbl>
            <c:dLbl>
              <c:idx val="24"/>
              <c:delete val="1"/>
              <c:extLst>
                <c:ext xmlns:c15="http://schemas.microsoft.com/office/drawing/2012/chart" uri="{CE6537A1-D6FC-4f65-9D91-7224C49458BB}"/>
                <c:ext xmlns:c16="http://schemas.microsoft.com/office/drawing/2014/chart" uri="{C3380CC4-5D6E-409C-BE32-E72D297353CC}">
                  <c16:uniqueId val="{0000000B-0A08-4027-9055-5253A0C4B365}"/>
                </c:ext>
              </c:extLst>
            </c:dLbl>
            <c:dLbl>
              <c:idx val="27"/>
              <c:delete val="1"/>
              <c:extLst>
                <c:ext xmlns:c15="http://schemas.microsoft.com/office/drawing/2012/chart" uri="{CE6537A1-D6FC-4f65-9D91-7224C49458BB}"/>
                <c:ext xmlns:c16="http://schemas.microsoft.com/office/drawing/2014/chart" uri="{C3380CC4-5D6E-409C-BE32-E72D297353CC}">
                  <c16:uniqueId val="{0000000C-0A08-4027-9055-5253A0C4B365}"/>
                </c:ext>
              </c:extLst>
            </c:dLbl>
            <c:dLbl>
              <c:idx val="29"/>
              <c:delete val="1"/>
              <c:extLst>
                <c:ext xmlns:c15="http://schemas.microsoft.com/office/drawing/2012/chart" uri="{CE6537A1-D6FC-4f65-9D91-7224C49458BB}"/>
                <c:ext xmlns:c16="http://schemas.microsoft.com/office/drawing/2014/chart" uri="{C3380CC4-5D6E-409C-BE32-E72D297353CC}">
                  <c16:uniqueId val="{0000000D-0A08-4027-9055-5253A0C4B365}"/>
                </c:ext>
              </c:extLst>
            </c:dLbl>
            <c:dLbl>
              <c:idx val="31"/>
              <c:delete val="1"/>
              <c:extLst>
                <c:ext xmlns:c15="http://schemas.microsoft.com/office/drawing/2012/chart" uri="{CE6537A1-D6FC-4f65-9D91-7224C49458BB}"/>
                <c:ext xmlns:c16="http://schemas.microsoft.com/office/drawing/2014/chart" uri="{C3380CC4-5D6E-409C-BE32-E72D297353CC}">
                  <c16:uniqueId val="{0000000E-0A08-4027-9055-5253A0C4B365}"/>
                </c:ext>
              </c:extLst>
            </c:dLbl>
            <c:dLbl>
              <c:idx val="33"/>
              <c:delete val="1"/>
              <c:extLst>
                <c:ext xmlns:c15="http://schemas.microsoft.com/office/drawing/2012/chart" uri="{CE6537A1-D6FC-4f65-9D91-7224C49458BB}"/>
                <c:ext xmlns:c16="http://schemas.microsoft.com/office/drawing/2014/chart" uri="{C3380CC4-5D6E-409C-BE32-E72D297353CC}">
                  <c16:uniqueId val="{0000000F-0A08-4027-9055-5253A0C4B365}"/>
                </c:ext>
              </c:extLst>
            </c:dLbl>
            <c:dLbl>
              <c:idx val="34"/>
              <c:layout>
                <c:manualLayout>
                  <c:x val="-5.031754531203911E-3"/>
                  <c:y val="4.280011134769046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A08-4027-9055-5253A0C4B365}"/>
                </c:ext>
              </c:extLst>
            </c:dLbl>
            <c:dLbl>
              <c:idx val="35"/>
              <c:layout>
                <c:manualLayout>
                  <c:x val="-9.2247767417990676E-17"/>
                  <c:y val="1.42601882800488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A08-4027-9055-5253A0C4B365}"/>
                </c:ext>
              </c:extLst>
            </c:dLbl>
            <c:dLbl>
              <c:idx val="36"/>
              <c:delete val="1"/>
              <c:extLst>
                <c:ext xmlns:c15="http://schemas.microsoft.com/office/drawing/2012/chart" uri="{CE6537A1-D6FC-4f65-9D91-7224C49458BB}"/>
                <c:ext xmlns:c16="http://schemas.microsoft.com/office/drawing/2014/chart" uri="{C3380CC4-5D6E-409C-BE32-E72D297353CC}">
                  <c16:uniqueId val="{00000012-0A08-4027-9055-5253A0C4B365}"/>
                </c:ext>
              </c:extLst>
            </c:dLbl>
            <c:dLbl>
              <c:idx val="38"/>
              <c:delete val="1"/>
              <c:extLst>
                <c:ext xmlns:c15="http://schemas.microsoft.com/office/drawing/2012/chart" uri="{CE6537A1-D6FC-4f65-9D91-7224C49458BB}"/>
                <c:ext xmlns:c16="http://schemas.microsoft.com/office/drawing/2014/chart" uri="{C3380CC4-5D6E-409C-BE32-E72D297353CC}">
                  <c16:uniqueId val="{00000013-0A08-4027-9055-5253A0C4B365}"/>
                </c:ext>
              </c:extLst>
            </c:dLbl>
            <c:dLbl>
              <c:idx val="40"/>
              <c:delete val="1"/>
              <c:extLst>
                <c:ext xmlns:c15="http://schemas.microsoft.com/office/drawing/2012/chart" uri="{CE6537A1-D6FC-4f65-9D91-7224C49458BB}"/>
                <c:ext xmlns:c16="http://schemas.microsoft.com/office/drawing/2014/chart" uri="{C3380CC4-5D6E-409C-BE32-E72D297353CC}">
                  <c16:uniqueId val="{00000014-0A08-4027-9055-5253A0C4B365}"/>
                </c:ext>
              </c:extLst>
            </c:dLbl>
            <c:dLbl>
              <c:idx val="42"/>
              <c:delete val="1"/>
              <c:extLst>
                <c:ext xmlns:c15="http://schemas.microsoft.com/office/drawing/2012/chart" uri="{CE6537A1-D6FC-4f65-9D91-7224C49458BB}"/>
                <c:ext xmlns:c16="http://schemas.microsoft.com/office/drawing/2014/chart" uri="{C3380CC4-5D6E-409C-BE32-E72D297353CC}">
                  <c16:uniqueId val="{00000015-0A08-4027-9055-5253A0C4B365}"/>
                </c:ext>
              </c:extLst>
            </c:dLbl>
            <c:dLbl>
              <c:idx val="43"/>
              <c:delete val="1"/>
              <c:extLst>
                <c:ext xmlns:c15="http://schemas.microsoft.com/office/drawing/2012/chart" uri="{CE6537A1-D6FC-4f65-9D91-7224C49458BB}"/>
                <c:ext xmlns:c16="http://schemas.microsoft.com/office/drawing/2014/chart" uri="{C3380CC4-5D6E-409C-BE32-E72D297353CC}">
                  <c16:uniqueId val="{00000016-0A08-4027-9055-5253A0C4B365}"/>
                </c:ext>
              </c:extLst>
            </c:dLbl>
            <c:dLbl>
              <c:idx val="45"/>
              <c:delete val="1"/>
              <c:extLst>
                <c:ext xmlns:c15="http://schemas.microsoft.com/office/drawing/2012/chart" uri="{CE6537A1-D6FC-4f65-9D91-7224C49458BB}"/>
                <c:ext xmlns:c16="http://schemas.microsoft.com/office/drawing/2014/chart" uri="{C3380CC4-5D6E-409C-BE32-E72D297353CC}">
                  <c16:uniqueId val="{00000017-0A08-4027-9055-5253A0C4B36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2023'!$N$131:$BI$131</c:f>
              <c:numCache>
                <c:formatCode>_(* #\ ##0_);_(* \(#\ ##0\);_(* "-"??_);_(@_)</c:formatCode>
                <c:ptCount val="48"/>
                <c:pt idx="0">
                  <c:v>437.17576638387527</c:v>
                </c:pt>
                <c:pt idx="1">
                  <c:v>450.03237186855824</c:v>
                </c:pt>
                <c:pt idx="2">
                  <c:v>489.71853590437973</c:v>
                </c:pt>
                <c:pt idx="3">
                  <c:v>484.89079842463303</c:v>
                </c:pt>
                <c:pt idx="4">
                  <c:v>489.09420289855069</c:v>
                </c:pt>
                <c:pt idx="5">
                  <c:v>525.44297195704064</c:v>
                </c:pt>
                <c:pt idx="6">
                  <c:v>527.10777323798527</c:v>
                </c:pt>
                <c:pt idx="7">
                  <c:v>523.05680119581461</c:v>
                </c:pt>
                <c:pt idx="8">
                  <c:v>532.66221927987112</c:v>
                </c:pt>
                <c:pt idx="9">
                  <c:v>532.61281759575274</c:v>
                </c:pt>
                <c:pt idx="10">
                  <c:v>539.96219281663514</c:v>
                </c:pt>
                <c:pt idx="11">
                  <c:v>641.41859610437336</c:v>
                </c:pt>
                <c:pt idx="12">
                  <c:v>520.97927090779126</c:v>
                </c:pt>
                <c:pt idx="13">
                  <c:v>509.07429880100358</c:v>
                </c:pt>
                <c:pt idx="14">
                  <c:v>505.2105484476819</c:v>
                </c:pt>
                <c:pt idx="15">
                  <c:v>471.7244754514366</c:v>
                </c:pt>
                <c:pt idx="16">
                  <c:v>466.3658097443041</c:v>
                </c:pt>
                <c:pt idx="17">
                  <c:v>469.36083438424225</c:v>
                </c:pt>
                <c:pt idx="18">
                  <c:v>397.43643831285976</c:v>
                </c:pt>
                <c:pt idx="19">
                  <c:v>401.43916096836119</c:v>
                </c:pt>
                <c:pt idx="20">
                  <c:v>400.40795106389305</c:v>
                </c:pt>
                <c:pt idx="21">
                  <c:v>445.3256342741177</c:v>
                </c:pt>
                <c:pt idx="22">
                  <c:v>449.74106509284508</c:v>
                </c:pt>
                <c:pt idx="23">
                  <c:v>456.62913717005983</c:v>
                </c:pt>
                <c:pt idx="24">
                  <c:v>417.86300161192986</c:v>
                </c:pt>
                <c:pt idx="25">
                  <c:v>422.25887911052553</c:v>
                </c:pt>
                <c:pt idx="26">
                  <c:v>426.1588801839747</c:v>
                </c:pt>
                <c:pt idx="27">
                  <c:v>463.13311048283276</c:v>
                </c:pt>
                <c:pt idx="28">
                  <c:v>469.07700312251023</c:v>
                </c:pt>
                <c:pt idx="29">
                  <c:v>476.80983432364405</c:v>
                </c:pt>
                <c:pt idx="30">
                  <c:v>479.03418102269615</c:v>
                </c:pt>
                <c:pt idx="31">
                  <c:v>476.88460486737767</c:v>
                </c:pt>
                <c:pt idx="32">
                  <c:v>485.52502050861364</c:v>
                </c:pt>
                <c:pt idx="33">
                  <c:v>491.90158004571197</c:v>
                </c:pt>
                <c:pt idx="34">
                  <c:v>489.28477469184526</c:v>
                </c:pt>
                <c:pt idx="35">
                  <c:v>535.24038449333057</c:v>
                </c:pt>
                <c:pt idx="36" formatCode="_-* #\ ##0\ _₴_-;\-* #\ ##0\ _₴_-;_-* &quot;-&quot;?\ _₴_-;_-@_-">
                  <c:v>508.84681053528681</c:v>
                </c:pt>
                <c:pt idx="37" formatCode="_-* #\ ##0\ _₴_-;\-* #\ ##0\ _₴_-;_-* &quot;-&quot;?\ _₴_-;_-@_-">
                  <c:v>503.19481265994614</c:v>
                </c:pt>
                <c:pt idx="38" formatCode="_-* #\ ##0\ _₴_-;\-* #\ ##0\ _₴_-;_-* &quot;-&quot;?\ _₴_-;_-@_-">
                  <c:v>499.64262863852281</c:v>
                </c:pt>
                <c:pt idx="39" formatCode="_-* #\ ##0\ _₴_-;\-* #\ ##0\ _₴_-;_-* &quot;-&quot;?\ _₴_-;_-@_-">
                  <c:v>499.07458573239524</c:v>
                </c:pt>
                <c:pt idx="40" formatCode="_-* #\ ##0\ _₴_-;\-* #\ ##0\ _₴_-;_-* &quot;-&quot;?\ _₴_-;_-@_-">
                  <c:v>495.36902860105619</c:v>
                </c:pt>
                <c:pt idx="41" formatCode="_-* #\ ##0\ _₴_-;\-* #\ ##0\ _₴_-;_-* &quot;-&quot;?\ _₴_-;_-@_-">
                  <c:v>512.7091228683995</c:v>
                </c:pt>
                <c:pt idx="42" formatCode="_-* #\ ##0\ _₴_-;\-* #\ ##0\ _₴_-;_-* &quot;-&quot;?\ _₴_-;_-@_-">
                  <c:v>518.53943329312915</c:v>
                </c:pt>
                <c:pt idx="43" formatCode="_-* #\ ##0\ _₴_-;\-* #\ ##0\ _₴_-;_-* &quot;-&quot;?\ _₴_-;_-@_-">
                  <c:v>510.40427339581566</c:v>
                </c:pt>
                <c:pt idx="44" formatCode="_-* #\ ##0\ _₴_-;\-* #\ ##0\ _₴_-;_-* &quot;-&quot;?\ _₴_-;_-@_-">
                  <c:v>517.83104008668101</c:v>
                </c:pt>
                <c:pt idx="45" formatCode="_-* #\ ##0\ _₴_-;\-* #\ ##0\ _₴_-;_-* &quot;-&quot;?\ _₴_-;_-@_-">
                  <c:v>535.83128279347136</c:v>
                </c:pt>
                <c:pt idx="46" formatCode="_-* #\ ##0\ _₴_-;\-* #\ ##0\ _₴_-;_-* &quot;-&quot;?\ _₴_-;_-@_-">
                  <c:v>530.22977513119031</c:v>
                </c:pt>
                <c:pt idx="47" formatCode="_-* #\ ##0\ _₴_-;\-* #\ ##0\ _₴_-;_-* &quot;-&quot;?\ _₴_-;_-@_-">
                  <c:v>591.00703827839345</c:v>
                </c:pt>
              </c:numCache>
            </c:numRef>
          </c:val>
          <c:extLst>
            <c:ext xmlns:c16="http://schemas.microsoft.com/office/drawing/2014/chart" uri="{C3380CC4-5D6E-409C-BE32-E72D297353CC}">
              <c16:uniqueId val="{00000018-0A08-4027-9055-5253A0C4B365}"/>
            </c:ext>
          </c:extLst>
        </c:ser>
        <c:dLbls>
          <c:showLegendKey val="0"/>
          <c:showVal val="0"/>
          <c:showCatName val="0"/>
          <c:showSerName val="0"/>
          <c:showPercent val="0"/>
          <c:showBubbleSize val="0"/>
        </c:dLbls>
        <c:gapWidth val="150"/>
        <c:axId val="554919048"/>
        <c:axId val="554922248"/>
        <c:extLst>
          <c:ext xmlns:c15="http://schemas.microsoft.com/office/drawing/2012/chart" uri="{02D57815-91ED-43cb-92C2-25804820EDAC}">
            <c15:filteredBarSeries>
              <c15:ser>
                <c:idx val="2"/>
                <c:order val="2"/>
                <c:tx>
                  <c:strRef>
                    <c:extLst>
                      <c:ext uri="{02D57815-91ED-43cb-92C2-25804820EDAC}">
                        <c15:formulaRef>
                          <c15:sqref>'Прогноз Зарплати 2023'!$A$132</c15:sqref>
                        </c15:formulaRef>
                      </c:ext>
                    </c:extLst>
                    <c:strCache>
                      <c:ptCount val="1"/>
                      <c:pt idx="0">
                        <c:v>USD (сценарій 2)</c:v>
                      </c:pt>
                    </c:strCache>
                  </c:strRef>
                </c:tx>
                <c:spPr>
                  <a:solidFill>
                    <a:schemeClr val="accent2">
                      <a:lumMod val="60000"/>
                      <a:lumOff val="40000"/>
                    </a:schemeClr>
                  </a:solidFill>
                  <a:ln>
                    <a:noFill/>
                  </a:ln>
                  <a:effectLst/>
                </c:spPr>
                <c:invertIfNegative val="0"/>
                <c:dLbls>
                  <c:dLbl>
                    <c:idx val="0"/>
                    <c:layout>
                      <c:manualLayout>
                        <c:x val="2.8852464776706358E-3"/>
                        <c:y val="-7.0786050007310136E-17"/>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3E-0A08-4027-9055-5253A0C4B365}"/>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'Прогноз Зарплати 2023'!$N$127:$AW$128</c15:sqref>
                        </c15:formulaRef>
                      </c:ext>
                    </c:extLst>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extLst>
                      <c:ext uri="{02D57815-91ED-43cb-92C2-25804820EDAC}">
                        <c15:formulaRef>
                          <c15:sqref>'Прогноз Зарплати 2023'!$AL$132:$AW$132</c15:sqref>
                        </c15:formulaRef>
                      </c:ext>
                    </c:extLst>
                    <c:numCache>
                      <c:formatCode>_-* #\ ##0\ _₴_-;\-* #\ ##0\ _₴_-;_-* "-"?\ _₴_-;_-@_-</c:formatCode>
                      <c:ptCount val="12"/>
                      <c:pt idx="0">
                        <c:v>417.86300161192986</c:v>
                      </c:pt>
                      <c:pt idx="1">
                        <c:v>422.25887911052553</c:v>
                      </c:pt>
                      <c:pt idx="2">
                        <c:v>426.1588801839747</c:v>
                      </c:pt>
                      <c:pt idx="3">
                        <c:v>463.13311048283276</c:v>
                      </c:pt>
                      <c:pt idx="4">
                        <c:v>469.07700312251023</c:v>
                      </c:pt>
                      <c:pt idx="5">
                        <c:v>476.80983432364405</c:v>
                      </c:pt>
                      <c:pt idx="6">
                        <c:v>456.27075585940645</c:v>
                      </c:pt>
                      <c:pt idx="7">
                        <c:v>445.27284868919793</c:v>
                      </c:pt>
                      <c:pt idx="8">
                        <c:v>450.35166776776026</c:v>
                      </c:pt>
                      <c:pt idx="9">
                        <c:v>447.82503126516718</c:v>
                      </c:pt>
                      <c:pt idx="10">
                        <c:v>442.2095693878191</c:v>
                      </c:pt>
                      <c:pt idx="11">
                        <c:v>482.60636073389554</c:v>
                      </c:pt>
                    </c:numCache>
                  </c:numRef>
                </c:val>
                <c:extLst>
                  <c:ext xmlns:c16="http://schemas.microsoft.com/office/drawing/2014/chart" uri="{C3380CC4-5D6E-409C-BE32-E72D297353CC}">
                    <c16:uniqueId val="{0000003F-0A08-4027-9055-5253A0C4B365}"/>
                  </c:ext>
                </c:extLst>
              </c15:ser>
            </c15:filteredBarSeries>
          </c:ext>
        </c:extLst>
      </c:barChart>
      <c:lineChart>
        <c:grouping val="standard"/>
        <c:varyColors val="0"/>
        <c:ser>
          <c:idx val="0"/>
          <c:order val="0"/>
          <c:tx>
            <c:strRef>
              <c:f>'Прогноз Зарплати 2023'!$A$143</c:f>
              <c:strCache>
                <c:ptCount val="1"/>
                <c:pt idx="0">
                  <c:v>UAH</c:v>
                </c:pt>
              </c:strCache>
            </c:strRef>
          </c:tx>
          <c:spPr>
            <a:ln w="28575" cap="rnd">
              <a:solidFill>
                <a:schemeClr val="accent5"/>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9-0A08-4027-9055-5253A0C4B365}"/>
                </c:ext>
              </c:extLst>
            </c:dLbl>
            <c:dLbl>
              <c:idx val="3"/>
              <c:delete val="1"/>
              <c:extLst>
                <c:ext xmlns:c15="http://schemas.microsoft.com/office/drawing/2012/chart" uri="{CE6537A1-D6FC-4f65-9D91-7224C49458BB}"/>
                <c:ext xmlns:c16="http://schemas.microsoft.com/office/drawing/2014/chart" uri="{C3380CC4-5D6E-409C-BE32-E72D297353CC}">
                  <c16:uniqueId val="{0000001A-0A08-4027-9055-5253A0C4B365}"/>
                </c:ext>
              </c:extLst>
            </c:dLbl>
            <c:dLbl>
              <c:idx val="4"/>
              <c:delete val="1"/>
              <c:extLst>
                <c:ext xmlns:c15="http://schemas.microsoft.com/office/drawing/2012/chart" uri="{CE6537A1-D6FC-4f65-9D91-7224C49458BB}"/>
                <c:ext xmlns:c16="http://schemas.microsoft.com/office/drawing/2014/chart" uri="{C3380CC4-5D6E-409C-BE32-E72D297353CC}">
                  <c16:uniqueId val="{0000001B-0A08-4027-9055-5253A0C4B365}"/>
                </c:ext>
              </c:extLst>
            </c:dLbl>
            <c:dLbl>
              <c:idx val="6"/>
              <c:delete val="1"/>
              <c:extLst>
                <c:ext xmlns:c15="http://schemas.microsoft.com/office/drawing/2012/chart" uri="{CE6537A1-D6FC-4f65-9D91-7224C49458BB}"/>
                <c:ext xmlns:c16="http://schemas.microsoft.com/office/drawing/2014/chart" uri="{C3380CC4-5D6E-409C-BE32-E72D297353CC}">
                  <c16:uniqueId val="{0000001C-0A08-4027-9055-5253A0C4B365}"/>
                </c:ext>
              </c:extLst>
            </c:dLbl>
            <c:dLbl>
              <c:idx val="7"/>
              <c:delete val="1"/>
              <c:extLst>
                <c:ext xmlns:c15="http://schemas.microsoft.com/office/drawing/2012/chart" uri="{CE6537A1-D6FC-4f65-9D91-7224C49458BB}"/>
                <c:ext xmlns:c16="http://schemas.microsoft.com/office/drawing/2014/chart" uri="{C3380CC4-5D6E-409C-BE32-E72D297353CC}">
                  <c16:uniqueId val="{0000001D-0A08-4027-9055-5253A0C4B365}"/>
                </c:ext>
              </c:extLst>
            </c:dLbl>
            <c:dLbl>
              <c:idx val="9"/>
              <c:delete val="1"/>
              <c:extLst>
                <c:ext xmlns:c15="http://schemas.microsoft.com/office/drawing/2012/chart" uri="{CE6537A1-D6FC-4f65-9D91-7224C49458BB}"/>
                <c:ext xmlns:c16="http://schemas.microsoft.com/office/drawing/2014/chart" uri="{C3380CC4-5D6E-409C-BE32-E72D297353CC}">
                  <c16:uniqueId val="{0000001E-0A08-4027-9055-5253A0C4B365}"/>
                </c:ext>
              </c:extLst>
            </c:dLbl>
            <c:dLbl>
              <c:idx val="10"/>
              <c:delete val="1"/>
              <c:extLst>
                <c:ext xmlns:c15="http://schemas.microsoft.com/office/drawing/2012/chart" uri="{CE6537A1-D6FC-4f65-9D91-7224C49458BB}"/>
                <c:ext xmlns:c16="http://schemas.microsoft.com/office/drawing/2014/chart" uri="{C3380CC4-5D6E-409C-BE32-E72D297353CC}">
                  <c16:uniqueId val="{0000001F-0A08-4027-9055-5253A0C4B365}"/>
                </c:ext>
              </c:extLst>
            </c:dLbl>
            <c:dLbl>
              <c:idx val="12"/>
              <c:delete val="1"/>
              <c:extLst>
                <c:ext xmlns:c15="http://schemas.microsoft.com/office/drawing/2012/chart" uri="{CE6537A1-D6FC-4f65-9D91-7224C49458BB}"/>
                <c:ext xmlns:c16="http://schemas.microsoft.com/office/drawing/2014/chart" uri="{C3380CC4-5D6E-409C-BE32-E72D297353CC}">
                  <c16:uniqueId val="{00000020-0A08-4027-9055-5253A0C4B365}"/>
                </c:ext>
              </c:extLst>
            </c:dLbl>
            <c:dLbl>
              <c:idx val="14"/>
              <c:delete val="1"/>
              <c:extLst>
                <c:ext xmlns:c15="http://schemas.microsoft.com/office/drawing/2012/chart" uri="{CE6537A1-D6FC-4f65-9D91-7224C49458BB}"/>
                <c:ext xmlns:c16="http://schemas.microsoft.com/office/drawing/2014/chart" uri="{C3380CC4-5D6E-409C-BE32-E72D297353CC}">
                  <c16:uniqueId val="{00000021-0A08-4027-9055-5253A0C4B365}"/>
                </c:ext>
              </c:extLst>
            </c:dLbl>
            <c:dLbl>
              <c:idx val="15"/>
              <c:delete val="1"/>
              <c:extLst>
                <c:ext xmlns:c15="http://schemas.microsoft.com/office/drawing/2012/chart" uri="{CE6537A1-D6FC-4f65-9D91-7224C49458BB}"/>
                <c:ext xmlns:c16="http://schemas.microsoft.com/office/drawing/2014/chart" uri="{C3380CC4-5D6E-409C-BE32-E72D297353CC}">
                  <c16:uniqueId val="{00000022-0A08-4027-9055-5253A0C4B365}"/>
                </c:ext>
              </c:extLst>
            </c:dLbl>
            <c:dLbl>
              <c:idx val="16"/>
              <c:delete val="1"/>
              <c:extLst>
                <c:ext xmlns:c15="http://schemas.microsoft.com/office/drawing/2012/chart" uri="{CE6537A1-D6FC-4f65-9D91-7224C49458BB}"/>
                <c:ext xmlns:c16="http://schemas.microsoft.com/office/drawing/2014/chart" uri="{C3380CC4-5D6E-409C-BE32-E72D297353CC}">
                  <c16:uniqueId val="{00000023-0A08-4027-9055-5253A0C4B365}"/>
                </c:ext>
              </c:extLst>
            </c:dLbl>
            <c:dLbl>
              <c:idx val="18"/>
              <c:delete val="1"/>
              <c:extLst>
                <c:ext xmlns:c15="http://schemas.microsoft.com/office/drawing/2012/chart" uri="{CE6537A1-D6FC-4f65-9D91-7224C49458BB}"/>
                <c:ext xmlns:c16="http://schemas.microsoft.com/office/drawing/2014/chart" uri="{C3380CC4-5D6E-409C-BE32-E72D297353CC}">
                  <c16:uniqueId val="{00000024-0A08-4027-9055-5253A0C4B365}"/>
                </c:ext>
              </c:extLst>
            </c:dLbl>
            <c:dLbl>
              <c:idx val="19"/>
              <c:delete val="1"/>
              <c:extLst>
                <c:ext xmlns:c15="http://schemas.microsoft.com/office/drawing/2012/chart" uri="{CE6537A1-D6FC-4f65-9D91-7224C49458BB}"/>
                <c:ext xmlns:c16="http://schemas.microsoft.com/office/drawing/2014/chart" uri="{C3380CC4-5D6E-409C-BE32-E72D297353CC}">
                  <c16:uniqueId val="{00000025-0A08-4027-9055-5253A0C4B365}"/>
                </c:ext>
              </c:extLst>
            </c:dLbl>
            <c:dLbl>
              <c:idx val="21"/>
              <c:delete val="1"/>
              <c:extLst>
                <c:ext xmlns:c15="http://schemas.microsoft.com/office/drawing/2012/chart" uri="{CE6537A1-D6FC-4f65-9D91-7224C49458BB}"/>
                <c:ext xmlns:c16="http://schemas.microsoft.com/office/drawing/2014/chart" uri="{C3380CC4-5D6E-409C-BE32-E72D297353CC}">
                  <c16:uniqueId val="{00000026-0A08-4027-9055-5253A0C4B365}"/>
                </c:ext>
              </c:extLst>
            </c:dLbl>
            <c:dLbl>
              <c:idx val="22"/>
              <c:delete val="1"/>
              <c:extLst>
                <c:ext xmlns:c15="http://schemas.microsoft.com/office/drawing/2012/chart" uri="{CE6537A1-D6FC-4f65-9D91-7224C49458BB}"/>
                <c:ext xmlns:c16="http://schemas.microsoft.com/office/drawing/2014/chart" uri="{C3380CC4-5D6E-409C-BE32-E72D297353CC}">
                  <c16:uniqueId val="{00000027-0A08-4027-9055-5253A0C4B365}"/>
                </c:ext>
              </c:extLst>
            </c:dLbl>
            <c:dLbl>
              <c:idx val="24"/>
              <c:delete val="1"/>
              <c:extLst>
                <c:ext xmlns:c15="http://schemas.microsoft.com/office/drawing/2012/chart" uri="{CE6537A1-D6FC-4f65-9D91-7224C49458BB}"/>
                <c:ext xmlns:c16="http://schemas.microsoft.com/office/drawing/2014/chart" uri="{C3380CC4-5D6E-409C-BE32-E72D297353CC}">
                  <c16:uniqueId val="{00000028-0A08-4027-9055-5253A0C4B365}"/>
                </c:ext>
              </c:extLst>
            </c:dLbl>
            <c:dLbl>
              <c:idx val="25"/>
              <c:delete val="1"/>
              <c:extLst>
                <c:ext xmlns:c15="http://schemas.microsoft.com/office/drawing/2012/chart" uri="{CE6537A1-D6FC-4f65-9D91-7224C49458BB}"/>
                <c:ext xmlns:c16="http://schemas.microsoft.com/office/drawing/2014/chart" uri="{C3380CC4-5D6E-409C-BE32-E72D297353CC}">
                  <c16:uniqueId val="{00000029-0A08-4027-9055-5253A0C4B365}"/>
                </c:ext>
              </c:extLst>
            </c:dLbl>
            <c:dLbl>
              <c:idx val="27"/>
              <c:delete val="1"/>
              <c:extLst>
                <c:ext xmlns:c15="http://schemas.microsoft.com/office/drawing/2012/chart" uri="{CE6537A1-D6FC-4f65-9D91-7224C49458BB}"/>
                <c:ext xmlns:c16="http://schemas.microsoft.com/office/drawing/2014/chart" uri="{C3380CC4-5D6E-409C-BE32-E72D297353CC}">
                  <c16:uniqueId val="{0000002A-0A08-4027-9055-5253A0C4B365}"/>
                </c:ext>
              </c:extLst>
            </c:dLbl>
            <c:dLbl>
              <c:idx val="28"/>
              <c:delete val="1"/>
              <c:extLst>
                <c:ext xmlns:c15="http://schemas.microsoft.com/office/drawing/2012/chart" uri="{CE6537A1-D6FC-4f65-9D91-7224C49458BB}"/>
                <c:ext xmlns:c16="http://schemas.microsoft.com/office/drawing/2014/chart" uri="{C3380CC4-5D6E-409C-BE32-E72D297353CC}">
                  <c16:uniqueId val="{0000002B-0A08-4027-9055-5253A0C4B365}"/>
                </c:ext>
              </c:extLst>
            </c:dLbl>
            <c:dLbl>
              <c:idx val="29"/>
              <c:layout>
                <c:manualLayout>
                  <c:x val="-5.4908733146554006E-2"/>
                  <c:y val="-3.56013237469066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0A08-4027-9055-5253A0C4B365}"/>
                </c:ext>
              </c:extLst>
            </c:dLbl>
            <c:dLbl>
              <c:idx val="30"/>
              <c:delete val="1"/>
              <c:extLst>
                <c:ext xmlns:c15="http://schemas.microsoft.com/office/drawing/2012/chart" uri="{CE6537A1-D6FC-4f65-9D91-7224C49458BB}"/>
                <c:ext xmlns:c16="http://schemas.microsoft.com/office/drawing/2014/chart" uri="{C3380CC4-5D6E-409C-BE32-E72D297353CC}">
                  <c16:uniqueId val="{0000002D-0A08-4027-9055-5253A0C4B365}"/>
                </c:ext>
              </c:extLst>
            </c:dLbl>
            <c:dLbl>
              <c:idx val="31"/>
              <c:delete val="1"/>
              <c:extLst>
                <c:ext xmlns:c15="http://schemas.microsoft.com/office/drawing/2012/chart" uri="{CE6537A1-D6FC-4f65-9D91-7224C49458BB}"/>
                <c:ext xmlns:c16="http://schemas.microsoft.com/office/drawing/2014/chart" uri="{C3380CC4-5D6E-409C-BE32-E72D297353CC}">
                  <c16:uniqueId val="{0000002E-0A08-4027-9055-5253A0C4B365}"/>
                </c:ext>
              </c:extLst>
            </c:dLbl>
            <c:dLbl>
              <c:idx val="32"/>
              <c:layout>
                <c:manualLayout>
                  <c:x val="-5.4406275918420455E-2"/>
                  <c:y val="-3.33786615688825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0A08-4027-9055-5253A0C4B365}"/>
                </c:ext>
              </c:extLst>
            </c:dLbl>
            <c:dLbl>
              <c:idx val="33"/>
              <c:delete val="1"/>
              <c:extLst>
                <c:ext xmlns:c15="http://schemas.microsoft.com/office/drawing/2012/chart" uri="{CE6537A1-D6FC-4f65-9D91-7224C49458BB}"/>
                <c:ext xmlns:c16="http://schemas.microsoft.com/office/drawing/2014/chart" uri="{C3380CC4-5D6E-409C-BE32-E72D297353CC}">
                  <c16:uniqueId val="{00000030-0A08-4027-9055-5253A0C4B365}"/>
                </c:ext>
              </c:extLst>
            </c:dLbl>
            <c:dLbl>
              <c:idx val="34"/>
              <c:delete val="1"/>
              <c:extLst>
                <c:ext xmlns:c15="http://schemas.microsoft.com/office/drawing/2012/chart" uri="{CE6537A1-D6FC-4f65-9D91-7224C49458BB}"/>
                <c:ext xmlns:c16="http://schemas.microsoft.com/office/drawing/2014/chart" uri="{C3380CC4-5D6E-409C-BE32-E72D297353CC}">
                  <c16:uniqueId val="{00000031-0A08-4027-9055-5253A0C4B365}"/>
                </c:ext>
              </c:extLst>
            </c:dLbl>
            <c:dLbl>
              <c:idx val="36"/>
              <c:delete val="1"/>
              <c:extLst>
                <c:ext xmlns:c15="http://schemas.microsoft.com/office/drawing/2012/chart" uri="{CE6537A1-D6FC-4f65-9D91-7224C49458BB}"/>
                <c:ext xmlns:c16="http://schemas.microsoft.com/office/drawing/2014/chart" uri="{C3380CC4-5D6E-409C-BE32-E72D297353CC}">
                  <c16:uniqueId val="{00000032-0A08-4027-9055-5253A0C4B365}"/>
                </c:ext>
              </c:extLst>
            </c:dLbl>
            <c:dLbl>
              <c:idx val="37"/>
              <c:delete val="1"/>
              <c:extLst>
                <c:ext xmlns:c15="http://schemas.microsoft.com/office/drawing/2012/chart" uri="{CE6537A1-D6FC-4f65-9D91-7224C49458BB}"/>
                <c:ext xmlns:c16="http://schemas.microsoft.com/office/drawing/2014/chart" uri="{C3380CC4-5D6E-409C-BE32-E72D297353CC}">
                  <c16:uniqueId val="{00000033-0A08-4027-9055-5253A0C4B365}"/>
                </c:ext>
              </c:extLst>
            </c:dLbl>
            <c:dLbl>
              <c:idx val="38"/>
              <c:delete val="1"/>
              <c:extLst>
                <c:ext xmlns:c15="http://schemas.microsoft.com/office/drawing/2012/chart" uri="{CE6537A1-D6FC-4f65-9D91-7224C49458BB}"/>
                <c:ext xmlns:c16="http://schemas.microsoft.com/office/drawing/2014/chart" uri="{C3380CC4-5D6E-409C-BE32-E72D297353CC}">
                  <c16:uniqueId val="{00000034-0A08-4027-9055-5253A0C4B365}"/>
                </c:ext>
              </c:extLst>
            </c:dLbl>
            <c:dLbl>
              <c:idx val="39"/>
              <c:layout>
                <c:manualLayout>
                  <c:x val="-5.3920040974322007E-2"/>
                  <c:y val="-3.25885823011661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0A08-4027-9055-5253A0C4B365}"/>
                </c:ext>
              </c:extLst>
            </c:dLbl>
            <c:dLbl>
              <c:idx val="40"/>
              <c:delete val="1"/>
              <c:extLst>
                <c:ext xmlns:c15="http://schemas.microsoft.com/office/drawing/2012/chart" uri="{CE6537A1-D6FC-4f65-9D91-7224C49458BB}"/>
                <c:ext xmlns:c16="http://schemas.microsoft.com/office/drawing/2014/chart" uri="{C3380CC4-5D6E-409C-BE32-E72D297353CC}">
                  <c16:uniqueId val="{00000036-0A08-4027-9055-5253A0C4B365}"/>
                </c:ext>
              </c:extLst>
            </c:dLbl>
            <c:dLbl>
              <c:idx val="41"/>
              <c:delete val="1"/>
              <c:extLst>
                <c:ext xmlns:c15="http://schemas.microsoft.com/office/drawing/2012/chart" uri="{CE6537A1-D6FC-4f65-9D91-7224C49458BB}"/>
                <c:ext xmlns:c16="http://schemas.microsoft.com/office/drawing/2014/chart" uri="{C3380CC4-5D6E-409C-BE32-E72D297353CC}">
                  <c16:uniqueId val="{00000037-0A08-4027-9055-5253A0C4B365}"/>
                </c:ext>
              </c:extLst>
            </c:dLbl>
            <c:dLbl>
              <c:idx val="42"/>
              <c:layout>
                <c:manualLayout>
                  <c:x val="-5.1436957656583966E-2"/>
                  <c:y val="-3.25885823011660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0A08-4027-9055-5253A0C4B365}"/>
                </c:ext>
              </c:extLst>
            </c:dLbl>
            <c:dLbl>
              <c:idx val="43"/>
              <c:delete val="1"/>
              <c:extLst>
                <c:ext xmlns:c15="http://schemas.microsoft.com/office/drawing/2012/chart" uri="{CE6537A1-D6FC-4f65-9D91-7224C49458BB}"/>
                <c:ext xmlns:c16="http://schemas.microsoft.com/office/drawing/2014/chart" uri="{C3380CC4-5D6E-409C-BE32-E72D297353CC}">
                  <c16:uniqueId val="{00000039-0A08-4027-9055-5253A0C4B365}"/>
                </c:ext>
              </c:extLst>
            </c:dLbl>
            <c:dLbl>
              <c:idx val="44"/>
              <c:delete val="1"/>
              <c:extLst>
                <c:ext xmlns:c15="http://schemas.microsoft.com/office/drawing/2012/chart" uri="{CE6537A1-D6FC-4f65-9D91-7224C49458BB}"/>
                <c:ext xmlns:c16="http://schemas.microsoft.com/office/drawing/2014/chart" uri="{C3380CC4-5D6E-409C-BE32-E72D297353CC}">
                  <c16:uniqueId val="{0000003A-0A08-4027-9055-5253A0C4B365}"/>
                </c:ext>
              </c:extLst>
            </c:dLbl>
            <c:dLbl>
              <c:idx val="45"/>
              <c:layout>
                <c:manualLayout>
                  <c:x val="-5.3388359746668376E-2"/>
                  <c:y val="-4.11001503263550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0A08-4027-9055-5253A0C4B365}"/>
                </c:ext>
              </c:extLst>
            </c:dLbl>
            <c:dLbl>
              <c:idx val="46"/>
              <c:delete val="1"/>
              <c:extLst>
                <c:ext xmlns:c15="http://schemas.microsoft.com/office/drawing/2012/chart" uri="{CE6537A1-D6FC-4f65-9D91-7224C49458BB}"/>
                <c:ext xmlns:c16="http://schemas.microsoft.com/office/drawing/2014/chart" uri="{C3380CC4-5D6E-409C-BE32-E72D297353CC}">
                  <c16:uniqueId val="{0000003C-0A08-4027-9055-5253A0C4B36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2023'!$N$127:$BI$128</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'Прогноз Зарплати 2023'!$N$129:$BI$129</c:f>
              <c:numCache>
                <c:formatCode>_(* #\ ##0_);_(* \(#\ ##0\);_(* "-"??_);_(@_)</c:formatCode>
                <c:ptCount val="48"/>
                <c:pt idx="0">
                  <c:v>12337</c:v>
                </c:pt>
                <c:pt idx="1">
                  <c:v>12549</c:v>
                </c:pt>
                <c:pt idx="2">
                  <c:v>13612</c:v>
                </c:pt>
                <c:pt idx="3">
                  <c:v>13543</c:v>
                </c:pt>
                <c:pt idx="4">
                  <c:v>13499</c:v>
                </c:pt>
                <c:pt idx="5">
                  <c:v>14313</c:v>
                </c:pt>
                <c:pt idx="6">
                  <c:v>14345</c:v>
                </c:pt>
                <c:pt idx="7">
                  <c:v>13997</c:v>
                </c:pt>
                <c:pt idx="8">
                  <c:v>14239</c:v>
                </c:pt>
                <c:pt idx="9">
                  <c:v>14045</c:v>
                </c:pt>
                <c:pt idx="10">
                  <c:v>14282</c:v>
                </c:pt>
                <c:pt idx="11">
                  <c:v>17453</c:v>
                </c:pt>
                <c:pt idx="12">
                  <c:v>14577</c:v>
                </c:pt>
                <c:pt idx="13">
                  <c:v>14462.800828936512</c:v>
                </c:pt>
                <c:pt idx="14">
                  <c:v>14777.408542094696</c:v>
                </c:pt>
                <c:pt idx="15">
                  <c:v>13797.94090695452</c:v>
                </c:pt>
                <c:pt idx="16">
                  <c:v>13641.199935020895</c:v>
                </c:pt>
                <c:pt idx="17">
                  <c:v>13728.804405739085</c:v>
                </c:pt>
                <c:pt idx="18">
                  <c:v>14534.250549101282</c:v>
                </c:pt>
                <c:pt idx="19">
                  <c:v>14680.630116612969</c:v>
                </c:pt>
                <c:pt idx="20">
                  <c:v>14642.918770406568</c:v>
                </c:pt>
                <c:pt idx="21">
                  <c:v>16285.558445404484</c:v>
                </c:pt>
                <c:pt idx="22">
                  <c:v>16447.030750445345</c:v>
                </c:pt>
                <c:pt idx="23">
                  <c:v>16698.927546309089</c:v>
                </c:pt>
                <c:pt idx="24">
                  <c:v>15281.249968948276</c:v>
                </c:pt>
                <c:pt idx="25">
                  <c:v>15442.007209071919</c:v>
                </c:pt>
                <c:pt idx="26">
                  <c:v>15584.630248327954</c:v>
                </c:pt>
                <c:pt idx="27">
                  <c:v>16936.777850357194</c:v>
                </c:pt>
                <c:pt idx="28">
                  <c:v>17154.146004190199</c:v>
                </c:pt>
                <c:pt idx="29">
                  <c:v>17436.935641215663</c:v>
                </c:pt>
                <c:pt idx="30">
                  <c:v>17518.28</c:v>
                </c:pt>
                <c:pt idx="31">
                  <c:v>17439.670000000002</c:v>
                </c:pt>
                <c:pt idx="32">
                  <c:v>17755.650000000001</c:v>
                </c:pt>
                <c:pt idx="33">
                  <c:v>17963.73</c:v>
                </c:pt>
                <c:pt idx="34">
                  <c:v>17810.099999999999</c:v>
                </c:pt>
                <c:pt idx="35">
                  <c:v>19654.830000000002</c:v>
                </c:pt>
                <c:pt idx="36" formatCode="_-* #\ ##0\ _₴_-;\-* #\ ##0\ _₴_-;_-* &quot;-&quot;?\ _₴_-;_-@_-">
                  <c:v>19118.511067941676</c:v>
                </c:pt>
                <c:pt idx="37" formatCode="_-* #\ ##0\ _₴_-;\-* #\ ##0\ _₴_-;_-* &quot;-&quot;?\ _₴_-;_-@_-">
                  <c:v>19259.673709713803</c:v>
                </c:pt>
                <c:pt idx="38" formatCode="_-* #\ ##0\ _₴_-;\-* #\ ##0\ _₴_-;_-* &quot;-&quot;?\ _₴_-;_-@_-">
                  <c:v>19538.927916903838</c:v>
                </c:pt>
                <c:pt idx="39" formatCode="_-* #\ ##0\ _₴_-;\-* #\ ##0\ _₴_-;_-* &quot;-&quot;?\ _₴_-;_-@_-">
                  <c:v>19661.395225941844</c:v>
                </c:pt>
                <c:pt idx="40" formatCode="_-* #\ ##0\ _₴_-;\-* #\ ##0\ _₴_-;_-* &quot;-&quot;?\ _₴_-;_-@_-">
                  <c:v>19706.298631327682</c:v>
                </c:pt>
                <c:pt idx="41" formatCode="_-* #\ ##0\ _₴_-;\-* #\ ##0\ _₴_-;_-* &quot;-&quot;?\ _₴_-;_-@_-">
                  <c:v>20589.577773895002</c:v>
                </c:pt>
                <c:pt idx="42" formatCode="_-* #\ ##0\ _₴_-;\-* #\ ##0\ _₴_-;_-* &quot;-&quot;?\ _₴_-;_-@_-">
                  <c:v>21008.954504072528</c:v>
                </c:pt>
                <c:pt idx="43" formatCode="_-* #\ ##0\ _₴_-;\-* #\ ##0\ _₴_-;_-* &quot;-&quot;?\ _₴_-;_-@_-">
                  <c:v>20746.773501915468</c:v>
                </c:pt>
                <c:pt idx="44" formatCode="_-* #\ ##0\ _₴_-;\-* #\ ##0\ _₴_-;_-* &quot;-&quot;?\ _₴_-;_-@_-">
                  <c:v>21162.127376373395</c:v>
                </c:pt>
                <c:pt idx="45" formatCode="_-* #\ ##0\ _₴_-;\-* #\ ##0\ _₴_-;_-* &quot;-&quot;?\ _₴_-;_-@_-">
                  <c:v>21983.554257159536</c:v>
                </c:pt>
                <c:pt idx="46" formatCode="_-* #\ ##0\ _₴_-;\-* #\ ##0\ _₴_-;_-* &quot;-&quot;?\ _₴_-;_-@_-">
                  <c:v>21845.506348591651</c:v>
                </c:pt>
                <c:pt idx="47" formatCode="_-* #\ ##0\ _₴_-;\-* #\ ##0\ _₴_-;_-* &quot;-&quot;?\ _₴_-;_-@_-">
                  <c:v>24469.236765408983</c:v>
                </c:pt>
              </c:numCache>
            </c:numRef>
          </c:val>
          <c:smooth val="0"/>
          <c:extLst>
            <c:ext xmlns:c16="http://schemas.microsoft.com/office/drawing/2014/chart" uri="{C3380CC4-5D6E-409C-BE32-E72D297353CC}">
              <c16:uniqueId val="{0000003D-0A08-4027-9055-5253A0C4B365}"/>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25000"/>
          <c:min val="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900"/>
          <c:min val="3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0.12008628246673299"/>
          <c:y val="8.5582476088860757E-2"/>
          <c:w val="0.74262477559768136"/>
          <c:h val="4.5271278433512065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675885064234578E-2"/>
          <c:y val="0.23291592985558504"/>
          <c:w val="0.88607384524860255"/>
          <c:h val="0.62046750663129979"/>
        </c:manualLayout>
      </c:layout>
      <c:areaChart>
        <c:grouping val="standard"/>
        <c:varyColors val="0"/>
        <c:ser>
          <c:idx val="2"/>
          <c:order val="2"/>
          <c:tx>
            <c:strRef>
              <c:f>'Дефлятор модель (CPI-PPI) (С-1)'!$G$1</c:f>
              <c:strCache>
                <c:ptCount val="1"/>
                <c:pt idx="0">
                  <c:v>Дефлятор</c:v>
                </c:pt>
              </c:strCache>
            </c:strRef>
          </c:tx>
          <c:spPr>
            <a:solidFill>
              <a:schemeClr val="accent1">
                <a:lumMod val="40000"/>
                <a:lumOff val="60000"/>
              </a:schemeClr>
            </a:solidFill>
            <a:ln>
              <a:noFill/>
            </a:ln>
            <a:effectLst/>
          </c:spPr>
          <c:dLbls>
            <c:dLbl>
              <c:idx val="0"/>
              <c:layout>
                <c:manualLayout>
                  <c:x val="6.2273217613023442E-3"/>
                  <c:y val="6.06347627468316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3F5-4801-A96E-4684FD5344C2}"/>
                </c:ext>
              </c:extLst>
            </c:dLbl>
            <c:dLbl>
              <c:idx val="1"/>
              <c:layout>
                <c:manualLayout>
                  <c:x val="6.4389035990977455E-3"/>
                  <c:y val="6.47325375773651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3F5-4801-A96E-4684FD5344C2}"/>
                </c:ext>
              </c:extLst>
            </c:dLbl>
            <c:dLbl>
              <c:idx val="2"/>
              <c:layout>
                <c:manualLayout>
                  <c:x val="4.6898597626752964E-3"/>
                  <c:y val="4.385094311818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3F5-4801-A96E-4684FD5344C2}"/>
                </c:ext>
              </c:extLst>
            </c:dLbl>
            <c:dLbl>
              <c:idx val="3"/>
              <c:layout>
                <c:manualLayout>
                  <c:x val="4.6898597626752964E-3"/>
                  <c:y val="2.2969717064544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F5-4801-A96E-4684FD5344C2}"/>
                </c:ext>
              </c:extLst>
            </c:dLbl>
            <c:dLbl>
              <c:idx val="4"/>
              <c:layout>
                <c:manualLayout>
                  <c:x val="3.1136608806511721E-3"/>
                  <c:y val="4.678750368405455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F5-4801-A96E-4684FD5344C2}"/>
                </c:ext>
              </c:extLst>
            </c:dLbl>
            <c:dLbl>
              <c:idx val="6"/>
              <c:layout>
                <c:manualLayout>
                  <c:x val="2.1334706286162599E-3"/>
                  <c:y val="1.08650162098437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3F5-4801-A96E-4684FD5344C2}"/>
                </c:ext>
              </c:extLst>
            </c:dLbl>
            <c:dLbl>
              <c:idx val="7"/>
              <c:layout>
                <c:manualLayout>
                  <c:x val="1.3258801608316171E-3"/>
                  <c:y val="1.61243737105806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3F5-4801-A96E-4684FD5344C2}"/>
                </c:ext>
              </c:extLst>
            </c:dLbl>
            <c:dLbl>
              <c:idx val="8"/>
              <c:layout>
                <c:manualLayout>
                  <c:x val="-1.1416624676565148E-16"/>
                  <c:y val="1.40362511052166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3F5-4801-A96E-4684FD5344C2}"/>
                </c:ext>
              </c:extLst>
            </c:dLbl>
            <c:dLbl>
              <c:idx val="9"/>
              <c:layout>
                <c:manualLayout>
                  <c:x val="0"/>
                  <c:y val="9.357500736810995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3F5-4801-A96E-4684FD5344C2}"/>
                </c:ext>
              </c:extLst>
            </c:dLbl>
            <c:dLbl>
              <c:idx val="10"/>
              <c:layout>
                <c:manualLayout>
                  <c:x val="3.1136608806511721E-3"/>
                  <c:y val="1.40362511052167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3F5-4801-A96E-4684FD5344C2}"/>
                </c:ext>
              </c:extLst>
            </c:dLbl>
            <c:dLbl>
              <c:idx val="11"/>
              <c:layout>
                <c:manualLayout>
                  <c:x val="3.1136608806511721E-3"/>
                  <c:y val="9.357500736810995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3F5-4801-A96E-4684FD5344C2}"/>
                </c:ext>
              </c:extLst>
            </c:dLbl>
            <c:numFmt formatCode="0%" sourceLinked="0"/>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extLst>
                <c:ext xmlns:c15="http://schemas.microsoft.com/office/drawing/2012/chart" uri="{02D57815-91ED-43cb-92C2-25804820EDAC}">
                  <c15:fullRef>
                    <c15:sqref>'Дефлятор модель (CPI-PPI) (С-1)'!$A$102:$B$117</c15:sqref>
                  </c15:fullRef>
                </c:ext>
              </c:extLst>
              <c:f>'Дефлятор модель (CPI-PPI) (С-1)'!$A$106:$B$117</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2022</c:v>
                  </c:pt>
                  <c:pt idx="4">
                    <c:v>2023</c:v>
                  </c:pt>
                  <c:pt idx="8">
                    <c:v>2024</c:v>
                  </c:pt>
                </c:lvl>
              </c:multiLvlStrCache>
            </c:multiLvlStrRef>
          </c:cat>
          <c:val>
            <c:numRef>
              <c:extLst>
                <c:ext xmlns:c15="http://schemas.microsoft.com/office/drawing/2012/chart" uri="{02D57815-91ED-43cb-92C2-25804820EDAC}">
                  <c15:fullRef>
                    <c15:sqref>'Дефлятор модель (CPI-PPI) (С-1)'!$G$46:$G$61</c15:sqref>
                  </c15:fullRef>
                </c:ext>
              </c:extLst>
              <c:f>'Дефлятор модель (CPI-PPI) (С-1)'!$G$50:$G$61</c:f>
              <c:numCache>
                <c:formatCode>0.0%</c:formatCode>
                <c:ptCount val="12"/>
                <c:pt idx="0">
                  <c:v>0.255</c:v>
                </c:pt>
                <c:pt idx="1">
                  <c:v>0.377</c:v>
                </c:pt>
                <c:pt idx="2">
                  <c:v>0.38100000000000001</c:v>
                </c:pt>
                <c:pt idx="3">
                  <c:v>0.36499999999999999</c:v>
                </c:pt>
                <c:pt idx="4">
                  <c:v>0.32352897978587086</c:v>
                </c:pt>
                <c:pt idx="5">
                  <c:v>0.24452071690527979</c:v>
                </c:pt>
                <c:pt idx="6">
                  <c:v>0.15986862682673927</c:v>
                </c:pt>
                <c:pt idx="7">
                  <c:v>0.13882334769167104</c:v>
                </c:pt>
                <c:pt idx="8">
                  <c:v>0.12278552200261865</c:v>
                </c:pt>
                <c:pt idx="9">
                  <c:v>9.659560064061079E-2</c:v>
                </c:pt>
                <c:pt idx="10">
                  <c:v>9.6103727543275508E-2</c:v>
                </c:pt>
                <c:pt idx="11">
                  <c:v>0.11054685467633842</c:v>
                </c:pt>
              </c:numCache>
            </c:numRef>
          </c:val>
          <c:extLst>
            <c:ext xmlns:c15="http://schemas.microsoft.com/office/drawing/2012/chart" uri="{02D57815-91ED-43cb-92C2-25804820EDAC}">
              <c15:categoryFilterExceptions>
                <c15:categoryFilterException>
                  <c15:sqref>'Дефлятор модель (CPI-PPI) (С-1)'!$G$46</c15:sqref>
                  <c15:dLbl>
                    <c:idx val="-1"/>
                    <c:layout>
                      <c:manualLayout>
                        <c:x val="3.9911703707333226E-2"/>
                        <c:y val="-5.1274369868727895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2-3C1D-4274-9055-5552129CC57B}"/>
                      </c:ext>
                    </c:extLst>
                  </c15:dLbl>
                </c15:categoryFilterException>
                <c15:categoryFilterException>
                  <c15:sqref>'Дефлятор модель (CPI-PPI) (С-1)'!$G$47</c15:sqref>
                  <c15:dLbl>
                    <c:idx val="-1"/>
                    <c:layout>
                      <c:manualLayout>
                        <c:x val="2.2164118794467415E-2"/>
                        <c:y val="-5.465124901614573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3-3C1D-4274-9055-5552129CC57B}"/>
                      </c:ext>
                    </c:extLst>
                  </c15:dLbl>
                </c15:categoryFilterException>
                <c15:categoryFilterException>
                  <c15:sqref>'Дефлятор модель (CPI-PPI) (С-1)'!$G$48</c15:sqref>
                  <c15:dLbl>
                    <c:idx val="-1"/>
                    <c:layout>
                      <c:manualLayout>
                        <c:x val="1.9766734544737149E-2"/>
                        <c:y val="-6.5585083197864186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4-3C1D-4274-9055-5552129CC57B}"/>
                      </c:ext>
                    </c:extLst>
                  </c15:dLbl>
                </c15:categoryFilterException>
                <c15:categoryFilterException>
                  <c15:sqref>'Дефлятор модель (CPI-PPI) (С-1)'!$G$49</c15:sqref>
                  <c15:dLbl>
                    <c:idx val="-1"/>
                    <c:layout>
                      <c:manualLayout>
                        <c:x val="3.0017644859829152E-2"/>
                        <c:y val="-5.9667077006754658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5-3C1D-4274-9055-5552129CC57B}"/>
                      </c:ext>
                    </c:extLst>
                  </c15:dLbl>
                </c15:categoryFilterException>
              </c15:categoryFilterExceptions>
            </c:ext>
            <c:ext xmlns:c16="http://schemas.microsoft.com/office/drawing/2014/chart" uri="{C3380CC4-5D6E-409C-BE32-E72D297353CC}">
              <c16:uniqueId val="{0000000B-C3F5-4801-A96E-4684FD5344C2}"/>
            </c:ext>
          </c:extLst>
        </c:ser>
        <c:dLbls>
          <c:showLegendKey val="0"/>
          <c:showVal val="0"/>
          <c:showCatName val="0"/>
          <c:showSerName val="0"/>
          <c:showPercent val="0"/>
          <c:showBubbleSize val="0"/>
        </c:dLbls>
        <c:axId val="720532336"/>
        <c:axId val="720530736"/>
      </c:areaChart>
      <c:barChart>
        <c:barDir val="col"/>
        <c:grouping val="clustered"/>
        <c:varyColors val="0"/>
        <c:ser>
          <c:idx val="0"/>
          <c:order val="0"/>
          <c:tx>
            <c:strRef>
              <c:f>'Дефлятор модель (CPI-PPI) (С-1)'!$E$1</c:f>
              <c:strCache>
                <c:ptCount val="1"/>
                <c:pt idx="0">
                  <c:v>CPI</c:v>
                </c:pt>
              </c:strCache>
            </c:strRef>
          </c:tx>
          <c:spPr>
            <a:solidFill>
              <a:schemeClr val="accent3"/>
            </a:solidFill>
            <a:ln>
              <a:noFill/>
            </a:ln>
            <a:effectLst/>
          </c:spPr>
          <c:invertIfNegative val="0"/>
          <c:dLbls>
            <c:dLbl>
              <c:idx val="1"/>
              <c:layout>
                <c:manualLayout>
                  <c:x val="-5.458613235009525E-3"/>
                  <c:y val="1.46170297110447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3F5-4801-A96E-4684FD5344C2}"/>
                </c:ext>
              </c:extLst>
            </c:dLbl>
            <c:dLbl>
              <c:idx val="2"/>
              <c:layout>
                <c:manualLayout>
                  <c:x val="-1.3646533087524814E-3"/>
                  <c:y val="1.25288826094668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3F5-4801-A96E-4684FD5344C2}"/>
                </c:ext>
              </c:extLst>
            </c:dLbl>
            <c:dLbl>
              <c:idx val="3"/>
              <c:layout>
                <c:manualLayout>
                  <c:x val="-6.8232665437619067E-3"/>
                  <c:y val="1.4617029711044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3F5-4801-A96E-4684FD5344C2}"/>
                </c:ext>
              </c:extLst>
            </c:dLbl>
            <c:dLbl>
              <c:idx val="5"/>
              <c:layout>
                <c:manualLayout>
                  <c:x val="-1.2281879778771432E-2"/>
                  <c:y val="8.35258840631133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3F5-4801-A96E-4684FD5344C2}"/>
                </c:ext>
              </c:extLst>
            </c:dLbl>
            <c:dLbl>
              <c:idx val="6"/>
              <c:layout>
                <c:manualLayout>
                  <c:x val="-2.7292340884575036E-3"/>
                  <c:y val="1.55437665782493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3F5-4801-A96E-4684FD5344C2}"/>
                </c:ext>
              </c:extLst>
            </c:dLbl>
            <c:dLbl>
              <c:idx val="7"/>
              <c:layout>
                <c:manualLayout>
                  <c:x val="-1.5374619986270471E-3"/>
                  <c:y val="2.0803124078986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3F5-4801-A96E-4684FD5344C2}"/>
                </c:ext>
              </c:extLst>
            </c:dLbl>
            <c:dLbl>
              <c:idx val="8"/>
              <c:layout>
                <c:manualLayout>
                  <c:x val="0"/>
                  <c:y val="1.40362511052166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C3F5-4801-A96E-4684FD5344C2}"/>
                </c:ext>
              </c:extLst>
            </c:dLbl>
            <c:dLbl>
              <c:idx val="9"/>
              <c:layout>
                <c:manualLayout>
                  <c:x val="-1.1416624676565148E-16"/>
                  <c:y val="1.40362511052165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3F5-4801-A96E-4684FD5344C2}"/>
                </c:ext>
              </c:extLst>
            </c:dLbl>
            <c:dLbl>
              <c:idx val="10"/>
              <c:layout>
                <c:manualLayout>
                  <c:x val="-6.2273217613024578E-3"/>
                  <c:y val="2.3393751842027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C3F5-4801-A96E-4684FD5344C2}"/>
                </c:ext>
              </c:extLst>
            </c:dLbl>
            <c:dLbl>
              <c:idx val="11"/>
              <c:layout>
                <c:manualLayout>
                  <c:x val="0"/>
                  <c:y val="1.40362511052167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3F5-4801-A96E-4684FD5344C2}"/>
                </c:ext>
              </c:extLst>
            </c:dLbl>
            <c:spPr>
              <a:noFill/>
              <a:ln>
                <a:noFill/>
              </a:ln>
              <a:effectLst/>
            </c:spPr>
            <c:txPr>
              <a:bodyPr rot="0" spcFirstLastPara="1" vertOverflow="ellipsis" vert="horz" wrap="square" anchor="ctr" anchorCtr="1"/>
              <a:lstStyle/>
              <a:p>
                <a:pPr>
                  <a:defRPr sz="600" b="0" i="0" u="none" strike="noStrike" kern="1200" baseline="0">
                    <a:solidFill>
                      <a:schemeClr val="accent3"/>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'Дефлятор модель (CPI-PPI) (С-1)'!$A$102:$B$117</c15:sqref>
                  </c15:fullRef>
                </c:ext>
              </c:extLst>
              <c:f>'Дефлятор модель (CPI-PPI) (С-1)'!$A$106:$B$117</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2022</c:v>
                  </c:pt>
                  <c:pt idx="4">
                    <c:v>2023</c:v>
                  </c:pt>
                  <c:pt idx="8">
                    <c:v>2024</c:v>
                  </c:pt>
                </c:lvl>
              </c:multiLvlStrCache>
            </c:multiLvlStrRef>
          </c:cat>
          <c:val>
            <c:numRef>
              <c:extLst>
                <c:ext xmlns:c15="http://schemas.microsoft.com/office/drawing/2012/chart" uri="{02D57815-91ED-43cb-92C2-25804820EDAC}">
                  <c15:fullRef>
                    <c15:sqref>'Дефлятор модель (CPI-PPI) (С-1)'!$E$46:$E$61</c15:sqref>
                  </c15:fullRef>
                </c:ext>
              </c:extLst>
              <c:f>'Дефлятор модель (CPI-PPI) (С-1)'!$E$50:$E$61</c:f>
              <c:numCache>
                <c:formatCode>0.0%</c:formatCode>
                <c:ptCount val="12"/>
                <c:pt idx="0">
                  <c:v>0.11466666666666669</c:v>
                </c:pt>
                <c:pt idx="1">
                  <c:v>0.18633333333333335</c:v>
                </c:pt>
                <c:pt idx="2">
                  <c:v>0.23533333333333331</c:v>
                </c:pt>
                <c:pt idx="3">
                  <c:v>0.26566666666666666</c:v>
                </c:pt>
                <c:pt idx="4">
                  <c:v>0.24066666666666667</c:v>
                </c:pt>
                <c:pt idx="5">
                  <c:v>0.15333333333333332</c:v>
                </c:pt>
                <c:pt idx="6">
                  <c:v>9.0000000000000011E-2</c:v>
                </c:pt>
                <c:pt idx="7">
                  <c:v>5.1666666666666666E-2</c:v>
                </c:pt>
                <c:pt idx="8">
                  <c:v>7.5344806299750808E-2</c:v>
                </c:pt>
                <c:pt idx="9">
                  <c:v>5.8349286013724827E-2</c:v>
                </c:pt>
                <c:pt idx="10">
                  <c:v>6.1424262647632934E-2</c:v>
                </c:pt>
                <c:pt idx="11">
                  <c:v>7.8194631643714083E-2</c:v>
                </c:pt>
              </c:numCache>
            </c:numRef>
          </c:val>
          <c:extLst>
            <c:ext xmlns:c16="http://schemas.microsoft.com/office/drawing/2014/chart" uri="{C3380CC4-5D6E-409C-BE32-E72D297353CC}">
              <c16:uniqueId val="{00000016-C3F5-4801-A96E-4684FD5344C2}"/>
            </c:ext>
          </c:extLst>
        </c:ser>
        <c:ser>
          <c:idx val="1"/>
          <c:order val="1"/>
          <c:tx>
            <c:strRef>
              <c:f>'Дефлятор модель (CPI-PPI) (С-1)'!$F$1</c:f>
              <c:strCache>
                <c:ptCount val="1"/>
                <c:pt idx="0">
                  <c:v>PPI</c:v>
                </c:pt>
              </c:strCache>
            </c:strRef>
          </c:tx>
          <c:spPr>
            <a:solidFill>
              <a:schemeClr val="accent1"/>
            </a:solidFill>
            <a:ln>
              <a:noFill/>
            </a:ln>
            <a:effectLst/>
          </c:spPr>
          <c:invertIfNegative val="0"/>
          <c:dLbls>
            <c:dLbl>
              <c:idx val="0"/>
              <c:layout>
                <c:manualLayout>
                  <c:x val="3.1136608806511721E-3"/>
                  <c:y val="9.357500736811082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C3F5-4801-A96E-4684FD5344C2}"/>
                </c:ext>
              </c:extLst>
            </c:dLbl>
            <c:dLbl>
              <c:idx val="1"/>
              <c:layout>
                <c:manualLayout>
                  <c:x val="3.1136608806511721E-3"/>
                  <c:y val="2.3393751842027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C3F5-4801-A96E-4684FD5344C2}"/>
                </c:ext>
              </c:extLst>
            </c:dLbl>
            <c:dLbl>
              <c:idx val="2"/>
              <c:layout>
                <c:manualLayout>
                  <c:x val="6.2273217613023442E-3"/>
                  <c:y val="2.3393751842027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C3F5-4801-A96E-4684FD5344C2}"/>
                </c:ext>
              </c:extLst>
            </c:dLbl>
            <c:dLbl>
              <c:idx val="3"/>
              <c:layout>
                <c:manualLayout>
                  <c:x val="3.1136608806511721E-3"/>
                  <c:y val="1.87150014736221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C3F5-4801-A96E-4684FD5344C2}"/>
                </c:ext>
              </c:extLst>
            </c:dLbl>
            <c:dLbl>
              <c:idx val="7"/>
              <c:layout>
                <c:manualLayout>
                  <c:x val="6.2273217613022297E-3"/>
                  <c:y val="-4.678750368405626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C3F5-4801-A96E-4684FD5344C2}"/>
                </c:ext>
              </c:extLst>
            </c:dLbl>
            <c:dLbl>
              <c:idx val="9"/>
              <c:layout>
                <c:manualLayout>
                  <c:x val="-1.1416624676565148E-16"/>
                  <c:y val="-4.678750368405541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C3F5-4801-A96E-4684FD5344C2}"/>
                </c:ext>
              </c:extLst>
            </c:dLbl>
            <c:dLbl>
              <c:idx val="10"/>
              <c:layout>
                <c:manualLayout>
                  <c:x val="0"/>
                  <c:y val="-9.357500736811082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C3F5-4801-A96E-4684FD5344C2}"/>
                </c:ext>
              </c:extLst>
            </c:dLbl>
            <c:dLbl>
              <c:idx val="11"/>
              <c:layout>
                <c:manualLayout>
                  <c:x val="-1.1416624676565148E-16"/>
                  <c:y val="-1.40362511052166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C3F5-4801-A96E-4684FD5344C2}"/>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'Дефлятор модель (CPI-PPI) (С-1)'!$A$102:$B$117</c15:sqref>
                  </c15:fullRef>
                </c:ext>
              </c:extLst>
              <c:f>'Дефлятор модель (CPI-PPI) (С-1)'!$A$106:$B$117</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2022</c:v>
                  </c:pt>
                  <c:pt idx="4">
                    <c:v>2023</c:v>
                  </c:pt>
                  <c:pt idx="8">
                    <c:v>2024</c:v>
                  </c:pt>
                </c:lvl>
              </c:multiLvlStrCache>
            </c:multiLvlStrRef>
          </c:cat>
          <c:val>
            <c:numRef>
              <c:extLst>
                <c:ext xmlns:c15="http://schemas.microsoft.com/office/drawing/2012/chart" uri="{02D57815-91ED-43cb-92C2-25804820EDAC}">
                  <c15:fullRef>
                    <c15:sqref>'Дефлятор модель (CPI-PPI) (С-1)'!$F$46:$F$61</c15:sqref>
                  </c15:fullRef>
                </c:ext>
              </c:extLst>
              <c:f>'Дефлятор модель (CPI-PPI) (С-1)'!$F$50:$F$61</c:f>
              <c:numCache>
                <c:formatCode>0.0%</c:formatCode>
                <c:ptCount val="12"/>
                <c:pt idx="0">
                  <c:v>0.5987304620534567</c:v>
                </c:pt>
                <c:pt idx="1">
                  <c:v>0.61971599669989452</c:v>
                </c:pt>
                <c:pt idx="2">
                  <c:v>0.70140457155676506</c:v>
                </c:pt>
                <c:pt idx="3">
                  <c:v>0.52628589945178506</c:v>
                </c:pt>
                <c:pt idx="4">
                  <c:v>0.36623879864348213</c:v>
                </c:pt>
                <c:pt idx="5">
                  <c:v>0.28842351942229133</c:v>
                </c:pt>
                <c:pt idx="6">
                  <c:v>0.16493965570810051</c:v>
                </c:pt>
                <c:pt idx="7">
                  <c:v>0.15300599389618763</c:v>
                </c:pt>
                <c:pt idx="8">
                  <c:v>0.14266666666666666</c:v>
                </c:pt>
                <c:pt idx="9">
                  <c:v>9.0981452158612905E-2</c:v>
                </c:pt>
                <c:pt idx="10">
                  <c:v>8.7011869601261935E-2</c:v>
                </c:pt>
                <c:pt idx="11">
                  <c:v>0.10897886031419056</c:v>
                </c:pt>
              </c:numCache>
            </c:numRef>
          </c:val>
          <c:extLst>
            <c:ext xmlns:c15="http://schemas.microsoft.com/office/drawing/2012/chart" uri="{02D57815-91ED-43cb-92C2-25804820EDAC}">
              <c15:categoryFilterExceptions>
                <c15:categoryFilterException>
                  <c15:sqref>'Дефлятор модель (CPI-PPI) (С-1)'!$F$49</c15:sqref>
                  <c15:dLbl>
                    <c:idx val="-1"/>
                    <c:layout>
                      <c:manualLayout>
                        <c:x val="0"/>
                        <c:y val="1.4036251105216623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1-3C1D-4274-9055-5552129CC57B}"/>
                      </c:ext>
                    </c:extLst>
                  </c15:dLbl>
                </c15:categoryFilterException>
              </c15:categoryFilterExceptions>
            </c:ext>
            <c:ext xmlns:c16="http://schemas.microsoft.com/office/drawing/2014/chart" uri="{C3380CC4-5D6E-409C-BE32-E72D297353CC}">
              <c16:uniqueId val="{0000001F-C3F5-4801-A96E-4684FD5344C2}"/>
            </c:ext>
          </c:extLst>
        </c:ser>
        <c:dLbls>
          <c:showLegendKey val="0"/>
          <c:showVal val="0"/>
          <c:showCatName val="0"/>
          <c:showSerName val="0"/>
          <c:showPercent val="0"/>
          <c:showBubbleSize val="0"/>
        </c:dLbls>
        <c:gapWidth val="219"/>
        <c:axId val="720532336"/>
        <c:axId val="720530736"/>
      </c:barChart>
      <c:catAx>
        <c:axId val="7205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720530736"/>
        <c:crosses val="autoZero"/>
        <c:auto val="1"/>
        <c:lblAlgn val="ctr"/>
        <c:lblOffset val="100"/>
        <c:noMultiLvlLbl val="0"/>
      </c:catAx>
      <c:valAx>
        <c:axId val="720530736"/>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720532336"/>
        <c:crosses val="autoZero"/>
        <c:crossBetween val="between"/>
      </c:valAx>
      <c:spPr>
        <a:noFill/>
        <a:ln>
          <a:noFill/>
        </a:ln>
        <a:effectLst/>
      </c:spPr>
    </c:plotArea>
    <c:legend>
      <c:legendPos val="t"/>
      <c:layout>
        <c:manualLayout>
          <c:xMode val="edge"/>
          <c:yMode val="edge"/>
          <c:x val="0"/>
          <c:y val="0.16757368110816387"/>
          <c:w val="1"/>
          <c:h val="5.4266832644217396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600" b="1">
          <a:solidFill>
            <a:sysClr val="windowText" lastClr="000000"/>
          </a:solidFill>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004402180819788E-2"/>
          <c:y val="0.1663735596788328"/>
          <c:w val="0.88405724361998639"/>
          <c:h val="0.68169387563701489"/>
        </c:manualLayout>
      </c:layout>
      <c:barChart>
        <c:barDir val="col"/>
        <c:grouping val="clustered"/>
        <c:varyColors val="0"/>
        <c:ser>
          <c:idx val="0"/>
          <c:order val="0"/>
          <c:tx>
            <c:strRef>
              <c:f>'Ворк юа (вакансії)'!$K$6</c:f>
              <c:strCache>
                <c:ptCount val="1"/>
                <c:pt idx="0">
                  <c:v>Вакансії</c:v>
                </c:pt>
              </c:strCache>
            </c:strRef>
          </c:tx>
          <c:spPr>
            <a:solidFill>
              <a:schemeClr val="accent1"/>
            </a:solidFill>
            <a:ln>
              <a:noFill/>
            </a:ln>
            <a:effectLst/>
          </c:spPr>
          <c:invertIfNegative val="0"/>
          <c:dLbls>
            <c:dLbl>
              <c:idx val="0"/>
              <c:tx>
                <c:rich>
                  <a:bodyPr/>
                  <a:lstStyle/>
                  <a:p>
                    <a:fld id="{B61C6A36-D26D-40CE-9360-0848FCB3805E}" type="CELLRANGE">
                      <a:rPr lang="en-US"/>
                      <a:pPr/>
                      <a:t>[ДІАПАЗОН КЛІТИНОК]</a:t>
                    </a:fld>
                    <a:endParaRPr lang="en-US" baseline="0"/>
                  </a:p>
                  <a:p>
                    <a:fld id="{05D7DB93-CC9A-4B30-89E3-6A6C46304FBB}"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1424-46E8-8657-5E72FAF2243D}"/>
                </c:ext>
              </c:extLst>
            </c:dLbl>
            <c:dLbl>
              <c:idx val="1"/>
              <c:tx>
                <c:rich>
                  <a:bodyPr/>
                  <a:lstStyle/>
                  <a:p>
                    <a:fld id="{C8BE4243-15B1-430F-B0E2-C126299AB639}" type="CELLRANGE">
                      <a:rPr lang="en-US"/>
                      <a:pPr/>
                      <a:t>[ДІАПАЗОН КЛІТИНОК]</a:t>
                    </a:fld>
                    <a:endParaRPr lang="en-US" baseline="0"/>
                  </a:p>
                  <a:p>
                    <a:fld id="{368ACB04-27D6-41AF-93D3-A5B77C249CD2}"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1424-46E8-8657-5E72FAF2243D}"/>
                </c:ext>
              </c:extLst>
            </c:dLbl>
            <c:dLbl>
              <c:idx val="2"/>
              <c:layout>
                <c:manualLayout>
                  <c:x val="2.245088647610061E-2"/>
                  <c:y val="1.896633192335332E-2"/>
                </c:manualLayout>
              </c:layout>
              <c:tx>
                <c:rich>
                  <a:bodyPr/>
                  <a:lstStyle/>
                  <a:p>
                    <a:fld id="{10F0EC6C-0E7C-4E04-BAD9-EF8CF4ADE08D}" type="CELLRANGE">
                      <a:rPr lang="en-US"/>
                      <a:pPr/>
                      <a:t>[ДІАПАЗОН КЛІТИНОК]</a:t>
                    </a:fld>
                    <a:endParaRPr lang="en-US" baseline="0"/>
                  </a:p>
                  <a:p>
                    <a:fld id="{26E41F6C-F097-4574-8221-5F1ED3789C24}"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1424-46E8-8657-5E72FAF2243D}"/>
                </c:ext>
              </c:extLst>
            </c:dLbl>
            <c:dLbl>
              <c:idx val="3"/>
              <c:tx>
                <c:rich>
                  <a:bodyPr/>
                  <a:lstStyle/>
                  <a:p>
                    <a:fld id="{BA628203-7A82-444D-BED0-0B23176538C9}" type="CELLRANGE">
                      <a:rPr lang="en-US"/>
                      <a:pPr/>
                      <a:t>[ДІАПАЗОН КЛІТИНОК]</a:t>
                    </a:fld>
                    <a:endParaRPr lang="en-US" baseline="0"/>
                  </a:p>
                  <a:p>
                    <a:fld id="{9E690C6C-59C6-486A-8C86-B3DDF34D85DF}"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1424-46E8-8657-5E72FAF2243D}"/>
                </c:ext>
              </c:extLst>
            </c:dLbl>
            <c:dLbl>
              <c:idx val="4"/>
              <c:tx>
                <c:rich>
                  <a:bodyPr/>
                  <a:lstStyle/>
                  <a:p>
                    <a:fld id="{2FAD5C80-59C3-49F7-A262-4A3B39915D6A}" type="CELLRANGE">
                      <a:rPr lang="en-US"/>
                      <a:pPr/>
                      <a:t>[ДІАПАЗОН КЛІТИНОК]</a:t>
                    </a:fld>
                    <a:endParaRPr lang="en-US" baseline="0"/>
                  </a:p>
                  <a:p>
                    <a:fld id="{D3EE798A-7DD1-4416-BEC4-4C0AD4E5EB5C}"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1424-46E8-8657-5E72FAF2243D}"/>
                </c:ext>
              </c:extLst>
            </c:dLbl>
            <c:dLbl>
              <c:idx val="5"/>
              <c:tx>
                <c:rich>
                  <a:bodyPr/>
                  <a:lstStyle/>
                  <a:p>
                    <a:fld id="{15EB2A31-6E47-400F-AB08-D746DADDD98A}" type="CELLRANGE">
                      <a:rPr lang="en-US"/>
                      <a:pPr/>
                      <a:t>[ДІАПАЗОН КЛІТИНОК]</a:t>
                    </a:fld>
                    <a:endParaRPr lang="en-US" baseline="0"/>
                  </a:p>
                  <a:p>
                    <a:fld id="{23B967C2-378E-41E0-BE05-3B2ED4299634}"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1424-46E8-8657-5E72FAF2243D}"/>
                </c:ext>
              </c:extLst>
            </c:dLbl>
            <c:dLbl>
              <c:idx val="6"/>
              <c:tx>
                <c:rich>
                  <a:bodyPr/>
                  <a:lstStyle/>
                  <a:p>
                    <a:fld id="{25A8F019-C539-434D-98C4-46EB0162D150}" type="CELLRANGE">
                      <a:rPr lang="en-US"/>
                      <a:pPr/>
                      <a:t>[ДІАПАЗОН КЛІТИНОК]</a:t>
                    </a:fld>
                    <a:endParaRPr lang="en-US" baseline="0"/>
                  </a:p>
                  <a:p>
                    <a:fld id="{C73E174B-4E17-4718-B80C-8412BF037BB0}"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1424-46E8-8657-5E72FAF2243D}"/>
                </c:ext>
              </c:extLst>
            </c:dLbl>
            <c:dLbl>
              <c:idx val="7"/>
              <c:tx>
                <c:rich>
                  <a:bodyPr/>
                  <a:lstStyle/>
                  <a:p>
                    <a:fld id="{A1C67E79-BC76-4BDB-B4F5-F43523898555}" type="CELLRANGE">
                      <a:rPr lang="en-US"/>
                      <a:pPr/>
                      <a:t>[ДІАПАЗОН КЛІТИНОК]</a:t>
                    </a:fld>
                    <a:endParaRPr lang="en-US" baseline="0"/>
                  </a:p>
                  <a:p>
                    <a:fld id="{2B3DB98A-93AF-4712-AB1A-A984A0B11352}"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1424-46E8-8657-5E72FAF2243D}"/>
                </c:ext>
              </c:extLst>
            </c:dLbl>
            <c:dLbl>
              <c:idx val="8"/>
              <c:tx>
                <c:rich>
                  <a:bodyPr/>
                  <a:lstStyle/>
                  <a:p>
                    <a:fld id="{6AB37585-CBD1-4171-BB04-193A42FD41B6}" type="CELLRANGE">
                      <a:rPr lang="en-US"/>
                      <a:pPr/>
                      <a:t>[ДІАПАЗОН КЛІТИНОК]</a:t>
                    </a:fld>
                    <a:endParaRPr lang="en-US" baseline="0"/>
                  </a:p>
                  <a:p>
                    <a:fld id="{5400EBA5-30FC-4CF5-BA0E-2E6252BDDEF4}"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1424-46E8-8657-5E72FAF2243D}"/>
                </c:ext>
              </c:extLst>
            </c:dLbl>
            <c:dLbl>
              <c:idx val="9"/>
              <c:tx>
                <c:rich>
                  <a:bodyPr/>
                  <a:lstStyle/>
                  <a:p>
                    <a:fld id="{48AE5CF9-0ADA-46C3-8F56-E747F6BE0A66}" type="CELLRANGE">
                      <a:rPr lang="en-US"/>
                      <a:pPr/>
                      <a:t>[ДІАПАЗОН КЛІТИНОК]</a:t>
                    </a:fld>
                    <a:endParaRPr lang="en-US" baseline="0"/>
                  </a:p>
                  <a:p>
                    <a:fld id="{DB6F02DB-0C3C-478A-88CF-055DB47E426F}"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1424-46E8-8657-5E72FAF2243D}"/>
                </c:ext>
              </c:extLst>
            </c:dLbl>
            <c:dLbl>
              <c:idx val="10"/>
              <c:tx>
                <c:rich>
                  <a:bodyPr/>
                  <a:lstStyle/>
                  <a:p>
                    <a:fld id="{502D87AF-AB53-4277-A08F-A919AFFD4713}" type="CELLRANGE">
                      <a:rPr lang="en-US"/>
                      <a:pPr/>
                      <a:t>[ДІАПАЗОН КЛІТИНОК]</a:t>
                    </a:fld>
                    <a:endParaRPr lang="en-US" baseline="0"/>
                  </a:p>
                  <a:p>
                    <a:fld id="{6F716C67-A8E4-4453-80B8-6ACB427D2AFB}"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1424-46E8-8657-5E72FAF2243D}"/>
                </c:ext>
              </c:extLst>
            </c:dLbl>
            <c:dLbl>
              <c:idx val="11"/>
              <c:tx>
                <c:rich>
                  <a:bodyPr/>
                  <a:lstStyle/>
                  <a:p>
                    <a:fld id="{0287E62D-63C5-48A3-9863-52293445709F}" type="CELLRANGE">
                      <a:rPr lang="en-US"/>
                      <a:pPr/>
                      <a:t>[ДІАПАЗОН КЛІТИНОК]</a:t>
                    </a:fld>
                    <a:endParaRPr lang="en-US" baseline="0"/>
                  </a:p>
                  <a:p>
                    <a:fld id="{B2EB1BD5-D179-4095-967C-4F1C7A3D5D00}"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1424-46E8-8657-5E72FAF2243D}"/>
                </c:ext>
              </c:extLst>
            </c:dLbl>
            <c:dLbl>
              <c:idx val="12"/>
              <c:layout>
                <c:manualLayout>
                  <c:x val="-7.4877410350023396E-3"/>
                  <c:y val="0"/>
                </c:manualLayout>
              </c:layout>
              <c:tx>
                <c:rich>
                  <a:bodyPr/>
                  <a:lstStyle/>
                  <a:p>
                    <a:fld id="{BC143B0A-6CAC-4E84-8FAA-03E35B63F2CB}" type="CELLRANGE">
                      <a:rPr lang="en-US" b="0">
                        <a:solidFill>
                          <a:schemeClr val="accent3"/>
                        </a:solidFill>
                      </a:rPr>
                      <a:pPr/>
                      <a:t>[ДІАПАЗОН КЛІТИНОК]</a:t>
                    </a:fld>
                    <a:endParaRPr lang="en-US" b="0" baseline="0">
                      <a:solidFill>
                        <a:schemeClr val="accent3"/>
                      </a:solidFill>
                    </a:endParaRPr>
                  </a:p>
                  <a:p>
                    <a:fld id="{76953D3D-32F1-4B00-9E28-DD888BF93FA7}"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C-1424-46E8-8657-5E72FAF2243D}"/>
                </c:ext>
              </c:extLst>
            </c:dLbl>
            <c:dLbl>
              <c:idx val="13"/>
              <c:layout>
                <c:manualLayout>
                  <c:x val="-7.4877410350023396E-3"/>
                  <c:y val="0"/>
                </c:manualLayout>
              </c:layout>
              <c:tx>
                <c:rich>
                  <a:bodyPr/>
                  <a:lstStyle/>
                  <a:p>
                    <a:fld id="{8D573E76-ACE6-4109-99BF-9A608E1CD197}" type="CELLRANGE">
                      <a:rPr lang="en-US" b="0">
                        <a:solidFill>
                          <a:schemeClr val="accent3"/>
                        </a:solidFill>
                      </a:rPr>
                      <a:pPr/>
                      <a:t>[ДІАПАЗОН КЛІТИНОК]</a:t>
                    </a:fld>
                    <a:endParaRPr lang="en-US" b="0" baseline="0">
                      <a:solidFill>
                        <a:schemeClr val="accent3"/>
                      </a:solidFill>
                    </a:endParaRPr>
                  </a:p>
                  <a:p>
                    <a:fld id="{83B78989-A2EF-48B6-8C6C-6F2B13F3D626}"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D-1424-46E8-8657-5E72FAF2243D}"/>
                </c:ext>
              </c:extLst>
            </c:dLbl>
            <c:dLbl>
              <c:idx val="14"/>
              <c:tx>
                <c:rich>
                  <a:bodyPr/>
                  <a:lstStyle/>
                  <a:p>
                    <a:fld id="{BA3BE84A-906C-4349-96B2-D652ED70396E}" type="CELLRANGE">
                      <a:rPr lang="en-US" b="0">
                        <a:solidFill>
                          <a:schemeClr val="accent3"/>
                        </a:solidFill>
                      </a:rPr>
                      <a:pPr/>
                      <a:t>[ДІАПАЗОН КЛІТИНОК]</a:t>
                    </a:fld>
                    <a:endParaRPr lang="en-US" b="0" baseline="0">
                      <a:solidFill>
                        <a:schemeClr val="accent3"/>
                      </a:solidFill>
                    </a:endParaRPr>
                  </a:p>
                  <a:p>
                    <a:fld id="{1A02627E-916B-4DAA-AFBD-E320006F8C58}"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E-1424-46E8-8657-5E72FAF2243D}"/>
                </c:ext>
              </c:extLst>
            </c:dLbl>
            <c:dLbl>
              <c:idx val="15"/>
              <c:layout>
                <c:manualLayout>
                  <c:x val="1.4992901528164199E-2"/>
                  <c:y val="7.5864548386686765E-3"/>
                </c:manualLayout>
              </c:layout>
              <c:tx>
                <c:rich>
                  <a:bodyPr/>
                  <a:lstStyle/>
                  <a:p>
                    <a:fld id="{54EB73F4-A0CD-4FBA-91CD-62846A7F91C4}" type="CELLRANGE">
                      <a:rPr lang="en-US">
                        <a:solidFill>
                          <a:srgbClr val="00B050"/>
                        </a:solidFill>
                      </a:rPr>
                      <a:pPr/>
                      <a:t>[ДІАПАЗОН КЛІТИНОК]</a:t>
                    </a:fld>
                    <a:r>
                      <a:rPr lang="en-US" baseline="0"/>
                      <a:t>
</a:t>
                    </a:r>
                    <a:fld id="{A54B7F5F-EE3D-4027-936F-2BCF4551431E}"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F-1424-46E8-8657-5E72FAF2243D}"/>
                </c:ext>
              </c:extLst>
            </c:dLbl>
            <c:dLbl>
              <c:idx val="16"/>
              <c:delete val="1"/>
              <c:extLst>
                <c:ext xmlns:c15="http://schemas.microsoft.com/office/drawing/2012/chart" uri="{CE6537A1-D6FC-4f65-9D91-7224C49458BB}"/>
                <c:ext xmlns:c16="http://schemas.microsoft.com/office/drawing/2014/chart" uri="{C3380CC4-5D6E-409C-BE32-E72D297353CC}">
                  <c16:uniqueId val="{00000010-1424-46E8-8657-5E72FAF2243D}"/>
                </c:ext>
              </c:extLst>
            </c:dLbl>
            <c:dLbl>
              <c:idx val="17"/>
              <c:layout>
                <c:manualLayout>
                  <c:x val="-3.3016810863002445E-5"/>
                  <c:y val="7.5888808365871018E-3"/>
                </c:manualLayout>
              </c:layout>
              <c:tx>
                <c:rich>
                  <a:bodyPr/>
                  <a:lstStyle/>
                  <a:p>
                    <a:fld id="{5D590E34-1FF6-40AB-AD01-C6B02D8CCE64}" type="CELLRANGE">
                      <a:rPr lang="en-US">
                        <a:solidFill>
                          <a:srgbClr val="00B050"/>
                        </a:solidFill>
                      </a:rPr>
                      <a:pPr/>
                      <a:t>[ДІАПАЗОН КЛІТИНОК]</a:t>
                    </a:fld>
                    <a:r>
                      <a:rPr lang="en-US" baseline="0"/>
                      <a:t>
</a:t>
                    </a:r>
                    <a:fld id="{1F6F7EF6-8A7D-4234-81C2-8367D51E9BE7}"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1-1424-46E8-8657-5E72FAF2243D}"/>
                </c:ext>
              </c:extLst>
            </c:dLbl>
            <c:dLbl>
              <c:idx val="18"/>
              <c:layout>
                <c:manualLayout>
                  <c:x val="2.9977298977245326E-2"/>
                  <c:y val="1.1529810950878908E-2"/>
                </c:manualLayout>
              </c:layout>
              <c:tx>
                <c:rich>
                  <a:bodyPr/>
                  <a:lstStyle/>
                  <a:p>
                    <a:fld id="{D018A3A5-BD07-4747-990B-7956DCD3CD11}" type="CELLRANGE">
                      <a:rPr lang="en-US">
                        <a:solidFill>
                          <a:srgbClr val="00B050"/>
                        </a:solidFill>
                      </a:rPr>
                      <a:pPr/>
                      <a:t>[ДІАПАЗОН КЛІТИНОК]</a:t>
                    </a:fld>
                    <a:r>
                      <a:rPr lang="en-US" baseline="0"/>
                      <a:t>
</a:t>
                    </a:r>
                    <a:fld id="{75999539-F03E-4082-8829-1167F5DD5FB2}"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2-1424-46E8-8657-5E72FAF2243D}"/>
                </c:ext>
              </c:extLst>
            </c:dLbl>
            <c:dLbl>
              <c:idx val="19"/>
              <c:delete val="1"/>
              <c:extLst>
                <c:ext xmlns:c15="http://schemas.microsoft.com/office/drawing/2012/chart" uri="{CE6537A1-D6FC-4f65-9D91-7224C49458BB}"/>
                <c:ext xmlns:c16="http://schemas.microsoft.com/office/drawing/2014/chart" uri="{C3380CC4-5D6E-409C-BE32-E72D297353CC}">
                  <c16:uniqueId val="{00000013-1424-46E8-8657-5E72FAF2243D}"/>
                </c:ext>
              </c:extLst>
            </c:dLbl>
            <c:dLbl>
              <c:idx val="20"/>
              <c:delete val="1"/>
              <c:extLst>
                <c:ext xmlns:c15="http://schemas.microsoft.com/office/drawing/2012/chart" uri="{CE6537A1-D6FC-4f65-9D91-7224C49458BB}"/>
                <c:ext xmlns:c16="http://schemas.microsoft.com/office/drawing/2014/chart" uri="{C3380CC4-5D6E-409C-BE32-E72D297353CC}">
                  <c16:uniqueId val="{00000014-1424-46E8-8657-5E72FAF2243D}"/>
                </c:ext>
              </c:extLst>
            </c:dLbl>
            <c:dLbl>
              <c:idx val="21"/>
              <c:layout>
                <c:manualLayout>
                  <c:x val="-9.9690953141623323E-3"/>
                  <c:y val="1.1344049686774851E-2"/>
                </c:manualLayout>
              </c:layout>
              <c:tx>
                <c:rich>
                  <a:bodyPr/>
                  <a:lstStyle/>
                  <a:p>
                    <a:fld id="{F489A180-FAD1-40E0-BB7E-9C058591F1A3}" type="CELLRANGE">
                      <a:rPr lang="en-US">
                        <a:solidFill>
                          <a:srgbClr val="00B050"/>
                        </a:solidFill>
                      </a:rPr>
                      <a:pPr/>
                      <a:t>[ДІАПАЗОН КЛІТИНОК]</a:t>
                    </a:fld>
                    <a:r>
                      <a:rPr lang="en-US" baseline="0"/>
                      <a:t>
</a:t>
                    </a:r>
                    <a:fld id="{CD0D3BF3-4D82-41DC-8F5B-2799EE156F20}"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5-1424-46E8-8657-5E72FAF2243D}"/>
                </c:ext>
              </c:extLst>
            </c:dLbl>
            <c:dLbl>
              <c:idx val="22"/>
              <c:delete val="1"/>
              <c:extLst>
                <c:ext xmlns:c15="http://schemas.microsoft.com/office/drawing/2012/chart" uri="{CE6537A1-D6FC-4f65-9D91-7224C49458BB}"/>
                <c:ext xmlns:c16="http://schemas.microsoft.com/office/drawing/2014/chart" uri="{C3380CC4-5D6E-409C-BE32-E72D297353CC}">
                  <c16:uniqueId val="{00000016-1424-46E8-8657-5E72FAF2243D}"/>
                </c:ext>
              </c:extLst>
            </c:dLbl>
            <c:dLbl>
              <c:idx val="23"/>
              <c:tx>
                <c:rich>
                  <a:bodyPr/>
                  <a:lstStyle/>
                  <a:p>
                    <a:fld id="{03751D60-975C-43DD-8F08-893AE078E882}" type="CELLRANGE">
                      <a:rPr lang="en-US">
                        <a:solidFill>
                          <a:srgbClr val="00B050"/>
                        </a:solidFill>
                      </a:rPr>
                      <a:pPr/>
                      <a:t>[ДІАПАЗОН КЛІТИНОК]</a:t>
                    </a:fld>
                    <a:r>
                      <a:rPr lang="en-US" baseline="0"/>
                      <a:t>
</a:t>
                    </a:r>
                    <a:fld id="{EFEDFB09-D850-4453-B2EF-DDB071EEE81A}"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7-1424-46E8-8657-5E72FAF224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cat>
            <c:multiLvlStrRef>
              <c:f>'Ворк юа (вакансії)'!$L$4:$AI$5</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2022</c:v>
                  </c:pt>
                  <c:pt idx="12">
                    <c:v>2023</c:v>
                  </c:pt>
                </c:lvl>
              </c:multiLvlStrCache>
            </c:multiLvlStrRef>
          </c:cat>
          <c:val>
            <c:numRef>
              <c:f>'Ворк юа (вакансії)'!$L$6:$AI$6</c:f>
              <c:numCache>
                <c:formatCode>0</c:formatCode>
                <c:ptCount val="24"/>
                <c:pt idx="0">
                  <c:v>40.381</c:v>
                </c:pt>
                <c:pt idx="1">
                  <c:v>58.487000000000002</c:v>
                </c:pt>
                <c:pt idx="2">
                  <c:v>43.033000000000001</c:v>
                </c:pt>
                <c:pt idx="3">
                  <c:v>8.6690000000000005</c:v>
                </c:pt>
                <c:pt idx="4">
                  <c:v>10.782</c:v>
                </c:pt>
                <c:pt idx="5">
                  <c:v>15.028</c:v>
                </c:pt>
                <c:pt idx="6">
                  <c:v>19.501000000000001</c:v>
                </c:pt>
                <c:pt idx="7">
                  <c:v>21.385999999999999</c:v>
                </c:pt>
                <c:pt idx="8">
                  <c:v>28.579000000000001</c:v>
                </c:pt>
                <c:pt idx="9">
                  <c:v>30.204000000000001</c:v>
                </c:pt>
                <c:pt idx="10">
                  <c:v>27.495000000000001</c:v>
                </c:pt>
                <c:pt idx="11">
                  <c:v>29.016999999999999</c:v>
                </c:pt>
                <c:pt idx="12">
                  <c:v>23.998999999999999</c:v>
                </c:pt>
                <c:pt idx="13">
                  <c:v>37.073</c:v>
                </c:pt>
                <c:pt idx="14">
                  <c:v>41.246000000000002</c:v>
                </c:pt>
                <c:pt idx="15">
                  <c:v>44.970999999999997</c:v>
                </c:pt>
                <c:pt idx="16">
                  <c:v>47.929000000000002</c:v>
                </c:pt>
                <c:pt idx="17">
                  <c:v>54.924999999999997</c:v>
                </c:pt>
                <c:pt idx="18">
                  <c:v>52.889000000000003</c:v>
                </c:pt>
                <c:pt idx="19">
                  <c:v>51.746000000000002</c:v>
                </c:pt>
                <c:pt idx="20">
                  <c:v>60.482999999999997</c:v>
                </c:pt>
                <c:pt idx="21">
                  <c:v>58.685000000000002</c:v>
                </c:pt>
                <c:pt idx="22">
                  <c:v>58.533999999999999</c:v>
                </c:pt>
                <c:pt idx="23">
                  <c:v>53.444000000000003</c:v>
                </c:pt>
              </c:numCache>
            </c:numRef>
          </c:val>
          <c:extLst>
            <c:ext xmlns:c15="http://schemas.microsoft.com/office/drawing/2012/chart" uri="{02D57815-91ED-43cb-92C2-25804820EDAC}">
              <c15:datalabelsRange>
                <c15:f>'Ворк юа (вакансії)'!$L$9:$AI$9</c15:f>
                <c15:dlblRangeCache>
                  <c:ptCount val="24"/>
                  <c:pt idx="12">
                    <c:v>-41%</c:v>
                  </c:pt>
                  <c:pt idx="13">
                    <c:v>-37%</c:v>
                  </c:pt>
                  <c:pt idx="14">
                    <c:v>-4%</c:v>
                  </c:pt>
                  <c:pt idx="15">
                    <c:v>419%</c:v>
                  </c:pt>
                  <c:pt idx="16">
                    <c:v>345%</c:v>
                  </c:pt>
                  <c:pt idx="17">
                    <c:v>265%</c:v>
                  </c:pt>
                  <c:pt idx="18">
                    <c:v>171%</c:v>
                  </c:pt>
                  <c:pt idx="19">
                    <c:v>142%</c:v>
                  </c:pt>
                  <c:pt idx="20">
                    <c:v>112%</c:v>
                  </c:pt>
                  <c:pt idx="21">
                    <c:v>94%</c:v>
                  </c:pt>
                  <c:pt idx="22">
                    <c:v>113%</c:v>
                  </c:pt>
                  <c:pt idx="23">
                    <c:v>84%</c:v>
                  </c:pt>
                </c15:dlblRangeCache>
              </c15:datalabelsRange>
            </c:ext>
            <c:ext xmlns:c16="http://schemas.microsoft.com/office/drawing/2014/chart" uri="{C3380CC4-5D6E-409C-BE32-E72D297353CC}">
              <c16:uniqueId val="{00000018-1424-46E8-8657-5E72FAF2243D}"/>
            </c:ext>
          </c:extLst>
        </c:ser>
        <c:dLbls>
          <c:showLegendKey val="0"/>
          <c:showVal val="0"/>
          <c:showCatName val="0"/>
          <c:showSerName val="0"/>
          <c:showPercent val="0"/>
          <c:showBubbleSize val="0"/>
        </c:dLbls>
        <c:gapWidth val="150"/>
        <c:axId val="1240480720"/>
        <c:axId val="1284388192"/>
      </c:barChart>
      <c:lineChart>
        <c:grouping val="standard"/>
        <c:varyColors val="0"/>
        <c:ser>
          <c:idx val="1"/>
          <c:order val="1"/>
          <c:tx>
            <c:strRef>
              <c:f>'Ворк юа (вакансії)'!$K$7</c:f>
              <c:strCache>
                <c:ptCount val="1"/>
                <c:pt idx="0">
                  <c:v>Резюме</c:v>
                </c:pt>
              </c:strCache>
            </c:strRef>
          </c:tx>
          <c:spPr>
            <a:ln w="28575" cap="rnd">
              <a:solidFill>
                <a:schemeClr val="accent4"/>
              </a:solidFill>
              <a:round/>
            </a:ln>
            <a:effectLst/>
          </c:spPr>
          <c:marker>
            <c:symbol val="circle"/>
            <c:size val="6"/>
            <c:spPr>
              <a:solidFill>
                <a:schemeClr val="accent4">
                  <a:lumMod val="20000"/>
                  <a:lumOff val="80000"/>
                </a:schemeClr>
              </a:solidFill>
              <a:ln w="9525">
                <a:solidFill>
                  <a:schemeClr val="accent4"/>
                </a:solidFill>
              </a:ln>
              <a:effectLst/>
            </c:spPr>
          </c:marker>
          <c:dLbls>
            <c:dLbl>
              <c:idx val="0"/>
              <c:tx>
                <c:rich>
                  <a:bodyPr/>
                  <a:lstStyle/>
                  <a:p>
                    <a:fld id="{5418C8B0-387C-4D06-B4F5-4830A4488F9A}" type="CELLRANGE">
                      <a:rPr lang="en-US"/>
                      <a:pPr/>
                      <a:t>[ДІАПАЗОН КЛІТИНОК]</a:t>
                    </a:fld>
                    <a:endParaRPr lang="en-US" baseline="0"/>
                  </a:p>
                  <a:p>
                    <a:fld id="{0D23D3B4-E770-41F1-985E-EAA56534E2F3}"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9-1424-46E8-8657-5E72FAF2243D}"/>
                </c:ext>
              </c:extLst>
            </c:dLbl>
            <c:dLbl>
              <c:idx val="1"/>
              <c:tx>
                <c:rich>
                  <a:bodyPr/>
                  <a:lstStyle/>
                  <a:p>
                    <a:fld id="{03C63FA4-A9D5-4DC0-BC78-B3F81136B175}" type="CELLRANGE">
                      <a:rPr lang="en-US"/>
                      <a:pPr/>
                      <a:t>[ДІАПАЗОН КЛІТИНОК]</a:t>
                    </a:fld>
                    <a:endParaRPr lang="en-US" baseline="0"/>
                  </a:p>
                  <a:p>
                    <a:fld id="{848AC2BC-BA61-468E-954C-4D7DB3598847}"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A-1424-46E8-8657-5E72FAF2243D}"/>
                </c:ext>
              </c:extLst>
            </c:dLbl>
            <c:dLbl>
              <c:idx val="2"/>
              <c:layout>
                <c:manualLayout>
                  <c:x val="9.0925108124687085E-3"/>
                  <c:y val="-5.868183097085531E-2"/>
                </c:manualLayout>
              </c:layout>
              <c:tx>
                <c:rich>
                  <a:bodyPr/>
                  <a:lstStyle/>
                  <a:p>
                    <a:fld id="{9B7D5F1A-4245-41E4-A759-A4E66D61BD03}" type="CELLRANGE">
                      <a:rPr lang="en-US"/>
                      <a:pPr/>
                      <a:t>[ДІАПАЗОН КЛІТИНОК]</a:t>
                    </a:fld>
                    <a:endParaRPr lang="en-US" baseline="0"/>
                  </a:p>
                  <a:p>
                    <a:fld id="{EFFB43A9-89F9-41B8-9930-E23924E6C187}" type="VALUE">
                      <a:rPr lang="en-US"/>
                      <a:pPr/>
                      <a:t>[ЗНАЧЕННЯ]</a:t>
                    </a:fld>
                    <a:endParaRPr lang="en-US"/>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B-1424-46E8-8657-5E72FAF2243D}"/>
                </c:ext>
              </c:extLst>
            </c:dLbl>
            <c:dLbl>
              <c:idx val="3"/>
              <c:tx>
                <c:rich>
                  <a:bodyPr/>
                  <a:lstStyle/>
                  <a:p>
                    <a:fld id="{363D6210-54C5-4349-8D68-4474A176B9B2}" type="CELLRANGE">
                      <a:rPr lang="en-US"/>
                      <a:pPr/>
                      <a:t>[ДІАПАЗОН КЛІТИНОК]</a:t>
                    </a:fld>
                    <a:endParaRPr lang="en-US" baseline="0"/>
                  </a:p>
                  <a:p>
                    <a:fld id="{D579C0CC-84F0-4385-9DCD-C7832326E31A}"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C-1424-46E8-8657-5E72FAF2243D}"/>
                </c:ext>
              </c:extLst>
            </c:dLbl>
            <c:dLbl>
              <c:idx val="4"/>
              <c:tx>
                <c:rich>
                  <a:bodyPr/>
                  <a:lstStyle/>
                  <a:p>
                    <a:fld id="{E02DDE42-D04D-4E63-8D7F-EF2FBC61D751}" type="CELLRANGE">
                      <a:rPr lang="en-US"/>
                      <a:pPr/>
                      <a:t>[ДІАПАЗОН КЛІТИНОК]</a:t>
                    </a:fld>
                    <a:endParaRPr lang="en-US" baseline="0"/>
                  </a:p>
                  <a:p>
                    <a:fld id="{376ACEBC-E930-4287-A47A-423FD4FB3240}"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D-1424-46E8-8657-5E72FAF2243D}"/>
                </c:ext>
              </c:extLst>
            </c:dLbl>
            <c:dLbl>
              <c:idx val="5"/>
              <c:tx>
                <c:rich>
                  <a:bodyPr/>
                  <a:lstStyle/>
                  <a:p>
                    <a:fld id="{F4625182-39F0-49B6-B86F-42D7C36C87DE}" type="CELLRANGE">
                      <a:rPr lang="en-US"/>
                      <a:pPr/>
                      <a:t>[ДІАПАЗОН КЛІТИНОК]</a:t>
                    </a:fld>
                    <a:endParaRPr lang="en-US" baseline="0"/>
                  </a:p>
                  <a:p>
                    <a:fld id="{640335EC-3225-473D-B5CF-326586776828}"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E-1424-46E8-8657-5E72FAF2243D}"/>
                </c:ext>
              </c:extLst>
            </c:dLbl>
            <c:dLbl>
              <c:idx val="6"/>
              <c:tx>
                <c:rich>
                  <a:bodyPr/>
                  <a:lstStyle/>
                  <a:p>
                    <a:fld id="{53BDD0B3-7D4F-4D15-8563-DCD5DAED67B9}" type="CELLRANGE">
                      <a:rPr lang="en-US"/>
                      <a:pPr/>
                      <a:t>[ДІАПАЗОН КЛІТИНОК]</a:t>
                    </a:fld>
                    <a:endParaRPr lang="en-US" baseline="0"/>
                  </a:p>
                  <a:p>
                    <a:fld id="{C8717776-7B8A-4D16-94D2-EEF881685486}"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F-1424-46E8-8657-5E72FAF2243D}"/>
                </c:ext>
              </c:extLst>
            </c:dLbl>
            <c:dLbl>
              <c:idx val="7"/>
              <c:tx>
                <c:rich>
                  <a:bodyPr/>
                  <a:lstStyle/>
                  <a:p>
                    <a:fld id="{AD7716B6-D806-414C-A041-61577DE51779}" type="CELLRANGE">
                      <a:rPr lang="en-US"/>
                      <a:pPr/>
                      <a:t>[ДІАПАЗОН КЛІТИНОК]</a:t>
                    </a:fld>
                    <a:endParaRPr lang="en-US" baseline="0"/>
                  </a:p>
                  <a:p>
                    <a:fld id="{40CB901B-852D-448F-A1DE-3C647CB4770B}"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0-1424-46E8-8657-5E72FAF2243D}"/>
                </c:ext>
              </c:extLst>
            </c:dLbl>
            <c:dLbl>
              <c:idx val="8"/>
              <c:tx>
                <c:rich>
                  <a:bodyPr/>
                  <a:lstStyle/>
                  <a:p>
                    <a:fld id="{764C9DDE-D40D-4208-9B4A-BA4BF97A6BD7}" type="CELLRANGE">
                      <a:rPr lang="en-US"/>
                      <a:pPr/>
                      <a:t>[ДІАПАЗОН КЛІТИНОК]</a:t>
                    </a:fld>
                    <a:endParaRPr lang="en-US" baseline="0"/>
                  </a:p>
                  <a:p>
                    <a:fld id="{88D3F951-8F7F-42D9-886E-62C3201E989C}"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1-1424-46E8-8657-5E72FAF2243D}"/>
                </c:ext>
              </c:extLst>
            </c:dLbl>
            <c:dLbl>
              <c:idx val="9"/>
              <c:tx>
                <c:rich>
                  <a:bodyPr/>
                  <a:lstStyle/>
                  <a:p>
                    <a:fld id="{4C05E7BC-7C4B-4B51-BE24-21B86CD57338}" type="CELLRANGE">
                      <a:rPr lang="en-US"/>
                      <a:pPr/>
                      <a:t>[ДІАПАЗОН КЛІТИНОК]</a:t>
                    </a:fld>
                    <a:endParaRPr lang="en-US" baseline="0"/>
                  </a:p>
                  <a:p>
                    <a:fld id="{E96630AB-D677-4B48-B440-B16B950B9811}"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2-1424-46E8-8657-5E72FAF2243D}"/>
                </c:ext>
              </c:extLst>
            </c:dLbl>
            <c:dLbl>
              <c:idx val="10"/>
              <c:tx>
                <c:rich>
                  <a:bodyPr/>
                  <a:lstStyle/>
                  <a:p>
                    <a:fld id="{839A72A2-D862-47BD-814B-B45D651E2E73}" type="CELLRANGE">
                      <a:rPr lang="en-US"/>
                      <a:pPr/>
                      <a:t>[ДІАПАЗОН КЛІТИНОК]</a:t>
                    </a:fld>
                    <a:endParaRPr lang="en-US" baseline="0"/>
                  </a:p>
                  <a:p>
                    <a:fld id="{F593487B-83B5-46A8-8F55-A7A16687106B}"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3-1424-46E8-8657-5E72FAF2243D}"/>
                </c:ext>
              </c:extLst>
            </c:dLbl>
            <c:dLbl>
              <c:idx val="11"/>
              <c:tx>
                <c:rich>
                  <a:bodyPr/>
                  <a:lstStyle/>
                  <a:p>
                    <a:fld id="{2E257FCB-6A7D-4EA8-A1B2-A8285A381992}" type="CELLRANGE">
                      <a:rPr lang="en-US"/>
                      <a:pPr/>
                      <a:t>[ДІАПАЗОН КЛІТИНОК]</a:t>
                    </a:fld>
                    <a:endParaRPr lang="en-US" baseline="0"/>
                  </a:p>
                  <a:p>
                    <a:fld id="{877DC598-4A33-487D-A3BF-B13A1EDE2E09}"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4-1424-46E8-8657-5E72FAF2243D}"/>
                </c:ext>
              </c:extLst>
            </c:dLbl>
            <c:dLbl>
              <c:idx val="12"/>
              <c:tx>
                <c:rich>
                  <a:bodyPr/>
                  <a:lstStyle/>
                  <a:p>
                    <a:fld id="{0341CABA-95B2-436B-AA9C-BFFFF3B60FA4}" type="CELLRANGE">
                      <a:rPr lang="en-US" b="0">
                        <a:solidFill>
                          <a:srgbClr val="00B050"/>
                        </a:solidFill>
                      </a:rPr>
                      <a:pPr/>
                      <a:t>[ДІАПАЗОН КЛІТИНОК]</a:t>
                    </a:fld>
                    <a:endParaRPr lang="en-US" b="0" baseline="0">
                      <a:solidFill>
                        <a:srgbClr val="00B050"/>
                      </a:solidFill>
                    </a:endParaRPr>
                  </a:p>
                  <a:p>
                    <a:fld id="{997EBBBF-65E3-4F1F-94BF-24776F9BFC3E}"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5-1424-46E8-8657-5E72FAF2243D}"/>
                </c:ext>
              </c:extLst>
            </c:dLbl>
            <c:dLbl>
              <c:idx val="13"/>
              <c:layout>
                <c:manualLayout>
                  <c:x val="-5.6709847664189496E-2"/>
                  <c:y val="-6.2667102085817522E-2"/>
                </c:manualLayout>
              </c:layout>
              <c:tx>
                <c:rich>
                  <a:bodyPr/>
                  <a:lstStyle/>
                  <a:p>
                    <a:fld id="{6A6AF6F9-A0BB-4112-9A70-B2F511BA2D73}" type="CELLRANGE">
                      <a:rPr lang="en-US" b="0">
                        <a:solidFill>
                          <a:schemeClr val="accent3"/>
                        </a:solidFill>
                      </a:rPr>
                      <a:pPr/>
                      <a:t>[ДІАПАЗОН КЛІТИНОК]</a:t>
                    </a:fld>
                    <a:endParaRPr lang="en-US" b="0" baseline="0">
                      <a:solidFill>
                        <a:schemeClr val="accent3"/>
                      </a:solidFill>
                    </a:endParaRPr>
                  </a:p>
                  <a:p>
                    <a:fld id="{D9A1C4B1-008B-4104-B40E-024B612857DF}" type="VALUE">
                      <a:rPr lang="en-US"/>
                      <a:pPr/>
                      <a:t>[ЗНАЧЕННЯ]</a:t>
                    </a:fld>
                    <a:endParaRPr lang="en-US"/>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6-1424-46E8-8657-5E72FAF2243D}"/>
                </c:ext>
              </c:extLst>
            </c:dLbl>
            <c:dLbl>
              <c:idx val="14"/>
              <c:layout>
                <c:manualLayout>
                  <c:x val="-4.6741645687298723E-2"/>
                  <c:y val="-7.00616301248672E-2"/>
                </c:manualLayout>
              </c:layout>
              <c:tx>
                <c:rich>
                  <a:bodyPr/>
                  <a:lstStyle/>
                  <a:p>
                    <a:fld id="{43FCEC49-A25A-4C9B-9CBB-2A6A9EDB9F0F}" type="CELLRANGE">
                      <a:rPr lang="en-US" b="0">
                        <a:solidFill>
                          <a:srgbClr val="00B050"/>
                        </a:solidFill>
                      </a:rPr>
                      <a:pPr/>
                      <a:t>[ДІАПАЗОН КЛІТИНОК]</a:t>
                    </a:fld>
                    <a:endParaRPr lang="en-US" b="0" baseline="0">
                      <a:solidFill>
                        <a:srgbClr val="00B050"/>
                      </a:solidFill>
                    </a:endParaRPr>
                  </a:p>
                  <a:p>
                    <a:fld id="{E22B58ED-43A4-44ED-AD88-9CCD024A7510}" type="VALUE">
                      <a:rPr lang="en-US"/>
                      <a:pPr/>
                      <a:t>[ЗНАЧЕННЯ]</a:t>
                    </a:fld>
                    <a:endParaRPr lang="en-US"/>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7-1424-46E8-8657-5E72FAF2243D}"/>
                </c:ext>
              </c:extLst>
            </c:dLbl>
            <c:dLbl>
              <c:idx val="15"/>
              <c:tx>
                <c:rich>
                  <a:bodyPr/>
                  <a:lstStyle/>
                  <a:p>
                    <a:fld id="{E1BFA647-7DB2-4735-B6B4-78366B2B7E2D}" type="CELLRANGE">
                      <a:rPr lang="en-US">
                        <a:solidFill>
                          <a:srgbClr val="00B050"/>
                        </a:solidFill>
                      </a:rPr>
                      <a:pPr/>
                      <a:t>[ДІАПАЗОН КЛІТИНОК]</a:t>
                    </a:fld>
                    <a:r>
                      <a:rPr lang="en-US" baseline="0"/>
                      <a:t>
</a:t>
                    </a:r>
                    <a:fld id="{37FBEC42-171C-4D62-BF61-36275AA9DCCE}" type="VALUE">
                      <a:rPr lang="en-US" baseline="0"/>
                      <a:pPr/>
                      <a:t>[ЗНАЧЕННЯ]</a:t>
                    </a:fld>
                    <a:endParaRPr lang="en-US" baseline="0"/>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8-1424-46E8-8657-5E72FAF2243D}"/>
                </c:ext>
              </c:extLst>
            </c:dLbl>
            <c:dLbl>
              <c:idx val="16"/>
              <c:layout>
                <c:manualLayout>
                  <c:x val="-4.0570585202249793E-2"/>
                  <c:y val="-6.6472026316893265E-2"/>
                </c:manualLayout>
              </c:layout>
              <c:tx>
                <c:rich>
                  <a:bodyPr/>
                  <a:lstStyle/>
                  <a:p>
                    <a:fld id="{D6F5E7A8-65DC-4A01-B359-F34F80D46B70}" type="CELLRANGE">
                      <a:rPr lang="en-US">
                        <a:solidFill>
                          <a:schemeClr val="accent3"/>
                        </a:solidFill>
                      </a:rPr>
                      <a:pPr/>
                      <a:t>[ДІАПАЗОН КЛІТИНОК]</a:t>
                    </a:fld>
                    <a:r>
                      <a:rPr lang="en-US" baseline="0"/>
                      <a:t>
</a:t>
                    </a:r>
                    <a:fld id="{F6E6A5EE-F423-465A-95A8-C95FFB4DAADC}" type="VALUE">
                      <a:rPr lang="en-US" baseline="0"/>
                      <a:pPr/>
                      <a:t>[ЗНАЧЕННЯ]</a:t>
                    </a:fld>
                    <a:endParaRPr lang="en-US" baseline="0"/>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9-1424-46E8-8657-5E72FAF2243D}"/>
                </c:ext>
              </c:extLst>
            </c:dLbl>
            <c:dLbl>
              <c:idx val="17"/>
              <c:delete val="1"/>
              <c:extLst>
                <c:ext xmlns:c15="http://schemas.microsoft.com/office/drawing/2012/chart" uri="{CE6537A1-D6FC-4f65-9D91-7224C49458BB}"/>
                <c:ext xmlns:c16="http://schemas.microsoft.com/office/drawing/2014/chart" uri="{C3380CC4-5D6E-409C-BE32-E72D297353CC}">
                  <c16:uniqueId val="{0000002A-1424-46E8-8657-5E72FAF2243D}"/>
                </c:ext>
              </c:extLst>
            </c:dLbl>
            <c:dLbl>
              <c:idx val="18"/>
              <c:layout>
                <c:manualLayout>
                  <c:x val="-4.7947406946838231E-2"/>
                  <c:y val="-5.5095535040409246E-2"/>
                </c:manualLayout>
              </c:layout>
              <c:tx>
                <c:rich>
                  <a:bodyPr/>
                  <a:lstStyle/>
                  <a:p>
                    <a:fld id="{2DDD1E30-095A-4ADB-A0CA-FAB04EA928DE}" type="CELLRANGE">
                      <a:rPr lang="en-US" baseline="0">
                        <a:solidFill>
                          <a:schemeClr val="accent3"/>
                        </a:solidFill>
                      </a:rPr>
                      <a:pPr/>
                      <a:t>[ДІАПАЗОН КЛІТИНОК]</a:t>
                    </a:fld>
                    <a:r>
                      <a:rPr lang="en-US" baseline="0"/>
                      <a:t>
</a:t>
                    </a:r>
                    <a:fld id="{86C21A28-A0BE-4563-9B2E-BD87523B1E19}" type="VALUE">
                      <a:rPr lang="en-US" baseline="0"/>
                      <a:pPr/>
                      <a:t>[ЗНАЧЕННЯ]</a:t>
                    </a:fld>
                    <a:endParaRPr lang="en-US" baseline="0"/>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B-1424-46E8-8657-5E72FAF2243D}"/>
                </c:ext>
              </c:extLst>
            </c:dLbl>
            <c:dLbl>
              <c:idx val="19"/>
              <c:delete val="1"/>
              <c:extLst>
                <c:ext xmlns:c15="http://schemas.microsoft.com/office/drawing/2012/chart" uri="{CE6537A1-D6FC-4f65-9D91-7224C49458BB}"/>
                <c:ext xmlns:c16="http://schemas.microsoft.com/office/drawing/2014/chart" uri="{C3380CC4-5D6E-409C-BE32-E72D297353CC}">
                  <c16:uniqueId val="{0000002C-1424-46E8-8657-5E72FAF2243D}"/>
                </c:ext>
              </c:extLst>
            </c:dLbl>
            <c:dLbl>
              <c:idx val="20"/>
              <c:tx>
                <c:rich>
                  <a:bodyPr/>
                  <a:lstStyle/>
                  <a:p>
                    <a:fld id="{44E72BC4-41B1-48C9-8DC0-9CC7EF2092DA}" type="CELLRANGE">
                      <a:rPr lang="en-US">
                        <a:solidFill>
                          <a:schemeClr val="accent3"/>
                        </a:solidFill>
                      </a:rPr>
                      <a:pPr/>
                      <a:t>[ДІАПАЗОН КЛІТИНОК]</a:t>
                    </a:fld>
                    <a:r>
                      <a:rPr lang="en-US" baseline="0"/>
                      <a:t>
</a:t>
                    </a:r>
                    <a:fld id="{D616833B-8F74-46EA-ADC2-C2FA3D674629}" type="VALUE">
                      <a:rPr lang="en-US" baseline="0"/>
                      <a:pPr/>
                      <a:t>[ЗНАЧЕННЯ]</a:t>
                    </a:fld>
                    <a:endParaRPr lang="en-US" baseline="0"/>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D-1424-46E8-8657-5E72FAF2243D}"/>
                </c:ext>
              </c:extLst>
            </c:dLbl>
            <c:dLbl>
              <c:idx val="21"/>
              <c:delete val="1"/>
              <c:extLst>
                <c:ext xmlns:c15="http://schemas.microsoft.com/office/drawing/2012/chart" uri="{CE6537A1-D6FC-4f65-9D91-7224C49458BB}"/>
                <c:ext xmlns:c16="http://schemas.microsoft.com/office/drawing/2014/chart" uri="{C3380CC4-5D6E-409C-BE32-E72D297353CC}">
                  <c16:uniqueId val="{0000002E-1424-46E8-8657-5E72FAF2243D}"/>
                </c:ext>
              </c:extLst>
            </c:dLbl>
            <c:dLbl>
              <c:idx val="22"/>
              <c:layout>
                <c:manualLayout>
                  <c:x val="-6.7649547537901228E-2"/>
                  <c:y val="-7.8546920765339118E-2"/>
                </c:manualLayout>
              </c:layout>
              <c:tx>
                <c:rich>
                  <a:bodyPr/>
                  <a:lstStyle/>
                  <a:p>
                    <a:fld id="{C8ED5068-EC13-49D1-B1AA-7F16590B82CE}" type="CELLRANGE">
                      <a:rPr lang="en-US">
                        <a:solidFill>
                          <a:schemeClr val="accent3"/>
                        </a:solidFill>
                      </a:rPr>
                      <a:pPr/>
                      <a:t>[ДІАПАЗОН КЛІТИНОК]</a:t>
                    </a:fld>
                    <a:r>
                      <a:rPr lang="en-US" baseline="0"/>
                      <a:t>
</a:t>
                    </a:r>
                    <a:fld id="{036FC96C-915D-4766-B41E-4D040CD625E1}" type="VALUE">
                      <a:rPr lang="en-US" baseline="0"/>
                      <a:pPr/>
                      <a:t>[ЗНАЧЕННЯ]</a:t>
                    </a:fld>
                    <a:endParaRPr lang="en-US" baseline="0"/>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F-1424-46E8-8657-5E72FAF2243D}"/>
                </c:ext>
              </c:extLst>
            </c:dLbl>
            <c:dLbl>
              <c:idx val="23"/>
              <c:layout>
                <c:manualLayout>
                  <c:x val="-2.6403611861950092E-2"/>
                  <c:y val="-6.7516908212560386E-2"/>
                </c:manualLayout>
              </c:layout>
              <c:tx>
                <c:rich>
                  <a:bodyPr/>
                  <a:lstStyle/>
                  <a:p>
                    <a:fld id="{842FF260-5DA4-4308-A20A-B304041BA4E1}" type="CELLRANGE">
                      <a:rPr lang="en-US">
                        <a:solidFill>
                          <a:schemeClr val="accent3"/>
                        </a:solidFill>
                      </a:rPr>
                      <a:pPr/>
                      <a:t>[ДІАПАЗОН КЛІТИНОК]</a:t>
                    </a:fld>
                    <a:r>
                      <a:rPr lang="en-US" baseline="0"/>
                      <a:t>
</a:t>
                    </a:r>
                    <a:fld id="{DBFEC533-BD57-4BAE-9AD8-B99229CD1FFE}" type="VALUE">
                      <a:rPr lang="en-US" baseline="0"/>
                      <a:pPr/>
                      <a:t>[ЗНАЧЕННЯ]</a:t>
                    </a:fld>
                    <a:endParaRPr lang="en-US" baseline="0"/>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30-1424-46E8-8657-5E72FAF224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cat>
            <c:multiLvlStrRef>
              <c:f>'Ворк юа (вакансії)'!$L$4:$AI$5</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2022</c:v>
                  </c:pt>
                  <c:pt idx="12">
                    <c:v>2023</c:v>
                  </c:pt>
                </c:lvl>
              </c:multiLvlStrCache>
            </c:multiLvlStrRef>
          </c:cat>
          <c:val>
            <c:numRef>
              <c:f>'Ворк юа (вакансії)'!$L$7:$AI$7</c:f>
              <c:numCache>
                <c:formatCode>0</c:formatCode>
                <c:ptCount val="24"/>
                <c:pt idx="0">
                  <c:v>79.98</c:v>
                </c:pt>
                <c:pt idx="1">
                  <c:v>124.209</c:v>
                </c:pt>
                <c:pt idx="2">
                  <c:v>54.927</c:v>
                </c:pt>
                <c:pt idx="3">
                  <c:v>99.314999999999998</c:v>
                </c:pt>
                <c:pt idx="4">
                  <c:v>131.221</c:v>
                </c:pt>
                <c:pt idx="5">
                  <c:v>152.328</c:v>
                </c:pt>
                <c:pt idx="6">
                  <c:v>152.80000000000001</c:v>
                </c:pt>
                <c:pt idx="7">
                  <c:v>141.55799999999999</c:v>
                </c:pt>
                <c:pt idx="8">
                  <c:v>136.57900000000001</c:v>
                </c:pt>
                <c:pt idx="9">
                  <c:v>125.685</c:v>
                </c:pt>
                <c:pt idx="10">
                  <c:v>113.485</c:v>
                </c:pt>
                <c:pt idx="11">
                  <c:v>104.94199999999999</c:v>
                </c:pt>
                <c:pt idx="12">
                  <c:v>84.114000000000004</c:v>
                </c:pt>
                <c:pt idx="13">
                  <c:v>114.64700000000001</c:v>
                </c:pt>
                <c:pt idx="14">
                  <c:v>114.04300000000001</c:v>
                </c:pt>
                <c:pt idx="15">
                  <c:v>104.616</c:v>
                </c:pt>
                <c:pt idx="16">
                  <c:v>93.132000000000005</c:v>
                </c:pt>
                <c:pt idx="17">
                  <c:v>91.554000000000002</c:v>
                </c:pt>
                <c:pt idx="18">
                  <c:v>97.444000000000003</c:v>
                </c:pt>
                <c:pt idx="19">
                  <c:v>89.995999999999995</c:v>
                </c:pt>
                <c:pt idx="20">
                  <c:v>89.701999999999998</c:v>
                </c:pt>
                <c:pt idx="21">
                  <c:v>88.165000000000006</c:v>
                </c:pt>
                <c:pt idx="22">
                  <c:v>88.247</c:v>
                </c:pt>
                <c:pt idx="23">
                  <c:v>83.915000000000006</c:v>
                </c:pt>
              </c:numCache>
            </c:numRef>
          </c:val>
          <c:smooth val="0"/>
          <c:extLst>
            <c:ext xmlns:c15="http://schemas.microsoft.com/office/drawing/2012/chart" uri="{02D57815-91ED-43cb-92C2-25804820EDAC}">
              <c15:datalabelsRange>
                <c15:f>'Ворк юа (вакансії)'!$L$10:$AI$10</c15:f>
                <c15:dlblRangeCache>
                  <c:ptCount val="24"/>
                  <c:pt idx="12">
                    <c:v>5%</c:v>
                  </c:pt>
                  <c:pt idx="13">
                    <c:v>-8%</c:v>
                  </c:pt>
                  <c:pt idx="14">
                    <c:v>108%</c:v>
                  </c:pt>
                  <c:pt idx="15">
                    <c:v>5%</c:v>
                  </c:pt>
                  <c:pt idx="16">
                    <c:v>-29%</c:v>
                  </c:pt>
                  <c:pt idx="17">
                    <c:v>-40%</c:v>
                  </c:pt>
                  <c:pt idx="18">
                    <c:v>-36%</c:v>
                  </c:pt>
                  <c:pt idx="19">
                    <c:v>-36%</c:v>
                  </c:pt>
                  <c:pt idx="20">
                    <c:v>-34%</c:v>
                  </c:pt>
                  <c:pt idx="21">
                    <c:v>-30%</c:v>
                  </c:pt>
                  <c:pt idx="22">
                    <c:v>-22%</c:v>
                  </c:pt>
                  <c:pt idx="23">
                    <c:v>-20%</c:v>
                  </c:pt>
                </c15:dlblRangeCache>
              </c15:datalabelsRange>
            </c:ext>
            <c:ext xmlns:c16="http://schemas.microsoft.com/office/drawing/2014/chart" uri="{C3380CC4-5D6E-409C-BE32-E72D297353CC}">
              <c16:uniqueId val="{00000031-1424-46E8-8657-5E72FAF2243D}"/>
            </c:ext>
          </c:extLst>
        </c:ser>
        <c:dLbls>
          <c:showLegendKey val="0"/>
          <c:showVal val="0"/>
          <c:showCatName val="0"/>
          <c:showSerName val="0"/>
          <c:showPercent val="0"/>
          <c:showBubbleSize val="0"/>
        </c:dLbls>
        <c:marker val="1"/>
        <c:smooth val="0"/>
        <c:axId val="1240480720"/>
        <c:axId val="1284388192"/>
      </c:lineChart>
      <c:catAx>
        <c:axId val="1240480720"/>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84388192"/>
        <c:crosses val="autoZero"/>
        <c:auto val="1"/>
        <c:lblAlgn val="ctr"/>
        <c:lblOffset val="100"/>
        <c:noMultiLvlLbl val="0"/>
      </c:catAx>
      <c:valAx>
        <c:axId val="1284388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40480720"/>
        <c:crosses val="autoZero"/>
        <c:crossBetween val="between"/>
      </c:valAx>
      <c:spPr>
        <a:noFill/>
        <a:ln>
          <a:noFill/>
        </a:ln>
        <a:effectLst/>
      </c:spPr>
    </c:plotArea>
    <c:legend>
      <c:legendPos val="t"/>
      <c:layout>
        <c:manualLayout>
          <c:xMode val="edge"/>
          <c:yMode val="edge"/>
          <c:x val="0.30243956478671757"/>
          <c:y val="8.3451860462754601E-2"/>
          <c:w val="0.38015341635512706"/>
          <c:h val="6.395536729272487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014148691501042E-2"/>
          <c:y val="9.582682540916676E-2"/>
          <c:w val="0.89140674609645787"/>
          <c:h val="0.73729605633738127"/>
        </c:manualLayout>
      </c:layout>
      <c:lineChart>
        <c:grouping val="standard"/>
        <c:varyColors val="0"/>
        <c:ser>
          <c:idx val="0"/>
          <c:order val="0"/>
          <c:spPr>
            <a:ln w="12700" cap="rnd">
              <a:solidFill>
                <a:schemeClr val="accent1"/>
              </a:solidFill>
              <a:round/>
            </a:ln>
            <a:effectLst/>
          </c:spPr>
          <c:marker>
            <c:symbol val="circle"/>
            <c:size val="7"/>
            <c:spPr>
              <a:solidFill>
                <a:schemeClr val="accent1">
                  <a:lumMod val="20000"/>
                  <a:lumOff val="80000"/>
                </a:schemeClr>
              </a:solidFill>
              <a:ln w="12700">
                <a:solidFill>
                  <a:schemeClr val="accent1"/>
                </a:solidFill>
              </a:ln>
              <a:effectLst/>
            </c:spPr>
          </c:marker>
          <c:dLbls>
            <c:dLbl>
              <c:idx val="1"/>
              <c:layout>
                <c:manualLayout>
                  <c:x val="-4.6604346042027095E-2"/>
                  <c:y val="4.86636715730430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64B-40F2-84CB-7D5CF424E61C}"/>
                </c:ext>
              </c:extLst>
            </c:dLbl>
            <c:dLbl>
              <c:idx val="3"/>
              <c:layout>
                <c:manualLayout>
                  <c:x val="-5.1674357555761503E-2"/>
                  <c:y val="3.45455440514626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4B-40F2-84CB-7D5CF424E61C}"/>
                </c:ext>
              </c:extLst>
            </c:dLbl>
            <c:dLbl>
              <c:idx val="5"/>
              <c:layout>
                <c:manualLayout>
                  <c:x val="-5.5724678153169595E-2"/>
                  <c:y val="6.4316947228932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4B-40F2-84CB-7D5CF424E61C}"/>
                </c:ext>
              </c:extLst>
            </c:dLbl>
            <c:dLbl>
              <c:idx val="8"/>
              <c:layout>
                <c:manualLayout>
                  <c:x val="-4.6336474278995642E-2"/>
                  <c:y val="4.73047168418066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4B-40F2-84CB-7D5CF424E61C}"/>
                </c:ext>
              </c:extLst>
            </c:dLbl>
            <c:dLbl>
              <c:idx val="10"/>
              <c:layout>
                <c:manualLayout>
                  <c:x val="-5.2606821232640703E-2"/>
                  <c:y val="5.58108320353693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4B-40F2-84CB-7D5CF424E61C}"/>
                </c:ext>
              </c:extLst>
            </c:dLbl>
            <c:dLbl>
              <c:idx val="12"/>
              <c:layout>
                <c:manualLayout>
                  <c:x val="-5.2377322062520222E-2"/>
                  <c:y val="4.30516592450253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4B-40F2-84CB-7D5CF424E61C}"/>
                </c:ext>
              </c:extLst>
            </c:dLbl>
            <c:dLbl>
              <c:idx val="14"/>
              <c:layout>
                <c:manualLayout>
                  <c:x val="-5.5251432013446414E-2"/>
                  <c:y val="4.73047168418066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64B-40F2-84CB-7D5CF424E61C}"/>
                </c:ext>
              </c:extLst>
            </c:dLbl>
            <c:dLbl>
              <c:idx val="16"/>
              <c:layout>
                <c:manualLayout>
                  <c:x val="-4.9600316344987884E-2"/>
                  <c:y val="4.30516592450253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4B-40F2-84CB-7D5CF424E61C}"/>
                </c:ext>
              </c:extLst>
            </c:dLbl>
            <c:dLbl>
              <c:idx val="18"/>
              <c:layout>
                <c:manualLayout>
                  <c:x val="-3.6126720366988344E-2"/>
                  <c:y val="-4.20094926906014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64B-40F2-84CB-7D5CF424E61C}"/>
                </c:ext>
              </c:extLst>
            </c:dLbl>
            <c:dLbl>
              <c:idx val="19"/>
              <c:layout>
                <c:manualLayout>
                  <c:x val="-4.6469274566268745E-2"/>
                  <c:y val="4.73046030524817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64B-40F2-84CB-7D5CF424E61C}"/>
                </c:ext>
              </c:extLst>
            </c:dLbl>
            <c:dLbl>
              <c:idx val="20"/>
              <c:layout>
                <c:manualLayout>
                  <c:x val="-1.8091327653460509E-2"/>
                  <c:y val="2.92656223409521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64B-40F2-84CB-7D5CF424E61C}"/>
                </c:ext>
              </c:extLst>
            </c:dLbl>
            <c:dLbl>
              <c:idx val="21"/>
              <c:layout>
                <c:manualLayout>
                  <c:x val="-5.5940278487033916E-2"/>
                  <c:y val="-3.72374086272520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64B-40F2-84CB-7D5CF424E61C}"/>
                </c:ext>
              </c:extLst>
            </c:dLbl>
            <c:dLbl>
              <c:idx val="22"/>
              <c:layout>
                <c:manualLayout>
                  <c:x val="-2.8265804366541371E-4"/>
                  <c:y val="-5.656390906917047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64B-40F2-84CB-7D5CF424E61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'Беробіття '!$A$6:$B$29</c15:sqref>
                  </c15:fullRef>
                </c:ext>
              </c:extLst>
              <c:f>'Беробіття '!$A$6:$B$28</c:f>
              <c:multiLvlStrCache>
                <c:ptCount val="23"/>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lvl>
                <c:lvl>
                  <c:pt idx="0">
                    <c:v>2022</c:v>
                  </c:pt>
                  <c:pt idx="12">
                    <c:v>2023</c:v>
                  </c:pt>
                </c:lvl>
              </c:multiLvlStrCache>
            </c:multiLvlStrRef>
          </c:cat>
          <c:val>
            <c:numRef>
              <c:extLst>
                <c:ext xmlns:c15="http://schemas.microsoft.com/office/drawing/2012/chart" uri="{02D57815-91ED-43cb-92C2-25804820EDAC}">
                  <c15:fullRef>
                    <c15:sqref>'Беробіття '!$C$6:$C$29</c15:sqref>
                  </c15:fullRef>
                </c:ext>
              </c:extLst>
              <c:f>'Беробіття '!$C$6:$C$28</c:f>
              <c:numCache>
                <c:formatCode>0.0%</c:formatCode>
                <c:ptCount val="23"/>
                <c:pt idx="0">
                  <c:v>0.105</c:v>
                </c:pt>
                <c:pt idx="1">
                  <c:v>8.5999999999999993E-2</c:v>
                </c:pt>
                <c:pt idx="2">
                  <c:v>0.29499999999999998</c:v>
                </c:pt>
                <c:pt idx="3">
                  <c:v>0.27200000000000002</c:v>
                </c:pt>
                <c:pt idx="4">
                  <c:v>0.307</c:v>
                </c:pt>
                <c:pt idx="5">
                  <c:v>0.26</c:v>
                </c:pt>
                <c:pt idx="6">
                  <c:v>0.28199999999999997</c:v>
                </c:pt>
                <c:pt idx="7">
                  <c:v>0.26</c:v>
                </c:pt>
                <c:pt idx="8">
                  <c:v>0.215</c:v>
                </c:pt>
                <c:pt idx="9">
                  <c:v>0.22900000000000001</c:v>
                </c:pt>
                <c:pt idx="10">
                  <c:v>0.19700000000000001</c:v>
                </c:pt>
                <c:pt idx="11">
                  <c:v>0.223</c:v>
                </c:pt>
                <c:pt idx="12">
                  <c:v>0.216</c:v>
                </c:pt>
                <c:pt idx="13">
                  <c:v>0.24199999999999999</c:v>
                </c:pt>
                <c:pt idx="14">
                  <c:v>0.20499999999999999</c:v>
                </c:pt>
                <c:pt idx="15">
                  <c:v>0.20799999999999999</c:v>
                </c:pt>
                <c:pt idx="16">
                  <c:v>0.17699999999999999</c:v>
                </c:pt>
                <c:pt idx="17">
                  <c:v>0.214</c:v>
                </c:pt>
                <c:pt idx="18">
                  <c:v>0.16600000000000001</c:v>
                </c:pt>
                <c:pt idx="19">
                  <c:v>0.151</c:v>
                </c:pt>
                <c:pt idx="20">
                  <c:v>0.159</c:v>
                </c:pt>
                <c:pt idx="21">
                  <c:v>0.184</c:v>
                </c:pt>
                <c:pt idx="22">
                  <c:v>0.2</c:v>
                </c:pt>
              </c:numCache>
            </c:numRef>
          </c:val>
          <c:smooth val="1"/>
          <c:extLst>
            <c:ext xmlns:c16="http://schemas.microsoft.com/office/drawing/2014/chart" uri="{C3380CC4-5D6E-409C-BE32-E72D297353CC}">
              <c16:uniqueId val="{0000000D-264B-40F2-84CB-7D5CF424E61C}"/>
            </c:ext>
          </c:extLst>
        </c:ser>
        <c:dLbls>
          <c:showLegendKey val="0"/>
          <c:showVal val="0"/>
          <c:showCatName val="0"/>
          <c:showSerName val="0"/>
          <c:showPercent val="0"/>
          <c:showBubbleSize val="0"/>
        </c:dLbls>
        <c:marker val="1"/>
        <c:smooth val="0"/>
        <c:axId val="119254592"/>
        <c:axId val="243399439"/>
      </c:lineChart>
      <c:catAx>
        <c:axId val="119254592"/>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43399439"/>
        <c:crosses val="autoZero"/>
        <c:auto val="1"/>
        <c:lblAlgn val="ctr"/>
        <c:lblOffset val="100"/>
        <c:noMultiLvlLbl val="0"/>
      </c:catAx>
      <c:valAx>
        <c:axId val="243399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11925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448058308592039"/>
          <c:y val="0.14237038665970297"/>
          <c:w val="0.80784232932514077"/>
          <c:h val="0.73051495485679874"/>
        </c:manualLayout>
      </c:layout>
      <c:lineChart>
        <c:grouping val="standard"/>
        <c:varyColors val="0"/>
        <c:ser>
          <c:idx val="0"/>
          <c:order val="0"/>
          <c:tx>
            <c:strRef>
              <c:f>'ІЦВ (Стрим Інфл)+'!$D$270</c:f>
              <c:strCache>
                <c:ptCount val="1"/>
                <c:pt idx="0">
                  <c:v>ІЦВ</c:v>
                </c:pt>
              </c:strCache>
            </c:strRef>
          </c:tx>
          <c:spPr>
            <a:ln w="9525" cap="rnd">
              <a:solidFill>
                <a:schemeClr val="accent1"/>
              </a:solidFill>
              <a:round/>
            </a:ln>
            <a:effectLst/>
          </c:spPr>
          <c:marker>
            <c:symbol val="circle"/>
            <c:size val="5"/>
            <c:spPr>
              <a:solidFill>
                <a:schemeClr val="accent1">
                  <a:lumMod val="20000"/>
                  <a:lumOff val="80000"/>
                </a:schemeClr>
              </a:solidFill>
              <a:ln w="9525">
                <a:solidFill>
                  <a:schemeClr val="accent1"/>
                </a:solidFill>
              </a:ln>
              <a:effectLst/>
            </c:spPr>
          </c:marker>
          <c:dLbls>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7D7-48C2-90CD-E528DEBB9B66}"/>
                </c:ext>
              </c:extLst>
            </c:dLbl>
            <c:dLbl>
              <c:idx val="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7D7-48C2-90CD-E528DEBB9B66}"/>
                </c:ext>
              </c:extLst>
            </c:dLbl>
            <c:dLbl>
              <c:idx val="12"/>
              <c:layout>
                <c:manualLayout>
                  <c:x val="-4.8719716297232145E-2"/>
                  <c:y val="-3.45928360295966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7D7-48C2-90CD-E528DEBB9B6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'ІЦВ (Стрим Інфл)+'!$B$272:$C$319</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'ІЦВ (Стрим Інфл)+'!$D$272:$D$319</c:f>
              <c:numCache>
                <c:formatCode>0%</c:formatCode>
                <c:ptCount val="48"/>
                <c:pt idx="0" formatCode="0.0%">
                  <c:v>0.17599999999999999</c:v>
                </c:pt>
                <c:pt idx="1">
                  <c:v>0.26600000000000001</c:v>
                </c:pt>
                <c:pt idx="2">
                  <c:v>0.26300000000000001</c:v>
                </c:pt>
                <c:pt idx="3">
                  <c:v>0.27800000000000002</c:v>
                </c:pt>
                <c:pt idx="4">
                  <c:v>0.33100000000000002</c:v>
                </c:pt>
                <c:pt idx="5">
                  <c:v>0.39100000000000001</c:v>
                </c:pt>
                <c:pt idx="6">
                  <c:v>0.42199999999999988</c:v>
                </c:pt>
                <c:pt idx="7">
                  <c:v>0.46500000000000002</c:v>
                </c:pt>
                <c:pt idx="8">
                  <c:v>0.45100000000000001</c:v>
                </c:pt>
                <c:pt idx="9">
                  <c:v>0.57199999999999995</c:v>
                </c:pt>
                <c:pt idx="10">
                  <c:v>0.60699999999999998</c:v>
                </c:pt>
                <c:pt idx="11">
                  <c:v>0.622</c:v>
                </c:pt>
                <c:pt idx="12">
                  <c:v>0.69099999999999995</c:v>
                </c:pt>
                <c:pt idx="13">
                  <c:v>0.53500000000000003</c:v>
                </c:pt>
              </c:numCache>
            </c:numRef>
          </c:val>
          <c:smooth val="0"/>
          <c:extLst>
            <c:ext xmlns:c16="http://schemas.microsoft.com/office/drawing/2014/chart" uri="{C3380CC4-5D6E-409C-BE32-E72D297353CC}">
              <c16:uniqueId val="{00000003-47D7-48C2-90CD-E528DEBB9B66}"/>
            </c:ext>
          </c:extLst>
        </c:ser>
        <c:ser>
          <c:idx val="2"/>
          <c:order val="2"/>
          <c:tx>
            <c:strRef>
              <c:f>'ІЦВ (Стрим Інфл)+'!$F$270</c:f>
              <c:strCache>
                <c:ptCount val="1"/>
                <c:pt idx="0">
                  <c:v>ІЦВ-F</c:v>
                </c:pt>
              </c:strCache>
            </c:strRef>
          </c:tx>
          <c:spPr>
            <a:ln w="9525" cap="rnd">
              <a:solidFill>
                <a:schemeClr val="accent1"/>
              </a:solidFill>
              <a:prstDash val="dash"/>
              <a:round/>
            </a:ln>
            <a:effectLst/>
          </c:spPr>
          <c:marker>
            <c:symbol val="none"/>
          </c:marker>
          <c:dLbls>
            <c:dLbl>
              <c:idx val="1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7D7-48C2-90CD-E528DEBB9B66}"/>
                </c:ext>
              </c:extLst>
            </c:dLbl>
            <c:dLbl>
              <c:idx val="19"/>
              <c:layout>
                <c:manualLayout>
                  <c:x val="-3.1672306674397785E-2"/>
                  <c:y val="-2.26509655363762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7D7-48C2-90CD-E528DEBB9B66}"/>
                </c:ext>
              </c:extLst>
            </c:dLbl>
            <c:dLbl>
              <c:idx val="2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7D7-48C2-90CD-E528DEBB9B66}"/>
                </c:ext>
              </c:extLst>
            </c:dLbl>
            <c:dLbl>
              <c:idx val="3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7D7-48C2-90CD-E528DEBB9B66}"/>
                </c:ext>
              </c:extLst>
            </c:dLbl>
            <c:dLbl>
              <c:idx val="4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7D7-48C2-90CD-E528DEBB9B66}"/>
                </c:ext>
              </c:extLst>
            </c:dLbl>
            <c:dLbl>
              <c:idx val="4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7D7-48C2-90CD-E528DEBB9B6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'ІЦВ (Стрим Інфл)+'!$B$272:$C$319</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'ІЦВ (Стрим Інфл)+'!$F$272:$F$319</c:f>
              <c:numCache>
                <c:formatCode>General</c:formatCode>
                <c:ptCount val="48"/>
                <c:pt idx="13" formatCode="0%">
                  <c:v>0.53500000000000003</c:v>
                </c:pt>
                <c:pt idx="14" formatCode="0%">
                  <c:v>0.57019138616037024</c:v>
                </c:pt>
                <c:pt idx="15" formatCode="0%">
                  <c:v>0.62967310526321851</c:v>
                </c:pt>
                <c:pt idx="16" formatCode="0%">
                  <c:v>0.62426841470854244</c:v>
                </c:pt>
                <c:pt idx="17" formatCode="0%">
                  <c:v>0.60520647012792284</c:v>
                </c:pt>
                <c:pt idx="18" formatCode="0%">
                  <c:v>0.70414817775523686</c:v>
                </c:pt>
                <c:pt idx="19" formatCode="0%">
                  <c:v>0.71958968373921817</c:v>
                </c:pt>
                <c:pt idx="20" formatCode="0%">
                  <c:v>0.68047585317584036</c:v>
                </c:pt>
                <c:pt idx="21" formatCode="0%">
                  <c:v>0.58804126527813017</c:v>
                </c:pt>
                <c:pt idx="22" formatCode="0%">
                  <c:v>0.52742962154455708</c:v>
                </c:pt>
                <c:pt idx="23" formatCode="0%">
                  <c:v>0.46338681153266803</c:v>
                </c:pt>
                <c:pt idx="24" formatCode="0%">
                  <c:v>0.34363129235076406</c:v>
                </c:pt>
                <c:pt idx="25" formatCode="0%">
                  <c:v>0.39166470562554023</c:v>
                </c:pt>
                <c:pt idx="26" formatCode="0%">
                  <c:v>0.36342039795414216</c:v>
                </c:pt>
                <c:pt idx="27" formatCode="0%">
                  <c:v>0.31382975952882086</c:v>
                </c:pt>
                <c:pt idx="28" formatCode="0%">
                  <c:v>0.28257441046457132</c:v>
                </c:pt>
                <c:pt idx="29" formatCode="0%">
                  <c:v>0.26886638827348186</c:v>
                </c:pt>
                <c:pt idx="30" formatCode="0.0%">
                  <c:v>0.1948085482192834</c:v>
                </c:pt>
                <c:pt idx="31" formatCode="0.0%">
                  <c:v>0.13053000167144946</c:v>
                </c:pt>
                <c:pt idx="32" formatCode="0.0%">
                  <c:v>0.16948041723356866</c:v>
                </c:pt>
                <c:pt idx="33" formatCode="0.0%">
                  <c:v>0.13352640883677336</c:v>
                </c:pt>
                <c:pt idx="34" formatCode="0.0%">
                  <c:v>0.15283281140564919</c:v>
                </c:pt>
                <c:pt idx="35" formatCode="0.0%">
                  <c:v>0.17265876144614034</c:v>
                </c:pt>
                <c:pt idx="36" formatCode="0.0%">
                  <c:v>0.155</c:v>
                </c:pt>
                <c:pt idx="37" formatCode="0.0%">
                  <c:v>0.14299999999999999</c:v>
                </c:pt>
                <c:pt idx="38" formatCode="0.0%">
                  <c:v>0.13</c:v>
                </c:pt>
                <c:pt idx="39" formatCode="0.0%">
                  <c:v>9.3001200095956651E-2</c:v>
                </c:pt>
                <c:pt idx="40" formatCode="0.0%">
                  <c:v>9.4972270262713834E-2</c:v>
                </c:pt>
                <c:pt idx="41" formatCode="0.0%">
                  <c:v>8.4970886117168187E-2</c:v>
                </c:pt>
                <c:pt idx="42" formatCode="0.0%">
                  <c:v>8.4379717478597419E-2</c:v>
                </c:pt>
                <c:pt idx="43" formatCode="0.0%">
                  <c:v>8.4379962065531805E-2</c:v>
                </c:pt>
                <c:pt idx="44" formatCode="0.0%">
                  <c:v>9.2275929259656553E-2</c:v>
                </c:pt>
                <c:pt idx="45" formatCode="0.0%">
                  <c:v>9.3232216386705771E-2</c:v>
                </c:pt>
                <c:pt idx="46" formatCode="0.0%">
                  <c:v>0.10245008391754613</c:v>
                </c:pt>
                <c:pt idx="47" formatCode="0.0%">
                  <c:v>0.13125428063831976</c:v>
                </c:pt>
              </c:numCache>
            </c:numRef>
          </c:val>
          <c:smooth val="0"/>
          <c:extLst>
            <c:ext xmlns:c16="http://schemas.microsoft.com/office/drawing/2014/chart" uri="{C3380CC4-5D6E-409C-BE32-E72D297353CC}">
              <c16:uniqueId val="{0000000A-47D7-48C2-90CD-E528DEBB9B66}"/>
            </c:ext>
          </c:extLst>
        </c:ser>
        <c:dLbls>
          <c:showLegendKey val="0"/>
          <c:showVal val="0"/>
          <c:showCatName val="0"/>
          <c:showSerName val="0"/>
          <c:showPercent val="0"/>
          <c:showBubbleSize val="0"/>
        </c:dLbls>
        <c:marker val="1"/>
        <c:smooth val="0"/>
        <c:axId val="2145466127"/>
        <c:axId val="7505440"/>
      </c:lineChart>
      <c:lineChart>
        <c:grouping val="standard"/>
        <c:varyColors val="0"/>
        <c:ser>
          <c:idx val="1"/>
          <c:order val="1"/>
          <c:tx>
            <c:strRef>
              <c:f>'ІЦВ (Стрим Інфл)+'!$E$270</c:f>
              <c:strCache>
                <c:ptCount val="1"/>
                <c:pt idx="0">
                  <c:v>UA-CPI</c:v>
                </c:pt>
              </c:strCache>
            </c:strRef>
          </c:tx>
          <c:spPr>
            <a:ln w="9525" cap="rnd">
              <a:solidFill>
                <a:schemeClr val="accent3"/>
              </a:solidFill>
              <a:round/>
            </a:ln>
            <a:effectLst/>
          </c:spPr>
          <c:marker>
            <c:symbol val="circle"/>
            <c:size val="4"/>
            <c:spPr>
              <a:solidFill>
                <a:schemeClr val="accent3">
                  <a:lumMod val="40000"/>
                  <a:lumOff val="60000"/>
                </a:schemeClr>
              </a:solidFill>
              <a:ln w="9525">
                <a:solidFill>
                  <a:schemeClr val="accent3"/>
                </a:solidFill>
              </a:ln>
              <a:effectLst/>
            </c:spPr>
          </c:marker>
          <c:dLbls>
            <c:dLbl>
              <c:idx val="4"/>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7D7-48C2-90CD-E528DEBB9B66}"/>
                </c:ext>
              </c:extLst>
            </c:dLbl>
            <c:dLbl>
              <c:idx val="14"/>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7D7-48C2-90CD-E528DEBB9B66}"/>
                </c:ext>
              </c:extLst>
            </c:dLbl>
            <c:dLbl>
              <c:idx val="1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7D7-48C2-90CD-E528DEBB9B66}"/>
                </c:ext>
              </c:extLst>
            </c:dLbl>
            <c:dLbl>
              <c:idx val="23"/>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7D7-48C2-90CD-E528DEBB9B66}"/>
                </c:ext>
              </c:extLst>
            </c:dLbl>
            <c:dLbl>
              <c:idx val="2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7D7-48C2-90CD-E528DEBB9B6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3"/>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'ІЦВ (Стрим Інфл)+'!$B$272:$C$319</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'ІЦВ (Стрим Інфл)+'!$E$272:$E$319</c:f>
              <c:numCache>
                <c:formatCode>0</c:formatCode>
                <c:ptCount val="48"/>
                <c:pt idx="0">
                  <c:v>107.3942318607757</c:v>
                </c:pt>
                <c:pt idx="1">
                  <c:v>107.27689409677562</c:v>
                </c:pt>
                <c:pt idx="2">
                  <c:v>109.38117039790873</c:v>
                </c:pt>
                <c:pt idx="3">
                  <c:v>114.88689547968715</c:v>
                </c:pt>
                <c:pt idx="4">
                  <c:v>127.36303446213165</c:v>
                </c:pt>
                <c:pt idx="5">
                  <c:v>130.64615081746115</c:v>
                </c:pt>
                <c:pt idx="6">
                  <c:v>130.68952299701678</c:v>
                </c:pt>
                <c:pt idx="7">
                  <c:v>121.37686063335032</c:v>
                </c:pt>
                <c:pt idx="8">
                  <c:v>117.4428654492054</c:v>
                </c:pt>
                <c:pt idx="9">
                  <c:v>129.9378643666553</c:v>
                </c:pt>
                <c:pt idx="10">
                  <c:v>123.5061720626106</c:v>
                </c:pt>
                <c:pt idx="11">
                  <c:v>139.12591896129169</c:v>
                </c:pt>
                <c:pt idx="12">
                  <c:v>155.10996500177873</c:v>
                </c:pt>
                <c:pt idx="13">
                  <c:v>160.75564639999533</c:v>
                </c:pt>
                <c:pt idx="14">
                  <c:v>209.5082557254367</c:v>
                </c:pt>
                <c:pt idx="15">
                  <c:v>190.610414582011</c:v>
                </c:pt>
                <c:pt idx="16">
                  <c:v>183.00936410355791</c:v>
                </c:pt>
                <c:pt idx="17">
                  <c:v>186.75808375886092</c:v>
                </c:pt>
                <c:pt idx="18">
                  <c:v>205.13848403225657</c:v>
                </c:pt>
                <c:pt idx="19">
                  <c:v>230.60665470544814</c:v>
                </c:pt>
                <c:pt idx="20">
                  <c:v>210.54868377955887</c:v>
                </c:pt>
                <c:pt idx="21">
                  <c:v>178.69019960961467</c:v>
                </c:pt>
                <c:pt idx="22">
                  <c:v>164.50445003631515</c:v>
                </c:pt>
                <c:pt idx="23">
                  <c:v>161.90078935475867</c:v>
                </c:pt>
                <c:pt idx="24">
                  <c:v>146.68577622635451</c:v>
                </c:pt>
                <c:pt idx="25">
                  <c:v>138.74359824996117</c:v>
                </c:pt>
                <c:pt idx="26">
                  <c:v>126.90257301984613</c:v>
                </c:pt>
                <c:pt idx="27">
                  <c:v>126.90331385610364</c:v>
                </c:pt>
                <c:pt idx="28">
                  <c:v>111.52648750672626</c:v>
                </c:pt>
                <c:pt idx="29">
                  <c:v>111.55227321847254</c:v>
                </c:pt>
                <c:pt idx="30">
                  <c:v>109.38568070013625</c:v>
                </c:pt>
                <c:pt idx="31">
                  <c:v>109.34920390790697</c:v>
                </c:pt>
                <c:pt idx="32">
                  <c:v>114.50213310122605</c:v>
                </c:pt>
                <c:pt idx="33">
                  <c:v>121.49279304972606</c:v>
                </c:pt>
                <c:pt idx="34">
                  <c:v>110.31591659566976</c:v>
                </c:pt>
              </c:numCache>
            </c:numRef>
          </c:val>
          <c:smooth val="0"/>
          <c:extLst>
            <c:ext xmlns:c16="http://schemas.microsoft.com/office/drawing/2014/chart" uri="{C3380CC4-5D6E-409C-BE32-E72D297353CC}">
              <c16:uniqueId val="{00000010-47D7-48C2-90CD-E528DEBB9B66}"/>
            </c:ext>
          </c:extLst>
        </c:ser>
        <c:ser>
          <c:idx val="3"/>
          <c:order val="3"/>
          <c:tx>
            <c:strRef>
              <c:f>'ІЦВ (Стрим Інфл)+'!$G$270</c:f>
              <c:strCache>
                <c:ptCount val="1"/>
                <c:pt idx="0">
                  <c:v>UA-CPI- F</c:v>
                </c:pt>
              </c:strCache>
            </c:strRef>
          </c:tx>
          <c:spPr>
            <a:ln w="9525" cap="rnd">
              <a:solidFill>
                <a:schemeClr val="accent3"/>
              </a:solidFill>
              <a:prstDash val="dash"/>
              <a:round/>
            </a:ln>
            <a:effectLst/>
          </c:spPr>
          <c:marker>
            <c:symbol val="none"/>
          </c:marker>
          <c:dLbls>
            <c:dLbl>
              <c:idx val="33"/>
              <c:layout>
                <c:manualLayout>
                  <c:x val="-2.5502162146730133E-2"/>
                  <c:y val="2.58314410576577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7D7-48C2-90CD-E528DEBB9B66}"/>
                </c:ext>
              </c:extLst>
            </c:dLbl>
            <c:dLbl>
              <c:idx val="4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47D7-48C2-90CD-E528DEBB9B66}"/>
                </c:ext>
              </c:extLst>
            </c:dLbl>
            <c:dLbl>
              <c:idx val="4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7D7-48C2-90CD-E528DEBB9B6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3"/>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'ІЦВ (Стрим Інфл)+'!$B$272:$C$319</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'ІЦВ (Стрим Інфл)+'!$G$272:$G$319</c:f>
              <c:numCache>
                <c:formatCode>General</c:formatCode>
                <c:ptCount val="48"/>
                <c:pt idx="34" formatCode="0">
                  <c:v>110.31591659566976</c:v>
                </c:pt>
                <c:pt idx="35" formatCode="0">
                  <c:v>102.74267749941828</c:v>
                </c:pt>
                <c:pt idx="36" formatCode="0">
                  <c:v>101.93020878921494</c:v>
                </c:pt>
                <c:pt idx="37" formatCode="0">
                  <c:v>101.31443162196511</c:v>
                </c:pt>
                <c:pt idx="38" formatCode="0">
                  <c:v>100.53593474810968</c:v>
                </c:pt>
                <c:pt idx="39" formatCode="0">
                  <c:v>100.91179773295472</c:v>
                </c:pt>
                <c:pt idx="40" formatCode="0">
                  <c:v>101.17796298362366</c:v>
                </c:pt>
                <c:pt idx="41" formatCode="0">
                  <c:v>101.21153785639414</c:v>
                </c:pt>
                <c:pt idx="42" formatCode="0">
                  <c:v>101.82123928676134</c:v>
                </c:pt>
                <c:pt idx="43" formatCode="0">
                  <c:v>102.12258769870664</c:v>
                </c:pt>
                <c:pt idx="44" formatCode="0">
                  <c:v>102.5158661227303</c:v>
                </c:pt>
                <c:pt idx="45" formatCode="0">
                  <c:v>103.00714104124147</c:v>
                </c:pt>
                <c:pt idx="46" formatCode="0">
                  <c:v>105.29329300463289</c:v>
                </c:pt>
                <c:pt idx="47" formatCode="0">
                  <c:v>105.88194455336817</c:v>
                </c:pt>
              </c:numCache>
            </c:numRef>
          </c:val>
          <c:smooth val="0"/>
          <c:extLst>
            <c:ext xmlns:c16="http://schemas.microsoft.com/office/drawing/2014/chart" uri="{C3380CC4-5D6E-409C-BE32-E72D297353CC}">
              <c16:uniqueId val="{00000014-47D7-48C2-90CD-E528DEBB9B66}"/>
            </c:ext>
          </c:extLst>
        </c:ser>
        <c:dLbls>
          <c:showLegendKey val="0"/>
          <c:showVal val="0"/>
          <c:showCatName val="0"/>
          <c:showSerName val="0"/>
          <c:showPercent val="0"/>
          <c:showBubbleSize val="0"/>
        </c:dLbls>
        <c:marker val="1"/>
        <c:smooth val="0"/>
        <c:axId val="2145452207"/>
        <c:axId val="7481632"/>
      </c:lineChart>
      <c:catAx>
        <c:axId val="2145466127"/>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7505440"/>
        <c:crosses val="autoZero"/>
        <c:auto val="1"/>
        <c:lblAlgn val="ctr"/>
        <c:lblOffset val="100"/>
        <c:noMultiLvlLbl val="0"/>
      </c:catAx>
      <c:valAx>
        <c:axId val="7505440"/>
        <c:scaling>
          <c:orientation val="minMax"/>
          <c:max val="1"/>
        </c:scaling>
        <c:delete val="0"/>
        <c:axPos val="l"/>
        <c:majorGridlines>
          <c:spPr>
            <a:ln w="9525" cap="flat" cmpd="sng" algn="ctr">
              <a:solidFill>
                <a:schemeClr val="tx1">
                  <a:lumMod val="15000"/>
                  <a:lumOff val="85000"/>
                </a:schemeClr>
              </a:solidFill>
              <a:round/>
            </a:ln>
            <a:effectLst/>
          </c:spPr>
        </c:majorGridlines>
        <c:title>
          <c:tx>
            <c:strRef>
              <c:f>'ІЦВ (Стрим Інфл)+'!$J$270</c:f>
              <c:strCache>
                <c:ptCount val="1"/>
                <c:pt idx="0">
                  <c:v>% р-р</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accent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1"/>
                </a:solidFill>
                <a:latin typeface="+mn-lt"/>
                <a:ea typeface="+mn-ea"/>
                <a:cs typeface="+mn-cs"/>
              </a:defRPr>
            </a:pPr>
            <a:endParaRPr lang="en-US"/>
          </a:p>
        </c:txPr>
        <c:crossAx val="2145466127"/>
        <c:crosses val="autoZero"/>
        <c:crossBetween val="between"/>
      </c:valAx>
      <c:valAx>
        <c:axId val="748163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3"/>
                </a:solidFill>
                <a:latin typeface="+mn-lt"/>
                <a:ea typeface="+mn-ea"/>
                <a:cs typeface="+mn-cs"/>
              </a:defRPr>
            </a:pPr>
            <a:endParaRPr lang="en-US"/>
          </a:p>
        </c:txPr>
        <c:crossAx val="2145452207"/>
        <c:crosses val="max"/>
        <c:crossBetween val="between"/>
      </c:valAx>
      <c:catAx>
        <c:axId val="2145452207"/>
        <c:scaling>
          <c:orientation val="minMax"/>
        </c:scaling>
        <c:delete val="1"/>
        <c:axPos val="b"/>
        <c:numFmt formatCode="General" sourceLinked="1"/>
        <c:majorTickMark val="out"/>
        <c:minorTickMark val="none"/>
        <c:tickLblPos val="nextTo"/>
        <c:crossAx val="7481632"/>
        <c:crosses val="autoZero"/>
        <c:auto val="1"/>
        <c:lblAlgn val="ctr"/>
        <c:lblOffset val="100"/>
        <c:noMultiLvlLbl val="0"/>
      </c:catAx>
      <c:spPr>
        <a:noFill/>
        <a:ln>
          <a:noFill/>
        </a:ln>
        <a:effectLst/>
      </c:spPr>
    </c:plotArea>
    <c:legend>
      <c:legendPos val="t"/>
      <c:legendEntry>
        <c:idx val="1"/>
        <c:delete val="1"/>
      </c:legendEntry>
      <c:legendEntry>
        <c:idx val="3"/>
        <c:delete val="1"/>
      </c:legendEntry>
      <c:layout>
        <c:manualLayout>
          <c:xMode val="edge"/>
          <c:yMode val="edge"/>
          <c:x val="0.18667167045807831"/>
          <c:y val="6.988195879773762E-2"/>
          <c:w val="0.55254534350592055"/>
          <c:h val="4.5483554417051111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447863531756395E-2"/>
          <c:y val="0.17298421606782985"/>
          <c:w val="0.86127135796555443"/>
          <c:h val="0.60483436957764525"/>
        </c:manualLayout>
      </c:layout>
      <c:barChart>
        <c:barDir val="col"/>
        <c:grouping val="clustered"/>
        <c:varyColors val="0"/>
        <c:ser>
          <c:idx val="1"/>
          <c:order val="1"/>
          <c:tx>
            <c:strRef>
              <c:f>'Прогноз Зарплати 2023'!$A$150</c:f>
              <c:strCache>
                <c:ptCount val="1"/>
                <c:pt idx="0">
                  <c:v>USD </c:v>
                </c:pt>
              </c:strCache>
            </c:strRef>
          </c:tx>
          <c:spPr>
            <a:solidFill>
              <a:schemeClr val="accent5">
                <a:lumMod val="40000"/>
                <a:lumOff val="60000"/>
              </a:schemeClr>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0-ACE7-4A10-9CFC-2FF5CB16A145}"/>
                </c:ext>
              </c:extLst>
            </c:dLbl>
            <c:dLbl>
              <c:idx val="3"/>
              <c:delete val="1"/>
              <c:extLst>
                <c:ext xmlns:c15="http://schemas.microsoft.com/office/drawing/2012/chart" uri="{CE6537A1-D6FC-4f65-9D91-7224C49458BB}"/>
                <c:ext xmlns:c16="http://schemas.microsoft.com/office/drawing/2014/chart" uri="{C3380CC4-5D6E-409C-BE32-E72D297353CC}">
                  <c16:uniqueId val="{00000001-ACE7-4A10-9CFC-2FF5CB16A145}"/>
                </c:ext>
              </c:extLst>
            </c:dLbl>
            <c:dLbl>
              <c:idx val="5"/>
              <c:delete val="1"/>
              <c:extLst>
                <c:ext xmlns:c15="http://schemas.microsoft.com/office/drawing/2012/chart" uri="{CE6537A1-D6FC-4f65-9D91-7224C49458BB}"/>
                <c:ext xmlns:c16="http://schemas.microsoft.com/office/drawing/2014/chart" uri="{C3380CC4-5D6E-409C-BE32-E72D297353CC}">
                  <c16:uniqueId val="{00000002-ACE7-4A10-9CFC-2FF5CB16A145}"/>
                </c:ext>
              </c:extLst>
            </c:dLbl>
            <c:dLbl>
              <c:idx val="7"/>
              <c:delete val="1"/>
              <c:extLst>
                <c:ext xmlns:c15="http://schemas.microsoft.com/office/drawing/2012/chart" uri="{CE6537A1-D6FC-4f65-9D91-7224C49458BB}"/>
                <c:ext xmlns:c16="http://schemas.microsoft.com/office/drawing/2014/chart" uri="{C3380CC4-5D6E-409C-BE32-E72D297353CC}">
                  <c16:uniqueId val="{00000003-ACE7-4A10-9CFC-2FF5CB16A145}"/>
                </c:ext>
              </c:extLst>
            </c:dLbl>
            <c:dLbl>
              <c:idx val="9"/>
              <c:delete val="1"/>
              <c:extLst>
                <c:ext xmlns:c15="http://schemas.microsoft.com/office/drawing/2012/chart" uri="{CE6537A1-D6FC-4f65-9D91-7224C49458BB}"/>
                <c:ext xmlns:c16="http://schemas.microsoft.com/office/drawing/2014/chart" uri="{C3380CC4-5D6E-409C-BE32-E72D297353CC}">
                  <c16:uniqueId val="{00000004-ACE7-4A10-9CFC-2FF5CB16A145}"/>
                </c:ext>
              </c:extLst>
            </c:dLbl>
            <c:dLbl>
              <c:idx val="11"/>
              <c:layout>
                <c:manualLayout>
                  <c:x val="-4.5865758596997771E-17"/>
                  <c:y val="1.27673520377833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E7-4A10-9CFC-2FF5CB16A145}"/>
                </c:ext>
              </c:extLst>
            </c:dLbl>
            <c:dLbl>
              <c:idx val="12"/>
              <c:delete val="1"/>
              <c:extLst>
                <c:ext xmlns:c15="http://schemas.microsoft.com/office/drawing/2012/chart" uri="{CE6537A1-D6FC-4f65-9D91-7224C49458BB}"/>
                <c:ext xmlns:c16="http://schemas.microsoft.com/office/drawing/2014/chart" uri="{C3380CC4-5D6E-409C-BE32-E72D297353CC}">
                  <c16:uniqueId val="{00000006-ACE7-4A10-9CFC-2FF5CB16A145}"/>
                </c:ext>
              </c:extLst>
            </c:dLbl>
            <c:dLbl>
              <c:idx val="14"/>
              <c:delete val="1"/>
              <c:extLst>
                <c:ext xmlns:c15="http://schemas.microsoft.com/office/drawing/2012/chart" uri="{CE6537A1-D6FC-4f65-9D91-7224C49458BB}"/>
                <c:ext xmlns:c16="http://schemas.microsoft.com/office/drawing/2014/chart" uri="{C3380CC4-5D6E-409C-BE32-E72D297353CC}">
                  <c16:uniqueId val="{00000007-ACE7-4A10-9CFC-2FF5CB16A145}"/>
                </c:ext>
              </c:extLst>
            </c:dLbl>
            <c:dLbl>
              <c:idx val="16"/>
              <c:delete val="1"/>
              <c:extLst>
                <c:ext xmlns:c15="http://schemas.microsoft.com/office/drawing/2012/chart" uri="{CE6537A1-D6FC-4f65-9D91-7224C49458BB}"/>
                <c:ext xmlns:c16="http://schemas.microsoft.com/office/drawing/2014/chart" uri="{C3380CC4-5D6E-409C-BE32-E72D297353CC}">
                  <c16:uniqueId val="{00000008-ACE7-4A10-9CFC-2FF5CB16A145}"/>
                </c:ext>
              </c:extLst>
            </c:dLbl>
            <c:dLbl>
              <c:idx val="19"/>
              <c:delete val="1"/>
              <c:extLst>
                <c:ext xmlns:c15="http://schemas.microsoft.com/office/drawing/2012/chart" uri="{CE6537A1-D6FC-4f65-9D91-7224C49458BB}"/>
                <c:ext xmlns:c16="http://schemas.microsoft.com/office/drawing/2014/chart" uri="{C3380CC4-5D6E-409C-BE32-E72D297353CC}">
                  <c16:uniqueId val="{00000009-ACE7-4A10-9CFC-2FF5CB16A145}"/>
                </c:ext>
              </c:extLst>
            </c:dLbl>
            <c:dLbl>
              <c:idx val="21"/>
              <c:delete val="1"/>
              <c:extLst>
                <c:ext xmlns:c15="http://schemas.microsoft.com/office/drawing/2012/chart" uri="{CE6537A1-D6FC-4f65-9D91-7224C49458BB}"/>
                <c:ext xmlns:c16="http://schemas.microsoft.com/office/drawing/2014/chart" uri="{C3380CC4-5D6E-409C-BE32-E72D297353CC}">
                  <c16:uniqueId val="{0000000A-ACE7-4A10-9CFC-2FF5CB16A145}"/>
                </c:ext>
              </c:extLst>
            </c:dLbl>
            <c:dLbl>
              <c:idx val="24"/>
              <c:delete val="1"/>
              <c:extLst>
                <c:ext xmlns:c15="http://schemas.microsoft.com/office/drawing/2012/chart" uri="{CE6537A1-D6FC-4f65-9D91-7224C49458BB}"/>
                <c:ext xmlns:c16="http://schemas.microsoft.com/office/drawing/2014/chart" uri="{C3380CC4-5D6E-409C-BE32-E72D297353CC}">
                  <c16:uniqueId val="{0000000B-ACE7-4A10-9CFC-2FF5CB16A145}"/>
                </c:ext>
              </c:extLst>
            </c:dLbl>
            <c:dLbl>
              <c:idx val="27"/>
              <c:delete val="1"/>
              <c:extLst>
                <c:ext xmlns:c15="http://schemas.microsoft.com/office/drawing/2012/chart" uri="{CE6537A1-D6FC-4f65-9D91-7224C49458BB}"/>
                <c:ext xmlns:c16="http://schemas.microsoft.com/office/drawing/2014/chart" uri="{C3380CC4-5D6E-409C-BE32-E72D297353CC}">
                  <c16:uniqueId val="{0000000C-ACE7-4A10-9CFC-2FF5CB16A145}"/>
                </c:ext>
              </c:extLst>
            </c:dLbl>
            <c:dLbl>
              <c:idx val="29"/>
              <c:delete val="1"/>
              <c:extLst>
                <c:ext xmlns:c15="http://schemas.microsoft.com/office/drawing/2012/chart" uri="{CE6537A1-D6FC-4f65-9D91-7224C49458BB}"/>
                <c:ext xmlns:c16="http://schemas.microsoft.com/office/drawing/2014/chart" uri="{C3380CC4-5D6E-409C-BE32-E72D297353CC}">
                  <c16:uniqueId val="{0000000D-ACE7-4A10-9CFC-2FF5CB16A145}"/>
                </c:ext>
              </c:extLst>
            </c:dLbl>
            <c:dLbl>
              <c:idx val="31"/>
              <c:delete val="1"/>
              <c:extLst>
                <c:ext xmlns:c15="http://schemas.microsoft.com/office/drawing/2012/chart" uri="{CE6537A1-D6FC-4f65-9D91-7224C49458BB}"/>
                <c:ext xmlns:c16="http://schemas.microsoft.com/office/drawing/2014/chart" uri="{C3380CC4-5D6E-409C-BE32-E72D297353CC}">
                  <c16:uniqueId val="{0000000E-ACE7-4A10-9CFC-2FF5CB16A145}"/>
                </c:ext>
              </c:extLst>
            </c:dLbl>
            <c:dLbl>
              <c:idx val="33"/>
              <c:delete val="1"/>
              <c:extLst>
                <c:ext xmlns:c15="http://schemas.microsoft.com/office/drawing/2012/chart" uri="{CE6537A1-D6FC-4f65-9D91-7224C49458BB}"/>
                <c:ext xmlns:c16="http://schemas.microsoft.com/office/drawing/2014/chart" uri="{C3380CC4-5D6E-409C-BE32-E72D297353CC}">
                  <c16:uniqueId val="{0000000F-ACE7-4A10-9CFC-2FF5CB16A145}"/>
                </c:ext>
              </c:extLst>
            </c:dLbl>
            <c:dLbl>
              <c:idx val="34"/>
              <c:layout>
                <c:manualLayout>
                  <c:x val="-5.031754531203911E-3"/>
                  <c:y val="4.280011134769046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ACE7-4A10-9CFC-2FF5CB16A145}"/>
                </c:ext>
              </c:extLst>
            </c:dLbl>
            <c:dLbl>
              <c:idx val="35"/>
              <c:layout>
                <c:manualLayout>
                  <c:x val="-9.2247767417990676E-17"/>
                  <c:y val="1.42601882800488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CE7-4A10-9CFC-2FF5CB16A145}"/>
                </c:ext>
              </c:extLst>
            </c:dLbl>
            <c:dLbl>
              <c:idx val="36"/>
              <c:delete val="1"/>
              <c:extLst>
                <c:ext xmlns:c15="http://schemas.microsoft.com/office/drawing/2012/chart" uri="{CE6537A1-D6FC-4f65-9D91-7224C49458BB}"/>
                <c:ext xmlns:c16="http://schemas.microsoft.com/office/drawing/2014/chart" uri="{C3380CC4-5D6E-409C-BE32-E72D297353CC}">
                  <c16:uniqueId val="{00000012-ACE7-4A10-9CFC-2FF5CB16A145}"/>
                </c:ext>
              </c:extLst>
            </c:dLbl>
            <c:dLbl>
              <c:idx val="38"/>
              <c:delete val="1"/>
              <c:extLst>
                <c:ext xmlns:c15="http://schemas.microsoft.com/office/drawing/2012/chart" uri="{CE6537A1-D6FC-4f65-9D91-7224C49458BB}"/>
                <c:ext xmlns:c16="http://schemas.microsoft.com/office/drawing/2014/chart" uri="{C3380CC4-5D6E-409C-BE32-E72D297353CC}">
                  <c16:uniqueId val="{00000013-ACE7-4A10-9CFC-2FF5CB16A145}"/>
                </c:ext>
              </c:extLst>
            </c:dLbl>
            <c:dLbl>
              <c:idx val="40"/>
              <c:delete val="1"/>
              <c:extLst>
                <c:ext xmlns:c15="http://schemas.microsoft.com/office/drawing/2012/chart" uri="{CE6537A1-D6FC-4f65-9D91-7224C49458BB}"/>
                <c:ext xmlns:c16="http://schemas.microsoft.com/office/drawing/2014/chart" uri="{C3380CC4-5D6E-409C-BE32-E72D297353CC}">
                  <c16:uniqueId val="{00000014-ACE7-4A10-9CFC-2FF5CB16A145}"/>
                </c:ext>
              </c:extLst>
            </c:dLbl>
            <c:dLbl>
              <c:idx val="42"/>
              <c:delete val="1"/>
              <c:extLst>
                <c:ext xmlns:c15="http://schemas.microsoft.com/office/drawing/2012/chart" uri="{CE6537A1-D6FC-4f65-9D91-7224C49458BB}"/>
                <c:ext xmlns:c16="http://schemas.microsoft.com/office/drawing/2014/chart" uri="{C3380CC4-5D6E-409C-BE32-E72D297353CC}">
                  <c16:uniqueId val="{00000015-ACE7-4A10-9CFC-2FF5CB16A145}"/>
                </c:ext>
              </c:extLst>
            </c:dLbl>
            <c:dLbl>
              <c:idx val="43"/>
              <c:delete val="1"/>
              <c:extLst>
                <c:ext xmlns:c15="http://schemas.microsoft.com/office/drawing/2012/chart" uri="{CE6537A1-D6FC-4f65-9D91-7224C49458BB}"/>
                <c:ext xmlns:c16="http://schemas.microsoft.com/office/drawing/2014/chart" uri="{C3380CC4-5D6E-409C-BE32-E72D297353CC}">
                  <c16:uniqueId val="{00000016-ACE7-4A10-9CFC-2FF5CB16A145}"/>
                </c:ext>
              </c:extLst>
            </c:dLbl>
            <c:dLbl>
              <c:idx val="45"/>
              <c:delete val="1"/>
              <c:extLst>
                <c:ext xmlns:c15="http://schemas.microsoft.com/office/drawing/2012/chart" uri="{CE6537A1-D6FC-4f65-9D91-7224C49458BB}"/>
                <c:ext xmlns:c16="http://schemas.microsoft.com/office/drawing/2014/chart" uri="{C3380CC4-5D6E-409C-BE32-E72D297353CC}">
                  <c16:uniqueId val="{00000017-ACE7-4A10-9CFC-2FF5CB16A14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2023'!$N$131:$BI$131</c:f>
              <c:numCache>
                <c:formatCode>_(* #\ ##0_);_(* \(#\ ##0\);_(* "-"??_);_(@_)</c:formatCode>
                <c:ptCount val="48"/>
                <c:pt idx="0">
                  <c:v>437.17576638387527</c:v>
                </c:pt>
                <c:pt idx="1">
                  <c:v>450.03237186855824</c:v>
                </c:pt>
                <c:pt idx="2">
                  <c:v>489.71853590437973</c:v>
                </c:pt>
                <c:pt idx="3">
                  <c:v>484.89079842463303</c:v>
                </c:pt>
                <c:pt idx="4">
                  <c:v>489.09420289855069</c:v>
                </c:pt>
                <c:pt idx="5">
                  <c:v>525.44297195704064</c:v>
                </c:pt>
                <c:pt idx="6">
                  <c:v>527.10777323798527</c:v>
                </c:pt>
                <c:pt idx="7">
                  <c:v>523.05680119581461</c:v>
                </c:pt>
                <c:pt idx="8">
                  <c:v>532.66221927987112</c:v>
                </c:pt>
                <c:pt idx="9">
                  <c:v>532.61281759575274</c:v>
                </c:pt>
                <c:pt idx="10">
                  <c:v>539.96219281663514</c:v>
                </c:pt>
                <c:pt idx="11">
                  <c:v>641.41859610437336</c:v>
                </c:pt>
                <c:pt idx="12">
                  <c:v>520.97927090779126</c:v>
                </c:pt>
                <c:pt idx="13">
                  <c:v>509.07429880100358</c:v>
                </c:pt>
                <c:pt idx="14">
                  <c:v>505.2105484476819</c:v>
                </c:pt>
                <c:pt idx="15">
                  <c:v>471.7244754514366</c:v>
                </c:pt>
                <c:pt idx="16">
                  <c:v>466.3658097443041</c:v>
                </c:pt>
                <c:pt idx="17">
                  <c:v>469.36083438424225</c:v>
                </c:pt>
                <c:pt idx="18">
                  <c:v>397.43643831285976</c:v>
                </c:pt>
                <c:pt idx="19">
                  <c:v>401.43916096836119</c:v>
                </c:pt>
                <c:pt idx="20">
                  <c:v>400.40795106389305</c:v>
                </c:pt>
                <c:pt idx="21">
                  <c:v>445.3256342741177</c:v>
                </c:pt>
                <c:pt idx="22">
                  <c:v>449.74106509284508</c:v>
                </c:pt>
                <c:pt idx="23">
                  <c:v>456.62913717005983</c:v>
                </c:pt>
                <c:pt idx="24">
                  <c:v>417.86300161192986</c:v>
                </c:pt>
                <c:pt idx="25">
                  <c:v>422.25887911052553</c:v>
                </c:pt>
                <c:pt idx="26">
                  <c:v>426.1588801839747</c:v>
                </c:pt>
                <c:pt idx="27">
                  <c:v>463.13311048283276</c:v>
                </c:pt>
                <c:pt idx="28">
                  <c:v>469.07700312251023</c:v>
                </c:pt>
                <c:pt idx="29">
                  <c:v>476.80983432364405</c:v>
                </c:pt>
                <c:pt idx="30">
                  <c:v>479.03418102269615</c:v>
                </c:pt>
                <c:pt idx="31">
                  <c:v>476.88460486737767</c:v>
                </c:pt>
                <c:pt idx="32">
                  <c:v>485.52502050861364</c:v>
                </c:pt>
                <c:pt idx="33">
                  <c:v>491.90158004571197</c:v>
                </c:pt>
                <c:pt idx="34">
                  <c:v>489.28477469184526</c:v>
                </c:pt>
                <c:pt idx="35">
                  <c:v>535.24038449333057</c:v>
                </c:pt>
                <c:pt idx="36" formatCode="_-* #\ ##0\ _₴_-;\-* #\ ##0\ _₴_-;_-* &quot;-&quot;?\ _₴_-;_-@_-">
                  <c:v>508.84681053528681</c:v>
                </c:pt>
                <c:pt idx="37" formatCode="_-* #\ ##0\ _₴_-;\-* #\ ##0\ _₴_-;_-* &quot;-&quot;?\ _₴_-;_-@_-">
                  <c:v>503.19481265994614</c:v>
                </c:pt>
                <c:pt idx="38" formatCode="_-* #\ ##0\ _₴_-;\-* #\ ##0\ _₴_-;_-* &quot;-&quot;?\ _₴_-;_-@_-">
                  <c:v>499.64262863852281</c:v>
                </c:pt>
                <c:pt idx="39" formatCode="_-* #\ ##0\ _₴_-;\-* #\ ##0\ _₴_-;_-* &quot;-&quot;?\ _₴_-;_-@_-">
                  <c:v>499.07458573239524</c:v>
                </c:pt>
                <c:pt idx="40" formatCode="_-* #\ ##0\ _₴_-;\-* #\ ##0\ _₴_-;_-* &quot;-&quot;?\ _₴_-;_-@_-">
                  <c:v>495.36902860105619</c:v>
                </c:pt>
                <c:pt idx="41" formatCode="_-* #\ ##0\ _₴_-;\-* #\ ##0\ _₴_-;_-* &quot;-&quot;?\ _₴_-;_-@_-">
                  <c:v>512.7091228683995</c:v>
                </c:pt>
                <c:pt idx="42" formatCode="_-* #\ ##0\ _₴_-;\-* #\ ##0\ _₴_-;_-* &quot;-&quot;?\ _₴_-;_-@_-">
                  <c:v>518.53943329312915</c:v>
                </c:pt>
                <c:pt idx="43" formatCode="_-* #\ ##0\ _₴_-;\-* #\ ##0\ _₴_-;_-* &quot;-&quot;?\ _₴_-;_-@_-">
                  <c:v>510.40427339581566</c:v>
                </c:pt>
                <c:pt idx="44" formatCode="_-* #\ ##0\ _₴_-;\-* #\ ##0\ _₴_-;_-* &quot;-&quot;?\ _₴_-;_-@_-">
                  <c:v>517.83104008668101</c:v>
                </c:pt>
                <c:pt idx="45" formatCode="_-* #\ ##0\ _₴_-;\-* #\ ##0\ _₴_-;_-* &quot;-&quot;?\ _₴_-;_-@_-">
                  <c:v>535.83128279347136</c:v>
                </c:pt>
                <c:pt idx="46" formatCode="_-* #\ ##0\ _₴_-;\-* #\ ##0\ _₴_-;_-* &quot;-&quot;?\ _₴_-;_-@_-">
                  <c:v>530.22977513119031</c:v>
                </c:pt>
                <c:pt idx="47" formatCode="_-* #\ ##0\ _₴_-;\-* #\ ##0\ _₴_-;_-* &quot;-&quot;?\ _₴_-;_-@_-">
                  <c:v>591.00703827839345</c:v>
                </c:pt>
              </c:numCache>
            </c:numRef>
          </c:val>
          <c:extLst>
            <c:ext xmlns:c16="http://schemas.microsoft.com/office/drawing/2014/chart" uri="{C3380CC4-5D6E-409C-BE32-E72D297353CC}">
              <c16:uniqueId val="{00000018-ACE7-4A10-9CFC-2FF5CB16A145}"/>
            </c:ext>
          </c:extLst>
        </c:ser>
        <c:dLbls>
          <c:showLegendKey val="0"/>
          <c:showVal val="0"/>
          <c:showCatName val="0"/>
          <c:showSerName val="0"/>
          <c:showPercent val="0"/>
          <c:showBubbleSize val="0"/>
        </c:dLbls>
        <c:gapWidth val="150"/>
        <c:axId val="554919048"/>
        <c:axId val="554922248"/>
        <c:extLst>
          <c:ext xmlns:c15="http://schemas.microsoft.com/office/drawing/2012/chart" uri="{02D57815-91ED-43cb-92C2-25804820EDAC}">
            <c15:filteredBarSeries>
              <c15:ser>
                <c:idx val="2"/>
                <c:order val="2"/>
                <c:tx>
                  <c:strRef>
                    <c:extLst>
                      <c:ext uri="{02D57815-91ED-43cb-92C2-25804820EDAC}">
                        <c15:formulaRef>
                          <c15:sqref>'Прогноз Зарплати 2023'!$A$132</c15:sqref>
                        </c15:formulaRef>
                      </c:ext>
                    </c:extLst>
                    <c:strCache>
                      <c:ptCount val="1"/>
                      <c:pt idx="0">
                        <c:v>USD (сценарій 2)</c:v>
                      </c:pt>
                    </c:strCache>
                  </c:strRef>
                </c:tx>
                <c:spPr>
                  <a:solidFill>
                    <a:schemeClr val="accent2">
                      <a:lumMod val="60000"/>
                      <a:lumOff val="40000"/>
                    </a:schemeClr>
                  </a:solidFill>
                  <a:ln>
                    <a:noFill/>
                  </a:ln>
                  <a:effectLst/>
                </c:spPr>
                <c:invertIfNegative val="0"/>
                <c:dLbls>
                  <c:dLbl>
                    <c:idx val="0"/>
                    <c:layout>
                      <c:manualLayout>
                        <c:x val="2.8852464776706358E-3"/>
                        <c:y val="-7.0786050007310136E-17"/>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3E-ACE7-4A10-9CFC-2FF5CB16A145}"/>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'Прогноз Зарплати 2023'!$N$127:$AW$128</c15:sqref>
                        </c15:formulaRef>
                      </c:ext>
                    </c:extLst>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extLst>
                      <c:ext uri="{02D57815-91ED-43cb-92C2-25804820EDAC}">
                        <c15:formulaRef>
                          <c15:sqref>'Прогноз Зарплати 2023'!$AL$132:$AW$132</c15:sqref>
                        </c15:formulaRef>
                      </c:ext>
                    </c:extLst>
                    <c:numCache>
                      <c:formatCode>_-* #\ ##0\ _₴_-;\-* #\ ##0\ _₴_-;_-* "-"?\ _₴_-;_-@_-</c:formatCode>
                      <c:ptCount val="12"/>
                      <c:pt idx="0">
                        <c:v>417.86300161192986</c:v>
                      </c:pt>
                      <c:pt idx="1">
                        <c:v>422.25887911052553</c:v>
                      </c:pt>
                      <c:pt idx="2">
                        <c:v>426.1588801839747</c:v>
                      </c:pt>
                      <c:pt idx="3">
                        <c:v>463.13311048283276</c:v>
                      </c:pt>
                      <c:pt idx="4">
                        <c:v>469.07700312251023</c:v>
                      </c:pt>
                      <c:pt idx="5">
                        <c:v>476.80983432364405</c:v>
                      </c:pt>
                      <c:pt idx="6">
                        <c:v>456.27075585940645</c:v>
                      </c:pt>
                      <c:pt idx="7">
                        <c:v>445.27284868919793</c:v>
                      </c:pt>
                      <c:pt idx="8">
                        <c:v>450.35166776776026</c:v>
                      </c:pt>
                      <c:pt idx="9">
                        <c:v>447.82503126516718</c:v>
                      </c:pt>
                      <c:pt idx="10">
                        <c:v>442.2095693878191</c:v>
                      </c:pt>
                      <c:pt idx="11">
                        <c:v>482.60636073389554</c:v>
                      </c:pt>
                    </c:numCache>
                  </c:numRef>
                </c:val>
                <c:extLst>
                  <c:ext xmlns:c16="http://schemas.microsoft.com/office/drawing/2014/chart" uri="{C3380CC4-5D6E-409C-BE32-E72D297353CC}">
                    <c16:uniqueId val="{0000003F-ACE7-4A10-9CFC-2FF5CB16A145}"/>
                  </c:ext>
                </c:extLst>
              </c15:ser>
            </c15:filteredBarSeries>
          </c:ext>
        </c:extLst>
      </c:barChart>
      <c:lineChart>
        <c:grouping val="standard"/>
        <c:varyColors val="0"/>
        <c:ser>
          <c:idx val="0"/>
          <c:order val="0"/>
          <c:tx>
            <c:strRef>
              <c:f>'Прогноз Зарплати 2023'!$A$143</c:f>
              <c:strCache>
                <c:ptCount val="1"/>
                <c:pt idx="0">
                  <c:v>UAH</c:v>
                </c:pt>
              </c:strCache>
            </c:strRef>
          </c:tx>
          <c:spPr>
            <a:ln w="28575" cap="rnd">
              <a:solidFill>
                <a:schemeClr val="accent5"/>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9-ACE7-4A10-9CFC-2FF5CB16A145}"/>
                </c:ext>
              </c:extLst>
            </c:dLbl>
            <c:dLbl>
              <c:idx val="3"/>
              <c:delete val="1"/>
              <c:extLst>
                <c:ext xmlns:c15="http://schemas.microsoft.com/office/drawing/2012/chart" uri="{CE6537A1-D6FC-4f65-9D91-7224C49458BB}"/>
                <c:ext xmlns:c16="http://schemas.microsoft.com/office/drawing/2014/chart" uri="{C3380CC4-5D6E-409C-BE32-E72D297353CC}">
                  <c16:uniqueId val="{0000001A-ACE7-4A10-9CFC-2FF5CB16A145}"/>
                </c:ext>
              </c:extLst>
            </c:dLbl>
            <c:dLbl>
              <c:idx val="4"/>
              <c:delete val="1"/>
              <c:extLst>
                <c:ext xmlns:c15="http://schemas.microsoft.com/office/drawing/2012/chart" uri="{CE6537A1-D6FC-4f65-9D91-7224C49458BB}"/>
                <c:ext xmlns:c16="http://schemas.microsoft.com/office/drawing/2014/chart" uri="{C3380CC4-5D6E-409C-BE32-E72D297353CC}">
                  <c16:uniqueId val="{0000001B-ACE7-4A10-9CFC-2FF5CB16A145}"/>
                </c:ext>
              </c:extLst>
            </c:dLbl>
            <c:dLbl>
              <c:idx val="6"/>
              <c:delete val="1"/>
              <c:extLst>
                <c:ext xmlns:c15="http://schemas.microsoft.com/office/drawing/2012/chart" uri="{CE6537A1-D6FC-4f65-9D91-7224C49458BB}"/>
                <c:ext xmlns:c16="http://schemas.microsoft.com/office/drawing/2014/chart" uri="{C3380CC4-5D6E-409C-BE32-E72D297353CC}">
                  <c16:uniqueId val="{0000001C-ACE7-4A10-9CFC-2FF5CB16A145}"/>
                </c:ext>
              </c:extLst>
            </c:dLbl>
            <c:dLbl>
              <c:idx val="7"/>
              <c:delete val="1"/>
              <c:extLst>
                <c:ext xmlns:c15="http://schemas.microsoft.com/office/drawing/2012/chart" uri="{CE6537A1-D6FC-4f65-9D91-7224C49458BB}"/>
                <c:ext xmlns:c16="http://schemas.microsoft.com/office/drawing/2014/chart" uri="{C3380CC4-5D6E-409C-BE32-E72D297353CC}">
                  <c16:uniqueId val="{0000001D-ACE7-4A10-9CFC-2FF5CB16A145}"/>
                </c:ext>
              </c:extLst>
            </c:dLbl>
            <c:dLbl>
              <c:idx val="9"/>
              <c:delete val="1"/>
              <c:extLst>
                <c:ext xmlns:c15="http://schemas.microsoft.com/office/drawing/2012/chart" uri="{CE6537A1-D6FC-4f65-9D91-7224C49458BB}"/>
                <c:ext xmlns:c16="http://schemas.microsoft.com/office/drawing/2014/chart" uri="{C3380CC4-5D6E-409C-BE32-E72D297353CC}">
                  <c16:uniqueId val="{0000001E-ACE7-4A10-9CFC-2FF5CB16A145}"/>
                </c:ext>
              </c:extLst>
            </c:dLbl>
            <c:dLbl>
              <c:idx val="10"/>
              <c:delete val="1"/>
              <c:extLst>
                <c:ext xmlns:c15="http://schemas.microsoft.com/office/drawing/2012/chart" uri="{CE6537A1-D6FC-4f65-9D91-7224C49458BB}"/>
                <c:ext xmlns:c16="http://schemas.microsoft.com/office/drawing/2014/chart" uri="{C3380CC4-5D6E-409C-BE32-E72D297353CC}">
                  <c16:uniqueId val="{0000001F-ACE7-4A10-9CFC-2FF5CB16A145}"/>
                </c:ext>
              </c:extLst>
            </c:dLbl>
            <c:dLbl>
              <c:idx val="12"/>
              <c:delete val="1"/>
              <c:extLst>
                <c:ext xmlns:c15="http://schemas.microsoft.com/office/drawing/2012/chart" uri="{CE6537A1-D6FC-4f65-9D91-7224C49458BB}"/>
                <c:ext xmlns:c16="http://schemas.microsoft.com/office/drawing/2014/chart" uri="{C3380CC4-5D6E-409C-BE32-E72D297353CC}">
                  <c16:uniqueId val="{00000020-ACE7-4A10-9CFC-2FF5CB16A145}"/>
                </c:ext>
              </c:extLst>
            </c:dLbl>
            <c:dLbl>
              <c:idx val="14"/>
              <c:delete val="1"/>
              <c:extLst>
                <c:ext xmlns:c15="http://schemas.microsoft.com/office/drawing/2012/chart" uri="{CE6537A1-D6FC-4f65-9D91-7224C49458BB}"/>
                <c:ext xmlns:c16="http://schemas.microsoft.com/office/drawing/2014/chart" uri="{C3380CC4-5D6E-409C-BE32-E72D297353CC}">
                  <c16:uniqueId val="{00000021-ACE7-4A10-9CFC-2FF5CB16A145}"/>
                </c:ext>
              </c:extLst>
            </c:dLbl>
            <c:dLbl>
              <c:idx val="15"/>
              <c:delete val="1"/>
              <c:extLst>
                <c:ext xmlns:c15="http://schemas.microsoft.com/office/drawing/2012/chart" uri="{CE6537A1-D6FC-4f65-9D91-7224C49458BB}"/>
                <c:ext xmlns:c16="http://schemas.microsoft.com/office/drawing/2014/chart" uri="{C3380CC4-5D6E-409C-BE32-E72D297353CC}">
                  <c16:uniqueId val="{00000022-ACE7-4A10-9CFC-2FF5CB16A145}"/>
                </c:ext>
              </c:extLst>
            </c:dLbl>
            <c:dLbl>
              <c:idx val="16"/>
              <c:delete val="1"/>
              <c:extLst>
                <c:ext xmlns:c15="http://schemas.microsoft.com/office/drawing/2012/chart" uri="{CE6537A1-D6FC-4f65-9D91-7224C49458BB}"/>
                <c:ext xmlns:c16="http://schemas.microsoft.com/office/drawing/2014/chart" uri="{C3380CC4-5D6E-409C-BE32-E72D297353CC}">
                  <c16:uniqueId val="{00000023-ACE7-4A10-9CFC-2FF5CB16A145}"/>
                </c:ext>
              </c:extLst>
            </c:dLbl>
            <c:dLbl>
              <c:idx val="18"/>
              <c:delete val="1"/>
              <c:extLst>
                <c:ext xmlns:c15="http://schemas.microsoft.com/office/drawing/2012/chart" uri="{CE6537A1-D6FC-4f65-9D91-7224C49458BB}"/>
                <c:ext xmlns:c16="http://schemas.microsoft.com/office/drawing/2014/chart" uri="{C3380CC4-5D6E-409C-BE32-E72D297353CC}">
                  <c16:uniqueId val="{00000024-ACE7-4A10-9CFC-2FF5CB16A145}"/>
                </c:ext>
              </c:extLst>
            </c:dLbl>
            <c:dLbl>
              <c:idx val="19"/>
              <c:delete val="1"/>
              <c:extLst>
                <c:ext xmlns:c15="http://schemas.microsoft.com/office/drawing/2012/chart" uri="{CE6537A1-D6FC-4f65-9D91-7224C49458BB}"/>
                <c:ext xmlns:c16="http://schemas.microsoft.com/office/drawing/2014/chart" uri="{C3380CC4-5D6E-409C-BE32-E72D297353CC}">
                  <c16:uniqueId val="{00000025-ACE7-4A10-9CFC-2FF5CB16A145}"/>
                </c:ext>
              </c:extLst>
            </c:dLbl>
            <c:dLbl>
              <c:idx val="21"/>
              <c:delete val="1"/>
              <c:extLst>
                <c:ext xmlns:c15="http://schemas.microsoft.com/office/drawing/2012/chart" uri="{CE6537A1-D6FC-4f65-9D91-7224C49458BB}"/>
                <c:ext xmlns:c16="http://schemas.microsoft.com/office/drawing/2014/chart" uri="{C3380CC4-5D6E-409C-BE32-E72D297353CC}">
                  <c16:uniqueId val="{00000026-ACE7-4A10-9CFC-2FF5CB16A145}"/>
                </c:ext>
              </c:extLst>
            </c:dLbl>
            <c:dLbl>
              <c:idx val="22"/>
              <c:delete val="1"/>
              <c:extLst>
                <c:ext xmlns:c15="http://schemas.microsoft.com/office/drawing/2012/chart" uri="{CE6537A1-D6FC-4f65-9D91-7224C49458BB}"/>
                <c:ext xmlns:c16="http://schemas.microsoft.com/office/drawing/2014/chart" uri="{C3380CC4-5D6E-409C-BE32-E72D297353CC}">
                  <c16:uniqueId val="{00000027-ACE7-4A10-9CFC-2FF5CB16A145}"/>
                </c:ext>
              </c:extLst>
            </c:dLbl>
            <c:dLbl>
              <c:idx val="24"/>
              <c:delete val="1"/>
              <c:extLst>
                <c:ext xmlns:c15="http://schemas.microsoft.com/office/drawing/2012/chart" uri="{CE6537A1-D6FC-4f65-9D91-7224C49458BB}"/>
                <c:ext xmlns:c16="http://schemas.microsoft.com/office/drawing/2014/chart" uri="{C3380CC4-5D6E-409C-BE32-E72D297353CC}">
                  <c16:uniqueId val="{00000028-ACE7-4A10-9CFC-2FF5CB16A145}"/>
                </c:ext>
              </c:extLst>
            </c:dLbl>
            <c:dLbl>
              <c:idx val="25"/>
              <c:delete val="1"/>
              <c:extLst>
                <c:ext xmlns:c15="http://schemas.microsoft.com/office/drawing/2012/chart" uri="{CE6537A1-D6FC-4f65-9D91-7224C49458BB}"/>
                <c:ext xmlns:c16="http://schemas.microsoft.com/office/drawing/2014/chart" uri="{C3380CC4-5D6E-409C-BE32-E72D297353CC}">
                  <c16:uniqueId val="{00000029-ACE7-4A10-9CFC-2FF5CB16A145}"/>
                </c:ext>
              </c:extLst>
            </c:dLbl>
            <c:dLbl>
              <c:idx val="27"/>
              <c:delete val="1"/>
              <c:extLst>
                <c:ext xmlns:c15="http://schemas.microsoft.com/office/drawing/2012/chart" uri="{CE6537A1-D6FC-4f65-9D91-7224C49458BB}"/>
                <c:ext xmlns:c16="http://schemas.microsoft.com/office/drawing/2014/chart" uri="{C3380CC4-5D6E-409C-BE32-E72D297353CC}">
                  <c16:uniqueId val="{0000002A-ACE7-4A10-9CFC-2FF5CB16A145}"/>
                </c:ext>
              </c:extLst>
            </c:dLbl>
            <c:dLbl>
              <c:idx val="28"/>
              <c:delete val="1"/>
              <c:extLst>
                <c:ext xmlns:c15="http://schemas.microsoft.com/office/drawing/2012/chart" uri="{CE6537A1-D6FC-4f65-9D91-7224C49458BB}"/>
                <c:ext xmlns:c16="http://schemas.microsoft.com/office/drawing/2014/chart" uri="{C3380CC4-5D6E-409C-BE32-E72D297353CC}">
                  <c16:uniqueId val="{0000002B-ACE7-4A10-9CFC-2FF5CB16A145}"/>
                </c:ext>
              </c:extLst>
            </c:dLbl>
            <c:dLbl>
              <c:idx val="29"/>
              <c:layout>
                <c:manualLayout>
                  <c:x val="-5.4908733146554006E-2"/>
                  <c:y val="-3.56013237469066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ACE7-4A10-9CFC-2FF5CB16A145}"/>
                </c:ext>
              </c:extLst>
            </c:dLbl>
            <c:dLbl>
              <c:idx val="30"/>
              <c:delete val="1"/>
              <c:extLst>
                <c:ext xmlns:c15="http://schemas.microsoft.com/office/drawing/2012/chart" uri="{CE6537A1-D6FC-4f65-9D91-7224C49458BB}"/>
                <c:ext xmlns:c16="http://schemas.microsoft.com/office/drawing/2014/chart" uri="{C3380CC4-5D6E-409C-BE32-E72D297353CC}">
                  <c16:uniqueId val="{0000002D-ACE7-4A10-9CFC-2FF5CB16A145}"/>
                </c:ext>
              </c:extLst>
            </c:dLbl>
            <c:dLbl>
              <c:idx val="31"/>
              <c:delete val="1"/>
              <c:extLst>
                <c:ext xmlns:c15="http://schemas.microsoft.com/office/drawing/2012/chart" uri="{CE6537A1-D6FC-4f65-9D91-7224C49458BB}"/>
                <c:ext xmlns:c16="http://schemas.microsoft.com/office/drawing/2014/chart" uri="{C3380CC4-5D6E-409C-BE32-E72D297353CC}">
                  <c16:uniqueId val="{0000002E-ACE7-4A10-9CFC-2FF5CB16A145}"/>
                </c:ext>
              </c:extLst>
            </c:dLbl>
            <c:dLbl>
              <c:idx val="32"/>
              <c:layout>
                <c:manualLayout>
                  <c:x val="-5.4406275918420455E-2"/>
                  <c:y val="-3.33786615688825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ACE7-4A10-9CFC-2FF5CB16A145}"/>
                </c:ext>
              </c:extLst>
            </c:dLbl>
            <c:dLbl>
              <c:idx val="33"/>
              <c:delete val="1"/>
              <c:extLst>
                <c:ext xmlns:c15="http://schemas.microsoft.com/office/drawing/2012/chart" uri="{CE6537A1-D6FC-4f65-9D91-7224C49458BB}"/>
                <c:ext xmlns:c16="http://schemas.microsoft.com/office/drawing/2014/chart" uri="{C3380CC4-5D6E-409C-BE32-E72D297353CC}">
                  <c16:uniqueId val="{00000030-ACE7-4A10-9CFC-2FF5CB16A145}"/>
                </c:ext>
              </c:extLst>
            </c:dLbl>
            <c:dLbl>
              <c:idx val="34"/>
              <c:delete val="1"/>
              <c:extLst>
                <c:ext xmlns:c15="http://schemas.microsoft.com/office/drawing/2012/chart" uri="{CE6537A1-D6FC-4f65-9D91-7224C49458BB}"/>
                <c:ext xmlns:c16="http://schemas.microsoft.com/office/drawing/2014/chart" uri="{C3380CC4-5D6E-409C-BE32-E72D297353CC}">
                  <c16:uniqueId val="{00000031-ACE7-4A10-9CFC-2FF5CB16A145}"/>
                </c:ext>
              </c:extLst>
            </c:dLbl>
            <c:dLbl>
              <c:idx val="36"/>
              <c:delete val="1"/>
              <c:extLst>
                <c:ext xmlns:c15="http://schemas.microsoft.com/office/drawing/2012/chart" uri="{CE6537A1-D6FC-4f65-9D91-7224C49458BB}"/>
                <c:ext xmlns:c16="http://schemas.microsoft.com/office/drawing/2014/chart" uri="{C3380CC4-5D6E-409C-BE32-E72D297353CC}">
                  <c16:uniqueId val="{00000032-ACE7-4A10-9CFC-2FF5CB16A145}"/>
                </c:ext>
              </c:extLst>
            </c:dLbl>
            <c:dLbl>
              <c:idx val="37"/>
              <c:delete val="1"/>
              <c:extLst>
                <c:ext xmlns:c15="http://schemas.microsoft.com/office/drawing/2012/chart" uri="{CE6537A1-D6FC-4f65-9D91-7224C49458BB}"/>
                <c:ext xmlns:c16="http://schemas.microsoft.com/office/drawing/2014/chart" uri="{C3380CC4-5D6E-409C-BE32-E72D297353CC}">
                  <c16:uniqueId val="{00000033-ACE7-4A10-9CFC-2FF5CB16A145}"/>
                </c:ext>
              </c:extLst>
            </c:dLbl>
            <c:dLbl>
              <c:idx val="38"/>
              <c:delete val="1"/>
              <c:extLst>
                <c:ext xmlns:c15="http://schemas.microsoft.com/office/drawing/2012/chart" uri="{CE6537A1-D6FC-4f65-9D91-7224C49458BB}"/>
                <c:ext xmlns:c16="http://schemas.microsoft.com/office/drawing/2014/chart" uri="{C3380CC4-5D6E-409C-BE32-E72D297353CC}">
                  <c16:uniqueId val="{00000034-ACE7-4A10-9CFC-2FF5CB16A145}"/>
                </c:ext>
              </c:extLst>
            </c:dLbl>
            <c:dLbl>
              <c:idx val="39"/>
              <c:layout>
                <c:manualLayout>
                  <c:x val="-5.3920040974322007E-2"/>
                  <c:y val="-3.25885823011661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ACE7-4A10-9CFC-2FF5CB16A145}"/>
                </c:ext>
              </c:extLst>
            </c:dLbl>
            <c:dLbl>
              <c:idx val="40"/>
              <c:delete val="1"/>
              <c:extLst>
                <c:ext xmlns:c15="http://schemas.microsoft.com/office/drawing/2012/chart" uri="{CE6537A1-D6FC-4f65-9D91-7224C49458BB}"/>
                <c:ext xmlns:c16="http://schemas.microsoft.com/office/drawing/2014/chart" uri="{C3380CC4-5D6E-409C-BE32-E72D297353CC}">
                  <c16:uniqueId val="{00000036-ACE7-4A10-9CFC-2FF5CB16A145}"/>
                </c:ext>
              </c:extLst>
            </c:dLbl>
            <c:dLbl>
              <c:idx val="41"/>
              <c:delete val="1"/>
              <c:extLst>
                <c:ext xmlns:c15="http://schemas.microsoft.com/office/drawing/2012/chart" uri="{CE6537A1-D6FC-4f65-9D91-7224C49458BB}"/>
                <c:ext xmlns:c16="http://schemas.microsoft.com/office/drawing/2014/chart" uri="{C3380CC4-5D6E-409C-BE32-E72D297353CC}">
                  <c16:uniqueId val="{00000037-ACE7-4A10-9CFC-2FF5CB16A145}"/>
                </c:ext>
              </c:extLst>
            </c:dLbl>
            <c:dLbl>
              <c:idx val="42"/>
              <c:layout>
                <c:manualLayout>
                  <c:x val="-5.1436957656583966E-2"/>
                  <c:y val="-3.25885823011660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ACE7-4A10-9CFC-2FF5CB16A145}"/>
                </c:ext>
              </c:extLst>
            </c:dLbl>
            <c:dLbl>
              <c:idx val="43"/>
              <c:delete val="1"/>
              <c:extLst>
                <c:ext xmlns:c15="http://schemas.microsoft.com/office/drawing/2012/chart" uri="{CE6537A1-D6FC-4f65-9D91-7224C49458BB}"/>
                <c:ext xmlns:c16="http://schemas.microsoft.com/office/drawing/2014/chart" uri="{C3380CC4-5D6E-409C-BE32-E72D297353CC}">
                  <c16:uniqueId val="{00000039-ACE7-4A10-9CFC-2FF5CB16A145}"/>
                </c:ext>
              </c:extLst>
            </c:dLbl>
            <c:dLbl>
              <c:idx val="44"/>
              <c:delete val="1"/>
              <c:extLst>
                <c:ext xmlns:c15="http://schemas.microsoft.com/office/drawing/2012/chart" uri="{CE6537A1-D6FC-4f65-9D91-7224C49458BB}"/>
                <c:ext xmlns:c16="http://schemas.microsoft.com/office/drawing/2014/chart" uri="{C3380CC4-5D6E-409C-BE32-E72D297353CC}">
                  <c16:uniqueId val="{0000003A-ACE7-4A10-9CFC-2FF5CB16A145}"/>
                </c:ext>
              </c:extLst>
            </c:dLbl>
            <c:dLbl>
              <c:idx val="45"/>
              <c:layout>
                <c:manualLayout>
                  <c:x val="-5.3388359746668376E-2"/>
                  <c:y val="-4.11001503263550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ACE7-4A10-9CFC-2FF5CB16A145}"/>
                </c:ext>
              </c:extLst>
            </c:dLbl>
            <c:dLbl>
              <c:idx val="46"/>
              <c:delete val="1"/>
              <c:extLst>
                <c:ext xmlns:c15="http://schemas.microsoft.com/office/drawing/2012/chart" uri="{CE6537A1-D6FC-4f65-9D91-7224C49458BB}"/>
                <c:ext xmlns:c16="http://schemas.microsoft.com/office/drawing/2014/chart" uri="{C3380CC4-5D6E-409C-BE32-E72D297353CC}">
                  <c16:uniqueId val="{0000003C-ACE7-4A10-9CFC-2FF5CB16A14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2023'!$N$127:$BI$128</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'Прогноз Зарплати 2023'!$N$129:$BI$129</c:f>
              <c:numCache>
                <c:formatCode>_(* #\ ##0_);_(* \(#\ ##0\);_(* "-"??_);_(@_)</c:formatCode>
                <c:ptCount val="48"/>
                <c:pt idx="0">
                  <c:v>12337</c:v>
                </c:pt>
                <c:pt idx="1">
                  <c:v>12549</c:v>
                </c:pt>
                <c:pt idx="2">
                  <c:v>13612</c:v>
                </c:pt>
                <c:pt idx="3">
                  <c:v>13543</c:v>
                </c:pt>
                <c:pt idx="4">
                  <c:v>13499</c:v>
                </c:pt>
                <c:pt idx="5">
                  <c:v>14313</c:v>
                </c:pt>
                <c:pt idx="6">
                  <c:v>14345</c:v>
                </c:pt>
                <c:pt idx="7">
                  <c:v>13997</c:v>
                </c:pt>
                <c:pt idx="8">
                  <c:v>14239</c:v>
                </c:pt>
                <c:pt idx="9">
                  <c:v>14045</c:v>
                </c:pt>
                <c:pt idx="10">
                  <c:v>14282</c:v>
                </c:pt>
                <c:pt idx="11">
                  <c:v>17453</c:v>
                </c:pt>
                <c:pt idx="12">
                  <c:v>14577</c:v>
                </c:pt>
                <c:pt idx="13">
                  <c:v>14462.800828936512</c:v>
                </c:pt>
                <c:pt idx="14">
                  <c:v>14777.408542094696</c:v>
                </c:pt>
                <c:pt idx="15">
                  <c:v>13797.94090695452</c:v>
                </c:pt>
                <c:pt idx="16">
                  <c:v>13641.199935020895</c:v>
                </c:pt>
                <c:pt idx="17">
                  <c:v>13728.804405739085</c:v>
                </c:pt>
                <c:pt idx="18">
                  <c:v>14534.250549101282</c:v>
                </c:pt>
                <c:pt idx="19">
                  <c:v>14680.630116612969</c:v>
                </c:pt>
                <c:pt idx="20">
                  <c:v>14642.918770406568</c:v>
                </c:pt>
                <c:pt idx="21">
                  <c:v>16285.558445404484</c:v>
                </c:pt>
                <c:pt idx="22">
                  <c:v>16447.030750445345</c:v>
                </c:pt>
                <c:pt idx="23">
                  <c:v>16698.927546309089</c:v>
                </c:pt>
                <c:pt idx="24">
                  <c:v>15281.249968948276</c:v>
                </c:pt>
                <c:pt idx="25">
                  <c:v>15442.007209071919</c:v>
                </c:pt>
                <c:pt idx="26">
                  <c:v>15584.630248327954</c:v>
                </c:pt>
                <c:pt idx="27">
                  <c:v>16936.777850357194</c:v>
                </c:pt>
                <c:pt idx="28">
                  <c:v>17154.146004190199</c:v>
                </c:pt>
                <c:pt idx="29">
                  <c:v>17436.935641215663</c:v>
                </c:pt>
                <c:pt idx="30">
                  <c:v>17518.28</c:v>
                </c:pt>
                <c:pt idx="31">
                  <c:v>17439.670000000002</c:v>
                </c:pt>
                <c:pt idx="32">
                  <c:v>17755.650000000001</c:v>
                </c:pt>
                <c:pt idx="33">
                  <c:v>17963.73</c:v>
                </c:pt>
                <c:pt idx="34">
                  <c:v>17810.099999999999</c:v>
                </c:pt>
                <c:pt idx="35">
                  <c:v>19654.830000000002</c:v>
                </c:pt>
                <c:pt idx="36" formatCode="_-* #\ ##0\ _₴_-;\-* #\ ##0\ _₴_-;_-* &quot;-&quot;?\ _₴_-;_-@_-">
                  <c:v>19118.511067941676</c:v>
                </c:pt>
                <c:pt idx="37" formatCode="_-* #\ ##0\ _₴_-;\-* #\ ##0\ _₴_-;_-* &quot;-&quot;?\ _₴_-;_-@_-">
                  <c:v>19259.673709713803</c:v>
                </c:pt>
                <c:pt idx="38" formatCode="_-* #\ ##0\ _₴_-;\-* #\ ##0\ _₴_-;_-* &quot;-&quot;?\ _₴_-;_-@_-">
                  <c:v>19538.927916903838</c:v>
                </c:pt>
                <c:pt idx="39" formatCode="_-* #\ ##0\ _₴_-;\-* #\ ##0\ _₴_-;_-* &quot;-&quot;?\ _₴_-;_-@_-">
                  <c:v>19661.395225941844</c:v>
                </c:pt>
                <c:pt idx="40" formatCode="_-* #\ ##0\ _₴_-;\-* #\ ##0\ _₴_-;_-* &quot;-&quot;?\ _₴_-;_-@_-">
                  <c:v>19706.298631327682</c:v>
                </c:pt>
                <c:pt idx="41" formatCode="_-* #\ ##0\ _₴_-;\-* #\ ##0\ _₴_-;_-* &quot;-&quot;?\ _₴_-;_-@_-">
                  <c:v>20589.577773895002</c:v>
                </c:pt>
                <c:pt idx="42" formatCode="_-* #\ ##0\ _₴_-;\-* #\ ##0\ _₴_-;_-* &quot;-&quot;?\ _₴_-;_-@_-">
                  <c:v>21008.954504072528</c:v>
                </c:pt>
                <c:pt idx="43" formatCode="_-* #\ ##0\ _₴_-;\-* #\ ##0\ _₴_-;_-* &quot;-&quot;?\ _₴_-;_-@_-">
                  <c:v>20746.773501915468</c:v>
                </c:pt>
                <c:pt idx="44" formatCode="_-* #\ ##0\ _₴_-;\-* #\ ##0\ _₴_-;_-* &quot;-&quot;?\ _₴_-;_-@_-">
                  <c:v>21162.127376373395</c:v>
                </c:pt>
                <c:pt idx="45" formatCode="_-* #\ ##0\ _₴_-;\-* #\ ##0\ _₴_-;_-* &quot;-&quot;?\ _₴_-;_-@_-">
                  <c:v>21983.554257159536</c:v>
                </c:pt>
                <c:pt idx="46" formatCode="_-* #\ ##0\ _₴_-;\-* #\ ##0\ _₴_-;_-* &quot;-&quot;?\ _₴_-;_-@_-">
                  <c:v>21845.506348591651</c:v>
                </c:pt>
                <c:pt idx="47" formatCode="_-* #\ ##0\ _₴_-;\-* #\ ##0\ _₴_-;_-* &quot;-&quot;?\ _₴_-;_-@_-">
                  <c:v>24469.236765408983</c:v>
                </c:pt>
              </c:numCache>
            </c:numRef>
          </c:val>
          <c:smooth val="0"/>
          <c:extLst>
            <c:ext xmlns:c16="http://schemas.microsoft.com/office/drawing/2014/chart" uri="{C3380CC4-5D6E-409C-BE32-E72D297353CC}">
              <c16:uniqueId val="{0000003D-ACE7-4A10-9CFC-2FF5CB16A145}"/>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25000"/>
          <c:min val="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900"/>
          <c:min val="3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0.12008628246673299"/>
          <c:y val="8.5582476088860757E-2"/>
          <c:w val="0.74262477559768136"/>
          <c:h val="4.5271278433512065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ru-RU" sz="1600" b="1">
                <a:solidFill>
                  <a:sysClr val="windowText" lastClr="000000"/>
                </a:solidFill>
              </a:rPr>
              <a:t>Кореляція ср грн з/п з мін. з/п по рокам </a:t>
            </a:r>
          </a:p>
        </c:rich>
      </c:tx>
      <c:layout>
        <c:manualLayout>
          <c:xMode val="edge"/>
          <c:yMode val="edge"/>
          <c:x val="0.24312289911363258"/>
          <c:y val="2.688506844931370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3552165014792289"/>
                  <c:y val="2.7886463568994307E-2"/>
                </c:manualLayout>
              </c:layout>
              <c:numFmt formatCode="General" sourceLinked="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trendlineLbl>
          </c:trendline>
          <c:xVal>
            <c:numRef>
              <c:f>'Прогноз Зарплати 2023'!$D$21:$X$21</c:f>
              <c:numCache>
                <c:formatCode>General</c:formatCode>
                <c:ptCount val="21"/>
                <c:pt idx="0">
                  <c:v>152.5</c:v>
                </c:pt>
                <c:pt idx="1">
                  <c:v>195</c:v>
                </c:pt>
                <c:pt idx="2">
                  <c:v>237</c:v>
                </c:pt>
                <c:pt idx="3">
                  <c:v>298.5</c:v>
                </c:pt>
                <c:pt idx="4">
                  <c:v>375</c:v>
                </c:pt>
                <c:pt idx="5">
                  <c:v>440</c:v>
                </c:pt>
                <c:pt idx="6">
                  <c:v>547.5</c:v>
                </c:pt>
                <c:pt idx="7">
                  <c:v>662.25</c:v>
                </c:pt>
                <c:pt idx="8">
                  <c:v>894</c:v>
                </c:pt>
                <c:pt idx="9">
                  <c:v>972.5</c:v>
                </c:pt>
                <c:pt idx="10">
                  <c:v>1104.2</c:v>
                </c:pt>
                <c:pt idx="11">
                  <c:v>1182.5</c:v>
                </c:pt>
                <c:pt idx="12">
                  <c:v>1218</c:v>
                </c:pt>
                <c:pt idx="13">
                  <c:v>1298</c:v>
                </c:pt>
                <c:pt idx="14">
                  <c:v>1476</c:v>
                </c:pt>
                <c:pt idx="15">
                  <c:v>3200</c:v>
                </c:pt>
                <c:pt idx="16">
                  <c:v>3723</c:v>
                </c:pt>
                <c:pt idx="17">
                  <c:v>4173</c:v>
                </c:pt>
                <c:pt idx="18" formatCode="_(* #\ ##0_);_(* \(#\ ##0\);_(* &quot;-&quot;??_);_(@_)">
                  <c:v>4815.333333333333</c:v>
                </c:pt>
                <c:pt idx="19" formatCode="0">
                  <c:v>6041.666666666667</c:v>
                </c:pt>
                <c:pt idx="20" formatCode="0">
                  <c:v>6550</c:v>
                </c:pt>
              </c:numCache>
            </c:numRef>
          </c:xVal>
          <c:yVal>
            <c:numRef>
              <c:f>'Прогноз Зарплати 2023'!$D$12:$X$12</c:f>
              <c:numCache>
                <c:formatCode>_-* #\ ##0.0_-;\-* #\ ##0.0_-;_-* "-"??_-;_-@_-</c:formatCode>
                <c:ptCount val="21"/>
                <c:pt idx="0">
                  <c:v>375.97916666666657</c:v>
                </c:pt>
                <c:pt idx="1">
                  <c:v>462.58249999999998</c:v>
                </c:pt>
                <c:pt idx="2">
                  <c:v>590.52750000000003</c:v>
                </c:pt>
                <c:pt idx="3">
                  <c:v>806.13916666666682</c:v>
                </c:pt>
                <c:pt idx="4">
                  <c:v>1042.8758333333333</c:v>
                </c:pt>
                <c:pt idx="5">
                  <c:v>1352.75</c:v>
                </c:pt>
                <c:pt idx="6">
                  <c:v>1808.9166666666667</c:v>
                </c:pt>
                <c:pt idx="7">
                  <c:v>1909.25</c:v>
                </c:pt>
                <c:pt idx="8">
                  <c:v>2246.75</c:v>
                </c:pt>
                <c:pt idx="9">
                  <c:v>2639.1666666666665</c:v>
                </c:pt>
                <c:pt idx="10">
                  <c:v>3031.9166666666665</c:v>
                </c:pt>
                <c:pt idx="11">
                  <c:v>3273.8333333333335</c:v>
                </c:pt>
                <c:pt idx="12">
                  <c:v>3474.75</c:v>
                </c:pt>
                <c:pt idx="13">
                  <c:v>4207.333333333333</c:v>
                </c:pt>
                <c:pt idx="14">
                  <c:v>5187.333333333333</c:v>
                </c:pt>
                <c:pt idx="15">
                  <c:v>7105.416666666667</c:v>
                </c:pt>
                <c:pt idx="16">
                  <c:v>8867.4408333333322</c:v>
                </c:pt>
                <c:pt idx="17">
                  <c:v>10503.762499999999</c:v>
                </c:pt>
                <c:pt idx="18">
                  <c:v>11595.784174999999</c:v>
                </c:pt>
                <c:pt idx="19" formatCode="0">
                  <c:v>14017.833333333334</c:v>
                </c:pt>
                <c:pt idx="20" formatCode="0">
                  <c:v>14856.205899752118</c:v>
                </c:pt>
              </c:numCache>
            </c:numRef>
          </c:yVal>
          <c:smooth val="0"/>
          <c:extLst>
            <c:ext xmlns:c16="http://schemas.microsoft.com/office/drawing/2014/chart" uri="{C3380CC4-5D6E-409C-BE32-E72D297353CC}">
              <c16:uniqueId val="{00000002-F554-4159-8F8B-EB51F854E88D}"/>
            </c:ext>
          </c:extLst>
        </c:ser>
        <c:dLbls>
          <c:showLegendKey val="0"/>
          <c:showVal val="0"/>
          <c:showCatName val="0"/>
          <c:showSerName val="0"/>
          <c:showPercent val="0"/>
          <c:showBubbleSize val="0"/>
        </c:dLbls>
        <c:axId val="924054416"/>
        <c:axId val="924046096"/>
      </c:scatterChart>
      <c:valAx>
        <c:axId val="924054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46096"/>
        <c:crosses val="autoZero"/>
        <c:crossBetween val="midCat"/>
      </c:valAx>
      <c:valAx>
        <c:axId val="924046096"/>
        <c:scaling>
          <c:orientation val="minMax"/>
        </c:scaling>
        <c:delete val="0"/>
        <c:axPos val="l"/>
        <c:majorGridlines>
          <c:spPr>
            <a:ln w="9525" cap="flat" cmpd="sng" algn="ctr">
              <a:solidFill>
                <a:schemeClr val="tx1">
                  <a:lumMod val="15000"/>
                  <a:lumOff val="85000"/>
                </a:schemeClr>
              </a:solidFill>
              <a:round/>
            </a:ln>
            <a:effectLst/>
          </c:spPr>
        </c:majorGridlines>
        <c:numFmt formatCode="_-* #\ ##0.0_-;\-* #\ ##0.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544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'Прогноз Зарплати 2023'!$A$35</c:f>
              <c:strCache>
                <c:ptCount val="1"/>
                <c:pt idx="0">
                  <c:v>% м-м</c:v>
                </c:pt>
              </c:strCache>
            </c:strRef>
          </c:tx>
          <c:spPr>
            <a:ln w="28575" cap="rnd">
              <a:solidFill>
                <a:schemeClr val="accent1"/>
              </a:solidFill>
              <a:round/>
            </a:ln>
            <a:effectLst/>
          </c:spPr>
          <c:marker>
            <c:symbol val="none"/>
          </c:marker>
          <c:cat>
            <c:multiLvlStrRef>
              <c:f>'Прогноз Зарплати 2023'!$B$29:$AW$30</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2017</c:v>
                  </c:pt>
                  <c:pt idx="12">
                    <c:v>2018</c:v>
                  </c:pt>
                  <c:pt idx="24">
                    <c:v>2019</c:v>
                  </c:pt>
                  <c:pt idx="36">
                    <c:v>2020</c:v>
                  </c:pt>
                </c:lvl>
              </c:multiLvlStrCache>
            </c:multiLvlStrRef>
          </c:cat>
          <c:val>
            <c:numRef>
              <c:f>'Прогноз Зарплати 2023'!$B$35:$AW$35</c:f>
              <c:numCache>
                <c:formatCode>0.0%</c:formatCode>
                <c:ptCount val="48"/>
                <c:pt idx="0">
                  <c:v>-7.2123552123552107E-2</c:v>
                </c:pt>
                <c:pt idx="1">
                  <c:v>3.3455392809587314E-2</c:v>
                </c:pt>
                <c:pt idx="2">
                  <c:v>8.7453696247382862E-2</c:v>
                </c:pt>
                <c:pt idx="3">
                  <c:v>-1.377369668246442E-2</c:v>
                </c:pt>
                <c:pt idx="4">
                  <c:v>2.7181258447214196E-2</c:v>
                </c:pt>
                <c:pt idx="5">
                  <c:v>7.6023391812865437E-2</c:v>
                </c:pt>
                <c:pt idx="6">
                  <c:v>-2.8532608695651662E-3</c:v>
                </c:pt>
                <c:pt idx="7">
                  <c:v>-3.0658127810328395E-2</c:v>
                </c:pt>
                <c:pt idx="8">
                  <c:v>3.3314590947427503E-2</c:v>
                </c:pt>
                <c:pt idx="9">
                  <c:v>3.5369337505102294E-3</c:v>
                </c:pt>
                <c:pt idx="10">
                  <c:v>1.3826758845058906E-2</c:v>
                </c:pt>
                <c:pt idx="11">
                  <c:v>0.173552613985827</c:v>
                </c:pt>
                <c:pt idx="12">
                  <c:v>-0.12140025065512128</c:v>
                </c:pt>
                <c:pt idx="13">
                  <c:v>1.513200466318354E-2</c:v>
                </c:pt>
                <c:pt idx="14">
                  <c:v>7.0742038997670065E-2</c:v>
                </c:pt>
                <c:pt idx="15">
                  <c:v>1.1727595282237768E-2</c:v>
                </c:pt>
                <c:pt idx="16">
                  <c:v>2.8832910389328559E-2</c:v>
                </c:pt>
                <c:pt idx="17">
                  <c:v>4.7728588211696676E-2</c:v>
                </c:pt>
                <c:pt idx="18">
                  <c:v>3.1844938886378404E-3</c:v>
                </c:pt>
                <c:pt idx="19">
                  <c:v>-2.1046249405688777E-2</c:v>
                </c:pt>
                <c:pt idx="20">
                  <c:v>7.2093106152419928E-3</c:v>
                </c:pt>
                <c:pt idx="21">
                  <c:v>1.9464720194647178E-2</c:v>
                </c:pt>
                <c:pt idx="22">
                  <c:v>-6.1835539162508057E-3</c:v>
                </c:pt>
                <c:pt idx="23">
                  <c:v>0.15413164501691945</c:v>
                </c:pt>
                <c:pt idx="24">
                  <c:v>-0.12768372268987038</c:v>
                </c:pt>
                <c:pt idx="25">
                  <c:v>2.2335465683616995E-2</c:v>
                </c:pt>
                <c:pt idx="26">
                  <c:v>8.5693074557217086E-2</c:v>
                </c:pt>
                <c:pt idx="27">
                  <c:v>3.1259157956433636E-3</c:v>
                </c:pt>
                <c:pt idx="28">
                  <c:v>-2.9214139643587433E-3</c:v>
                </c:pt>
                <c:pt idx="29">
                  <c:v>5.3130188494970199E-2</c:v>
                </c:pt>
                <c:pt idx="30">
                  <c:v>1.7434851154595199E-2</c:v>
                </c:pt>
                <c:pt idx="31">
                  <c:v>-3.9558836933734409E-2</c:v>
                </c:pt>
                <c:pt idx="32">
                  <c:v>1.4241245136186631E-2</c:v>
                </c:pt>
                <c:pt idx="33">
                  <c:v>3.7690440588900032E-3</c:v>
                </c:pt>
                <c:pt idx="34">
                  <c:v>-4.4931921613373671E-3</c:v>
                </c:pt>
                <c:pt idx="35">
                  <c:v>0.14837056167444196</c:v>
                </c:pt>
                <c:pt idx="36">
                  <c:v>-0.1252983420053313</c:v>
                </c:pt>
                <c:pt idx="37">
                  <c:v>1.1186725086230975E-2</c:v>
                </c:pt>
                <c:pt idx="38">
                  <c:v>5.5222642205217998E-2</c:v>
                </c:pt>
                <c:pt idx="39">
                  <c:v>-8.8764633933251846E-2</c:v>
                </c:pt>
                <c:pt idx="40">
                  <c:v>1.0738255033557076E-2</c:v>
                </c:pt>
                <c:pt idx="41">
                  <c:v>9.8368431037753723E-2</c:v>
                </c:pt>
                <c:pt idx="42">
                  <c:v>1.943172985577335E-2</c:v>
                </c:pt>
                <c:pt idx="43">
                  <c:v>-3.032870213486949E-2</c:v>
                </c:pt>
                <c:pt idx="44">
                  <c:v>4.7352786999825369E-2</c:v>
                </c:pt>
                <c:pt idx="45">
                  <c:v>1.5515515515515554E-2</c:v>
                </c:pt>
                <c:pt idx="46">
                  <c:v>-1.5326918022014246E-2</c:v>
                </c:pt>
                <c:pt idx="47">
                  <c:v>0.18282430330801813</c:v>
                </c:pt>
              </c:numCache>
            </c:numRef>
          </c:val>
          <c:smooth val="0"/>
          <c:extLst>
            <c:ext xmlns:c16="http://schemas.microsoft.com/office/drawing/2014/chart" uri="{C3380CC4-5D6E-409C-BE32-E72D297353CC}">
              <c16:uniqueId val="{00000000-30B8-4E46-A530-3CD293DBF5DC}"/>
            </c:ext>
          </c:extLst>
        </c:ser>
        <c:dLbls>
          <c:showLegendKey val="0"/>
          <c:showVal val="0"/>
          <c:showCatName val="0"/>
          <c:showSerName val="0"/>
          <c:showPercent val="0"/>
          <c:showBubbleSize val="0"/>
        </c:dLbls>
        <c:smooth val="0"/>
        <c:axId val="548123280"/>
        <c:axId val="548122000"/>
      </c:lineChart>
      <c:catAx>
        <c:axId val="548123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548122000"/>
        <c:crosses val="autoZero"/>
        <c:auto val="1"/>
        <c:lblAlgn val="ctr"/>
        <c:lblOffset val="100"/>
        <c:noMultiLvlLbl val="0"/>
      </c:catAx>
      <c:valAx>
        <c:axId val="5481220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54812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a:solidFill>
            <a:sysClr val="windowText" lastClr="000000"/>
          </a:solidFill>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Регресія грн зп в Укр і Києві</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16038407699037621"/>
                  <c:y val="2.1886847477398659E-3"/>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rendlineLbl>
          </c:trendline>
          <c:xVal>
            <c:numRef>
              <c:f>'Прогноз Зарплати 2023'!$B$31:$BE$31</c:f>
              <c:numCache>
                <c:formatCode>_(* #\ ##0_);_(* \(#\ ##0\);_(* "-"??_);_(@_)</c:formatCode>
                <c:ptCount val="56"/>
                <c:pt idx="0">
                  <c:v>6008</c:v>
                </c:pt>
                <c:pt idx="1">
                  <c:v>6209</c:v>
                </c:pt>
                <c:pt idx="2">
                  <c:v>6752</c:v>
                </c:pt>
                <c:pt idx="3">
                  <c:v>6659</c:v>
                </c:pt>
                <c:pt idx="4">
                  <c:v>6840</c:v>
                </c:pt>
                <c:pt idx="5">
                  <c:v>7360</c:v>
                </c:pt>
                <c:pt idx="6">
                  <c:v>7339</c:v>
                </c:pt>
                <c:pt idx="7">
                  <c:v>7114</c:v>
                </c:pt>
                <c:pt idx="8">
                  <c:v>7351</c:v>
                </c:pt>
                <c:pt idx="9">
                  <c:v>7377</c:v>
                </c:pt>
                <c:pt idx="10">
                  <c:v>7479</c:v>
                </c:pt>
                <c:pt idx="11">
                  <c:v>8777</c:v>
                </c:pt>
                <c:pt idx="12">
                  <c:v>7711.47</c:v>
                </c:pt>
                <c:pt idx="13">
                  <c:v>7828.16</c:v>
                </c:pt>
                <c:pt idx="14">
                  <c:v>8381.94</c:v>
                </c:pt>
                <c:pt idx="15">
                  <c:v>8480.24</c:v>
                </c:pt>
                <c:pt idx="16">
                  <c:v>8724.75</c:v>
                </c:pt>
                <c:pt idx="17">
                  <c:v>9141.17</c:v>
                </c:pt>
                <c:pt idx="18">
                  <c:v>9170.2800000000007</c:v>
                </c:pt>
                <c:pt idx="19">
                  <c:v>8977.2800000000007</c:v>
                </c:pt>
                <c:pt idx="20">
                  <c:v>9042</c:v>
                </c:pt>
                <c:pt idx="21">
                  <c:v>9218</c:v>
                </c:pt>
                <c:pt idx="22">
                  <c:v>9161</c:v>
                </c:pt>
                <c:pt idx="23">
                  <c:v>10573</c:v>
                </c:pt>
                <c:pt idx="24">
                  <c:v>9223</c:v>
                </c:pt>
                <c:pt idx="25">
                  <c:v>9429</c:v>
                </c:pt>
                <c:pt idx="26">
                  <c:v>10237</c:v>
                </c:pt>
                <c:pt idx="27">
                  <c:v>10269</c:v>
                </c:pt>
                <c:pt idx="28">
                  <c:v>10239</c:v>
                </c:pt>
                <c:pt idx="29">
                  <c:v>10783</c:v>
                </c:pt>
                <c:pt idx="30">
                  <c:v>10971</c:v>
                </c:pt>
                <c:pt idx="31">
                  <c:v>10537</c:v>
                </c:pt>
                <c:pt idx="32">
                  <c:v>10687.06</c:v>
                </c:pt>
                <c:pt idx="33">
                  <c:v>10727.34</c:v>
                </c:pt>
                <c:pt idx="34">
                  <c:v>10679.14</c:v>
                </c:pt>
                <c:pt idx="35">
                  <c:v>12263.61</c:v>
                </c:pt>
                <c:pt idx="36">
                  <c:v>10727</c:v>
                </c:pt>
                <c:pt idx="37">
                  <c:v>10847</c:v>
                </c:pt>
                <c:pt idx="38">
                  <c:v>11446</c:v>
                </c:pt>
                <c:pt idx="39">
                  <c:v>10430</c:v>
                </c:pt>
                <c:pt idx="40">
                  <c:v>10542</c:v>
                </c:pt>
                <c:pt idx="41">
                  <c:v>11579</c:v>
                </c:pt>
                <c:pt idx="42">
                  <c:v>11804</c:v>
                </c:pt>
                <c:pt idx="43">
                  <c:v>11446</c:v>
                </c:pt>
                <c:pt idx="44">
                  <c:v>11988</c:v>
                </c:pt>
                <c:pt idx="45" formatCode="0">
                  <c:v>12174</c:v>
                </c:pt>
                <c:pt idx="46" formatCode="0">
                  <c:v>11987.410099999999</c:v>
                </c:pt>
                <c:pt idx="47" formatCode="General">
                  <c:v>14179</c:v>
                </c:pt>
                <c:pt idx="48">
                  <c:v>12337</c:v>
                </c:pt>
                <c:pt idx="49">
                  <c:v>12549</c:v>
                </c:pt>
                <c:pt idx="50">
                  <c:v>13612</c:v>
                </c:pt>
                <c:pt idx="51">
                  <c:v>13543</c:v>
                </c:pt>
                <c:pt idx="52">
                  <c:v>13499</c:v>
                </c:pt>
                <c:pt idx="53">
                  <c:v>14313</c:v>
                </c:pt>
                <c:pt idx="54">
                  <c:v>14345</c:v>
                </c:pt>
                <c:pt idx="55">
                  <c:v>13997</c:v>
                </c:pt>
              </c:numCache>
            </c:numRef>
          </c:xVal>
          <c:yVal>
            <c:numRef>
              <c:f>'Прогноз Зарплати 2023'!$B$48:$BE$48</c:f>
              <c:numCache>
                <c:formatCode>General</c:formatCode>
                <c:ptCount val="56"/>
                <c:pt idx="0">
                  <c:v>9292</c:v>
                </c:pt>
                <c:pt idx="1">
                  <c:v>9832</c:v>
                </c:pt>
                <c:pt idx="2">
                  <c:v>11010</c:v>
                </c:pt>
                <c:pt idx="3">
                  <c:v>10788</c:v>
                </c:pt>
                <c:pt idx="4">
                  <c:v>10558</c:v>
                </c:pt>
                <c:pt idx="5">
                  <c:v>11091</c:v>
                </c:pt>
                <c:pt idx="6">
                  <c:v>11412</c:v>
                </c:pt>
                <c:pt idx="7">
                  <c:v>11073</c:v>
                </c:pt>
                <c:pt idx="8">
                  <c:v>11423</c:v>
                </c:pt>
                <c:pt idx="9">
                  <c:v>11454</c:v>
                </c:pt>
                <c:pt idx="10">
                  <c:v>11643</c:v>
                </c:pt>
                <c:pt idx="11">
                  <c:v>14035</c:v>
                </c:pt>
                <c:pt idx="12">
                  <c:v>11668</c:v>
                </c:pt>
                <c:pt idx="13">
                  <c:v>12124</c:v>
                </c:pt>
                <c:pt idx="14">
                  <c:v>13388</c:v>
                </c:pt>
                <c:pt idx="15">
                  <c:v>13150</c:v>
                </c:pt>
                <c:pt idx="16">
                  <c:v>13286</c:v>
                </c:pt>
                <c:pt idx="17">
                  <c:v>13553</c:v>
                </c:pt>
                <c:pt idx="18">
                  <c:v>13836</c:v>
                </c:pt>
                <c:pt idx="19">
                  <c:v>13659</c:v>
                </c:pt>
                <c:pt idx="20">
                  <c:v>13614</c:v>
                </c:pt>
                <c:pt idx="21">
                  <c:v>13850</c:v>
                </c:pt>
                <c:pt idx="22">
                  <c:v>13897</c:v>
                </c:pt>
                <c:pt idx="23">
                  <c:v>16546</c:v>
                </c:pt>
                <c:pt idx="24">
                  <c:v>13721</c:v>
                </c:pt>
                <c:pt idx="25">
                  <c:v>14513</c:v>
                </c:pt>
                <c:pt idx="26">
                  <c:v>16207</c:v>
                </c:pt>
                <c:pt idx="27">
                  <c:v>15876</c:v>
                </c:pt>
                <c:pt idx="28">
                  <c:v>15157</c:v>
                </c:pt>
                <c:pt idx="29">
                  <c:v>15650</c:v>
                </c:pt>
                <c:pt idx="30">
                  <c:v>16249</c:v>
                </c:pt>
                <c:pt idx="31">
                  <c:v>15694</c:v>
                </c:pt>
                <c:pt idx="32">
                  <c:v>15626</c:v>
                </c:pt>
                <c:pt idx="33">
                  <c:v>15862</c:v>
                </c:pt>
                <c:pt idx="34">
                  <c:v>15974</c:v>
                </c:pt>
                <c:pt idx="35">
                  <c:v>18869</c:v>
                </c:pt>
                <c:pt idx="36">
                  <c:v>15787</c:v>
                </c:pt>
                <c:pt idx="37">
                  <c:v>16447</c:v>
                </c:pt>
                <c:pt idx="38">
                  <c:v>17990</c:v>
                </c:pt>
                <c:pt idx="39">
                  <c:v>15278</c:v>
                </c:pt>
                <c:pt idx="40">
                  <c:v>15191</c:v>
                </c:pt>
                <c:pt idx="41">
                  <c:v>16393</c:v>
                </c:pt>
                <c:pt idx="42">
                  <c:v>17053</c:v>
                </c:pt>
                <c:pt idx="43">
                  <c:v>16795</c:v>
                </c:pt>
                <c:pt idx="44">
                  <c:v>17253</c:v>
                </c:pt>
                <c:pt idx="45">
                  <c:v>17494</c:v>
                </c:pt>
                <c:pt idx="46">
                  <c:v>17582</c:v>
                </c:pt>
                <c:pt idx="47">
                  <c:v>21812</c:v>
                </c:pt>
                <c:pt idx="48">
                  <c:v>17533</c:v>
                </c:pt>
                <c:pt idx="49" formatCode="_(* #\ ##0_);_(* \(#\ ##0\);_(* &quot;-&quot;??_);_(@_)">
                  <c:v>18504</c:v>
                </c:pt>
                <c:pt idx="50" formatCode="_(* #\ ##0_);_(* \(#\ ##0\);_(* &quot;-&quot;??_);_(@_)">
                  <c:v>20132</c:v>
                </c:pt>
                <c:pt idx="51" formatCode="_(* #\ ##0_);_(* \(#\ ##0\);_(* &quot;-&quot;??_);_(@_)">
                  <c:v>20422</c:v>
                </c:pt>
                <c:pt idx="52" formatCode="_(* #\ ##0_);_(* \(#\ ##0\);_(* &quot;-&quot;??_);_(@_)">
                  <c:v>19287</c:v>
                </c:pt>
                <c:pt idx="53" formatCode="_(* #\ ##0_);_(* \(#\ ##0\);_(* &quot;-&quot;??_);_(@_)">
                  <c:v>20455</c:v>
                </c:pt>
                <c:pt idx="54" formatCode="_(* #\ ##0_);_(* \(#\ ##0\);_(* &quot;-&quot;??_);_(@_)">
                  <c:v>20956</c:v>
                </c:pt>
                <c:pt idx="55" formatCode="_(* #\ ##0_);_(* \(#\ ##0\);_(* &quot;-&quot;??_);_(@_)">
                  <c:v>20358</c:v>
                </c:pt>
              </c:numCache>
            </c:numRef>
          </c:yVal>
          <c:smooth val="0"/>
          <c:extLst>
            <c:ext xmlns:c16="http://schemas.microsoft.com/office/drawing/2014/chart" uri="{C3380CC4-5D6E-409C-BE32-E72D297353CC}">
              <c16:uniqueId val="{00000002-601E-413D-91EA-D7836F386803}"/>
            </c:ext>
          </c:extLst>
        </c:ser>
        <c:dLbls>
          <c:showLegendKey val="0"/>
          <c:showVal val="0"/>
          <c:showCatName val="0"/>
          <c:showSerName val="0"/>
          <c:showPercent val="0"/>
          <c:showBubbleSize val="0"/>
        </c:dLbls>
        <c:axId val="1499261167"/>
        <c:axId val="1499262831"/>
      </c:scatterChart>
      <c:valAx>
        <c:axId val="1499261167"/>
        <c:scaling>
          <c:orientation val="minMax"/>
        </c:scaling>
        <c:delete val="0"/>
        <c:axPos val="b"/>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262831"/>
        <c:crosses val="autoZero"/>
        <c:crossBetween val="midCat"/>
      </c:valAx>
      <c:valAx>
        <c:axId val="1499262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2611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uk-UA"/>
              <a:t>Регресія </a:t>
            </a:r>
            <a:r>
              <a:rPr lang="en-US"/>
              <a:t>USD</a:t>
            </a:r>
            <a:r>
              <a:rPr lang="uk-UA"/>
              <a:t> зп в Укр і Києві</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20753958880139983"/>
                  <c:y val="-2.4409448818897639E-3"/>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rendlineLbl>
          </c:trendline>
          <c:xVal>
            <c:numRef>
              <c:f>'Прогноз Зарплати 2023'!$B$46:$BE$46</c:f>
              <c:numCache>
                <c:formatCode>_(* #\ ##0_);_(* \(#\ ##0\);_(* "-"??_);_(@_)</c:formatCode>
                <c:ptCount val="56"/>
                <c:pt idx="0">
                  <c:v>221.28414716451314</c:v>
                </c:pt>
                <c:pt idx="1">
                  <c:v>229.72667570666297</c:v>
                </c:pt>
                <c:pt idx="2">
                  <c:v>250.05960377908121</c:v>
                </c:pt>
                <c:pt idx="3">
                  <c:v>247.94440442296315</c:v>
                </c:pt>
                <c:pt idx="4">
                  <c:v>258.85859330866435</c:v>
                </c:pt>
                <c:pt idx="5">
                  <c:v>281.89666330933443</c:v>
                </c:pt>
                <c:pt idx="6">
                  <c:v>282.60275391116312</c:v>
                </c:pt>
                <c:pt idx="7">
                  <c:v>277.50827692149477</c:v>
                </c:pt>
                <c:pt idx="8">
                  <c:v>281.55466018713815</c:v>
                </c:pt>
                <c:pt idx="9">
                  <c:v>276.75881968372681</c:v>
                </c:pt>
                <c:pt idx="10">
                  <c:v>280.05703377656954</c:v>
                </c:pt>
                <c:pt idx="11">
                  <c:v>318.97216102344254</c:v>
                </c:pt>
                <c:pt idx="12">
                  <c:v>271.20281632043213</c:v>
                </c:pt>
                <c:pt idx="13">
                  <c:v>288.10664935370164</c:v>
                </c:pt>
                <c:pt idx="14">
                  <c:v>318.2064025589483</c:v>
                </c:pt>
                <c:pt idx="15">
                  <c:v>324.27047768457891</c:v>
                </c:pt>
                <c:pt idx="16">
                  <c:v>333.24453457573924</c:v>
                </c:pt>
                <c:pt idx="17">
                  <c:v>348.87071708922053</c:v>
                </c:pt>
                <c:pt idx="18">
                  <c:v>347.35005955288688</c:v>
                </c:pt>
                <c:pt idx="19">
                  <c:v>326.65787489872628</c:v>
                </c:pt>
                <c:pt idx="20">
                  <c:v>320.73761924264335</c:v>
                </c:pt>
                <c:pt idx="21">
                  <c:v>327.72335024168359</c:v>
                </c:pt>
                <c:pt idx="22">
                  <c:v>327.95749233670392</c:v>
                </c:pt>
                <c:pt idx="23">
                  <c:v>380.4723892474583</c:v>
                </c:pt>
                <c:pt idx="24">
                  <c:v>330.82040627098911</c:v>
                </c:pt>
                <c:pt idx="25">
                  <c:v>335.26114757887473</c:v>
                </c:pt>
                <c:pt idx="26">
                  <c:v>381.07420188018102</c:v>
                </c:pt>
                <c:pt idx="27">
                  <c:v>383.00735878763174</c:v>
                </c:pt>
                <c:pt idx="28">
                  <c:v>388.15190537089643</c:v>
                </c:pt>
                <c:pt idx="29">
                  <c:v>406.9039616172974</c:v>
                </c:pt>
                <c:pt idx="30">
                  <c:v>426.03582743831959</c:v>
                </c:pt>
                <c:pt idx="31">
                  <c:v>417.35668931454512</c:v>
                </c:pt>
                <c:pt idx="32">
                  <c:v>431.45656076307404</c:v>
                </c:pt>
                <c:pt idx="33">
                  <c:v>432.41094405698499</c:v>
                </c:pt>
                <c:pt idx="34">
                  <c:v>438.25307618279879</c:v>
                </c:pt>
                <c:pt idx="35">
                  <c:v>519.43682400599153</c:v>
                </c:pt>
                <c:pt idx="36">
                  <c:v>444.74661558734994</c:v>
                </c:pt>
                <c:pt idx="37">
                  <c:v>440.99727014974906</c:v>
                </c:pt>
                <c:pt idx="38">
                  <c:v>433.35880615710346</c:v>
                </c:pt>
                <c:pt idx="39">
                  <c:v>383.10864319545681</c:v>
                </c:pt>
                <c:pt idx="40">
                  <c:v>393.14800632593904</c:v>
                </c:pt>
                <c:pt idx="41">
                  <c:v>433.55117188119181</c:v>
                </c:pt>
                <c:pt idx="42">
                  <c:v>432.17770680927566</c:v>
                </c:pt>
                <c:pt idx="43">
                  <c:v>415.8942477647908</c:v>
                </c:pt>
                <c:pt idx="44">
                  <c:v>428.70052507589355</c:v>
                </c:pt>
                <c:pt idx="45">
                  <c:v>433.23843416370107</c:v>
                </c:pt>
                <c:pt idx="46">
                  <c:v>426.59822419928821</c:v>
                </c:pt>
                <c:pt idx="47">
                  <c:v>502.80141843971631</c:v>
                </c:pt>
                <c:pt idx="48">
                  <c:v>437.17576638387527</c:v>
                </c:pt>
                <c:pt idx="49">
                  <c:v>450.03237186855824</c:v>
                </c:pt>
                <c:pt idx="50">
                  <c:v>489.71853590437973</c:v>
                </c:pt>
                <c:pt idx="51">
                  <c:v>484.89079842463303</c:v>
                </c:pt>
                <c:pt idx="52">
                  <c:v>489.09420289855069</c:v>
                </c:pt>
                <c:pt idx="53">
                  <c:v>525.44297195704064</c:v>
                </c:pt>
                <c:pt idx="54">
                  <c:v>527.10777323798527</c:v>
                </c:pt>
                <c:pt idx="55">
                  <c:v>523.05680119581461</c:v>
                </c:pt>
              </c:numCache>
            </c:numRef>
          </c:xVal>
          <c:yVal>
            <c:numRef>
              <c:f>'Прогноз Зарплати 2023'!$B$50:$BE$50</c:f>
              <c:numCache>
                <c:formatCode>_(* #\ ##0_);_(* \(#\ ##0\);_(* "-"??_);_(@_)</c:formatCode>
                <c:ptCount val="56"/>
                <c:pt idx="0">
                  <c:v>342.23906382367778</c:v>
                </c:pt>
                <c:pt idx="1">
                  <c:v>363.77398543210023</c:v>
                </c:pt>
                <c:pt idx="2">
                  <c:v>407.75418211014278</c:v>
                </c:pt>
                <c:pt idx="3">
                  <c:v>401.68557364693294</c:v>
                </c:pt>
                <c:pt idx="4">
                  <c:v>399.56564739077169</c:v>
                </c:pt>
                <c:pt idx="5">
                  <c:v>424.79835499508533</c:v>
                </c:pt>
                <c:pt idx="6">
                  <c:v>439.44169881921152</c:v>
                </c:pt>
                <c:pt idx="7">
                  <c:v>431.94393454480064</c:v>
                </c:pt>
                <c:pt idx="8">
                  <c:v>437.5185530292041</c:v>
                </c:pt>
                <c:pt idx="9">
                  <c:v>429.71336866712852</c:v>
                </c:pt>
                <c:pt idx="10">
                  <c:v>435.9812868378927</c:v>
                </c:pt>
                <c:pt idx="11">
                  <c:v>510.05745470707717</c:v>
                </c:pt>
                <c:pt idx="12">
                  <c:v>410.34905936569839</c:v>
                </c:pt>
                <c:pt idx="13">
                  <c:v>446.21022267867278</c:v>
                </c:pt>
                <c:pt idx="14">
                  <c:v>508.25313918486643</c:v>
                </c:pt>
                <c:pt idx="15">
                  <c:v>502.834445906273</c:v>
                </c:pt>
                <c:pt idx="16">
                  <c:v>507.46289422313203</c:v>
                </c:pt>
                <c:pt idx="17">
                  <c:v>517.24722641742869</c:v>
                </c:pt>
                <c:pt idx="18">
                  <c:v>524.07728269733775</c:v>
                </c:pt>
                <c:pt idx="19">
                  <c:v>497.012448452282</c:v>
                </c:pt>
                <c:pt idx="20">
                  <c:v>482.91549970906283</c:v>
                </c:pt>
                <c:pt idx="21">
                  <c:v>492.4027338736513</c:v>
                </c:pt>
                <c:pt idx="22">
                  <c:v>497.50303143796248</c:v>
                </c:pt>
                <c:pt idx="23">
                  <c:v>595.41248013699476</c:v>
                </c:pt>
                <c:pt idx="24">
                  <c:v>492.15947028561652</c:v>
                </c:pt>
                <c:pt idx="25">
                  <c:v>516.02980536771759</c:v>
                </c:pt>
                <c:pt idx="26">
                  <c:v>603.30854643666055</c:v>
                </c:pt>
                <c:pt idx="27">
                  <c:v>592.13407616247366</c:v>
                </c:pt>
                <c:pt idx="28">
                  <c:v>574.58916199889416</c:v>
                </c:pt>
                <c:pt idx="29">
                  <c:v>590.56357222579095</c:v>
                </c:pt>
                <c:pt idx="30">
                  <c:v>630.99591286530438</c:v>
                </c:pt>
                <c:pt idx="31">
                  <c:v>621.61866585389305</c:v>
                </c:pt>
                <c:pt idx="32">
                  <c:v>630.85078763324941</c:v>
                </c:pt>
                <c:pt idx="33">
                  <c:v>639.38519657546942</c:v>
                </c:pt>
                <c:pt idx="34">
                  <c:v>655.54479470669253</c:v>
                </c:pt>
                <c:pt idx="35">
                  <c:v>799.21437750948166</c:v>
                </c:pt>
                <c:pt idx="36">
                  <c:v>654.536666381793</c:v>
                </c:pt>
                <c:pt idx="37">
                  <c:v>668.67171588023621</c:v>
                </c:pt>
                <c:pt idx="38">
                  <c:v>681.1222193575303</c:v>
                </c:pt>
                <c:pt idx="39">
                  <c:v>561.18253602494622</c:v>
                </c:pt>
                <c:pt idx="40">
                  <c:v>566.52545665882565</c:v>
                </c:pt>
                <c:pt idx="41">
                  <c:v>613.80122295952822</c:v>
                </c:pt>
                <c:pt idx="42">
                  <c:v>624.35838988635862</c:v>
                </c:pt>
                <c:pt idx="43">
                  <c:v>610.25195624756793</c:v>
                </c:pt>
                <c:pt idx="44">
                  <c:v>616.98116108895488</c:v>
                </c:pt>
                <c:pt idx="45">
                  <c:v>622.56227758007117</c:v>
                </c:pt>
                <c:pt idx="46">
                  <c:v>625.6939501779359</c:v>
                </c:pt>
                <c:pt idx="47">
                  <c:v>773.47517730496452</c:v>
                </c:pt>
                <c:pt idx="48">
                  <c:v>621.30199497515491</c:v>
                </c:pt>
                <c:pt idx="49">
                  <c:v>663.59064539451765</c:v>
                </c:pt>
                <c:pt idx="50">
                  <c:v>724.28839001079734</c:v>
                </c:pt>
                <c:pt idx="51">
                  <c:v>731.18510562119582</c:v>
                </c:pt>
                <c:pt idx="52">
                  <c:v>698.80434782608688</c:v>
                </c:pt>
                <c:pt idx="53">
                  <c:v>750.92125979048888</c:v>
                </c:pt>
                <c:pt idx="54">
                  <c:v>770.02931306902894</c:v>
                </c:pt>
                <c:pt idx="55">
                  <c:v>760.76233183856493</c:v>
                </c:pt>
              </c:numCache>
            </c:numRef>
          </c:yVal>
          <c:smooth val="0"/>
          <c:extLst>
            <c:ext xmlns:c16="http://schemas.microsoft.com/office/drawing/2014/chart" uri="{C3380CC4-5D6E-409C-BE32-E72D297353CC}">
              <c16:uniqueId val="{00000002-609C-4252-AF22-1A1DE9CC1044}"/>
            </c:ext>
          </c:extLst>
        </c:ser>
        <c:dLbls>
          <c:showLegendKey val="0"/>
          <c:showVal val="0"/>
          <c:showCatName val="0"/>
          <c:showSerName val="0"/>
          <c:showPercent val="0"/>
          <c:showBubbleSize val="0"/>
        </c:dLbls>
        <c:axId val="1499261167"/>
        <c:axId val="1499262831"/>
      </c:scatterChart>
      <c:valAx>
        <c:axId val="1499261167"/>
        <c:scaling>
          <c:orientation val="minMax"/>
        </c:scaling>
        <c:delete val="0"/>
        <c:axPos val="b"/>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262831"/>
        <c:crosses val="autoZero"/>
        <c:crossBetween val="midCat"/>
      </c:valAx>
      <c:valAx>
        <c:axId val="1499262831"/>
        <c:scaling>
          <c:orientation val="minMax"/>
        </c:scaling>
        <c:delete val="0"/>
        <c:axPos val="l"/>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2611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'Прогноз Зарплати 2023'!$A$68</c:f>
              <c:strCache>
                <c:ptCount val="1"/>
                <c:pt idx="0">
                  <c:v>2021F</c:v>
                </c:pt>
              </c:strCache>
            </c:strRef>
          </c:tx>
          <c:spPr>
            <a:ln w="28575" cap="rnd">
              <a:solidFill>
                <a:schemeClr val="accent1"/>
              </a:solidFill>
              <a:round/>
            </a:ln>
            <a:effectLst/>
          </c:spPr>
          <c:marker>
            <c:symbol val="none"/>
          </c:marker>
          <c:val>
            <c:numRef>
              <c:f>'Прогноз Зарплати 2023'!$B$68:$M$68</c:f>
              <c:numCache>
                <c:formatCode>0.0%</c:formatCode>
                <c:ptCount val="12"/>
                <c:pt idx="0">
                  <c:v>-0.1299104309189647</c:v>
                </c:pt>
                <c:pt idx="1">
                  <c:v>1.7184080408527258E-2</c:v>
                </c:pt>
                <c:pt idx="2">
                  <c:v>8.4707944856163842E-2</c:v>
                </c:pt>
                <c:pt idx="3">
                  <c:v>-5.0690567146635113E-3</c:v>
                </c:pt>
                <c:pt idx="4">
                  <c:v>-3.2489108764675034E-3</c:v>
                </c:pt>
                <c:pt idx="5">
                  <c:v>6.030076301948295E-2</c:v>
                </c:pt>
                <c:pt idx="6">
                  <c:v>2.2357297561657052E-3</c:v>
                </c:pt>
                <c:pt idx="7">
                  <c:v>-2.4259323806204214E-2</c:v>
                </c:pt>
                <c:pt idx="8">
                  <c:v>1.0725277875714312E-2</c:v>
                </c:pt>
                <c:pt idx="9">
                  <c:v>1.1616882126768591E-2</c:v>
                </c:pt>
                <c:pt idx="10">
                  <c:v>-5.3383730387940864E-3</c:v>
                </c:pt>
                <c:pt idx="11">
                  <c:v>0.1512511033456807</c:v>
                </c:pt>
              </c:numCache>
            </c:numRef>
          </c:val>
          <c:smooth val="0"/>
          <c:extLst>
            <c:ext xmlns:c16="http://schemas.microsoft.com/office/drawing/2014/chart" uri="{C3380CC4-5D6E-409C-BE32-E72D297353CC}">
              <c16:uniqueId val="{00000000-D3DB-487B-9E6A-CAB8F75A55BB}"/>
            </c:ext>
          </c:extLst>
        </c:ser>
        <c:dLbls>
          <c:showLegendKey val="0"/>
          <c:showVal val="0"/>
          <c:showCatName val="0"/>
          <c:showSerName val="0"/>
          <c:showPercent val="0"/>
          <c:showBubbleSize val="0"/>
        </c:dLbls>
        <c:smooth val="0"/>
        <c:axId val="1112053776"/>
        <c:axId val="1112054608"/>
      </c:lineChart>
      <c:catAx>
        <c:axId val="11120537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054608"/>
        <c:crosses val="autoZero"/>
        <c:auto val="1"/>
        <c:lblAlgn val="ctr"/>
        <c:lblOffset val="100"/>
        <c:noMultiLvlLbl val="0"/>
      </c:catAx>
      <c:valAx>
        <c:axId val="11120546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05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ysClr val="windowText" lastClr="000000"/>
                </a:solidFill>
                <a:latin typeface="+mn-lt"/>
                <a:ea typeface="+mn-ea"/>
                <a:cs typeface="+mn-cs"/>
              </a:defRPr>
            </a:pPr>
            <a:r>
              <a:rPr lang="ru-RU" sz="2400" b="1" i="0" kern="1200" spc="0" baseline="0">
                <a:solidFill>
                  <a:srgbClr val="4CA2C1"/>
                </a:solidFill>
                <a:effectLst/>
              </a:rPr>
              <a:t>Прогноз середньої зарплати в Україні у 2023 році, грн, дол.</a:t>
            </a:r>
            <a:endParaRPr lang="ru-RU" sz="2000">
              <a:effectLst/>
            </a:endParaRPr>
          </a:p>
        </c:rich>
      </c:tx>
      <c:layout>
        <c:manualLayout>
          <c:xMode val="edge"/>
          <c:yMode val="edge"/>
          <c:x val="1.7966071920725291E-2"/>
          <c:y val="2.3320985453030341E-2"/>
        </c:manualLayout>
      </c:layout>
      <c:overlay val="0"/>
      <c:spPr>
        <a:noFill/>
        <a:ln>
          <a:noFill/>
        </a:ln>
        <a:effectLst/>
      </c:spPr>
      <c:txPr>
        <a:bodyPr rot="0" spcFirstLastPara="1" vertOverflow="ellipsis" vert="horz" wrap="square" anchor="ctr" anchorCtr="1"/>
        <a:lstStyle/>
        <a:p>
          <a:pPr>
            <a:defRPr sz="168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1"/>
          <c:order val="1"/>
          <c:tx>
            <c:strRef>
              <c:f>'Прогноз Зарплати 2023'!$A$148</c:f>
              <c:strCache>
                <c:ptCount val="1"/>
                <c:pt idx="0">
                  <c:v>USD (сценарій 1)</c:v>
                </c:pt>
              </c:strCache>
            </c:strRef>
          </c:tx>
          <c:spPr>
            <a:solidFill>
              <a:schemeClr val="accent5">
                <a:lumMod val="40000"/>
                <a:lumOff val="60000"/>
              </a:schemeClr>
            </a:solidFill>
            <a:ln>
              <a:noFill/>
            </a:ln>
            <a:effectLst/>
          </c:spPr>
          <c:invertIfNegative val="0"/>
          <c:dLbls>
            <c:dLbl>
              <c:idx val="1"/>
              <c:layout>
                <c:manualLayout>
                  <c:x val="-5.7704929553413159E-3"/>
                  <c:y val="-1.930550938194551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F9F-4E6F-A334-3E50361A13F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2023'!$AK$115:$BS$116</c:f>
              <c:multiLvlStrCache>
                <c:ptCount val="14"/>
                <c:lvl>
                  <c:pt idx="0">
                    <c:v>12</c:v>
                  </c:pt>
                  <c:pt idx="13">
                    <c:v> 535 </c:v>
                  </c:pt>
                </c:lvl>
                <c:lvl>
                  <c:pt idx="0">
                    <c:v>2022</c:v>
                  </c:pt>
                </c:lvl>
              </c:multiLvlStrCache>
            </c:multiLvlStrRef>
          </c:cat>
          <c:val>
            <c:numRef>
              <c:f>'Прогноз Зарплати 2023'!$AK$131:$AW$131</c:f>
              <c:numCache>
                <c:formatCode>_(* #\ ##0_);_(* \(#\ ##0\);_(* "-"??_);_(@_)</c:formatCode>
                <c:ptCount val="13"/>
                <c:pt idx="0">
                  <c:v>456.62913717005983</c:v>
                </c:pt>
                <c:pt idx="1">
                  <c:v>417.86300161192986</c:v>
                </c:pt>
                <c:pt idx="2">
                  <c:v>422.25887911052553</c:v>
                </c:pt>
                <c:pt idx="3">
                  <c:v>426.1588801839747</c:v>
                </c:pt>
                <c:pt idx="4">
                  <c:v>463.13311048283276</c:v>
                </c:pt>
                <c:pt idx="5">
                  <c:v>469.07700312251023</c:v>
                </c:pt>
                <c:pt idx="6">
                  <c:v>476.80983432364405</c:v>
                </c:pt>
                <c:pt idx="7">
                  <c:v>479.03418102269615</c:v>
                </c:pt>
                <c:pt idx="8">
                  <c:v>476.88460486737767</c:v>
                </c:pt>
                <c:pt idx="9">
                  <c:v>485.52502050861364</c:v>
                </c:pt>
                <c:pt idx="10">
                  <c:v>491.90158004571197</c:v>
                </c:pt>
                <c:pt idx="11">
                  <c:v>489.28477469184526</c:v>
                </c:pt>
                <c:pt idx="12">
                  <c:v>535.24038449333057</c:v>
                </c:pt>
              </c:numCache>
            </c:numRef>
          </c:val>
          <c:extLst>
            <c:ext xmlns:c16="http://schemas.microsoft.com/office/drawing/2014/chart" uri="{C3380CC4-5D6E-409C-BE32-E72D297353CC}">
              <c16:uniqueId val="{00000000-81C5-4D15-9FBD-DFA3D359F778}"/>
            </c:ext>
          </c:extLst>
        </c:ser>
        <c:ser>
          <c:idx val="2"/>
          <c:order val="2"/>
          <c:tx>
            <c:strRef>
              <c:f>'Прогноз Зарплати 2023'!$A$132</c:f>
              <c:strCache>
                <c:ptCount val="1"/>
                <c:pt idx="0">
                  <c:v>USD (сценарій 2)</c:v>
                </c:pt>
              </c:strCache>
            </c:strRef>
          </c:tx>
          <c:spPr>
            <a:solidFill>
              <a:schemeClr val="accent2">
                <a:lumMod val="60000"/>
                <a:lumOff val="40000"/>
              </a:schemeClr>
            </a:solidFill>
            <a:ln>
              <a:noFill/>
            </a:ln>
            <a:effectLst/>
          </c:spPr>
          <c:invertIfNegative val="0"/>
          <c:dLbls>
            <c:dLbl>
              <c:idx val="1"/>
              <c:layout>
                <c:manualLayout>
                  <c:x val="2.8852464776706358E-3"/>
                  <c:y val="-7.0786050007310136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F9F-4E6F-A334-3E50361A13F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2023'!$AK$115:$BS$116</c:f>
              <c:multiLvlStrCache>
                <c:ptCount val="14"/>
                <c:lvl>
                  <c:pt idx="0">
                    <c:v>12</c:v>
                  </c:pt>
                  <c:pt idx="13">
                    <c:v> 535 </c:v>
                  </c:pt>
                </c:lvl>
                <c:lvl>
                  <c:pt idx="0">
                    <c:v>2022</c:v>
                  </c:pt>
                </c:lvl>
              </c:multiLvlStrCache>
            </c:multiLvlStrRef>
          </c:cat>
          <c:val>
            <c:numRef>
              <c:f>'Прогноз Зарплати 2023'!$AK$132:$AW$132</c:f>
              <c:numCache>
                <c:formatCode>_-* #\ ##0\ _₴_-;\-* #\ ##0\ _₴_-;_-* "-"?\ _₴_-;_-@_-</c:formatCode>
                <c:ptCount val="13"/>
                <c:pt idx="1">
                  <c:v>417.86300161192986</c:v>
                </c:pt>
                <c:pt idx="2">
                  <c:v>422.25887911052553</c:v>
                </c:pt>
                <c:pt idx="3">
                  <c:v>426.1588801839747</c:v>
                </c:pt>
                <c:pt idx="4">
                  <c:v>463.13311048283276</c:v>
                </c:pt>
                <c:pt idx="5">
                  <c:v>469.07700312251023</c:v>
                </c:pt>
                <c:pt idx="6">
                  <c:v>476.80983432364405</c:v>
                </c:pt>
                <c:pt idx="7">
                  <c:v>456.27075585940645</c:v>
                </c:pt>
                <c:pt idx="8">
                  <c:v>445.27284868919793</c:v>
                </c:pt>
                <c:pt idx="9">
                  <c:v>450.35166776776026</c:v>
                </c:pt>
                <c:pt idx="10">
                  <c:v>447.82503126516718</c:v>
                </c:pt>
                <c:pt idx="11">
                  <c:v>442.2095693878191</c:v>
                </c:pt>
                <c:pt idx="12">
                  <c:v>482.60636073389554</c:v>
                </c:pt>
              </c:numCache>
            </c:numRef>
          </c:val>
          <c:extLst>
            <c:ext xmlns:c16="http://schemas.microsoft.com/office/drawing/2014/chart" uri="{C3380CC4-5D6E-409C-BE32-E72D297353CC}">
              <c16:uniqueId val="{00000003-81C5-4D15-9FBD-DFA3D359F778}"/>
            </c:ext>
          </c:extLst>
        </c:ser>
        <c:dLbls>
          <c:showLegendKey val="0"/>
          <c:showVal val="0"/>
          <c:showCatName val="0"/>
          <c:showSerName val="0"/>
          <c:showPercent val="0"/>
          <c:showBubbleSize val="0"/>
        </c:dLbls>
        <c:gapWidth val="150"/>
        <c:axId val="554919048"/>
        <c:axId val="554922248"/>
      </c:barChart>
      <c:lineChart>
        <c:grouping val="standard"/>
        <c:varyColors val="0"/>
        <c:ser>
          <c:idx val="0"/>
          <c:order val="0"/>
          <c:tx>
            <c:strRef>
              <c:f>'Прогноз Зарплати 2023'!$A$143</c:f>
              <c:strCache>
                <c:ptCount val="1"/>
                <c:pt idx="0">
                  <c:v>UAH</c:v>
                </c:pt>
              </c:strCache>
            </c:strRef>
          </c:tx>
          <c:spPr>
            <a:ln w="28575" cap="rnd">
              <a:solidFill>
                <a:schemeClr val="accent5"/>
              </a:solidFill>
              <a:round/>
            </a:ln>
            <a:effectLst/>
          </c:spPr>
          <c:marker>
            <c:symbol val="none"/>
          </c:marker>
          <c:dLbls>
            <c:dLbl>
              <c:idx val="2"/>
              <c:layout>
                <c:manualLayout>
                  <c:x val="-3.087456061520422E-2"/>
                  <c:y val="-3.96390751414508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F9F-4E6F-A334-3E50361A13F9}"/>
                </c:ext>
              </c:extLst>
            </c:dLbl>
            <c:dLbl>
              <c:idx val="5"/>
              <c:layout>
                <c:manualLayout>
                  <c:x val="-2.9631481325677611E-2"/>
                  <c:y val="-4.15696260796454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9F-4E6F-A334-3E50361A13F9}"/>
                </c:ext>
              </c:extLst>
            </c:dLbl>
            <c:dLbl>
              <c:idx val="11"/>
              <c:layout>
                <c:manualLayout>
                  <c:x val="-3.5246160227810484E-2"/>
                  <c:y val="2.26758100455409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F9F-4E6F-A334-3E50361A13F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2023'!$AK$115:$BS$116</c:f>
              <c:multiLvlStrCache>
                <c:ptCount val="14"/>
                <c:lvl>
                  <c:pt idx="0">
                    <c:v>12</c:v>
                  </c:pt>
                  <c:pt idx="13">
                    <c:v> 535 </c:v>
                  </c:pt>
                </c:lvl>
                <c:lvl>
                  <c:pt idx="0">
                    <c:v>2022</c:v>
                  </c:pt>
                </c:lvl>
              </c:multiLvlStrCache>
            </c:multiLvlStrRef>
          </c:cat>
          <c:val>
            <c:numRef>
              <c:f>'Прогноз Зарплати 2023'!$AK$129:$AW$129</c:f>
              <c:numCache>
                <c:formatCode>_(* #\ ##0_);_(* \(#\ ##0\);_(* "-"??_);_(@_)</c:formatCode>
                <c:ptCount val="13"/>
                <c:pt idx="0">
                  <c:v>16698.927546309089</c:v>
                </c:pt>
                <c:pt idx="1">
                  <c:v>15281.249968948276</c:v>
                </c:pt>
                <c:pt idx="2">
                  <c:v>15442.007209071919</c:v>
                </c:pt>
                <c:pt idx="3">
                  <c:v>15584.630248327954</c:v>
                </c:pt>
                <c:pt idx="4">
                  <c:v>16936.777850357194</c:v>
                </c:pt>
                <c:pt idx="5">
                  <c:v>17154.146004190199</c:v>
                </c:pt>
                <c:pt idx="6">
                  <c:v>17436.935641215663</c:v>
                </c:pt>
                <c:pt idx="7">
                  <c:v>17518.28</c:v>
                </c:pt>
                <c:pt idx="8">
                  <c:v>17439.670000000002</c:v>
                </c:pt>
                <c:pt idx="9">
                  <c:v>17755.650000000001</c:v>
                </c:pt>
                <c:pt idx="10">
                  <c:v>17963.73</c:v>
                </c:pt>
                <c:pt idx="11">
                  <c:v>17810.099999999999</c:v>
                </c:pt>
                <c:pt idx="12">
                  <c:v>19654.830000000002</c:v>
                </c:pt>
              </c:numCache>
            </c:numRef>
          </c:val>
          <c:smooth val="0"/>
          <c:extLst>
            <c:ext xmlns:c16="http://schemas.microsoft.com/office/drawing/2014/chart" uri="{C3380CC4-5D6E-409C-BE32-E72D297353CC}">
              <c16:uniqueId val="{00000002-81C5-4D15-9FBD-DFA3D359F778}"/>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19000"/>
          <c:min val="800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750"/>
          <c:min val="3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0.22923230255315533"/>
          <c:y val="0.10527263863597912"/>
          <c:w val="0.56846383192083727"/>
          <c:h val="4.52712784335120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400" b="1" i="0" u="none" strike="noStrike" kern="1200" spc="0" baseline="0">
                <a:solidFill>
                  <a:sysClr val="windowText" lastClr="000000"/>
                </a:solidFill>
                <a:latin typeface="+mn-lt"/>
                <a:ea typeface="+mn-ea"/>
                <a:cs typeface="+mn-cs"/>
              </a:defRPr>
            </a:pPr>
            <a:r>
              <a:rPr lang="ru-RU" sz="2400" b="1" i="0" kern="1200" spc="0" baseline="0">
                <a:solidFill>
                  <a:srgbClr val="4CA2C1"/>
                </a:solidFill>
                <a:effectLst/>
              </a:rPr>
              <a:t>Середня зарплата в Україні в 2021/23 роках, грн, долл.</a:t>
            </a:r>
            <a:endParaRPr lang="ru-RU" sz="2400">
              <a:effectLst/>
            </a:endParaRPr>
          </a:p>
        </c:rich>
      </c:tx>
      <c:layout>
        <c:manualLayout>
          <c:xMode val="edge"/>
          <c:yMode val="edge"/>
          <c:x val="1.7966071920725291E-2"/>
          <c:y val="2.3320985453030341E-2"/>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1"/>
          <c:order val="1"/>
          <c:tx>
            <c:strRef>
              <c:f>'Прогноз Зарплати 2023'!$A$150</c:f>
              <c:strCache>
                <c:ptCount val="1"/>
                <c:pt idx="0">
                  <c:v>USD </c:v>
                </c:pt>
              </c:strCache>
            </c:strRef>
          </c:tx>
          <c:spPr>
            <a:solidFill>
              <a:schemeClr val="accent5">
                <a:lumMod val="40000"/>
                <a:lumOff val="60000"/>
              </a:schemeClr>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0-9558-49DA-B837-0C7A7F2F6B30}"/>
                </c:ext>
              </c:extLst>
            </c:dLbl>
            <c:dLbl>
              <c:idx val="3"/>
              <c:delete val="1"/>
              <c:extLst>
                <c:ext xmlns:c15="http://schemas.microsoft.com/office/drawing/2012/chart" uri="{CE6537A1-D6FC-4f65-9D91-7224C49458BB}"/>
                <c:ext xmlns:c16="http://schemas.microsoft.com/office/drawing/2014/chart" uri="{C3380CC4-5D6E-409C-BE32-E72D297353CC}">
                  <c16:uniqueId val="{00000001-9558-49DA-B837-0C7A7F2F6B30}"/>
                </c:ext>
              </c:extLst>
            </c:dLbl>
            <c:dLbl>
              <c:idx val="5"/>
              <c:delete val="1"/>
              <c:extLst>
                <c:ext xmlns:c15="http://schemas.microsoft.com/office/drawing/2012/chart" uri="{CE6537A1-D6FC-4f65-9D91-7224C49458BB}"/>
                <c:ext xmlns:c16="http://schemas.microsoft.com/office/drawing/2014/chart" uri="{C3380CC4-5D6E-409C-BE32-E72D297353CC}">
                  <c16:uniqueId val="{00000002-9558-49DA-B837-0C7A7F2F6B30}"/>
                </c:ext>
              </c:extLst>
            </c:dLbl>
            <c:dLbl>
              <c:idx val="7"/>
              <c:delete val="1"/>
              <c:extLst>
                <c:ext xmlns:c15="http://schemas.microsoft.com/office/drawing/2012/chart" uri="{CE6537A1-D6FC-4f65-9D91-7224C49458BB}"/>
                <c:ext xmlns:c16="http://schemas.microsoft.com/office/drawing/2014/chart" uri="{C3380CC4-5D6E-409C-BE32-E72D297353CC}">
                  <c16:uniqueId val="{00000003-9558-49DA-B837-0C7A7F2F6B30}"/>
                </c:ext>
              </c:extLst>
            </c:dLbl>
            <c:dLbl>
              <c:idx val="9"/>
              <c:delete val="1"/>
              <c:extLst>
                <c:ext xmlns:c15="http://schemas.microsoft.com/office/drawing/2012/chart" uri="{CE6537A1-D6FC-4f65-9D91-7224C49458BB}"/>
                <c:ext xmlns:c16="http://schemas.microsoft.com/office/drawing/2014/chart" uri="{C3380CC4-5D6E-409C-BE32-E72D297353CC}">
                  <c16:uniqueId val="{00000004-9558-49DA-B837-0C7A7F2F6B30}"/>
                </c:ext>
              </c:extLst>
            </c:dLbl>
            <c:dLbl>
              <c:idx val="12"/>
              <c:delete val="1"/>
              <c:extLst>
                <c:ext xmlns:c15="http://schemas.microsoft.com/office/drawing/2012/chart" uri="{CE6537A1-D6FC-4f65-9D91-7224C49458BB}"/>
                <c:ext xmlns:c16="http://schemas.microsoft.com/office/drawing/2014/chart" uri="{C3380CC4-5D6E-409C-BE32-E72D297353CC}">
                  <c16:uniqueId val="{00000009-9558-49DA-B837-0C7A7F2F6B30}"/>
                </c:ext>
              </c:extLst>
            </c:dLbl>
            <c:dLbl>
              <c:idx val="14"/>
              <c:delete val="1"/>
              <c:extLst>
                <c:ext xmlns:c15="http://schemas.microsoft.com/office/drawing/2012/chart" uri="{CE6537A1-D6FC-4f65-9D91-7224C49458BB}"/>
                <c:ext xmlns:c16="http://schemas.microsoft.com/office/drawing/2014/chart" uri="{C3380CC4-5D6E-409C-BE32-E72D297353CC}">
                  <c16:uniqueId val="{0000000A-9558-49DA-B837-0C7A7F2F6B30}"/>
                </c:ext>
              </c:extLst>
            </c:dLbl>
            <c:dLbl>
              <c:idx val="16"/>
              <c:delete val="1"/>
              <c:extLst>
                <c:ext xmlns:c15="http://schemas.microsoft.com/office/drawing/2012/chart" uri="{CE6537A1-D6FC-4f65-9D91-7224C49458BB}"/>
                <c:ext xmlns:c16="http://schemas.microsoft.com/office/drawing/2014/chart" uri="{C3380CC4-5D6E-409C-BE32-E72D297353CC}">
                  <c16:uniqueId val="{0000000B-9558-49DA-B837-0C7A7F2F6B30}"/>
                </c:ext>
              </c:extLst>
            </c:dLbl>
            <c:dLbl>
              <c:idx val="19"/>
              <c:delete val="1"/>
              <c:extLst>
                <c:ext xmlns:c15="http://schemas.microsoft.com/office/drawing/2012/chart" uri="{CE6537A1-D6FC-4f65-9D91-7224C49458BB}"/>
                <c:ext xmlns:c16="http://schemas.microsoft.com/office/drawing/2014/chart" uri="{C3380CC4-5D6E-409C-BE32-E72D297353CC}">
                  <c16:uniqueId val="{0000000C-9558-49DA-B837-0C7A7F2F6B30}"/>
                </c:ext>
              </c:extLst>
            </c:dLbl>
            <c:dLbl>
              <c:idx val="21"/>
              <c:delete val="1"/>
              <c:extLst>
                <c:ext xmlns:c15="http://schemas.microsoft.com/office/drawing/2012/chart" uri="{CE6537A1-D6FC-4f65-9D91-7224C49458BB}"/>
                <c:ext xmlns:c16="http://schemas.microsoft.com/office/drawing/2014/chart" uri="{C3380CC4-5D6E-409C-BE32-E72D297353CC}">
                  <c16:uniqueId val="{0000000D-9558-49DA-B837-0C7A7F2F6B30}"/>
                </c:ext>
              </c:extLst>
            </c:dLbl>
            <c:dLbl>
              <c:idx val="24"/>
              <c:delete val="1"/>
              <c:extLst>
                <c:ext xmlns:c15="http://schemas.microsoft.com/office/drawing/2012/chart" uri="{CE6537A1-D6FC-4f65-9D91-7224C49458BB}"/>
                <c:ext xmlns:c16="http://schemas.microsoft.com/office/drawing/2014/chart" uri="{C3380CC4-5D6E-409C-BE32-E72D297353CC}">
                  <c16:uniqueId val="{00000000-A1A4-48D5-A33A-67A776D11D16}"/>
                </c:ext>
              </c:extLst>
            </c:dLbl>
            <c:dLbl>
              <c:idx val="27"/>
              <c:delete val="1"/>
              <c:extLst>
                <c:ext xmlns:c15="http://schemas.microsoft.com/office/drawing/2012/chart" uri="{CE6537A1-D6FC-4f65-9D91-7224C49458BB}"/>
                <c:ext xmlns:c16="http://schemas.microsoft.com/office/drawing/2014/chart" uri="{C3380CC4-5D6E-409C-BE32-E72D297353CC}">
                  <c16:uniqueId val="{0000000E-9558-49DA-B837-0C7A7F2F6B30}"/>
                </c:ext>
              </c:extLst>
            </c:dLbl>
            <c:dLbl>
              <c:idx val="29"/>
              <c:delete val="1"/>
              <c:extLst>
                <c:ext xmlns:c15="http://schemas.microsoft.com/office/drawing/2012/chart" uri="{CE6537A1-D6FC-4f65-9D91-7224C49458BB}"/>
                <c:ext xmlns:c16="http://schemas.microsoft.com/office/drawing/2014/chart" uri="{C3380CC4-5D6E-409C-BE32-E72D297353CC}">
                  <c16:uniqueId val="{0000000F-9558-49DA-B837-0C7A7F2F6B30}"/>
                </c:ext>
              </c:extLst>
            </c:dLbl>
            <c:dLbl>
              <c:idx val="31"/>
              <c:delete val="1"/>
              <c:extLst>
                <c:ext xmlns:c15="http://schemas.microsoft.com/office/drawing/2012/chart" uri="{CE6537A1-D6FC-4f65-9D91-7224C49458BB}"/>
                <c:ext xmlns:c16="http://schemas.microsoft.com/office/drawing/2014/chart" uri="{C3380CC4-5D6E-409C-BE32-E72D297353CC}">
                  <c16:uniqueId val="{00000010-9558-49DA-B837-0C7A7F2F6B30}"/>
                </c:ext>
              </c:extLst>
            </c:dLbl>
            <c:dLbl>
              <c:idx val="33"/>
              <c:delete val="1"/>
              <c:extLst>
                <c:ext xmlns:c15="http://schemas.microsoft.com/office/drawing/2012/chart" uri="{CE6537A1-D6FC-4f65-9D91-7224C49458BB}"/>
                <c:ext xmlns:c16="http://schemas.microsoft.com/office/drawing/2014/chart" uri="{C3380CC4-5D6E-409C-BE32-E72D297353CC}">
                  <c16:uniqueId val="{00000011-9558-49DA-B837-0C7A7F2F6B3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2023'!$N$131:$AW$131</c:f>
              <c:numCache>
                <c:formatCode>_(* #\ ##0_);_(* \(#\ ##0\);_(* "-"??_);_(@_)</c:formatCode>
                <c:ptCount val="36"/>
                <c:pt idx="0">
                  <c:v>437.17576638387527</c:v>
                </c:pt>
                <c:pt idx="1">
                  <c:v>450.03237186855824</c:v>
                </c:pt>
                <c:pt idx="2">
                  <c:v>489.71853590437973</c:v>
                </c:pt>
                <c:pt idx="3">
                  <c:v>484.89079842463303</c:v>
                </c:pt>
                <c:pt idx="4">
                  <c:v>489.09420289855069</c:v>
                </c:pt>
                <c:pt idx="5">
                  <c:v>525.44297195704064</c:v>
                </c:pt>
                <c:pt idx="6">
                  <c:v>527.10777323798527</c:v>
                </c:pt>
                <c:pt idx="7">
                  <c:v>523.05680119581461</c:v>
                </c:pt>
                <c:pt idx="8">
                  <c:v>532.66221927987112</c:v>
                </c:pt>
                <c:pt idx="9">
                  <c:v>532.61281759575274</c:v>
                </c:pt>
                <c:pt idx="10">
                  <c:v>539.96219281663514</c:v>
                </c:pt>
                <c:pt idx="11">
                  <c:v>641.41859610437336</c:v>
                </c:pt>
                <c:pt idx="12">
                  <c:v>520.97927090779126</c:v>
                </c:pt>
                <c:pt idx="13">
                  <c:v>509.07429880100358</c:v>
                </c:pt>
                <c:pt idx="14">
                  <c:v>505.2105484476819</c:v>
                </c:pt>
                <c:pt idx="15">
                  <c:v>471.7244754514366</c:v>
                </c:pt>
                <c:pt idx="16">
                  <c:v>466.3658097443041</c:v>
                </c:pt>
                <c:pt idx="17">
                  <c:v>469.36083438424225</c:v>
                </c:pt>
                <c:pt idx="18">
                  <c:v>397.43643831285976</c:v>
                </c:pt>
                <c:pt idx="19">
                  <c:v>401.43916096836119</c:v>
                </c:pt>
                <c:pt idx="20">
                  <c:v>400.40795106389305</c:v>
                </c:pt>
                <c:pt idx="21">
                  <c:v>445.3256342741177</c:v>
                </c:pt>
                <c:pt idx="22">
                  <c:v>449.74106509284508</c:v>
                </c:pt>
                <c:pt idx="23">
                  <c:v>456.62913717005983</c:v>
                </c:pt>
                <c:pt idx="24">
                  <c:v>417.86300161192986</c:v>
                </c:pt>
                <c:pt idx="25">
                  <c:v>422.25887911052553</c:v>
                </c:pt>
                <c:pt idx="26">
                  <c:v>426.1588801839747</c:v>
                </c:pt>
                <c:pt idx="27">
                  <c:v>463.13311048283276</c:v>
                </c:pt>
                <c:pt idx="28">
                  <c:v>469.07700312251023</c:v>
                </c:pt>
                <c:pt idx="29">
                  <c:v>476.80983432364405</c:v>
                </c:pt>
                <c:pt idx="30">
                  <c:v>479.03418102269615</c:v>
                </c:pt>
                <c:pt idx="31">
                  <c:v>476.88460486737767</c:v>
                </c:pt>
                <c:pt idx="32">
                  <c:v>485.52502050861364</c:v>
                </c:pt>
                <c:pt idx="33">
                  <c:v>491.90158004571197</c:v>
                </c:pt>
                <c:pt idx="34">
                  <c:v>489.28477469184526</c:v>
                </c:pt>
                <c:pt idx="35">
                  <c:v>535.24038449333057</c:v>
                </c:pt>
              </c:numCache>
            </c:numRef>
          </c:val>
          <c:extLst>
            <c:ext xmlns:c16="http://schemas.microsoft.com/office/drawing/2014/chart" uri="{C3380CC4-5D6E-409C-BE32-E72D297353CC}">
              <c16:uniqueId val="{00000001-ECA1-42DE-A2E0-3DB7EEAA6B3B}"/>
            </c:ext>
          </c:extLst>
        </c:ser>
        <c:dLbls>
          <c:showLegendKey val="0"/>
          <c:showVal val="0"/>
          <c:showCatName val="0"/>
          <c:showSerName val="0"/>
          <c:showPercent val="0"/>
          <c:showBubbleSize val="0"/>
        </c:dLbls>
        <c:gapWidth val="150"/>
        <c:axId val="554919048"/>
        <c:axId val="554922248"/>
        <c:extLst>
          <c:ext xmlns:c15="http://schemas.microsoft.com/office/drawing/2012/chart" uri="{02D57815-91ED-43cb-92C2-25804820EDAC}">
            <c15:filteredBarSeries>
              <c15:ser>
                <c:idx val="2"/>
                <c:order val="2"/>
                <c:tx>
                  <c:strRef>
                    <c:extLst>
                      <c:ext uri="{02D57815-91ED-43cb-92C2-25804820EDAC}">
                        <c15:formulaRef>
                          <c15:sqref>'Прогноз Зарплати 2023'!$A$132</c15:sqref>
                        </c15:formulaRef>
                      </c:ext>
                    </c:extLst>
                    <c:strCache>
                      <c:ptCount val="1"/>
                      <c:pt idx="0">
                        <c:v>USD (сценарій 2)</c:v>
                      </c:pt>
                    </c:strCache>
                  </c:strRef>
                </c:tx>
                <c:spPr>
                  <a:solidFill>
                    <a:schemeClr val="accent2">
                      <a:lumMod val="60000"/>
                      <a:lumOff val="40000"/>
                    </a:schemeClr>
                  </a:solidFill>
                  <a:ln>
                    <a:noFill/>
                  </a:ln>
                  <a:effectLst/>
                </c:spPr>
                <c:invertIfNegative val="0"/>
                <c:dLbls>
                  <c:dLbl>
                    <c:idx val="0"/>
                    <c:layout>
                      <c:manualLayout>
                        <c:x val="2.8852464776706358E-3"/>
                        <c:y val="-7.0786050007310136E-17"/>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2-ECA1-42DE-A2E0-3DB7EEAA6B3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'Прогноз Зарплати 2023'!$N$127:$AW$128</c15:sqref>
                        </c15:formulaRef>
                      </c:ext>
                    </c:extLst>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extLst>
                      <c:ext uri="{02D57815-91ED-43cb-92C2-25804820EDAC}">
                        <c15:formulaRef>
                          <c15:sqref>'Прогноз Зарплати 2023'!$AL$132:$AW$132</c15:sqref>
                        </c15:formulaRef>
                      </c:ext>
                    </c:extLst>
                    <c:numCache>
                      <c:formatCode>_-* #\ ##0\ _₴_-;\-* #\ ##0\ _₴_-;_-* "-"?\ _₴_-;_-@_-</c:formatCode>
                      <c:ptCount val="12"/>
                      <c:pt idx="0">
                        <c:v>417.86300161192986</c:v>
                      </c:pt>
                      <c:pt idx="1">
                        <c:v>422.25887911052553</c:v>
                      </c:pt>
                      <c:pt idx="2">
                        <c:v>426.1588801839747</c:v>
                      </c:pt>
                      <c:pt idx="3">
                        <c:v>463.13311048283276</c:v>
                      </c:pt>
                      <c:pt idx="4">
                        <c:v>469.07700312251023</c:v>
                      </c:pt>
                      <c:pt idx="5">
                        <c:v>476.80983432364405</c:v>
                      </c:pt>
                      <c:pt idx="6">
                        <c:v>456.27075585940645</c:v>
                      </c:pt>
                      <c:pt idx="7">
                        <c:v>445.27284868919793</c:v>
                      </c:pt>
                      <c:pt idx="8">
                        <c:v>450.35166776776026</c:v>
                      </c:pt>
                      <c:pt idx="9">
                        <c:v>447.82503126516718</c:v>
                      </c:pt>
                      <c:pt idx="10">
                        <c:v>442.2095693878191</c:v>
                      </c:pt>
                      <c:pt idx="11">
                        <c:v>482.60636073389554</c:v>
                      </c:pt>
                    </c:numCache>
                  </c:numRef>
                </c:val>
                <c:extLst>
                  <c:ext xmlns:c16="http://schemas.microsoft.com/office/drawing/2014/chart" uri="{C3380CC4-5D6E-409C-BE32-E72D297353CC}">
                    <c16:uniqueId val="{00000003-ECA1-42DE-A2E0-3DB7EEAA6B3B}"/>
                  </c:ext>
                </c:extLst>
              </c15:ser>
            </c15:filteredBarSeries>
          </c:ext>
        </c:extLst>
      </c:barChart>
      <c:lineChart>
        <c:grouping val="standard"/>
        <c:varyColors val="0"/>
        <c:ser>
          <c:idx val="0"/>
          <c:order val="0"/>
          <c:tx>
            <c:strRef>
              <c:f>'Прогноз Зарплати 2023'!$A$143</c:f>
              <c:strCache>
                <c:ptCount val="1"/>
                <c:pt idx="0">
                  <c:v>UAH</c:v>
                </c:pt>
              </c:strCache>
            </c:strRef>
          </c:tx>
          <c:spPr>
            <a:ln w="28575" cap="rnd">
              <a:solidFill>
                <a:schemeClr val="accent5"/>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4-ECA1-42DE-A2E0-3DB7EEAA6B3B}"/>
                </c:ext>
              </c:extLst>
            </c:dLbl>
            <c:dLbl>
              <c:idx val="3"/>
              <c:delete val="1"/>
              <c:extLst>
                <c:ext xmlns:c15="http://schemas.microsoft.com/office/drawing/2012/chart" uri="{CE6537A1-D6FC-4f65-9D91-7224C49458BB}"/>
                <c:ext xmlns:c16="http://schemas.microsoft.com/office/drawing/2014/chart" uri="{C3380CC4-5D6E-409C-BE32-E72D297353CC}">
                  <c16:uniqueId val="{0000000A-ECA1-42DE-A2E0-3DB7EEAA6B3B}"/>
                </c:ext>
              </c:extLst>
            </c:dLbl>
            <c:dLbl>
              <c:idx val="4"/>
              <c:delete val="1"/>
              <c:extLst>
                <c:ext xmlns:c15="http://schemas.microsoft.com/office/drawing/2012/chart" uri="{CE6537A1-D6FC-4f65-9D91-7224C49458BB}"/>
                <c:ext xmlns:c16="http://schemas.microsoft.com/office/drawing/2014/chart" uri="{C3380CC4-5D6E-409C-BE32-E72D297353CC}">
                  <c16:uniqueId val="{00000005-ECA1-42DE-A2E0-3DB7EEAA6B3B}"/>
                </c:ext>
              </c:extLst>
            </c:dLbl>
            <c:dLbl>
              <c:idx val="6"/>
              <c:delete val="1"/>
              <c:extLst>
                <c:ext xmlns:c15="http://schemas.microsoft.com/office/drawing/2012/chart" uri="{CE6537A1-D6FC-4f65-9D91-7224C49458BB}"/>
                <c:ext xmlns:c16="http://schemas.microsoft.com/office/drawing/2014/chart" uri="{C3380CC4-5D6E-409C-BE32-E72D297353CC}">
                  <c16:uniqueId val="{0000000B-ECA1-42DE-A2E0-3DB7EEAA6B3B}"/>
                </c:ext>
              </c:extLst>
            </c:dLbl>
            <c:dLbl>
              <c:idx val="7"/>
              <c:delete val="1"/>
              <c:extLst>
                <c:ext xmlns:c15="http://schemas.microsoft.com/office/drawing/2012/chart" uri="{CE6537A1-D6FC-4f65-9D91-7224C49458BB}"/>
                <c:ext xmlns:c16="http://schemas.microsoft.com/office/drawing/2014/chart" uri="{C3380CC4-5D6E-409C-BE32-E72D297353CC}">
                  <c16:uniqueId val="{00000009-ECA1-42DE-A2E0-3DB7EEAA6B3B}"/>
                </c:ext>
              </c:extLst>
            </c:dLbl>
            <c:dLbl>
              <c:idx val="9"/>
              <c:delete val="1"/>
              <c:extLst>
                <c:ext xmlns:c15="http://schemas.microsoft.com/office/drawing/2012/chart" uri="{CE6537A1-D6FC-4f65-9D91-7224C49458BB}"/>
                <c:ext xmlns:c16="http://schemas.microsoft.com/office/drawing/2014/chart" uri="{C3380CC4-5D6E-409C-BE32-E72D297353CC}">
                  <c16:uniqueId val="{00000008-ECA1-42DE-A2E0-3DB7EEAA6B3B}"/>
                </c:ext>
              </c:extLst>
            </c:dLbl>
            <c:dLbl>
              <c:idx val="10"/>
              <c:delete val="1"/>
              <c:extLst>
                <c:ext xmlns:c15="http://schemas.microsoft.com/office/drawing/2012/chart" uri="{CE6537A1-D6FC-4f65-9D91-7224C49458BB}"/>
                <c:ext xmlns:c16="http://schemas.microsoft.com/office/drawing/2014/chart" uri="{C3380CC4-5D6E-409C-BE32-E72D297353CC}">
                  <c16:uniqueId val="{00000005-9558-49DA-B837-0C7A7F2F6B30}"/>
                </c:ext>
              </c:extLst>
            </c:dLbl>
            <c:dLbl>
              <c:idx val="12"/>
              <c:delete val="1"/>
              <c:extLst>
                <c:ext xmlns:c15="http://schemas.microsoft.com/office/drawing/2012/chart" uri="{CE6537A1-D6FC-4f65-9D91-7224C49458BB}"/>
                <c:ext xmlns:c16="http://schemas.microsoft.com/office/drawing/2014/chart" uri="{C3380CC4-5D6E-409C-BE32-E72D297353CC}">
                  <c16:uniqueId val="{0000000C-ECA1-42DE-A2E0-3DB7EEAA6B3B}"/>
                </c:ext>
              </c:extLst>
            </c:dLbl>
            <c:dLbl>
              <c:idx val="14"/>
              <c:delete val="1"/>
              <c:extLst>
                <c:ext xmlns:c15="http://schemas.microsoft.com/office/drawing/2012/chart" uri="{CE6537A1-D6FC-4f65-9D91-7224C49458BB}"/>
                <c:ext xmlns:c16="http://schemas.microsoft.com/office/drawing/2014/chart" uri="{C3380CC4-5D6E-409C-BE32-E72D297353CC}">
                  <c16:uniqueId val="{0000000F-ECA1-42DE-A2E0-3DB7EEAA6B3B}"/>
                </c:ext>
              </c:extLst>
            </c:dLbl>
            <c:dLbl>
              <c:idx val="15"/>
              <c:delete val="1"/>
              <c:extLst>
                <c:ext xmlns:c15="http://schemas.microsoft.com/office/drawing/2012/chart" uri="{CE6537A1-D6FC-4f65-9D91-7224C49458BB}"/>
                <c:ext xmlns:c16="http://schemas.microsoft.com/office/drawing/2014/chart" uri="{C3380CC4-5D6E-409C-BE32-E72D297353CC}">
                  <c16:uniqueId val="{0000000E-ECA1-42DE-A2E0-3DB7EEAA6B3B}"/>
                </c:ext>
              </c:extLst>
            </c:dLbl>
            <c:dLbl>
              <c:idx val="16"/>
              <c:delete val="1"/>
              <c:extLst>
                <c:ext xmlns:c15="http://schemas.microsoft.com/office/drawing/2012/chart" uri="{CE6537A1-D6FC-4f65-9D91-7224C49458BB}"/>
                <c:ext xmlns:c16="http://schemas.microsoft.com/office/drawing/2014/chart" uri="{C3380CC4-5D6E-409C-BE32-E72D297353CC}">
                  <c16:uniqueId val="{0000000D-ECA1-42DE-A2E0-3DB7EEAA6B3B}"/>
                </c:ext>
              </c:extLst>
            </c:dLbl>
            <c:dLbl>
              <c:idx val="18"/>
              <c:delete val="1"/>
              <c:extLst>
                <c:ext xmlns:c15="http://schemas.microsoft.com/office/drawing/2012/chart" uri="{CE6537A1-D6FC-4f65-9D91-7224C49458BB}"/>
                <c:ext xmlns:c16="http://schemas.microsoft.com/office/drawing/2014/chart" uri="{C3380CC4-5D6E-409C-BE32-E72D297353CC}">
                  <c16:uniqueId val="{00000010-ECA1-42DE-A2E0-3DB7EEAA6B3B}"/>
                </c:ext>
              </c:extLst>
            </c:dLbl>
            <c:dLbl>
              <c:idx val="19"/>
              <c:delete val="1"/>
              <c:extLst>
                <c:ext xmlns:c15="http://schemas.microsoft.com/office/drawing/2012/chart" uri="{CE6537A1-D6FC-4f65-9D91-7224C49458BB}"/>
                <c:ext xmlns:c16="http://schemas.microsoft.com/office/drawing/2014/chart" uri="{C3380CC4-5D6E-409C-BE32-E72D297353CC}">
                  <c16:uniqueId val="{00000012-ECA1-42DE-A2E0-3DB7EEAA6B3B}"/>
                </c:ext>
              </c:extLst>
            </c:dLbl>
            <c:dLbl>
              <c:idx val="21"/>
              <c:delete val="1"/>
              <c:extLst>
                <c:ext xmlns:c15="http://schemas.microsoft.com/office/drawing/2012/chart" uri="{CE6537A1-D6FC-4f65-9D91-7224C49458BB}"/>
                <c:ext xmlns:c16="http://schemas.microsoft.com/office/drawing/2014/chart" uri="{C3380CC4-5D6E-409C-BE32-E72D297353CC}">
                  <c16:uniqueId val="{00000011-ECA1-42DE-A2E0-3DB7EEAA6B3B}"/>
                </c:ext>
              </c:extLst>
            </c:dLbl>
            <c:dLbl>
              <c:idx val="22"/>
              <c:delete val="1"/>
              <c:extLst>
                <c:ext xmlns:c15="http://schemas.microsoft.com/office/drawing/2012/chart" uri="{CE6537A1-D6FC-4f65-9D91-7224C49458BB}"/>
                <c:ext xmlns:c16="http://schemas.microsoft.com/office/drawing/2014/chart" uri="{C3380CC4-5D6E-409C-BE32-E72D297353CC}">
                  <c16:uniqueId val="{00000019-ECA1-42DE-A2E0-3DB7EEAA6B3B}"/>
                </c:ext>
              </c:extLst>
            </c:dLbl>
            <c:dLbl>
              <c:idx val="24"/>
              <c:delete val="1"/>
              <c:extLst>
                <c:ext xmlns:c15="http://schemas.microsoft.com/office/drawing/2012/chart" uri="{CE6537A1-D6FC-4f65-9D91-7224C49458BB}"/>
                <c:ext xmlns:c16="http://schemas.microsoft.com/office/drawing/2014/chart" uri="{C3380CC4-5D6E-409C-BE32-E72D297353CC}">
                  <c16:uniqueId val="{00000013-ECA1-42DE-A2E0-3DB7EEAA6B3B}"/>
                </c:ext>
              </c:extLst>
            </c:dLbl>
            <c:dLbl>
              <c:idx val="25"/>
              <c:delete val="1"/>
              <c:extLst>
                <c:ext xmlns:c15="http://schemas.microsoft.com/office/drawing/2012/chart" uri="{CE6537A1-D6FC-4f65-9D91-7224C49458BB}"/>
                <c:ext xmlns:c16="http://schemas.microsoft.com/office/drawing/2014/chart" uri="{C3380CC4-5D6E-409C-BE32-E72D297353CC}">
                  <c16:uniqueId val="{00000001-A1A4-48D5-A33A-67A776D11D16}"/>
                </c:ext>
              </c:extLst>
            </c:dLbl>
            <c:dLbl>
              <c:idx val="27"/>
              <c:delete val="1"/>
              <c:extLst>
                <c:ext xmlns:c15="http://schemas.microsoft.com/office/drawing/2012/chart" uri="{CE6537A1-D6FC-4f65-9D91-7224C49458BB}"/>
                <c:ext xmlns:c16="http://schemas.microsoft.com/office/drawing/2014/chart" uri="{C3380CC4-5D6E-409C-BE32-E72D297353CC}">
                  <c16:uniqueId val="{00000014-ECA1-42DE-A2E0-3DB7EEAA6B3B}"/>
                </c:ext>
              </c:extLst>
            </c:dLbl>
            <c:dLbl>
              <c:idx val="28"/>
              <c:delete val="1"/>
              <c:extLst>
                <c:ext xmlns:c15="http://schemas.microsoft.com/office/drawing/2012/chart" uri="{CE6537A1-D6FC-4f65-9D91-7224C49458BB}"/>
                <c:ext xmlns:c16="http://schemas.microsoft.com/office/drawing/2014/chart" uri="{C3380CC4-5D6E-409C-BE32-E72D297353CC}">
                  <c16:uniqueId val="{00000002-A1A4-48D5-A33A-67A776D11D16}"/>
                </c:ext>
              </c:extLst>
            </c:dLbl>
            <c:dLbl>
              <c:idx val="30"/>
              <c:delete val="1"/>
              <c:extLst>
                <c:ext xmlns:c15="http://schemas.microsoft.com/office/drawing/2012/chart" uri="{CE6537A1-D6FC-4f65-9D91-7224C49458BB}"/>
                <c:ext xmlns:c16="http://schemas.microsoft.com/office/drawing/2014/chart" uri="{C3380CC4-5D6E-409C-BE32-E72D297353CC}">
                  <c16:uniqueId val="{00000015-ECA1-42DE-A2E0-3DB7EEAA6B3B}"/>
                </c:ext>
              </c:extLst>
            </c:dLbl>
            <c:dLbl>
              <c:idx val="31"/>
              <c:delete val="1"/>
              <c:extLst>
                <c:ext xmlns:c15="http://schemas.microsoft.com/office/drawing/2012/chart" uri="{CE6537A1-D6FC-4f65-9D91-7224C49458BB}"/>
                <c:ext xmlns:c16="http://schemas.microsoft.com/office/drawing/2014/chart" uri="{C3380CC4-5D6E-409C-BE32-E72D297353CC}">
                  <c16:uniqueId val="{00000018-ECA1-42DE-A2E0-3DB7EEAA6B3B}"/>
                </c:ext>
              </c:extLst>
            </c:dLbl>
            <c:dLbl>
              <c:idx val="32"/>
              <c:layout>
                <c:manualLayout>
                  <c:x val="-1.0686810718933468E-2"/>
                  <c:y val="-3.33787605549215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CA1-42DE-A2E0-3DB7EEAA6B3B}"/>
                </c:ext>
              </c:extLst>
            </c:dLbl>
            <c:dLbl>
              <c:idx val="33"/>
              <c:delete val="1"/>
              <c:extLst>
                <c:ext xmlns:c15="http://schemas.microsoft.com/office/drawing/2012/chart" uri="{CE6537A1-D6FC-4f65-9D91-7224C49458BB}"/>
                <c:ext xmlns:c16="http://schemas.microsoft.com/office/drawing/2014/chart" uri="{C3380CC4-5D6E-409C-BE32-E72D297353CC}">
                  <c16:uniqueId val="{00000016-ECA1-42DE-A2E0-3DB7EEAA6B3B}"/>
                </c:ext>
              </c:extLst>
            </c:dLbl>
            <c:dLbl>
              <c:idx val="34"/>
              <c:delete val="1"/>
              <c:extLst>
                <c:ext xmlns:c15="http://schemas.microsoft.com/office/drawing/2012/chart" uri="{CE6537A1-D6FC-4f65-9D91-7224C49458BB}"/>
                <c:ext xmlns:c16="http://schemas.microsoft.com/office/drawing/2014/chart" uri="{C3380CC4-5D6E-409C-BE32-E72D297353CC}">
                  <c16:uniqueId val="{00000003-A1A4-48D5-A33A-67A776D11D16}"/>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2023'!$N$129:$AW$129</c:f>
              <c:numCache>
                <c:formatCode>_(* #\ ##0_);_(* \(#\ ##0\);_(* "-"??_);_(@_)</c:formatCode>
                <c:ptCount val="36"/>
                <c:pt idx="0">
                  <c:v>12337</c:v>
                </c:pt>
                <c:pt idx="1">
                  <c:v>12549</c:v>
                </c:pt>
                <c:pt idx="2">
                  <c:v>13612</c:v>
                </c:pt>
                <c:pt idx="3">
                  <c:v>13543</c:v>
                </c:pt>
                <c:pt idx="4">
                  <c:v>13499</c:v>
                </c:pt>
                <c:pt idx="5">
                  <c:v>14313</c:v>
                </c:pt>
                <c:pt idx="6">
                  <c:v>14345</c:v>
                </c:pt>
                <c:pt idx="7">
                  <c:v>13997</c:v>
                </c:pt>
                <c:pt idx="8">
                  <c:v>14239</c:v>
                </c:pt>
                <c:pt idx="9">
                  <c:v>14045</c:v>
                </c:pt>
                <c:pt idx="10">
                  <c:v>14282</c:v>
                </c:pt>
                <c:pt idx="11">
                  <c:v>17453</c:v>
                </c:pt>
                <c:pt idx="12">
                  <c:v>14577</c:v>
                </c:pt>
                <c:pt idx="13">
                  <c:v>14462.800828936512</c:v>
                </c:pt>
                <c:pt idx="14">
                  <c:v>14777.408542094696</c:v>
                </c:pt>
                <c:pt idx="15">
                  <c:v>13797.94090695452</c:v>
                </c:pt>
                <c:pt idx="16">
                  <c:v>13641.199935020895</c:v>
                </c:pt>
                <c:pt idx="17">
                  <c:v>13728.804405739085</c:v>
                </c:pt>
                <c:pt idx="18">
                  <c:v>14534.250549101282</c:v>
                </c:pt>
                <c:pt idx="19">
                  <c:v>14680.630116612969</c:v>
                </c:pt>
                <c:pt idx="20">
                  <c:v>14642.918770406568</c:v>
                </c:pt>
                <c:pt idx="21">
                  <c:v>16285.558445404484</c:v>
                </c:pt>
                <c:pt idx="22">
                  <c:v>16447.030750445345</c:v>
                </c:pt>
                <c:pt idx="23">
                  <c:v>16698.927546309089</c:v>
                </c:pt>
                <c:pt idx="24">
                  <c:v>15281.249968948276</c:v>
                </c:pt>
                <c:pt idx="25">
                  <c:v>15442.007209071919</c:v>
                </c:pt>
                <c:pt idx="26">
                  <c:v>15584.630248327954</c:v>
                </c:pt>
                <c:pt idx="27">
                  <c:v>16936.777850357194</c:v>
                </c:pt>
                <c:pt idx="28">
                  <c:v>17154.146004190199</c:v>
                </c:pt>
                <c:pt idx="29">
                  <c:v>17436.935641215663</c:v>
                </c:pt>
                <c:pt idx="30">
                  <c:v>17518.28</c:v>
                </c:pt>
                <c:pt idx="31">
                  <c:v>17439.670000000002</c:v>
                </c:pt>
                <c:pt idx="32">
                  <c:v>17755.650000000001</c:v>
                </c:pt>
                <c:pt idx="33">
                  <c:v>17963.73</c:v>
                </c:pt>
                <c:pt idx="34">
                  <c:v>17810.099999999999</c:v>
                </c:pt>
                <c:pt idx="35">
                  <c:v>19654.830000000002</c:v>
                </c:pt>
              </c:numCache>
            </c:numRef>
          </c:val>
          <c:smooth val="0"/>
          <c:extLst>
            <c:ext xmlns:c16="http://schemas.microsoft.com/office/drawing/2014/chart" uri="{C3380CC4-5D6E-409C-BE32-E72D297353CC}">
              <c16:uniqueId val="{00000007-ECA1-42DE-A2E0-3DB7EEAA6B3B}"/>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19000"/>
          <c:min val="800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900"/>
          <c:min val="3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0.22923230255315533"/>
          <c:y val="0.10527263863597912"/>
          <c:w val="0.56846383192083727"/>
          <c:h val="4.52712784335120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400" b="1" i="0" u="none" strike="noStrike" kern="1200" spc="0" baseline="0">
                <a:solidFill>
                  <a:sysClr val="windowText" lastClr="000000"/>
                </a:solidFill>
                <a:latin typeface="+mn-lt"/>
                <a:ea typeface="+mn-ea"/>
                <a:cs typeface="+mn-cs"/>
              </a:defRPr>
            </a:pPr>
            <a:r>
              <a:rPr lang="ru-RU" sz="2400" b="1" i="0" kern="1200" spc="0" baseline="0">
                <a:solidFill>
                  <a:srgbClr val="4CA2C1"/>
                </a:solidFill>
                <a:effectLst/>
              </a:rPr>
              <a:t>Середня зарплата в Києві в 2021/23 роках, грн, долл.</a:t>
            </a:r>
            <a:endParaRPr lang="ru-RU" sz="2400">
              <a:effectLst/>
            </a:endParaRPr>
          </a:p>
        </c:rich>
      </c:tx>
      <c:layout>
        <c:manualLayout>
          <c:xMode val="edge"/>
          <c:yMode val="edge"/>
          <c:x val="1.7966071920725291E-2"/>
          <c:y val="2.3320985453030341E-2"/>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1"/>
          <c:order val="1"/>
          <c:tx>
            <c:strRef>
              <c:f>'Прогноз Зарплати 2023'!$A$150</c:f>
              <c:strCache>
                <c:ptCount val="1"/>
                <c:pt idx="0">
                  <c:v>USD </c:v>
                </c:pt>
              </c:strCache>
            </c:strRef>
          </c:tx>
          <c:spPr>
            <a:solidFill>
              <a:schemeClr val="accent1">
                <a:lumMod val="60000"/>
                <a:lumOff val="40000"/>
              </a:schemeClr>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21-26BC-4888-B681-CF34B6C420B1}"/>
                </c:ext>
              </c:extLst>
            </c:dLbl>
            <c:dLbl>
              <c:idx val="3"/>
              <c:delete val="1"/>
              <c:extLst>
                <c:ext xmlns:c15="http://schemas.microsoft.com/office/drawing/2012/chart" uri="{CE6537A1-D6FC-4f65-9D91-7224C49458BB}"/>
                <c:ext xmlns:c16="http://schemas.microsoft.com/office/drawing/2014/chart" uri="{C3380CC4-5D6E-409C-BE32-E72D297353CC}">
                  <c16:uniqueId val="{00000022-26BC-4888-B681-CF34B6C420B1}"/>
                </c:ext>
              </c:extLst>
            </c:dLbl>
            <c:dLbl>
              <c:idx val="5"/>
              <c:delete val="1"/>
              <c:extLst>
                <c:ext xmlns:c15="http://schemas.microsoft.com/office/drawing/2012/chart" uri="{CE6537A1-D6FC-4f65-9D91-7224C49458BB}"/>
                <c:ext xmlns:c16="http://schemas.microsoft.com/office/drawing/2014/chart" uri="{C3380CC4-5D6E-409C-BE32-E72D297353CC}">
                  <c16:uniqueId val="{00000023-26BC-4888-B681-CF34B6C420B1}"/>
                </c:ext>
              </c:extLst>
            </c:dLbl>
            <c:dLbl>
              <c:idx val="7"/>
              <c:delete val="1"/>
              <c:extLst>
                <c:ext xmlns:c15="http://schemas.microsoft.com/office/drawing/2012/chart" uri="{CE6537A1-D6FC-4f65-9D91-7224C49458BB}"/>
                <c:ext xmlns:c16="http://schemas.microsoft.com/office/drawing/2014/chart" uri="{C3380CC4-5D6E-409C-BE32-E72D297353CC}">
                  <c16:uniqueId val="{00000025-26BC-4888-B681-CF34B6C420B1}"/>
                </c:ext>
              </c:extLst>
            </c:dLbl>
            <c:dLbl>
              <c:idx val="9"/>
              <c:delete val="1"/>
              <c:extLst>
                <c:ext xmlns:c15="http://schemas.microsoft.com/office/drawing/2012/chart" uri="{CE6537A1-D6FC-4f65-9D91-7224C49458BB}"/>
                <c:ext xmlns:c16="http://schemas.microsoft.com/office/drawing/2014/chart" uri="{C3380CC4-5D6E-409C-BE32-E72D297353CC}">
                  <c16:uniqueId val="{00000026-26BC-4888-B681-CF34B6C420B1}"/>
                </c:ext>
              </c:extLst>
            </c:dLbl>
            <c:dLbl>
              <c:idx val="13"/>
              <c:delete val="1"/>
              <c:extLst>
                <c:ext xmlns:c15="http://schemas.microsoft.com/office/drawing/2012/chart" uri="{CE6537A1-D6FC-4f65-9D91-7224C49458BB}"/>
                <c:ext xmlns:c16="http://schemas.microsoft.com/office/drawing/2014/chart" uri="{C3380CC4-5D6E-409C-BE32-E72D297353CC}">
                  <c16:uniqueId val="{00000027-26BC-4888-B681-CF34B6C420B1}"/>
                </c:ext>
              </c:extLst>
            </c:dLbl>
            <c:dLbl>
              <c:idx val="15"/>
              <c:delete val="1"/>
              <c:extLst>
                <c:ext xmlns:c15="http://schemas.microsoft.com/office/drawing/2012/chart" uri="{CE6537A1-D6FC-4f65-9D91-7224C49458BB}"/>
                <c:ext xmlns:c16="http://schemas.microsoft.com/office/drawing/2014/chart" uri="{C3380CC4-5D6E-409C-BE32-E72D297353CC}">
                  <c16:uniqueId val="{00000028-26BC-4888-B681-CF34B6C420B1}"/>
                </c:ext>
              </c:extLst>
            </c:dLbl>
            <c:dLbl>
              <c:idx val="17"/>
              <c:delete val="1"/>
              <c:extLst>
                <c:ext xmlns:c15="http://schemas.microsoft.com/office/drawing/2012/chart" uri="{CE6537A1-D6FC-4f65-9D91-7224C49458BB}"/>
                <c:ext xmlns:c16="http://schemas.microsoft.com/office/drawing/2014/chart" uri="{C3380CC4-5D6E-409C-BE32-E72D297353CC}">
                  <c16:uniqueId val="{00000029-26BC-4888-B681-CF34B6C420B1}"/>
                </c:ext>
              </c:extLst>
            </c:dLbl>
            <c:dLbl>
              <c:idx val="19"/>
              <c:delete val="1"/>
              <c:extLst>
                <c:ext xmlns:c15="http://schemas.microsoft.com/office/drawing/2012/chart" uri="{CE6537A1-D6FC-4f65-9D91-7224C49458BB}"/>
                <c:ext xmlns:c16="http://schemas.microsoft.com/office/drawing/2014/chart" uri="{C3380CC4-5D6E-409C-BE32-E72D297353CC}">
                  <c16:uniqueId val="{0000002A-26BC-4888-B681-CF34B6C420B1}"/>
                </c:ext>
              </c:extLst>
            </c:dLbl>
            <c:dLbl>
              <c:idx val="21"/>
              <c:delete val="1"/>
              <c:extLst>
                <c:ext xmlns:c15="http://schemas.microsoft.com/office/drawing/2012/chart" uri="{CE6537A1-D6FC-4f65-9D91-7224C49458BB}"/>
                <c:ext xmlns:c16="http://schemas.microsoft.com/office/drawing/2014/chart" uri="{C3380CC4-5D6E-409C-BE32-E72D297353CC}">
                  <c16:uniqueId val="{0000002B-26BC-4888-B681-CF34B6C420B1}"/>
                </c:ext>
              </c:extLst>
            </c:dLbl>
            <c:dLbl>
              <c:idx val="25"/>
              <c:delete val="1"/>
              <c:extLst>
                <c:ext xmlns:c15="http://schemas.microsoft.com/office/drawing/2012/chart" uri="{CE6537A1-D6FC-4f65-9D91-7224C49458BB}"/>
                <c:ext xmlns:c16="http://schemas.microsoft.com/office/drawing/2014/chart" uri="{C3380CC4-5D6E-409C-BE32-E72D297353CC}">
                  <c16:uniqueId val="{0000002C-26BC-4888-B681-CF34B6C420B1}"/>
                </c:ext>
              </c:extLst>
            </c:dLbl>
            <c:dLbl>
              <c:idx val="27"/>
              <c:delete val="1"/>
              <c:extLst>
                <c:ext xmlns:c15="http://schemas.microsoft.com/office/drawing/2012/chart" uri="{CE6537A1-D6FC-4f65-9D91-7224C49458BB}"/>
                <c:ext xmlns:c16="http://schemas.microsoft.com/office/drawing/2014/chart" uri="{C3380CC4-5D6E-409C-BE32-E72D297353CC}">
                  <c16:uniqueId val="{0000002D-26BC-4888-B681-CF34B6C420B1}"/>
                </c:ext>
              </c:extLst>
            </c:dLbl>
            <c:dLbl>
              <c:idx val="29"/>
              <c:delete val="1"/>
              <c:extLst>
                <c:ext xmlns:c15="http://schemas.microsoft.com/office/drawing/2012/chart" uri="{CE6537A1-D6FC-4f65-9D91-7224C49458BB}"/>
                <c:ext xmlns:c16="http://schemas.microsoft.com/office/drawing/2014/chart" uri="{C3380CC4-5D6E-409C-BE32-E72D297353CC}">
                  <c16:uniqueId val="{0000002E-26BC-4888-B681-CF34B6C420B1}"/>
                </c:ext>
              </c:extLst>
            </c:dLbl>
            <c:dLbl>
              <c:idx val="31"/>
              <c:delete val="1"/>
              <c:extLst>
                <c:ext xmlns:c15="http://schemas.microsoft.com/office/drawing/2012/chart" uri="{CE6537A1-D6FC-4f65-9D91-7224C49458BB}"/>
                <c:ext xmlns:c16="http://schemas.microsoft.com/office/drawing/2014/chart" uri="{C3380CC4-5D6E-409C-BE32-E72D297353CC}">
                  <c16:uniqueId val="{0000002F-26BC-4888-B681-CF34B6C420B1}"/>
                </c:ext>
              </c:extLst>
            </c:dLbl>
            <c:dLbl>
              <c:idx val="33"/>
              <c:delete val="1"/>
              <c:extLst>
                <c:ext xmlns:c15="http://schemas.microsoft.com/office/drawing/2012/chart" uri="{CE6537A1-D6FC-4f65-9D91-7224C49458BB}"/>
                <c:ext xmlns:c16="http://schemas.microsoft.com/office/drawing/2014/chart" uri="{C3380CC4-5D6E-409C-BE32-E72D297353CC}">
                  <c16:uniqueId val="{00000030-26BC-4888-B681-CF34B6C420B1}"/>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2023'!$AX$50:$CG$50</c:f>
              <c:numCache>
                <c:formatCode>_(* #\ ##0_);_(* \(#\ ##0\);_(* "-"??_);_(@_)</c:formatCode>
                <c:ptCount val="36"/>
                <c:pt idx="0">
                  <c:v>621.30199497515491</c:v>
                </c:pt>
                <c:pt idx="1">
                  <c:v>663.59064539451765</c:v>
                </c:pt>
                <c:pt idx="2">
                  <c:v>724.28839001079734</c:v>
                </c:pt>
                <c:pt idx="3">
                  <c:v>731.18510562119582</c:v>
                </c:pt>
                <c:pt idx="4">
                  <c:v>698.80434782608688</c:v>
                </c:pt>
                <c:pt idx="5">
                  <c:v>750.92125979048888</c:v>
                </c:pt>
                <c:pt idx="6">
                  <c:v>770.02931306902894</c:v>
                </c:pt>
                <c:pt idx="7">
                  <c:v>760.76233183856493</c:v>
                </c:pt>
                <c:pt idx="8">
                  <c:v>772.7885473617232</c:v>
                </c:pt>
                <c:pt idx="9">
                  <c:v>776.67804323094424</c:v>
                </c:pt>
                <c:pt idx="10">
                  <c:v>799.39508506616255</c:v>
                </c:pt>
                <c:pt idx="11">
                  <c:v>983.4252113193678</c:v>
                </c:pt>
                <c:pt idx="12">
                  <c:v>762.93781272337378</c:v>
                </c:pt>
                <c:pt idx="13">
                  <c:v>743.68940774722012</c:v>
                </c:pt>
                <c:pt idx="14">
                  <c:v>761.91267434474662</c:v>
                </c:pt>
                <c:pt idx="15">
                  <c:v>697.91604739642719</c:v>
                </c:pt>
                <c:pt idx="16">
                  <c:v>666.99509417897696</c:v>
                </c:pt>
                <c:pt idx="17">
                  <c:v>663.44836567897187</c:v>
                </c:pt>
                <c:pt idx="18">
                  <c:v>572.51420493804881</c:v>
                </c:pt>
                <c:pt idx="19">
                  <c:v>579.25021900146749</c:v>
                </c:pt>
                <c:pt idx="20">
                  <c:v>573.14770168925679</c:v>
                </c:pt>
                <c:pt idx="21">
                  <c:v>634.97842466008535</c:v>
                </c:pt>
                <c:pt idx="22">
                  <c:v>648.60461004760543</c:v>
                </c:pt>
                <c:pt idx="23">
                  <c:v>690.10164567824165</c:v>
                </c:pt>
                <c:pt idx="24">
                  <c:v>592.1329298903446</c:v>
                </c:pt>
                <c:pt idx="25">
                  <c:v>614.17799310266992</c:v>
                </c:pt>
                <c:pt idx="26">
                  <c:v>640.45391478102465</c:v>
                </c:pt>
                <c:pt idx="27">
                  <c:v>676.09632726654991</c:v>
                </c:pt>
                <c:pt idx="28">
                  <c:v>660.91287189467573</c:v>
                </c:pt>
                <c:pt idx="29">
                  <c:v>663.64864694306902</c:v>
                </c:pt>
                <c:pt idx="30">
                  <c:v>682.0237439811757</c:v>
                </c:pt>
                <c:pt idx="31">
                  <c:v>680.74197482143768</c:v>
                </c:pt>
                <c:pt idx="32">
                  <c:v>686.71572771454237</c:v>
                </c:pt>
                <c:pt idx="33">
                  <c:v>697.36364581919815</c:v>
                </c:pt>
                <c:pt idx="34">
                  <c:v>702.34568476927143</c:v>
                </c:pt>
                <c:pt idx="35">
                  <c:v>801.60530031742121</c:v>
                </c:pt>
              </c:numCache>
            </c:numRef>
          </c:val>
          <c:extLst>
            <c:ext xmlns:c16="http://schemas.microsoft.com/office/drawing/2014/chart" uri="{C3380CC4-5D6E-409C-BE32-E72D297353CC}">
              <c16:uniqueId val="{00000001-26BC-4888-B681-CF34B6C420B1}"/>
            </c:ext>
          </c:extLst>
        </c:ser>
        <c:dLbls>
          <c:showLegendKey val="0"/>
          <c:showVal val="1"/>
          <c:showCatName val="0"/>
          <c:showSerName val="0"/>
          <c:showPercent val="0"/>
          <c:showBubbleSize val="0"/>
        </c:dLbls>
        <c:gapWidth val="150"/>
        <c:axId val="554919048"/>
        <c:axId val="554922248"/>
        <c:extLst/>
      </c:barChart>
      <c:lineChart>
        <c:grouping val="standard"/>
        <c:varyColors val="0"/>
        <c:ser>
          <c:idx val="0"/>
          <c:order val="0"/>
          <c:tx>
            <c:strRef>
              <c:f>'Прогноз Зарплати 2023'!$A$143</c:f>
              <c:strCache>
                <c:ptCount val="1"/>
                <c:pt idx="0">
                  <c:v>UAH</c:v>
                </c:pt>
              </c:strCache>
            </c:strRef>
          </c:tx>
          <c:spPr>
            <a:ln w="28575" cap="rnd">
              <a:solidFill>
                <a:schemeClr val="accent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2-26BC-4888-B681-CF34B6C420B1}"/>
                </c:ext>
              </c:extLst>
            </c:dLbl>
            <c:dLbl>
              <c:idx val="2"/>
              <c:delete val="1"/>
              <c:extLst>
                <c:ext xmlns:c15="http://schemas.microsoft.com/office/drawing/2012/chart" uri="{CE6537A1-D6FC-4f65-9D91-7224C49458BB}"/>
                <c:ext xmlns:c16="http://schemas.microsoft.com/office/drawing/2014/chart" uri="{C3380CC4-5D6E-409C-BE32-E72D297353CC}">
                  <c16:uniqueId val="{0000001D-26BC-4888-B681-CF34B6C420B1}"/>
                </c:ext>
              </c:extLst>
            </c:dLbl>
            <c:dLbl>
              <c:idx val="4"/>
              <c:layout>
                <c:manualLayout>
                  <c:x val="-2.9258223220803986E-2"/>
                  <c:y val="2.25671481008123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BC-4888-B681-CF34B6C420B1}"/>
                </c:ext>
              </c:extLst>
            </c:dLbl>
            <c:dLbl>
              <c:idx val="5"/>
              <c:delete val="1"/>
              <c:extLst>
                <c:ext xmlns:c15="http://schemas.microsoft.com/office/drawing/2012/chart" uri="{CE6537A1-D6FC-4f65-9D91-7224C49458BB}"/>
                <c:ext xmlns:c16="http://schemas.microsoft.com/office/drawing/2014/chart" uri="{C3380CC4-5D6E-409C-BE32-E72D297353CC}">
                  <c16:uniqueId val="{0000001C-26BC-4888-B681-CF34B6C420B1}"/>
                </c:ext>
              </c:extLst>
            </c:dLbl>
            <c:dLbl>
              <c:idx val="7"/>
              <c:layout>
                <c:manualLayout>
                  <c:x val="-2.9767063232043083E-2"/>
                  <c:y val="2.0599222498937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6BC-4888-B681-CF34B6C420B1}"/>
                </c:ext>
              </c:extLst>
            </c:dLbl>
            <c:dLbl>
              <c:idx val="8"/>
              <c:delete val="1"/>
              <c:extLst>
                <c:ext xmlns:c15="http://schemas.microsoft.com/office/drawing/2012/chart" uri="{CE6537A1-D6FC-4f65-9D91-7224C49458BB}"/>
                <c:ext xmlns:c16="http://schemas.microsoft.com/office/drawing/2014/chart" uri="{C3380CC4-5D6E-409C-BE32-E72D297353CC}">
                  <c16:uniqueId val="{0000001E-26BC-4888-B681-CF34B6C420B1}"/>
                </c:ext>
              </c:extLst>
            </c:dLbl>
            <c:dLbl>
              <c:idx val="9"/>
              <c:layout>
                <c:manualLayout>
                  <c:x val="-7.4042725372496102E-3"/>
                  <c:y val="-3.0158847235668852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BC-4888-B681-CF34B6C420B1}"/>
                </c:ext>
              </c:extLst>
            </c:dLbl>
            <c:dLbl>
              <c:idx val="10"/>
              <c:delete val="1"/>
              <c:extLst>
                <c:ext xmlns:c15="http://schemas.microsoft.com/office/drawing/2012/chart" uri="{CE6537A1-D6FC-4f65-9D91-7224C49458BB}"/>
                <c:ext xmlns:c16="http://schemas.microsoft.com/office/drawing/2014/chart" uri="{C3380CC4-5D6E-409C-BE32-E72D297353CC}">
                  <c16:uniqueId val="{00000032-26BC-4888-B681-CF34B6C420B1}"/>
                </c:ext>
              </c:extLst>
            </c:dLbl>
            <c:dLbl>
              <c:idx val="12"/>
              <c:layout>
                <c:manualLayout>
                  <c:x val="-2.1281157256417039E-2"/>
                  <c:y val="1.86312968970616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6BC-4888-B681-CF34B6C420B1}"/>
                </c:ext>
              </c:extLst>
            </c:dLbl>
            <c:dLbl>
              <c:idx val="14"/>
              <c:delete val="1"/>
              <c:extLst>
                <c:ext xmlns:c15="http://schemas.microsoft.com/office/drawing/2012/chart" uri="{CE6537A1-D6FC-4f65-9D91-7224C49458BB}"/>
                <c:ext xmlns:c16="http://schemas.microsoft.com/office/drawing/2014/chart" uri="{C3380CC4-5D6E-409C-BE32-E72D297353CC}">
                  <c16:uniqueId val="{00000009-26BC-4888-B681-CF34B6C420B1}"/>
                </c:ext>
              </c:extLst>
            </c:dLbl>
            <c:dLbl>
              <c:idx val="15"/>
              <c:layout>
                <c:manualLayout>
                  <c:x val="-1.4634028126030969E-2"/>
                  <c:y val="-3.05668431498215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6BC-4888-B681-CF34B6C420B1}"/>
                </c:ext>
              </c:extLst>
            </c:dLbl>
            <c:dLbl>
              <c:idx val="16"/>
              <c:delete val="1"/>
              <c:extLst>
                <c:ext xmlns:c15="http://schemas.microsoft.com/office/drawing/2012/chart" uri="{CE6537A1-D6FC-4f65-9D91-7224C49458BB}"/>
                <c:ext xmlns:c16="http://schemas.microsoft.com/office/drawing/2014/chart" uri="{C3380CC4-5D6E-409C-BE32-E72D297353CC}">
                  <c16:uniqueId val="{0000000B-26BC-4888-B681-CF34B6C420B1}"/>
                </c:ext>
              </c:extLst>
            </c:dLbl>
            <c:dLbl>
              <c:idx val="17"/>
              <c:layout>
                <c:manualLayout>
                  <c:x val="-3.2109802285614636E-2"/>
                  <c:y val="3.04388505083136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26BC-4888-B681-CF34B6C420B1}"/>
                </c:ext>
              </c:extLst>
            </c:dLbl>
            <c:dLbl>
              <c:idx val="18"/>
              <c:delete val="1"/>
              <c:extLst>
                <c:ext xmlns:c15="http://schemas.microsoft.com/office/drawing/2012/chart" uri="{CE6537A1-D6FC-4f65-9D91-7224C49458BB}"/>
                <c:ext xmlns:c16="http://schemas.microsoft.com/office/drawing/2014/chart" uri="{C3380CC4-5D6E-409C-BE32-E72D297353CC}">
                  <c16:uniqueId val="{0000000C-26BC-4888-B681-CF34B6C420B1}"/>
                </c:ext>
              </c:extLst>
            </c:dLbl>
            <c:dLbl>
              <c:idx val="19"/>
              <c:layout>
                <c:manualLayout>
                  <c:x val="-1.5624686668910455E-2"/>
                  <c:y val="1.86312968970616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6BC-4888-B681-CF34B6C420B1}"/>
                </c:ext>
              </c:extLst>
            </c:dLbl>
            <c:dLbl>
              <c:idx val="21"/>
              <c:delete val="1"/>
              <c:extLst>
                <c:ext xmlns:c15="http://schemas.microsoft.com/office/drawing/2012/chart" uri="{CE6537A1-D6FC-4f65-9D91-7224C49458BB}"/>
                <c:ext xmlns:c16="http://schemas.microsoft.com/office/drawing/2014/chart" uri="{C3380CC4-5D6E-409C-BE32-E72D297353CC}">
                  <c16:uniqueId val="{0000000E-26BC-4888-B681-CF34B6C420B1}"/>
                </c:ext>
              </c:extLst>
            </c:dLbl>
            <c:dLbl>
              <c:idx val="22"/>
              <c:delete val="1"/>
              <c:extLst>
                <c:ext xmlns:c15="http://schemas.microsoft.com/office/drawing/2012/chart" uri="{CE6537A1-D6FC-4f65-9D91-7224C49458BB}"/>
                <c:ext xmlns:c16="http://schemas.microsoft.com/office/drawing/2014/chart" uri="{C3380CC4-5D6E-409C-BE32-E72D297353CC}">
                  <c16:uniqueId val="{0000000F-26BC-4888-B681-CF34B6C420B1}"/>
                </c:ext>
              </c:extLst>
            </c:dLbl>
            <c:dLbl>
              <c:idx val="24"/>
              <c:layout>
                <c:manualLayout>
                  <c:x val="-2.9120560783192351E-2"/>
                  <c:y val="2.0599222498937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6BC-4888-B681-CF34B6C420B1}"/>
                </c:ext>
              </c:extLst>
            </c:dLbl>
            <c:dLbl>
              <c:idx val="25"/>
              <c:delete val="1"/>
              <c:extLst>
                <c:ext xmlns:c15="http://schemas.microsoft.com/office/drawing/2012/chart" uri="{CE6537A1-D6FC-4f65-9D91-7224C49458BB}"/>
                <c:ext xmlns:c16="http://schemas.microsoft.com/office/drawing/2014/chart" uri="{C3380CC4-5D6E-409C-BE32-E72D297353CC}">
                  <c16:uniqueId val="{00000011-26BC-4888-B681-CF34B6C420B1}"/>
                </c:ext>
              </c:extLst>
            </c:dLbl>
            <c:dLbl>
              <c:idx val="27"/>
              <c:delete val="1"/>
              <c:extLst>
                <c:ext xmlns:c15="http://schemas.microsoft.com/office/drawing/2012/chart" uri="{CE6537A1-D6FC-4f65-9D91-7224C49458BB}"/>
                <c:ext xmlns:c16="http://schemas.microsoft.com/office/drawing/2014/chart" uri="{C3380CC4-5D6E-409C-BE32-E72D297353CC}">
                  <c16:uniqueId val="{00000012-26BC-4888-B681-CF34B6C420B1}"/>
                </c:ext>
              </c:extLst>
            </c:dLbl>
            <c:dLbl>
              <c:idx val="28"/>
              <c:layout>
                <c:manualLayout>
                  <c:x val="-3.2869423306653302E-2"/>
                  <c:y val="2.0599222498937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6BC-4888-B681-CF34B6C420B1}"/>
                </c:ext>
              </c:extLst>
            </c:dLbl>
            <c:dLbl>
              <c:idx val="29"/>
              <c:delete val="1"/>
              <c:extLst>
                <c:ext xmlns:c15="http://schemas.microsoft.com/office/drawing/2012/chart" uri="{CE6537A1-D6FC-4f65-9D91-7224C49458BB}"/>
                <c:ext xmlns:c16="http://schemas.microsoft.com/office/drawing/2014/chart" uri="{C3380CC4-5D6E-409C-BE32-E72D297353CC}">
                  <c16:uniqueId val="{00000020-26BC-4888-B681-CF34B6C420B1}"/>
                </c:ext>
              </c:extLst>
            </c:dLbl>
            <c:dLbl>
              <c:idx val="31"/>
              <c:layout>
                <c:manualLayout>
                  <c:x val="-3.1541964086827676E-2"/>
                  <c:y val="2.0599222498937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26BC-4888-B681-CF34B6C420B1}"/>
                </c:ext>
              </c:extLst>
            </c:dLbl>
            <c:dLbl>
              <c:idx val="32"/>
              <c:delete val="1"/>
              <c:extLst>
                <c:ext xmlns:c15="http://schemas.microsoft.com/office/drawing/2012/chart" uri="{CE6537A1-D6FC-4f65-9D91-7224C49458BB}"/>
                <c:ext xmlns:c16="http://schemas.microsoft.com/office/drawing/2014/chart" uri="{C3380CC4-5D6E-409C-BE32-E72D297353CC}">
                  <c16:uniqueId val="{00000016-26BC-4888-B681-CF34B6C420B1}"/>
                </c:ext>
              </c:extLst>
            </c:dLbl>
            <c:dLbl>
              <c:idx val="33"/>
              <c:layout>
                <c:manualLayout>
                  <c:x val="-1.4845477010798759E-2"/>
                  <c:y val="1.86312968970616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26BC-4888-B681-CF34B6C420B1}"/>
                </c:ext>
              </c:extLst>
            </c:dLbl>
            <c:dLbl>
              <c:idx val="34"/>
              <c:delete val="1"/>
              <c:extLst>
                <c:ext xmlns:c15="http://schemas.microsoft.com/office/drawing/2012/chart" uri="{CE6537A1-D6FC-4f65-9D91-7224C49458BB}"/>
                <c:ext xmlns:c16="http://schemas.microsoft.com/office/drawing/2014/chart" uri="{C3380CC4-5D6E-409C-BE32-E72D297353CC}">
                  <c16:uniqueId val="{00000018-26BC-4888-B681-CF34B6C420B1}"/>
                </c:ext>
              </c:extLst>
            </c:dLbl>
            <c:dLbl>
              <c:idx val="35"/>
              <c:layout>
                <c:manualLayout>
                  <c:x val="-4.3926628243516334E-2"/>
                  <c:y val="-2.07272151404448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26BC-4888-B681-CF34B6C420B1}"/>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2023'!$AX$29:$CG$30</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2023'!$AX$48:$CG$48</c:f>
              <c:numCache>
                <c:formatCode>_(* #\ ##0_);_(* \(#\ ##0\);_(* "-"??_);_(@_)</c:formatCode>
                <c:ptCount val="36"/>
                <c:pt idx="0" formatCode="General">
                  <c:v>17533</c:v>
                </c:pt>
                <c:pt idx="1">
                  <c:v>18504</c:v>
                </c:pt>
                <c:pt idx="2">
                  <c:v>20132</c:v>
                </c:pt>
                <c:pt idx="3">
                  <c:v>20422</c:v>
                </c:pt>
                <c:pt idx="4">
                  <c:v>19287</c:v>
                </c:pt>
                <c:pt idx="5">
                  <c:v>20455</c:v>
                </c:pt>
                <c:pt idx="6">
                  <c:v>20956</c:v>
                </c:pt>
                <c:pt idx="7">
                  <c:v>20358</c:v>
                </c:pt>
                <c:pt idx="8">
                  <c:v>20658</c:v>
                </c:pt>
                <c:pt idx="9">
                  <c:v>20481</c:v>
                </c:pt>
                <c:pt idx="10">
                  <c:v>21144</c:v>
                </c:pt>
                <c:pt idx="11">
                  <c:v>26759</c:v>
                </c:pt>
                <c:pt idx="12">
                  <c:v>21347</c:v>
                </c:pt>
                <c:pt idx="13">
                  <c:v>21128.216074098524</c:v>
                </c:pt>
                <c:pt idx="14">
                  <c:v>22285.945724583838</c:v>
                </c:pt>
                <c:pt idx="15">
                  <c:v>20414.044386345497</c:v>
                </c:pt>
                <c:pt idx="16">
                  <c:v>19509.606504735075</c:v>
                </c:pt>
                <c:pt idx="17">
                  <c:v>19405.864696109926</c:v>
                </c:pt>
                <c:pt idx="18">
                  <c:v>20936.844474584446</c:v>
                </c:pt>
                <c:pt idx="19">
                  <c:v>21183.180508883666</c:v>
                </c:pt>
                <c:pt idx="20">
                  <c:v>20960.011450776121</c:v>
                </c:pt>
                <c:pt idx="21">
                  <c:v>23221.16098981932</c:v>
                </c:pt>
                <c:pt idx="22">
                  <c:v>23719.470589440931</c:v>
                </c:pt>
                <c:pt idx="23">
                  <c:v>25237.017182453295</c:v>
                </c:pt>
                <c:pt idx="24">
                  <c:v>21654.301246089901</c:v>
                </c:pt>
                <c:pt idx="25">
                  <c:v>22460.48920776464</c:v>
                </c:pt>
                <c:pt idx="26">
                  <c:v>23421.399663542074</c:v>
                </c:pt>
                <c:pt idx="27">
                  <c:v>24724.842688137731</c:v>
                </c:pt>
                <c:pt idx="28">
                  <c:v>24169.583725188291</c:v>
                </c:pt>
                <c:pt idx="29">
                  <c:v>24269.631018708034</c:v>
                </c:pt>
                <c:pt idx="30">
                  <c:v>24941.608317391594</c:v>
                </c:pt>
                <c:pt idx="31">
                  <c:v>24894.734019219977</c:v>
                </c:pt>
                <c:pt idx="32">
                  <c:v>25113.194162520813</c:v>
                </c:pt>
                <c:pt idx="33">
                  <c:v>25466.989238269085</c:v>
                </c:pt>
                <c:pt idx="34">
                  <c:v>25565.575565246952</c:v>
                </c:pt>
                <c:pt idx="35">
                  <c:v>29436.149366330526</c:v>
                </c:pt>
              </c:numCache>
            </c:numRef>
          </c:val>
          <c:smooth val="0"/>
          <c:extLst>
            <c:ext xmlns:c16="http://schemas.microsoft.com/office/drawing/2014/chart" uri="{C3380CC4-5D6E-409C-BE32-E72D297353CC}">
              <c16:uniqueId val="{00000019-26BC-4888-B681-CF34B6C420B1}"/>
            </c:ext>
          </c:extLst>
        </c:ser>
        <c:dLbls>
          <c:showLegendKey val="0"/>
          <c:showVal val="1"/>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29000"/>
          <c:min val="8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2000"/>
          <c:min val="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0.22923230255315533"/>
          <c:y val="0.10527263863597912"/>
          <c:w val="0.56846383192083727"/>
          <c:h val="4.52712784335120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400" b="1" i="0" u="none" strike="noStrike" kern="1200" spc="0" baseline="0">
                <a:solidFill>
                  <a:sysClr val="windowText" lastClr="000000"/>
                </a:solidFill>
                <a:latin typeface="+mn-lt"/>
                <a:ea typeface="+mn-ea"/>
                <a:cs typeface="+mn-cs"/>
              </a:defRPr>
            </a:pPr>
            <a:r>
              <a:rPr lang="ru-RU" sz="2400" b="1" i="0" kern="1200" spc="0" baseline="0">
                <a:solidFill>
                  <a:srgbClr val="4CA2C1"/>
                </a:solidFill>
                <a:effectLst/>
              </a:rPr>
              <a:t>Середня зарплата в Україні в 202</a:t>
            </a:r>
            <a:r>
              <a:rPr lang="en-US" sz="2400" b="1" i="0" kern="1200" spc="0" baseline="0">
                <a:solidFill>
                  <a:srgbClr val="4CA2C1"/>
                </a:solidFill>
                <a:effectLst/>
              </a:rPr>
              <a:t>1</a:t>
            </a:r>
            <a:r>
              <a:rPr lang="ru-RU" sz="2400" b="1" i="0" kern="1200" spc="0" baseline="0">
                <a:solidFill>
                  <a:srgbClr val="4CA2C1"/>
                </a:solidFill>
                <a:effectLst/>
              </a:rPr>
              <a:t>/23 роках, грн, долл.</a:t>
            </a:r>
            <a:endParaRPr lang="ru-RU" sz="2400">
              <a:effectLst/>
            </a:endParaRPr>
          </a:p>
        </c:rich>
      </c:tx>
      <c:layout>
        <c:manualLayout>
          <c:xMode val="edge"/>
          <c:yMode val="edge"/>
          <c:x val="1.7966071920725291E-2"/>
          <c:y val="2.3320985453030341E-2"/>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1"/>
          <c:order val="1"/>
          <c:tx>
            <c:strRef>
              <c:f>'Прогноз Зарплати 2023'!$A$150</c:f>
              <c:strCache>
                <c:ptCount val="1"/>
                <c:pt idx="0">
                  <c:v>USD </c:v>
                </c:pt>
              </c:strCache>
            </c:strRef>
          </c:tx>
          <c:spPr>
            <a:solidFill>
              <a:schemeClr val="accent5">
                <a:lumMod val="40000"/>
                <a:lumOff val="60000"/>
              </a:schemeClr>
            </a:solidFill>
            <a:ln>
              <a:noFill/>
            </a:ln>
            <a:effectLst/>
          </c:spPr>
          <c:invertIfNegative val="0"/>
          <c:dLbls>
            <c:dLbl>
              <c:idx val="13"/>
              <c:layout>
                <c:manualLayout>
                  <c:x val="-5.7704929553413159E-3"/>
                  <c:y val="-1.930550938194551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D39-42DD-A929-A34E8AF4B55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2023'!$Y$127:$AW$128</c:f>
              <c:multiLvlStrCache>
                <c:ptCount val="25"/>
                <c:lvl>
                  <c:pt idx="0">
                    <c:v>12</c:v>
                  </c:pt>
                  <c:pt idx="1">
                    <c:v>1</c:v>
                  </c:pt>
                  <c:pt idx="2">
                    <c:v>2</c:v>
                  </c:pt>
                  <c:pt idx="3">
                    <c:v>3</c:v>
                  </c:pt>
                  <c:pt idx="4">
                    <c:v>4</c:v>
                  </c:pt>
                  <c:pt idx="5">
                    <c:v>5</c:v>
                  </c:pt>
                  <c:pt idx="6">
                    <c:v>6</c:v>
                  </c:pt>
                  <c:pt idx="7">
                    <c:v>7</c:v>
                  </c:pt>
                  <c:pt idx="8">
                    <c:v>8</c:v>
                  </c:pt>
                  <c:pt idx="9">
                    <c:v>9</c:v>
                  </c:pt>
                  <c:pt idx="10">
                    <c:v>10</c:v>
                  </c:pt>
                  <c:pt idx="11">
                    <c:v>11</c:v>
                  </c:pt>
                  <c:pt idx="12">
                    <c:v>12</c:v>
                  </c:pt>
                  <c:pt idx="13">
                    <c:v>1</c:v>
                  </c:pt>
                  <c:pt idx="14">
                    <c:v>2</c:v>
                  </c:pt>
                  <c:pt idx="15">
                    <c:v>3</c:v>
                  </c:pt>
                  <c:pt idx="16">
                    <c:v>4</c:v>
                  </c:pt>
                  <c:pt idx="17">
                    <c:v>5</c:v>
                  </c:pt>
                  <c:pt idx="18">
                    <c:v>6</c:v>
                  </c:pt>
                  <c:pt idx="19">
                    <c:v>7</c:v>
                  </c:pt>
                  <c:pt idx="20">
                    <c:v>8</c:v>
                  </c:pt>
                  <c:pt idx="21">
                    <c:v>9</c:v>
                  </c:pt>
                  <c:pt idx="22">
                    <c:v>10</c:v>
                  </c:pt>
                  <c:pt idx="23">
                    <c:v>11</c:v>
                  </c:pt>
                  <c:pt idx="24">
                    <c:v>12</c:v>
                  </c:pt>
                </c:lvl>
                <c:lvl>
                  <c:pt idx="1">
                    <c:v>2022</c:v>
                  </c:pt>
                  <c:pt idx="13">
                    <c:v>2023</c:v>
                  </c:pt>
                </c:lvl>
              </c:multiLvlStrCache>
            </c:multiLvlStrRef>
          </c:cat>
          <c:val>
            <c:numRef>
              <c:f>'Прогноз Зарплати 2023'!$Y$131:$AW$131</c:f>
              <c:numCache>
                <c:formatCode>_(* #\ ##0_);_(* \(#\ ##0\);_(* "-"??_);_(@_)</c:formatCode>
                <c:ptCount val="25"/>
                <c:pt idx="0">
                  <c:v>641.41859610437336</c:v>
                </c:pt>
                <c:pt idx="1">
                  <c:v>520.97927090779126</c:v>
                </c:pt>
                <c:pt idx="2">
                  <c:v>509.07429880100358</c:v>
                </c:pt>
                <c:pt idx="3">
                  <c:v>505.2105484476819</c:v>
                </c:pt>
                <c:pt idx="4">
                  <c:v>471.7244754514366</c:v>
                </c:pt>
                <c:pt idx="5">
                  <c:v>466.3658097443041</c:v>
                </c:pt>
                <c:pt idx="6">
                  <c:v>469.36083438424225</c:v>
                </c:pt>
                <c:pt idx="7">
                  <c:v>397.43643831285976</c:v>
                </c:pt>
                <c:pt idx="8">
                  <c:v>401.43916096836119</c:v>
                </c:pt>
                <c:pt idx="9">
                  <c:v>400.40795106389305</c:v>
                </c:pt>
                <c:pt idx="10">
                  <c:v>445.3256342741177</c:v>
                </c:pt>
                <c:pt idx="11">
                  <c:v>449.74106509284508</c:v>
                </c:pt>
                <c:pt idx="12">
                  <c:v>456.62913717005983</c:v>
                </c:pt>
                <c:pt idx="13">
                  <c:v>417.86300161192986</c:v>
                </c:pt>
                <c:pt idx="14">
                  <c:v>422.25887911052553</c:v>
                </c:pt>
                <c:pt idx="15">
                  <c:v>426.1588801839747</c:v>
                </c:pt>
                <c:pt idx="16">
                  <c:v>463.13311048283276</c:v>
                </c:pt>
                <c:pt idx="17">
                  <c:v>469.07700312251023</c:v>
                </c:pt>
                <c:pt idx="18">
                  <c:v>476.80983432364405</c:v>
                </c:pt>
                <c:pt idx="19">
                  <c:v>479.03418102269615</c:v>
                </c:pt>
                <c:pt idx="20">
                  <c:v>476.88460486737767</c:v>
                </c:pt>
                <c:pt idx="21">
                  <c:v>485.52502050861364</c:v>
                </c:pt>
                <c:pt idx="22">
                  <c:v>491.90158004571197</c:v>
                </c:pt>
                <c:pt idx="23">
                  <c:v>489.28477469184526</c:v>
                </c:pt>
                <c:pt idx="24">
                  <c:v>535.24038449333057</c:v>
                </c:pt>
              </c:numCache>
            </c:numRef>
          </c:val>
          <c:extLst>
            <c:ext xmlns:c16="http://schemas.microsoft.com/office/drawing/2014/chart" uri="{C3380CC4-5D6E-409C-BE32-E72D297353CC}">
              <c16:uniqueId val="{00000001-E33E-4016-BCC3-FAE787061E18}"/>
            </c:ext>
          </c:extLst>
        </c:ser>
        <c:dLbls>
          <c:showLegendKey val="0"/>
          <c:showVal val="0"/>
          <c:showCatName val="0"/>
          <c:showSerName val="0"/>
          <c:showPercent val="0"/>
          <c:showBubbleSize val="0"/>
        </c:dLbls>
        <c:gapWidth val="150"/>
        <c:axId val="554919048"/>
        <c:axId val="554922248"/>
        <c:extLst>
          <c:ext xmlns:c15="http://schemas.microsoft.com/office/drawing/2012/chart" uri="{02D57815-91ED-43cb-92C2-25804820EDAC}">
            <c15:filteredBarSeries>
              <c15:ser>
                <c:idx val="2"/>
                <c:order val="2"/>
                <c:tx>
                  <c:strRef>
                    <c:extLst>
                      <c:ext uri="{02D57815-91ED-43cb-92C2-25804820EDAC}">
                        <c15:formulaRef>
                          <c15:sqref>'Прогноз Зарплати 2023'!$A$132</c15:sqref>
                        </c15:formulaRef>
                      </c:ext>
                    </c:extLst>
                    <c:strCache>
                      <c:ptCount val="1"/>
                      <c:pt idx="0">
                        <c:v>USD (сценарій 2)</c:v>
                      </c:pt>
                    </c:strCache>
                  </c:strRef>
                </c:tx>
                <c:spPr>
                  <a:solidFill>
                    <a:schemeClr val="accent2">
                      <a:lumMod val="60000"/>
                      <a:lumOff val="40000"/>
                    </a:schemeClr>
                  </a:solidFill>
                  <a:ln>
                    <a:noFill/>
                  </a:ln>
                  <a:effectLst/>
                </c:spPr>
                <c:invertIfNegative val="0"/>
                <c:dLbls>
                  <c:dLbl>
                    <c:idx val="0"/>
                    <c:layout>
                      <c:manualLayout>
                        <c:x val="2.8852464776706358E-3"/>
                        <c:y val="-7.0786050007310136E-17"/>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1A-E33E-4016-BCC3-FAE787061E18}"/>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'Прогноз Зарплати 2023'!$Y$127:$AW$128</c15:sqref>
                        </c15:formulaRef>
                      </c:ext>
                    </c:extLst>
                    <c:multiLvlStrCache>
                      <c:ptCount val="25"/>
                      <c:lvl>
                        <c:pt idx="0">
                          <c:v>12</c:v>
                        </c:pt>
                        <c:pt idx="1">
                          <c:v>1</c:v>
                        </c:pt>
                        <c:pt idx="2">
                          <c:v>2</c:v>
                        </c:pt>
                        <c:pt idx="3">
                          <c:v>3</c:v>
                        </c:pt>
                        <c:pt idx="4">
                          <c:v>4</c:v>
                        </c:pt>
                        <c:pt idx="5">
                          <c:v>5</c:v>
                        </c:pt>
                        <c:pt idx="6">
                          <c:v>6</c:v>
                        </c:pt>
                        <c:pt idx="7">
                          <c:v>7</c:v>
                        </c:pt>
                        <c:pt idx="8">
                          <c:v>8</c:v>
                        </c:pt>
                        <c:pt idx="9">
                          <c:v>9</c:v>
                        </c:pt>
                        <c:pt idx="10">
                          <c:v>10</c:v>
                        </c:pt>
                        <c:pt idx="11">
                          <c:v>11</c:v>
                        </c:pt>
                        <c:pt idx="12">
                          <c:v>12</c:v>
                        </c:pt>
                        <c:pt idx="13">
                          <c:v>1</c:v>
                        </c:pt>
                        <c:pt idx="14">
                          <c:v>2</c:v>
                        </c:pt>
                        <c:pt idx="15">
                          <c:v>3</c:v>
                        </c:pt>
                        <c:pt idx="16">
                          <c:v>4</c:v>
                        </c:pt>
                        <c:pt idx="17">
                          <c:v>5</c:v>
                        </c:pt>
                        <c:pt idx="18">
                          <c:v>6</c:v>
                        </c:pt>
                        <c:pt idx="19">
                          <c:v>7</c:v>
                        </c:pt>
                        <c:pt idx="20">
                          <c:v>8</c:v>
                        </c:pt>
                        <c:pt idx="21">
                          <c:v>9</c:v>
                        </c:pt>
                        <c:pt idx="22">
                          <c:v>10</c:v>
                        </c:pt>
                        <c:pt idx="23">
                          <c:v>11</c:v>
                        </c:pt>
                        <c:pt idx="24">
                          <c:v>12</c:v>
                        </c:pt>
                      </c:lvl>
                      <c:lvl>
                        <c:pt idx="1">
                          <c:v>2022</c:v>
                        </c:pt>
                        <c:pt idx="13">
                          <c:v>2023</c:v>
                        </c:pt>
                      </c:lvl>
                    </c:multiLvlStrCache>
                  </c:multiLvlStrRef>
                </c:cat>
                <c:val>
                  <c:numRef>
                    <c:extLst>
                      <c:ext uri="{02D57815-91ED-43cb-92C2-25804820EDAC}">
                        <c15:formulaRef>
                          <c15:sqref>'Прогноз Зарплати 2023'!$AL$132:$AW$132</c15:sqref>
                        </c15:formulaRef>
                      </c:ext>
                    </c:extLst>
                    <c:numCache>
                      <c:formatCode>_-* #\ ##0\ _₴_-;\-* #\ ##0\ _₴_-;_-* "-"?\ _₴_-;_-@_-</c:formatCode>
                      <c:ptCount val="12"/>
                      <c:pt idx="0">
                        <c:v>417.86300161192986</c:v>
                      </c:pt>
                      <c:pt idx="1">
                        <c:v>422.25887911052553</c:v>
                      </c:pt>
                      <c:pt idx="2">
                        <c:v>426.1588801839747</c:v>
                      </c:pt>
                      <c:pt idx="3">
                        <c:v>463.13311048283276</c:v>
                      </c:pt>
                      <c:pt idx="4">
                        <c:v>469.07700312251023</c:v>
                      </c:pt>
                      <c:pt idx="5">
                        <c:v>476.80983432364405</c:v>
                      </c:pt>
                      <c:pt idx="6">
                        <c:v>456.27075585940645</c:v>
                      </c:pt>
                      <c:pt idx="7">
                        <c:v>445.27284868919793</c:v>
                      </c:pt>
                      <c:pt idx="8">
                        <c:v>450.35166776776026</c:v>
                      </c:pt>
                      <c:pt idx="9">
                        <c:v>447.82503126516718</c:v>
                      </c:pt>
                      <c:pt idx="10">
                        <c:v>442.2095693878191</c:v>
                      </c:pt>
                      <c:pt idx="11">
                        <c:v>482.60636073389554</c:v>
                      </c:pt>
                    </c:numCache>
                  </c:numRef>
                </c:val>
                <c:extLst>
                  <c:ext xmlns:c16="http://schemas.microsoft.com/office/drawing/2014/chart" uri="{C3380CC4-5D6E-409C-BE32-E72D297353CC}">
                    <c16:uniqueId val="{0000001B-E33E-4016-BCC3-FAE787061E18}"/>
                  </c:ext>
                </c:extLst>
              </c15:ser>
            </c15:filteredBarSeries>
          </c:ext>
        </c:extLst>
      </c:barChart>
      <c:lineChart>
        <c:grouping val="standard"/>
        <c:varyColors val="0"/>
        <c:ser>
          <c:idx val="0"/>
          <c:order val="0"/>
          <c:tx>
            <c:strRef>
              <c:f>'Прогноз Зарплати 2023'!$A$143</c:f>
              <c:strCache>
                <c:ptCount val="1"/>
                <c:pt idx="0">
                  <c:v>UAH</c:v>
                </c:pt>
              </c:strCache>
            </c:strRef>
          </c:tx>
          <c:spPr>
            <a:ln w="28575" cap="rnd">
              <a:solidFill>
                <a:schemeClr val="accent5"/>
              </a:solidFill>
              <a:round/>
            </a:ln>
            <a:effectLst/>
          </c:spPr>
          <c:marker>
            <c:symbol val="none"/>
          </c:marker>
          <c:dLbls>
            <c:dLbl>
              <c:idx val="1"/>
              <c:layout>
                <c:manualLayout>
                  <c:x val="-8.3548151280120556E-3"/>
                  <c:y val="1.48215608918835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3E-4016-BCC3-FAE787061E18}"/>
                </c:ext>
              </c:extLst>
            </c:dLbl>
            <c:dLbl>
              <c:idx val="3"/>
              <c:delete val="1"/>
              <c:extLst>
                <c:ext xmlns:c15="http://schemas.microsoft.com/office/drawing/2012/chart" uri="{CE6537A1-D6FC-4f65-9D91-7224C49458BB}"/>
                <c:ext xmlns:c16="http://schemas.microsoft.com/office/drawing/2014/chart" uri="{C3380CC4-5D6E-409C-BE32-E72D297353CC}">
                  <c16:uniqueId val="{00000003-E33E-4016-BCC3-FAE787061E18}"/>
                </c:ext>
              </c:extLst>
            </c:dLbl>
            <c:dLbl>
              <c:idx val="4"/>
              <c:layout>
                <c:manualLayout>
                  <c:x val="-1.9569166362135477E-2"/>
                  <c:y val="-2.37386962655605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3E-4016-BCC3-FAE787061E18}"/>
                </c:ext>
              </c:extLst>
            </c:dLbl>
            <c:dLbl>
              <c:idx val="5"/>
              <c:delete val="1"/>
              <c:extLst>
                <c:ext xmlns:c15="http://schemas.microsoft.com/office/drawing/2012/chart" uri="{CE6537A1-D6FC-4f65-9D91-7224C49458BB}"/>
                <c:ext xmlns:c16="http://schemas.microsoft.com/office/drawing/2014/chart" uri="{C3380CC4-5D6E-409C-BE32-E72D297353CC}">
                  <c16:uniqueId val="{00000001-6D39-42DD-A929-A34E8AF4B556}"/>
                </c:ext>
              </c:extLst>
            </c:dLbl>
            <c:dLbl>
              <c:idx val="7"/>
              <c:delete val="1"/>
              <c:extLst>
                <c:ext xmlns:c15="http://schemas.microsoft.com/office/drawing/2012/chart" uri="{CE6537A1-D6FC-4f65-9D91-7224C49458BB}"/>
                <c:ext xmlns:c16="http://schemas.microsoft.com/office/drawing/2014/chart" uri="{C3380CC4-5D6E-409C-BE32-E72D297353CC}">
                  <c16:uniqueId val="{00000006-E33E-4016-BCC3-FAE787061E18}"/>
                </c:ext>
              </c:extLst>
            </c:dLbl>
            <c:dLbl>
              <c:idx val="8"/>
              <c:layout>
                <c:manualLayout>
                  <c:x val="-2.8633300081819805E-2"/>
                  <c:y val="1.28935480340113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D39-42DD-A929-A34E8AF4B556}"/>
                </c:ext>
              </c:extLst>
            </c:dLbl>
            <c:dLbl>
              <c:idx val="10"/>
              <c:delete val="1"/>
              <c:extLst>
                <c:ext xmlns:c15="http://schemas.microsoft.com/office/drawing/2012/chart" uri="{CE6537A1-D6FC-4f65-9D91-7224C49458BB}"/>
                <c:ext xmlns:c16="http://schemas.microsoft.com/office/drawing/2014/chart" uri="{C3380CC4-5D6E-409C-BE32-E72D297353CC}">
                  <c16:uniqueId val="{00000003-6D39-42DD-A929-A34E8AF4B556}"/>
                </c:ext>
              </c:extLst>
            </c:dLbl>
            <c:dLbl>
              <c:idx val="11"/>
              <c:delete val="1"/>
              <c:extLst>
                <c:ext xmlns:c15="http://schemas.microsoft.com/office/drawing/2012/chart" uri="{CE6537A1-D6FC-4f65-9D91-7224C49458BB}"/>
                <c:ext xmlns:c16="http://schemas.microsoft.com/office/drawing/2014/chart" uri="{C3380CC4-5D6E-409C-BE32-E72D297353CC}">
                  <c16:uniqueId val="{00000004-6D39-42DD-A929-A34E8AF4B556}"/>
                </c:ext>
              </c:extLst>
            </c:dLbl>
            <c:dLbl>
              <c:idx val="13"/>
              <c:layout>
                <c:manualLayout>
                  <c:x val="-2.5039518506795398E-2"/>
                  <c:y val="1.48215608918835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39-42DD-A929-A34E8AF4B556}"/>
                </c:ext>
              </c:extLst>
            </c:dLbl>
            <c:dLbl>
              <c:idx val="14"/>
              <c:delete val="1"/>
              <c:extLst>
                <c:ext xmlns:c15="http://schemas.microsoft.com/office/drawing/2012/chart" uri="{CE6537A1-D6FC-4f65-9D91-7224C49458BB}"/>
                <c:ext xmlns:c16="http://schemas.microsoft.com/office/drawing/2014/chart" uri="{C3380CC4-5D6E-409C-BE32-E72D297353CC}">
                  <c16:uniqueId val="{00000009-E33E-4016-BCC3-FAE787061E18}"/>
                </c:ext>
              </c:extLst>
            </c:dLbl>
            <c:dLbl>
              <c:idx val="16"/>
              <c:layout>
                <c:manualLayout>
                  <c:x val="-1.4950012204763479E-2"/>
                  <c:y val="2.44616251812445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33E-4016-BCC3-FAE787061E18}"/>
                </c:ext>
              </c:extLst>
            </c:dLbl>
            <c:dLbl>
              <c:idx val="17"/>
              <c:delete val="1"/>
              <c:extLst>
                <c:ext xmlns:c15="http://schemas.microsoft.com/office/drawing/2012/chart" uri="{CE6537A1-D6FC-4f65-9D91-7224C49458BB}"/>
                <c:ext xmlns:c16="http://schemas.microsoft.com/office/drawing/2014/chart" uri="{C3380CC4-5D6E-409C-BE32-E72D297353CC}">
                  <c16:uniqueId val="{00000006-6D39-42DD-A929-A34E8AF4B556}"/>
                </c:ext>
              </c:extLst>
            </c:dLbl>
            <c:dLbl>
              <c:idx val="19"/>
              <c:delete val="1"/>
              <c:extLst>
                <c:ext xmlns:c15="http://schemas.microsoft.com/office/drawing/2012/chart" uri="{CE6537A1-D6FC-4f65-9D91-7224C49458BB}"/>
                <c:ext xmlns:c16="http://schemas.microsoft.com/office/drawing/2014/chart" uri="{C3380CC4-5D6E-409C-BE32-E72D297353CC}">
                  <c16:uniqueId val="{0000000D-E33E-4016-BCC3-FAE787061E18}"/>
                </c:ext>
              </c:extLst>
            </c:dLbl>
            <c:dLbl>
              <c:idx val="20"/>
              <c:layout>
                <c:manualLayout>
                  <c:x val="-2.6390900153433698E-2"/>
                  <c:y val="2.44616251812445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D39-42DD-A929-A34E8AF4B556}"/>
                </c:ext>
              </c:extLst>
            </c:dLbl>
            <c:dLbl>
              <c:idx val="21"/>
              <c:layout>
                <c:manualLayout>
                  <c:x val="-1.0686810718933468E-2"/>
                  <c:y val="-3.33787605549215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33E-4016-BCC3-FAE787061E18}"/>
                </c:ext>
              </c:extLst>
            </c:dLbl>
            <c:dLbl>
              <c:idx val="22"/>
              <c:delete val="1"/>
              <c:extLst>
                <c:ext xmlns:c15="http://schemas.microsoft.com/office/drawing/2012/chart" uri="{CE6537A1-D6FC-4f65-9D91-7224C49458BB}"/>
                <c:ext xmlns:c16="http://schemas.microsoft.com/office/drawing/2014/chart" uri="{C3380CC4-5D6E-409C-BE32-E72D297353CC}">
                  <c16:uniqueId val="{0000000F-E33E-4016-BCC3-FAE787061E18}"/>
                </c:ext>
              </c:extLst>
            </c:dLbl>
            <c:dLbl>
              <c:idx val="23"/>
              <c:layout>
                <c:manualLayout>
                  <c:x val="-3.5246160227810484E-2"/>
                  <c:y val="2.26758100455409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D39-42DD-A929-A34E8AF4B556}"/>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2023'!$Y$127:$AW$128</c:f>
              <c:multiLvlStrCache>
                <c:ptCount val="25"/>
                <c:lvl>
                  <c:pt idx="0">
                    <c:v>12</c:v>
                  </c:pt>
                  <c:pt idx="1">
                    <c:v>1</c:v>
                  </c:pt>
                  <c:pt idx="2">
                    <c:v>2</c:v>
                  </c:pt>
                  <c:pt idx="3">
                    <c:v>3</c:v>
                  </c:pt>
                  <c:pt idx="4">
                    <c:v>4</c:v>
                  </c:pt>
                  <c:pt idx="5">
                    <c:v>5</c:v>
                  </c:pt>
                  <c:pt idx="6">
                    <c:v>6</c:v>
                  </c:pt>
                  <c:pt idx="7">
                    <c:v>7</c:v>
                  </c:pt>
                  <c:pt idx="8">
                    <c:v>8</c:v>
                  </c:pt>
                  <c:pt idx="9">
                    <c:v>9</c:v>
                  </c:pt>
                  <c:pt idx="10">
                    <c:v>10</c:v>
                  </c:pt>
                  <c:pt idx="11">
                    <c:v>11</c:v>
                  </c:pt>
                  <c:pt idx="12">
                    <c:v>12</c:v>
                  </c:pt>
                  <c:pt idx="13">
                    <c:v>1</c:v>
                  </c:pt>
                  <c:pt idx="14">
                    <c:v>2</c:v>
                  </c:pt>
                  <c:pt idx="15">
                    <c:v>3</c:v>
                  </c:pt>
                  <c:pt idx="16">
                    <c:v>4</c:v>
                  </c:pt>
                  <c:pt idx="17">
                    <c:v>5</c:v>
                  </c:pt>
                  <c:pt idx="18">
                    <c:v>6</c:v>
                  </c:pt>
                  <c:pt idx="19">
                    <c:v>7</c:v>
                  </c:pt>
                  <c:pt idx="20">
                    <c:v>8</c:v>
                  </c:pt>
                  <c:pt idx="21">
                    <c:v>9</c:v>
                  </c:pt>
                  <c:pt idx="22">
                    <c:v>10</c:v>
                  </c:pt>
                  <c:pt idx="23">
                    <c:v>11</c:v>
                  </c:pt>
                  <c:pt idx="24">
                    <c:v>12</c:v>
                  </c:pt>
                </c:lvl>
                <c:lvl>
                  <c:pt idx="1">
                    <c:v>2022</c:v>
                  </c:pt>
                  <c:pt idx="13">
                    <c:v>2023</c:v>
                  </c:pt>
                </c:lvl>
              </c:multiLvlStrCache>
            </c:multiLvlStrRef>
          </c:cat>
          <c:val>
            <c:numRef>
              <c:f>'Прогноз Зарплати 2023'!$Y$129:$AW$129</c:f>
              <c:numCache>
                <c:formatCode>_(* #\ ##0_);_(* \(#\ ##0\);_(* "-"??_);_(@_)</c:formatCode>
                <c:ptCount val="25"/>
                <c:pt idx="0">
                  <c:v>17453</c:v>
                </c:pt>
                <c:pt idx="1">
                  <c:v>14577</c:v>
                </c:pt>
                <c:pt idx="2">
                  <c:v>14462.800828936512</c:v>
                </c:pt>
                <c:pt idx="3">
                  <c:v>14777.408542094696</c:v>
                </c:pt>
                <c:pt idx="4">
                  <c:v>13797.94090695452</c:v>
                </c:pt>
                <c:pt idx="5">
                  <c:v>13641.199935020895</c:v>
                </c:pt>
                <c:pt idx="6">
                  <c:v>13728.804405739085</c:v>
                </c:pt>
                <c:pt idx="7">
                  <c:v>14534.250549101282</c:v>
                </c:pt>
                <c:pt idx="8">
                  <c:v>14680.630116612969</c:v>
                </c:pt>
                <c:pt idx="9">
                  <c:v>14642.918770406568</c:v>
                </c:pt>
                <c:pt idx="10">
                  <c:v>16285.558445404484</c:v>
                </c:pt>
                <c:pt idx="11">
                  <c:v>16447.030750445345</c:v>
                </c:pt>
                <c:pt idx="12">
                  <c:v>16698.927546309089</c:v>
                </c:pt>
                <c:pt idx="13">
                  <c:v>15281.249968948276</c:v>
                </c:pt>
                <c:pt idx="14">
                  <c:v>15442.007209071919</c:v>
                </c:pt>
                <c:pt idx="15">
                  <c:v>15584.630248327954</c:v>
                </c:pt>
                <c:pt idx="16">
                  <c:v>16936.777850357194</c:v>
                </c:pt>
                <c:pt idx="17">
                  <c:v>17154.146004190199</c:v>
                </c:pt>
                <c:pt idx="18">
                  <c:v>17436.935641215663</c:v>
                </c:pt>
                <c:pt idx="19">
                  <c:v>17518.28</c:v>
                </c:pt>
                <c:pt idx="20">
                  <c:v>17439.670000000002</c:v>
                </c:pt>
                <c:pt idx="21">
                  <c:v>17755.650000000001</c:v>
                </c:pt>
                <c:pt idx="22">
                  <c:v>17963.73</c:v>
                </c:pt>
                <c:pt idx="23">
                  <c:v>17810.099999999999</c:v>
                </c:pt>
                <c:pt idx="24">
                  <c:v>19654.830000000002</c:v>
                </c:pt>
              </c:numCache>
            </c:numRef>
          </c:val>
          <c:smooth val="0"/>
          <c:extLst>
            <c:ext xmlns:c16="http://schemas.microsoft.com/office/drawing/2014/chart" uri="{C3380CC4-5D6E-409C-BE32-E72D297353CC}">
              <c16:uniqueId val="{00000019-E33E-4016-BCC3-FAE787061E18}"/>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19000"/>
          <c:min val="800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900"/>
          <c:min val="3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0.22923230255315533"/>
          <c:y val="0.10527263863597912"/>
          <c:w val="0.56846383192083727"/>
          <c:h val="4.52712784335120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400" b="1" i="0" u="none" strike="noStrike" kern="1200" spc="0" baseline="0">
                <a:solidFill>
                  <a:sysClr val="windowText" lastClr="000000"/>
                </a:solidFill>
                <a:latin typeface="+mn-lt"/>
                <a:ea typeface="+mn-ea"/>
                <a:cs typeface="+mn-cs"/>
              </a:defRPr>
            </a:pPr>
            <a:r>
              <a:rPr lang="ru-RU" sz="2400" b="1" i="0" kern="1200" spc="0" baseline="0">
                <a:solidFill>
                  <a:srgbClr val="4CA2C1"/>
                </a:solidFill>
                <a:effectLst/>
              </a:rPr>
              <a:t>Середня зарплата в Україні в 2021/23 роках, грн, долл.</a:t>
            </a:r>
            <a:endParaRPr lang="ru-RU" sz="2400">
              <a:effectLst/>
            </a:endParaRPr>
          </a:p>
        </c:rich>
      </c:tx>
      <c:layout>
        <c:manualLayout>
          <c:xMode val="edge"/>
          <c:yMode val="edge"/>
          <c:x val="1.7966071920725291E-2"/>
          <c:y val="2.3320985453030341E-2"/>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1"/>
          <c:order val="1"/>
          <c:tx>
            <c:strRef>
              <c:f>'Прогноз Зарплати 2023'!$A$150</c:f>
              <c:strCache>
                <c:ptCount val="1"/>
                <c:pt idx="0">
                  <c:v>USD </c:v>
                </c:pt>
              </c:strCache>
            </c:strRef>
          </c:tx>
          <c:spPr>
            <a:solidFill>
              <a:schemeClr val="accent5">
                <a:lumMod val="40000"/>
                <a:lumOff val="60000"/>
              </a:schemeClr>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0-4649-477B-A8BE-4D1335BFBB45}"/>
                </c:ext>
              </c:extLst>
            </c:dLbl>
            <c:dLbl>
              <c:idx val="3"/>
              <c:delete val="1"/>
              <c:extLst>
                <c:ext xmlns:c15="http://schemas.microsoft.com/office/drawing/2012/chart" uri="{CE6537A1-D6FC-4f65-9D91-7224C49458BB}"/>
                <c:ext xmlns:c16="http://schemas.microsoft.com/office/drawing/2014/chart" uri="{C3380CC4-5D6E-409C-BE32-E72D297353CC}">
                  <c16:uniqueId val="{00000001-4649-477B-A8BE-4D1335BFBB45}"/>
                </c:ext>
              </c:extLst>
            </c:dLbl>
            <c:dLbl>
              <c:idx val="5"/>
              <c:delete val="1"/>
              <c:extLst>
                <c:ext xmlns:c15="http://schemas.microsoft.com/office/drawing/2012/chart" uri="{CE6537A1-D6FC-4f65-9D91-7224C49458BB}"/>
                <c:ext xmlns:c16="http://schemas.microsoft.com/office/drawing/2014/chart" uri="{C3380CC4-5D6E-409C-BE32-E72D297353CC}">
                  <c16:uniqueId val="{00000002-4649-477B-A8BE-4D1335BFBB45}"/>
                </c:ext>
              </c:extLst>
            </c:dLbl>
            <c:dLbl>
              <c:idx val="7"/>
              <c:delete val="1"/>
              <c:extLst>
                <c:ext xmlns:c15="http://schemas.microsoft.com/office/drawing/2012/chart" uri="{CE6537A1-D6FC-4f65-9D91-7224C49458BB}"/>
                <c:ext xmlns:c16="http://schemas.microsoft.com/office/drawing/2014/chart" uri="{C3380CC4-5D6E-409C-BE32-E72D297353CC}">
                  <c16:uniqueId val="{00000003-4649-477B-A8BE-4D1335BFBB45}"/>
                </c:ext>
              </c:extLst>
            </c:dLbl>
            <c:dLbl>
              <c:idx val="9"/>
              <c:delete val="1"/>
              <c:extLst>
                <c:ext xmlns:c15="http://schemas.microsoft.com/office/drawing/2012/chart" uri="{CE6537A1-D6FC-4f65-9D91-7224C49458BB}"/>
                <c:ext xmlns:c16="http://schemas.microsoft.com/office/drawing/2014/chart" uri="{C3380CC4-5D6E-409C-BE32-E72D297353CC}">
                  <c16:uniqueId val="{00000004-4649-477B-A8BE-4D1335BFBB45}"/>
                </c:ext>
              </c:extLst>
            </c:dLbl>
            <c:dLbl>
              <c:idx val="12"/>
              <c:delete val="1"/>
              <c:extLst>
                <c:ext xmlns:c15="http://schemas.microsoft.com/office/drawing/2012/chart" uri="{CE6537A1-D6FC-4f65-9D91-7224C49458BB}"/>
                <c:ext xmlns:c16="http://schemas.microsoft.com/office/drawing/2014/chart" uri="{C3380CC4-5D6E-409C-BE32-E72D297353CC}">
                  <c16:uniqueId val="{00000005-4649-477B-A8BE-4D1335BFBB45}"/>
                </c:ext>
              </c:extLst>
            </c:dLbl>
            <c:dLbl>
              <c:idx val="14"/>
              <c:delete val="1"/>
              <c:extLst>
                <c:ext xmlns:c15="http://schemas.microsoft.com/office/drawing/2012/chart" uri="{CE6537A1-D6FC-4f65-9D91-7224C49458BB}"/>
                <c:ext xmlns:c16="http://schemas.microsoft.com/office/drawing/2014/chart" uri="{C3380CC4-5D6E-409C-BE32-E72D297353CC}">
                  <c16:uniqueId val="{00000006-4649-477B-A8BE-4D1335BFBB45}"/>
                </c:ext>
              </c:extLst>
            </c:dLbl>
            <c:dLbl>
              <c:idx val="16"/>
              <c:delete val="1"/>
              <c:extLst>
                <c:ext xmlns:c15="http://schemas.microsoft.com/office/drawing/2012/chart" uri="{CE6537A1-D6FC-4f65-9D91-7224C49458BB}"/>
                <c:ext xmlns:c16="http://schemas.microsoft.com/office/drawing/2014/chart" uri="{C3380CC4-5D6E-409C-BE32-E72D297353CC}">
                  <c16:uniqueId val="{00000007-4649-477B-A8BE-4D1335BFBB45}"/>
                </c:ext>
              </c:extLst>
            </c:dLbl>
            <c:dLbl>
              <c:idx val="19"/>
              <c:delete val="1"/>
              <c:extLst>
                <c:ext xmlns:c15="http://schemas.microsoft.com/office/drawing/2012/chart" uri="{CE6537A1-D6FC-4f65-9D91-7224C49458BB}"/>
                <c:ext xmlns:c16="http://schemas.microsoft.com/office/drawing/2014/chart" uri="{C3380CC4-5D6E-409C-BE32-E72D297353CC}">
                  <c16:uniqueId val="{00000008-4649-477B-A8BE-4D1335BFBB45}"/>
                </c:ext>
              </c:extLst>
            </c:dLbl>
            <c:dLbl>
              <c:idx val="21"/>
              <c:delete val="1"/>
              <c:extLst>
                <c:ext xmlns:c15="http://schemas.microsoft.com/office/drawing/2012/chart" uri="{CE6537A1-D6FC-4f65-9D91-7224C49458BB}"/>
                <c:ext xmlns:c16="http://schemas.microsoft.com/office/drawing/2014/chart" uri="{C3380CC4-5D6E-409C-BE32-E72D297353CC}">
                  <c16:uniqueId val="{00000009-4649-477B-A8BE-4D1335BFBB45}"/>
                </c:ext>
              </c:extLst>
            </c:dLbl>
            <c:dLbl>
              <c:idx val="24"/>
              <c:delete val="1"/>
              <c:extLst>
                <c:ext xmlns:c15="http://schemas.microsoft.com/office/drawing/2012/chart" uri="{CE6537A1-D6FC-4f65-9D91-7224C49458BB}"/>
                <c:ext xmlns:c16="http://schemas.microsoft.com/office/drawing/2014/chart" uri="{C3380CC4-5D6E-409C-BE32-E72D297353CC}">
                  <c16:uniqueId val="{0000000A-4649-477B-A8BE-4D1335BFBB45}"/>
                </c:ext>
              </c:extLst>
            </c:dLbl>
            <c:dLbl>
              <c:idx val="27"/>
              <c:delete val="1"/>
              <c:extLst>
                <c:ext xmlns:c15="http://schemas.microsoft.com/office/drawing/2012/chart" uri="{CE6537A1-D6FC-4f65-9D91-7224C49458BB}"/>
                <c:ext xmlns:c16="http://schemas.microsoft.com/office/drawing/2014/chart" uri="{C3380CC4-5D6E-409C-BE32-E72D297353CC}">
                  <c16:uniqueId val="{0000000B-4649-477B-A8BE-4D1335BFBB45}"/>
                </c:ext>
              </c:extLst>
            </c:dLbl>
            <c:dLbl>
              <c:idx val="29"/>
              <c:delete val="1"/>
              <c:extLst>
                <c:ext xmlns:c15="http://schemas.microsoft.com/office/drawing/2012/chart" uri="{CE6537A1-D6FC-4f65-9D91-7224C49458BB}"/>
                <c:ext xmlns:c16="http://schemas.microsoft.com/office/drawing/2014/chart" uri="{C3380CC4-5D6E-409C-BE32-E72D297353CC}">
                  <c16:uniqueId val="{0000000C-4649-477B-A8BE-4D1335BFBB45}"/>
                </c:ext>
              </c:extLst>
            </c:dLbl>
            <c:dLbl>
              <c:idx val="31"/>
              <c:delete val="1"/>
              <c:extLst>
                <c:ext xmlns:c15="http://schemas.microsoft.com/office/drawing/2012/chart" uri="{CE6537A1-D6FC-4f65-9D91-7224C49458BB}"/>
                <c:ext xmlns:c16="http://schemas.microsoft.com/office/drawing/2014/chart" uri="{C3380CC4-5D6E-409C-BE32-E72D297353CC}">
                  <c16:uniqueId val="{0000000D-4649-477B-A8BE-4D1335BFBB45}"/>
                </c:ext>
              </c:extLst>
            </c:dLbl>
            <c:dLbl>
              <c:idx val="33"/>
              <c:delete val="1"/>
              <c:extLst>
                <c:ext xmlns:c15="http://schemas.microsoft.com/office/drawing/2012/chart" uri="{CE6537A1-D6FC-4f65-9D91-7224C49458BB}"/>
                <c:ext xmlns:c16="http://schemas.microsoft.com/office/drawing/2014/chart" uri="{C3380CC4-5D6E-409C-BE32-E72D297353CC}">
                  <c16:uniqueId val="{0000000E-4649-477B-A8BE-4D1335BFBB4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2023'!$N$131:$AW$131</c:f>
              <c:numCache>
                <c:formatCode>_(* #\ ##0_);_(* \(#\ ##0\);_(* "-"??_);_(@_)</c:formatCode>
                <c:ptCount val="36"/>
                <c:pt idx="0">
                  <c:v>437.17576638387527</c:v>
                </c:pt>
                <c:pt idx="1">
                  <c:v>450.03237186855824</c:v>
                </c:pt>
                <c:pt idx="2">
                  <c:v>489.71853590437973</c:v>
                </c:pt>
                <c:pt idx="3">
                  <c:v>484.89079842463303</c:v>
                </c:pt>
                <c:pt idx="4">
                  <c:v>489.09420289855069</c:v>
                </c:pt>
                <c:pt idx="5">
                  <c:v>525.44297195704064</c:v>
                </c:pt>
                <c:pt idx="6">
                  <c:v>527.10777323798527</c:v>
                </c:pt>
                <c:pt idx="7">
                  <c:v>523.05680119581461</c:v>
                </c:pt>
                <c:pt idx="8">
                  <c:v>532.66221927987112</c:v>
                </c:pt>
                <c:pt idx="9">
                  <c:v>532.61281759575274</c:v>
                </c:pt>
                <c:pt idx="10">
                  <c:v>539.96219281663514</c:v>
                </c:pt>
                <c:pt idx="11">
                  <c:v>641.41859610437336</c:v>
                </c:pt>
                <c:pt idx="12">
                  <c:v>520.97927090779126</c:v>
                </c:pt>
                <c:pt idx="13">
                  <c:v>509.07429880100358</c:v>
                </c:pt>
                <c:pt idx="14">
                  <c:v>505.2105484476819</c:v>
                </c:pt>
                <c:pt idx="15">
                  <c:v>471.7244754514366</c:v>
                </c:pt>
                <c:pt idx="16">
                  <c:v>466.3658097443041</c:v>
                </c:pt>
                <c:pt idx="17">
                  <c:v>469.36083438424225</c:v>
                </c:pt>
                <c:pt idx="18">
                  <c:v>397.43643831285976</c:v>
                </c:pt>
                <c:pt idx="19">
                  <c:v>401.43916096836119</c:v>
                </c:pt>
                <c:pt idx="20">
                  <c:v>400.40795106389305</c:v>
                </c:pt>
                <c:pt idx="21">
                  <c:v>445.3256342741177</c:v>
                </c:pt>
                <c:pt idx="22">
                  <c:v>449.74106509284508</c:v>
                </c:pt>
                <c:pt idx="23">
                  <c:v>456.62913717005983</c:v>
                </c:pt>
                <c:pt idx="24">
                  <c:v>417.86300161192986</c:v>
                </c:pt>
                <c:pt idx="25">
                  <c:v>422.25887911052553</c:v>
                </c:pt>
                <c:pt idx="26">
                  <c:v>426.1588801839747</c:v>
                </c:pt>
                <c:pt idx="27">
                  <c:v>463.13311048283276</c:v>
                </c:pt>
                <c:pt idx="28">
                  <c:v>469.07700312251023</c:v>
                </c:pt>
                <c:pt idx="29">
                  <c:v>476.80983432364405</c:v>
                </c:pt>
                <c:pt idx="30">
                  <c:v>479.03418102269615</c:v>
                </c:pt>
                <c:pt idx="31">
                  <c:v>476.88460486737767</c:v>
                </c:pt>
                <c:pt idx="32">
                  <c:v>485.52502050861364</c:v>
                </c:pt>
                <c:pt idx="33">
                  <c:v>491.90158004571197</c:v>
                </c:pt>
                <c:pt idx="34">
                  <c:v>489.28477469184526</c:v>
                </c:pt>
                <c:pt idx="35">
                  <c:v>535.24038449333057</c:v>
                </c:pt>
              </c:numCache>
            </c:numRef>
          </c:val>
          <c:extLst>
            <c:ext xmlns:c16="http://schemas.microsoft.com/office/drawing/2014/chart" uri="{C3380CC4-5D6E-409C-BE32-E72D297353CC}">
              <c16:uniqueId val="{0000000F-4649-477B-A8BE-4D1335BFBB45}"/>
            </c:ext>
          </c:extLst>
        </c:ser>
        <c:dLbls>
          <c:showLegendKey val="0"/>
          <c:showVal val="0"/>
          <c:showCatName val="0"/>
          <c:showSerName val="0"/>
          <c:showPercent val="0"/>
          <c:showBubbleSize val="0"/>
        </c:dLbls>
        <c:gapWidth val="150"/>
        <c:axId val="554919048"/>
        <c:axId val="554922248"/>
        <c:extLst>
          <c:ext xmlns:c15="http://schemas.microsoft.com/office/drawing/2012/chart" uri="{02D57815-91ED-43cb-92C2-25804820EDAC}">
            <c15:filteredBarSeries>
              <c15:ser>
                <c:idx val="2"/>
                <c:order val="2"/>
                <c:tx>
                  <c:strRef>
                    <c:extLst>
                      <c:ext uri="{02D57815-91ED-43cb-92C2-25804820EDAC}">
                        <c15:formulaRef>
                          <c15:sqref>'Прогноз Зарплати 2023'!$A$132</c15:sqref>
                        </c15:formulaRef>
                      </c:ext>
                    </c:extLst>
                    <c:strCache>
                      <c:ptCount val="1"/>
                      <c:pt idx="0">
                        <c:v>USD (сценарій 2)</c:v>
                      </c:pt>
                    </c:strCache>
                  </c:strRef>
                </c:tx>
                <c:spPr>
                  <a:solidFill>
                    <a:schemeClr val="accent2">
                      <a:lumMod val="60000"/>
                      <a:lumOff val="40000"/>
                    </a:schemeClr>
                  </a:solidFill>
                  <a:ln>
                    <a:noFill/>
                  </a:ln>
                  <a:effectLst/>
                </c:spPr>
                <c:invertIfNegative val="0"/>
                <c:dLbls>
                  <c:dLbl>
                    <c:idx val="0"/>
                    <c:layout>
                      <c:manualLayout>
                        <c:x val="2.8852464776706358E-3"/>
                        <c:y val="-7.0786050007310136E-17"/>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29-4649-477B-A8BE-4D1335BFBB45}"/>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'Прогноз Зарплати 2023'!$N$127:$AW$128</c15:sqref>
                        </c15:formulaRef>
                      </c:ext>
                    </c:extLst>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extLst>
                      <c:ext uri="{02D57815-91ED-43cb-92C2-25804820EDAC}">
                        <c15:formulaRef>
                          <c15:sqref>'Прогноз Зарплати 2023'!$AL$132:$AW$132</c15:sqref>
                        </c15:formulaRef>
                      </c:ext>
                    </c:extLst>
                    <c:numCache>
                      <c:formatCode>_-* #\ ##0\ _₴_-;\-* #\ ##0\ _₴_-;_-* "-"?\ _₴_-;_-@_-</c:formatCode>
                      <c:ptCount val="12"/>
                      <c:pt idx="0">
                        <c:v>417.86300161192986</c:v>
                      </c:pt>
                      <c:pt idx="1">
                        <c:v>422.25887911052553</c:v>
                      </c:pt>
                      <c:pt idx="2">
                        <c:v>426.1588801839747</c:v>
                      </c:pt>
                      <c:pt idx="3">
                        <c:v>463.13311048283276</c:v>
                      </c:pt>
                      <c:pt idx="4">
                        <c:v>469.07700312251023</c:v>
                      </c:pt>
                      <c:pt idx="5">
                        <c:v>476.80983432364405</c:v>
                      </c:pt>
                      <c:pt idx="6">
                        <c:v>456.27075585940645</c:v>
                      </c:pt>
                      <c:pt idx="7">
                        <c:v>445.27284868919793</c:v>
                      </c:pt>
                      <c:pt idx="8">
                        <c:v>450.35166776776026</c:v>
                      </c:pt>
                      <c:pt idx="9">
                        <c:v>447.82503126516718</c:v>
                      </c:pt>
                      <c:pt idx="10">
                        <c:v>442.2095693878191</c:v>
                      </c:pt>
                      <c:pt idx="11">
                        <c:v>482.60636073389554</c:v>
                      </c:pt>
                    </c:numCache>
                  </c:numRef>
                </c:val>
                <c:extLst>
                  <c:ext xmlns:c16="http://schemas.microsoft.com/office/drawing/2014/chart" uri="{C3380CC4-5D6E-409C-BE32-E72D297353CC}">
                    <c16:uniqueId val="{0000002A-4649-477B-A8BE-4D1335BFBB45}"/>
                  </c:ext>
                </c:extLst>
              </c15:ser>
            </c15:filteredBarSeries>
          </c:ext>
        </c:extLst>
      </c:barChart>
      <c:lineChart>
        <c:grouping val="standard"/>
        <c:varyColors val="0"/>
        <c:ser>
          <c:idx val="0"/>
          <c:order val="0"/>
          <c:tx>
            <c:strRef>
              <c:f>'Прогноз Зарплати 2023'!$A$143</c:f>
              <c:strCache>
                <c:ptCount val="1"/>
                <c:pt idx="0">
                  <c:v>UAH</c:v>
                </c:pt>
              </c:strCache>
            </c:strRef>
          </c:tx>
          <c:spPr>
            <a:ln w="28575" cap="rnd">
              <a:solidFill>
                <a:schemeClr val="accent5"/>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0-4649-477B-A8BE-4D1335BFBB45}"/>
                </c:ext>
              </c:extLst>
            </c:dLbl>
            <c:dLbl>
              <c:idx val="3"/>
              <c:delete val="1"/>
              <c:extLst>
                <c:ext xmlns:c15="http://schemas.microsoft.com/office/drawing/2012/chart" uri="{CE6537A1-D6FC-4f65-9D91-7224C49458BB}"/>
                <c:ext xmlns:c16="http://schemas.microsoft.com/office/drawing/2014/chart" uri="{C3380CC4-5D6E-409C-BE32-E72D297353CC}">
                  <c16:uniqueId val="{00000011-4649-477B-A8BE-4D1335BFBB45}"/>
                </c:ext>
              </c:extLst>
            </c:dLbl>
            <c:dLbl>
              <c:idx val="4"/>
              <c:delete val="1"/>
              <c:extLst>
                <c:ext xmlns:c15="http://schemas.microsoft.com/office/drawing/2012/chart" uri="{CE6537A1-D6FC-4f65-9D91-7224C49458BB}"/>
                <c:ext xmlns:c16="http://schemas.microsoft.com/office/drawing/2014/chart" uri="{C3380CC4-5D6E-409C-BE32-E72D297353CC}">
                  <c16:uniqueId val="{00000012-4649-477B-A8BE-4D1335BFBB45}"/>
                </c:ext>
              </c:extLst>
            </c:dLbl>
            <c:dLbl>
              <c:idx val="6"/>
              <c:delete val="1"/>
              <c:extLst>
                <c:ext xmlns:c15="http://schemas.microsoft.com/office/drawing/2012/chart" uri="{CE6537A1-D6FC-4f65-9D91-7224C49458BB}"/>
                <c:ext xmlns:c16="http://schemas.microsoft.com/office/drawing/2014/chart" uri="{C3380CC4-5D6E-409C-BE32-E72D297353CC}">
                  <c16:uniqueId val="{00000013-4649-477B-A8BE-4D1335BFBB45}"/>
                </c:ext>
              </c:extLst>
            </c:dLbl>
            <c:dLbl>
              <c:idx val="7"/>
              <c:delete val="1"/>
              <c:extLst>
                <c:ext xmlns:c15="http://schemas.microsoft.com/office/drawing/2012/chart" uri="{CE6537A1-D6FC-4f65-9D91-7224C49458BB}"/>
                <c:ext xmlns:c16="http://schemas.microsoft.com/office/drawing/2014/chart" uri="{C3380CC4-5D6E-409C-BE32-E72D297353CC}">
                  <c16:uniqueId val="{00000014-4649-477B-A8BE-4D1335BFBB45}"/>
                </c:ext>
              </c:extLst>
            </c:dLbl>
            <c:dLbl>
              <c:idx val="9"/>
              <c:delete val="1"/>
              <c:extLst>
                <c:ext xmlns:c15="http://schemas.microsoft.com/office/drawing/2012/chart" uri="{CE6537A1-D6FC-4f65-9D91-7224C49458BB}"/>
                <c:ext xmlns:c16="http://schemas.microsoft.com/office/drawing/2014/chart" uri="{C3380CC4-5D6E-409C-BE32-E72D297353CC}">
                  <c16:uniqueId val="{00000015-4649-477B-A8BE-4D1335BFBB45}"/>
                </c:ext>
              </c:extLst>
            </c:dLbl>
            <c:dLbl>
              <c:idx val="10"/>
              <c:delete val="1"/>
              <c:extLst>
                <c:ext xmlns:c15="http://schemas.microsoft.com/office/drawing/2012/chart" uri="{CE6537A1-D6FC-4f65-9D91-7224C49458BB}"/>
                <c:ext xmlns:c16="http://schemas.microsoft.com/office/drawing/2014/chart" uri="{C3380CC4-5D6E-409C-BE32-E72D297353CC}">
                  <c16:uniqueId val="{00000016-4649-477B-A8BE-4D1335BFBB45}"/>
                </c:ext>
              </c:extLst>
            </c:dLbl>
            <c:dLbl>
              <c:idx val="12"/>
              <c:delete val="1"/>
              <c:extLst>
                <c:ext xmlns:c15="http://schemas.microsoft.com/office/drawing/2012/chart" uri="{CE6537A1-D6FC-4f65-9D91-7224C49458BB}"/>
                <c:ext xmlns:c16="http://schemas.microsoft.com/office/drawing/2014/chart" uri="{C3380CC4-5D6E-409C-BE32-E72D297353CC}">
                  <c16:uniqueId val="{00000017-4649-477B-A8BE-4D1335BFBB45}"/>
                </c:ext>
              </c:extLst>
            </c:dLbl>
            <c:dLbl>
              <c:idx val="14"/>
              <c:delete val="1"/>
              <c:extLst>
                <c:ext xmlns:c15="http://schemas.microsoft.com/office/drawing/2012/chart" uri="{CE6537A1-D6FC-4f65-9D91-7224C49458BB}"/>
                <c:ext xmlns:c16="http://schemas.microsoft.com/office/drawing/2014/chart" uri="{C3380CC4-5D6E-409C-BE32-E72D297353CC}">
                  <c16:uniqueId val="{00000018-4649-477B-A8BE-4D1335BFBB45}"/>
                </c:ext>
              </c:extLst>
            </c:dLbl>
            <c:dLbl>
              <c:idx val="15"/>
              <c:delete val="1"/>
              <c:extLst>
                <c:ext xmlns:c15="http://schemas.microsoft.com/office/drawing/2012/chart" uri="{CE6537A1-D6FC-4f65-9D91-7224C49458BB}"/>
                <c:ext xmlns:c16="http://schemas.microsoft.com/office/drawing/2014/chart" uri="{C3380CC4-5D6E-409C-BE32-E72D297353CC}">
                  <c16:uniqueId val="{00000019-4649-477B-A8BE-4D1335BFBB45}"/>
                </c:ext>
              </c:extLst>
            </c:dLbl>
            <c:dLbl>
              <c:idx val="16"/>
              <c:delete val="1"/>
              <c:extLst>
                <c:ext xmlns:c15="http://schemas.microsoft.com/office/drawing/2012/chart" uri="{CE6537A1-D6FC-4f65-9D91-7224C49458BB}"/>
                <c:ext xmlns:c16="http://schemas.microsoft.com/office/drawing/2014/chart" uri="{C3380CC4-5D6E-409C-BE32-E72D297353CC}">
                  <c16:uniqueId val="{0000001A-4649-477B-A8BE-4D1335BFBB45}"/>
                </c:ext>
              </c:extLst>
            </c:dLbl>
            <c:dLbl>
              <c:idx val="18"/>
              <c:delete val="1"/>
              <c:extLst>
                <c:ext xmlns:c15="http://schemas.microsoft.com/office/drawing/2012/chart" uri="{CE6537A1-D6FC-4f65-9D91-7224C49458BB}"/>
                <c:ext xmlns:c16="http://schemas.microsoft.com/office/drawing/2014/chart" uri="{C3380CC4-5D6E-409C-BE32-E72D297353CC}">
                  <c16:uniqueId val="{0000001B-4649-477B-A8BE-4D1335BFBB45}"/>
                </c:ext>
              </c:extLst>
            </c:dLbl>
            <c:dLbl>
              <c:idx val="19"/>
              <c:delete val="1"/>
              <c:extLst>
                <c:ext xmlns:c15="http://schemas.microsoft.com/office/drawing/2012/chart" uri="{CE6537A1-D6FC-4f65-9D91-7224C49458BB}"/>
                <c:ext xmlns:c16="http://schemas.microsoft.com/office/drawing/2014/chart" uri="{C3380CC4-5D6E-409C-BE32-E72D297353CC}">
                  <c16:uniqueId val="{0000001C-4649-477B-A8BE-4D1335BFBB45}"/>
                </c:ext>
              </c:extLst>
            </c:dLbl>
            <c:dLbl>
              <c:idx val="21"/>
              <c:delete val="1"/>
              <c:extLst>
                <c:ext xmlns:c15="http://schemas.microsoft.com/office/drawing/2012/chart" uri="{CE6537A1-D6FC-4f65-9D91-7224C49458BB}"/>
                <c:ext xmlns:c16="http://schemas.microsoft.com/office/drawing/2014/chart" uri="{C3380CC4-5D6E-409C-BE32-E72D297353CC}">
                  <c16:uniqueId val="{0000001D-4649-477B-A8BE-4D1335BFBB45}"/>
                </c:ext>
              </c:extLst>
            </c:dLbl>
            <c:dLbl>
              <c:idx val="22"/>
              <c:delete val="1"/>
              <c:extLst>
                <c:ext xmlns:c15="http://schemas.microsoft.com/office/drawing/2012/chart" uri="{CE6537A1-D6FC-4f65-9D91-7224C49458BB}"/>
                <c:ext xmlns:c16="http://schemas.microsoft.com/office/drawing/2014/chart" uri="{C3380CC4-5D6E-409C-BE32-E72D297353CC}">
                  <c16:uniqueId val="{0000001E-4649-477B-A8BE-4D1335BFBB45}"/>
                </c:ext>
              </c:extLst>
            </c:dLbl>
            <c:dLbl>
              <c:idx val="24"/>
              <c:delete val="1"/>
              <c:extLst>
                <c:ext xmlns:c15="http://schemas.microsoft.com/office/drawing/2012/chart" uri="{CE6537A1-D6FC-4f65-9D91-7224C49458BB}"/>
                <c:ext xmlns:c16="http://schemas.microsoft.com/office/drawing/2014/chart" uri="{C3380CC4-5D6E-409C-BE32-E72D297353CC}">
                  <c16:uniqueId val="{0000001F-4649-477B-A8BE-4D1335BFBB45}"/>
                </c:ext>
              </c:extLst>
            </c:dLbl>
            <c:dLbl>
              <c:idx val="25"/>
              <c:delete val="1"/>
              <c:extLst>
                <c:ext xmlns:c15="http://schemas.microsoft.com/office/drawing/2012/chart" uri="{CE6537A1-D6FC-4f65-9D91-7224C49458BB}"/>
                <c:ext xmlns:c16="http://schemas.microsoft.com/office/drawing/2014/chart" uri="{C3380CC4-5D6E-409C-BE32-E72D297353CC}">
                  <c16:uniqueId val="{00000020-4649-477B-A8BE-4D1335BFBB45}"/>
                </c:ext>
              </c:extLst>
            </c:dLbl>
            <c:dLbl>
              <c:idx val="27"/>
              <c:delete val="1"/>
              <c:extLst>
                <c:ext xmlns:c15="http://schemas.microsoft.com/office/drawing/2012/chart" uri="{CE6537A1-D6FC-4f65-9D91-7224C49458BB}"/>
                <c:ext xmlns:c16="http://schemas.microsoft.com/office/drawing/2014/chart" uri="{C3380CC4-5D6E-409C-BE32-E72D297353CC}">
                  <c16:uniqueId val="{00000021-4649-477B-A8BE-4D1335BFBB45}"/>
                </c:ext>
              </c:extLst>
            </c:dLbl>
            <c:dLbl>
              <c:idx val="28"/>
              <c:delete val="1"/>
              <c:extLst>
                <c:ext xmlns:c15="http://schemas.microsoft.com/office/drawing/2012/chart" uri="{CE6537A1-D6FC-4f65-9D91-7224C49458BB}"/>
                <c:ext xmlns:c16="http://schemas.microsoft.com/office/drawing/2014/chart" uri="{C3380CC4-5D6E-409C-BE32-E72D297353CC}">
                  <c16:uniqueId val="{00000022-4649-477B-A8BE-4D1335BFBB45}"/>
                </c:ext>
              </c:extLst>
            </c:dLbl>
            <c:dLbl>
              <c:idx val="30"/>
              <c:delete val="1"/>
              <c:extLst>
                <c:ext xmlns:c15="http://schemas.microsoft.com/office/drawing/2012/chart" uri="{CE6537A1-D6FC-4f65-9D91-7224C49458BB}"/>
                <c:ext xmlns:c16="http://schemas.microsoft.com/office/drawing/2014/chart" uri="{C3380CC4-5D6E-409C-BE32-E72D297353CC}">
                  <c16:uniqueId val="{00000023-4649-477B-A8BE-4D1335BFBB45}"/>
                </c:ext>
              </c:extLst>
            </c:dLbl>
            <c:dLbl>
              <c:idx val="31"/>
              <c:delete val="1"/>
              <c:extLst>
                <c:ext xmlns:c15="http://schemas.microsoft.com/office/drawing/2012/chart" uri="{CE6537A1-D6FC-4f65-9D91-7224C49458BB}"/>
                <c:ext xmlns:c16="http://schemas.microsoft.com/office/drawing/2014/chart" uri="{C3380CC4-5D6E-409C-BE32-E72D297353CC}">
                  <c16:uniqueId val="{00000024-4649-477B-A8BE-4D1335BFBB45}"/>
                </c:ext>
              </c:extLst>
            </c:dLbl>
            <c:dLbl>
              <c:idx val="32"/>
              <c:layout>
                <c:manualLayout>
                  <c:x val="-1.0686810718933468E-2"/>
                  <c:y val="-3.33787605549215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4649-477B-A8BE-4D1335BFBB45}"/>
                </c:ext>
              </c:extLst>
            </c:dLbl>
            <c:dLbl>
              <c:idx val="33"/>
              <c:delete val="1"/>
              <c:extLst>
                <c:ext xmlns:c15="http://schemas.microsoft.com/office/drawing/2012/chart" uri="{CE6537A1-D6FC-4f65-9D91-7224C49458BB}"/>
                <c:ext xmlns:c16="http://schemas.microsoft.com/office/drawing/2014/chart" uri="{C3380CC4-5D6E-409C-BE32-E72D297353CC}">
                  <c16:uniqueId val="{00000026-4649-477B-A8BE-4D1335BFBB45}"/>
                </c:ext>
              </c:extLst>
            </c:dLbl>
            <c:dLbl>
              <c:idx val="34"/>
              <c:delete val="1"/>
              <c:extLst>
                <c:ext xmlns:c15="http://schemas.microsoft.com/office/drawing/2012/chart" uri="{CE6537A1-D6FC-4f65-9D91-7224C49458BB}"/>
                <c:ext xmlns:c16="http://schemas.microsoft.com/office/drawing/2014/chart" uri="{C3380CC4-5D6E-409C-BE32-E72D297353CC}">
                  <c16:uniqueId val="{00000027-4649-477B-A8BE-4D1335BFBB4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2023'!$N$129:$AW$129</c:f>
              <c:numCache>
                <c:formatCode>_(* #\ ##0_);_(* \(#\ ##0\);_(* "-"??_);_(@_)</c:formatCode>
                <c:ptCount val="36"/>
                <c:pt idx="0">
                  <c:v>12337</c:v>
                </c:pt>
                <c:pt idx="1">
                  <c:v>12549</c:v>
                </c:pt>
                <c:pt idx="2">
                  <c:v>13612</c:v>
                </c:pt>
                <c:pt idx="3">
                  <c:v>13543</c:v>
                </c:pt>
                <c:pt idx="4">
                  <c:v>13499</c:v>
                </c:pt>
                <c:pt idx="5">
                  <c:v>14313</c:v>
                </c:pt>
                <c:pt idx="6">
                  <c:v>14345</c:v>
                </c:pt>
                <c:pt idx="7">
                  <c:v>13997</c:v>
                </c:pt>
                <c:pt idx="8">
                  <c:v>14239</c:v>
                </c:pt>
                <c:pt idx="9">
                  <c:v>14045</c:v>
                </c:pt>
                <c:pt idx="10">
                  <c:v>14282</c:v>
                </c:pt>
                <c:pt idx="11">
                  <c:v>17453</c:v>
                </c:pt>
                <c:pt idx="12">
                  <c:v>14577</c:v>
                </c:pt>
                <c:pt idx="13">
                  <c:v>14462.800828936512</c:v>
                </c:pt>
                <c:pt idx="14">
                  <c:v>14777.408542094696</c:v>
                </c:pt>
                <c:pt idx="15">
                  <c:v>13797.94090695452</c:v>
                </c:pt>
                <c:pt idx="16">
                  <c:v>13641.199935020895</c:v>
                </c:pt>
                <c:pt idx="17">
                  <c:v>13728.804405739085</c:v>
                </c:pt>
                <c:pt idx="18">
                  <c:v>14534.250549101282</c:v>
                </c:pt>
                <c:pt idx="19">
                  <c:v>14680.630116612969</c:v>
                </c:pt>
                <c:pt idx="20">
                  <c:v>14642.918770406568</c:v>
                </c:pt>
                <c:pt idx="21">
                  <c:v>16285.558445404484</c:v>
                </c:pt>
                <c:pt idx="22">
                  <c:v>16447.030750445345</c:v>
                </c:pt>
                <c:pt idx="23">
                  <c:v>16698.927546309089</c:v>
                </c:pt>
                <c:pt idx="24">
                  <c:v>15281.249968948276</c:v>
                </c:pt>
                <c:pt idx="25">
                  <c:v>15442.007209071919</c:v>
                </c:pt>
                <c:pt idx="26">
                  <c:v>15584.630248327954</c:v>
                </c:pt>
                <c:pt idx="27">
                  <c:v>16936.777850357194</c:v>
                </c:pt>
                <c:pt idx="28">
                  <c:v>17154.146004190199</c:v>
                </c:pt>
                <c:pt idx="29">
                  <c:v>17436.935641215663</c:v>
                </c:pt>
                <c:pt idx="30">
                  <c:v>17518.28</c:v>
                </c:pt>
                <c:pt idx="31">
                  <c:v>17439.670000000002</c:v>
                </c:pt>
                <c:pt idx="32">
                  <c:v>17755.650000000001</c:v>
                </c:pt>
                <c:pt idx="33">
                  <c:v>17963.73</c:v>
                </c:pt>
                <c:pt idx="34">
                  <c:v>17810.099999999999</c:v>
                </c:pt>
                <c:pt idx="35">
                  <c:v>19654.830000000002</c:v>
                </c:pt>
              </c:numCache>
            </c:numRef>
          </c:val>
          <c:smooth val="0"/>
          <c:extLst>
            <c:ext xmlns:c16="http://schemas.microsoft.com/office/drawing/2014/chart" uri="{C3380CC4-5D6E-409C-BE32-E72D297353CC}">
              <c16:uniqueId val="{00000028-4649-477B-A8BE-4D1335BFBB45}"/>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19000"/>
          <c:min val="800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900"/>
          <c:min val="3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0.22923230255315533"/>
          <c:y val="0.10527263863597912"/>
          <c:w val="0.56846383192083727"/>
          <c:h val="4.52712784335120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400" b="1" i="0" u="none" strike="noStrike" kern="1200" spc="0" baseline="0">
                <a:solidFill>
                  <a:sysClr val="windowText" lastClr="000000"/>
                </a:solidFill>
                <a:latin typeface="+mn-lt"/>
                <a:ea typeface="+mn-ea"/>
                <a:cs typeface="+mn-cs"/>
              </a:defRPr>
            </a:pPr>
            <a:r>
              <a:rPr lang="ru-RU" sz="2400" b="1" i="0" kern="1200" spc="0" baseline="0">
                <a:solidFill>
                  <a:srgbClr val="4CA2C1"/>
                </a:solidFill>
                <a:effectLst/>
              </a:rPr>
              <a:t>Середня зарплата в Україні в 2021/23 роках, грн, долл.</a:t>
            </a:r>
            <a:endParaRPr lang="ru-RU" sz="2400">
              <a:effectLst/>
            </a:endParaRPr>
          </a:p>
        </c:rich>
      </c:tx>
      <c:layout>
        <c:manualLayout>
          <c:xMode val="edge"/>
          <c:yMode val="edge"/>
          <c:x val="1.7966071920725291E-2"/>
          <c:y val="2.3320985453030341E-2"/>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1"/>
          <c:order val="1"/>
          <c:tx>
            <c:strRef>
              <c:f>'Прогноз Зарплати 2023'!$A$150</c:f>
              <c:strCache>
                <c:ptCount val="1"/>
                <c:pt idx="0">
                  <c:v>USD </c:v>
                </c:pt>
              </c:strCache>
            </c:strRef>
          </c:tx>
          <c:spPr>
            <a:solidFill>
              <a:schemeClr val="accent5">
                <a:lumMod val="40000"/>
                <a:lumOff val="60000"/>
              </a:schemeClr>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0-338A-436C-BDF7-FDDCE90F33D3}"/>
                </c:ext>
              </c:extLst>
            </c:dLbl>
            <c:dLbl>
              <c:idx val="3"/>
              <c:delete val="1"/>
              <c:extLst>
                <c:ext xmlns:c15="http://schemas.microsoft.com/office/drawing/2012/chart" uri="{CE6537A1-D6FC-4f65-9D91-7224C49458BB}"/>
                <c:ext xmlns:c16="http://schemas.microsoft.com/office/drawing/2014/chart" uri="{C3380CC4-5D6E-409C-BE32-E72D297353CC}">
                  <c16:uniqueId val="{00000001-338A-436C-BDF7-FDDCE90F33D3}"/>
                </c:ext>
              </c:extLst>
            </c:dLbl>
            <c:dLbl>
              <c:idx val="5"/>
              <c:delete val="1"/>
              <c:extLst>
                <c:ext xmlns:c15="http://schemas.microsoft.com/office/drawing/2012/chart" uri="{CE6537A1-D6FC-4f65-9D91-7224C49458BB}"/>
                <c:ext xmlns:c16="http://schemas.microsoft.com/office/drawing/2014/chart" uri="{C3380CC4-5D6E-409C-BE32-E72D297353CC}">
                  <c16:uniqueId val="{00000002-338A-436C-BDF7-FDDCE90F33D3}"/>
                </c:ext>
              </c:extLst>
            </c:dLbl>
            <c:dLbl>
              <c:idx val="7"/>
              <c:delete val="1"/>
              <c:extLst>
                <c:ext xmlns:c15="http://schemas.microsoft.com/office/drawing/2012/chart" uri="{CE6537A1-D6FC-4f65-9D91-7224C49458BB}"/>
                <c:ext xmlns:c16="http://schemas.microsoft.com/office/drawing/2014/chart" uri="{C3380CC4-5D6E-409C-BE32-E72D297353CC}">
                  <c16:uniqueId val="{00000003-338A-436C-BDF7-FDDCE90F33D3}"/>
                </c:ext>
              </c:extLst>
            </c:dLbl>
            <c:dLbl>
              <c:idx val="9"/>
              <c:delete val="1"/>
              <c:extLst>
                <c:ext xmlns:c15="http://schemas.microsoft.com/office/drawing/2012/chart" uri="{CE6537A1-D6FC-4f65-9D91-7224C49458BB}"/>
                <c:ext xmlns:c16="http://schemas.microsoft.com/office/drawing/2014/chart" uri="{C3380CC4-5D6E-409C-BE32-E72D297353CC}">
                  <c16:uniqueId val="{00000004-338A-436C-BDF7-FDDCE90F33D3}"/>
                </c:ext>
              </c:extLst>
            </c:dLbl>
            <c:dLbl>
              <c:idx val="12"/>
              <c:delete val="1"/>
              <c:extLst>
                <c:ext xmlns:c15="http://schemas.microsoft.com/office/drawing/2012/chart" uri="{CE6537A1-D6FC-4f65-9D91-7224C49458BB}"/>
                <c:ext xmlns:c16="http://schemas.microsoft.com/office/drawing/2014/chart" uri="{C3380CC4-5D6E-409C-BE32-E72D297353CC}">
                  <c16:uniqueId val="{00000005-338A-436C-BDF7-FDDCE90F33D3}"/>
                </c:ext>
              </c:extLst>
            </c:dLbl>
            <c:dLbl>
              <c:idx val="14"/>
              <c:delete val="1"/>
              <c:extLst>
                <c:ext xmlns:c15="http://schemas.microsoft.com/office/drawing/2012/chart" uri="{CE6537A1-D6FC-4f65-9D91-7224C49458BB}"/>
                <c:ext xmlns:c16="http://schemas.microsoft.com/office/drawing/2014/chart" uri="{C3380CC4-5D6E-409C-BE32-E72D297353CC}">
                  <c16:uniqueId val="{00000006-338A-436C-BDF7-FDDCE90F33D3}"/>
                </c:ext>
              </c:extLst>
            </c:dLbl>
            <c:dLbl>
              <c:idx val="16"/>
              <c:delete val="1"/>
              <c:extLst>
                <c:ext xmlns:c15="http://schemas.microsoft.com/office/drawing/2012/chart" uri="{CE6537A1-D6FC-4f65-9D91-7224C49458BB}"/>
                <c:ext xmlns:c16="http://schemas.microsoft.com/office/drawing/2014/chart" uri="{C3380CC4-5D6E-409C-BE32-E72D297353CC}">
                  <c16:uniqueId val="{00000007-338A-436C-BDF7-FDDCE90F33D3}"/>
                </c:ext>
              </c:extLst>
            </c:dLbl>
            <c:dLbl>
              <c:idx val="19"/>
              <c:delete val="1"/>
              <c:extLst>
                <c:ext xmlns:c15="http://schemas.microsoft.com/office/drawing/2012/chart" uri="{CE6537A1-D6FC-4f65-9D91-7224C49458BB}"/>
                <c:ext xmlns:c16="http://schemas.microsoft.com/office/drawing/2014/chart" uri="{C3380CC4-5D6E-409C-BE32-E72D297353CC}">
                  <c16:uniqueId val="{00000008-338A-436C-BDF7-FDDCE90F33D3}"/>
                </c:ext>
              </c:extLst>
            </c:dLbl>
            <c:dLbl>
              <c:idx val="21"/>
              <c:delete val="1"/>
              <c:extLst>
                <c:ext xmlns:c15="http://schemas.microsoft.com/office/drawing/2012/chart" uri="{CE6537A1-D6FC-4f65-9D91-7224C49458BB}"/>
                <c:ext xmlns:c16="http://schemas.microsoft.com/office/drawing/2014/chart" uri="{C3380CC4-5D6E-409C-BE32-E72D297353CC}">
                  <c16:uniqueId val="{00000009-338A-436C-BDF7-FDDCE90F33D3}"/>
                </c:ext>
              </c:extLst>
            </c:dLbl>
            <c:dLbl>
              <c:idx val="24"/>
              <c:delete val="1"/>
              <c:extLst>
                <c:ext xmlns:c15="http://schemas.microsoft.com/office/drawing/2012/chart" uri="{CE6537A1-D6FC-4f65-9D91-7224C49458BB}"/>
                <c:ext xmlns:c16="http://schemas.microsoft.com/office/drawing/2014/chart" uri="{C3380CC4-5D6E-409C-BE32-E72D297353CC}">
                  <c16:uniqueId val="{0000000A-338A-436C-BDF7-FDDCE90F33D3}"/>
                </c:ext>
              </c:extLst>
            </c:dLbl>
            <c:dLbl>
              <c:idx val="27"/>
              <c:delete val="1"/>
              <c:extLst>
                <c:ext xmlns:c15="http://schemas.microsoft.com/office/drawing/2012/chart" uri="{CE6537A1-D6FC-4f65-9D91-7224C49458BB}"/>
                <c:ext xmlns:c16="http://schemas.microsoft.com/office/drawing/2014/chart" uri="{C3380CC4-5D6E-409C-BE32-E72D297353CC}">
                  <c16:uniqueId val="{0000000B-338A-436C-BDF7-FDDCE90F33D3}"/>
                </c:ext>
              </c:extLst>
            </c:dLbl>
            <c:dLbl>
              <c:idx val="29"/>
              <c:delete val="1"/>
              <c:extLst>
                <c:ext xmlns:c15="http://schemas.microsoft.com/office/drawing/2012/chart" uri="{CE6537A1-D6FC-4f65-9D91-7224C49458BB}"/>
                <c:ext xmlns:c16="http://schemas.microsoft.com/office/drawing/2014/chart" uri="{C3380CC4-5D6E-409C-BE32-E72D297353CC}">
                  <c16:uniqueId val="{0000000C-338A-436C-BDF7-FDDCE90F33D3}"/>
                </c:ext>
              </c:extLst>
            </c:dLbl>
            <c:dLbl>
              <c:idx val="31"/>
              <c:delete val="1"/>
              <c:extLst>
                <c:ext xmlns:c15="http://schemas.microsoft.com/office/drawing/2012/chart" uri="{CE6537A1-D6FC-4f65-9D91-7224C49458BB}"/>
                <c:ext xmlns:c16="http://schemas.microsoft.com/office/drawing/2014/chart" uri="{C3380CC4-5D6E-409C-BE32-E72D297353CC}">
                  <c16:uniqueId val="{0000000D-338A-436C-BDF7-FDDCE90F33D3}"/>
                </c:ext>
              </c:extLst>
            </c:dLbl>
            <c:dLbl>
              <c:idx val="33"/>
              <c:delete val="1"/>
              <c:extLst>
                <c:ext xmlns:c15="http://schemas.microsoft.com/office/drawing/2012/chart" uri="{CE6537A1-D6FC-4f65-9D91-7224C49458BB}"/>
                <c:ext xmlns:c16="http://schemas.microsoft.com/office/drawing/2014/chart" uri="{C3380CC4-5D6E-409C-BE32-E72D297353CC}">
                  <c16:uniqueId val="{0000000E-338A-436C-BDF7-FDDCE90F33D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2023'!$N$131:$AW$131</c:f>
              <c:numCache>
                <c:formatCode>_(* #\ ##0_);_(* \(#\ ##0\);_(* "-"??_);_(@_)</c:formatCode>
                <c:ptCount val="36"/>
                <c:pt idx="0">
                  <c:v>437.17576638387527</c:v>
                </c:pt>
                <c:pt idx="1">
                  <c:v>450.03237186855824</c:v>
                </c:pt>
                <c:pt idx="2">
                  <c:v>489.71853590437973</c:v>
                </c:pt>
                <c:pt idx="3">
                  <c:v>484.89079842463303</c:v>
                </c:pt>
                <c:pt idx="4">
                  <c:v>489.09420289855069</c:v>
                </c:pt>
                <c:pt idx="5">
                  <c:v>525.44297195704064</c:v>
                </c:pt>
                <c:pt idx="6">
                  <c:v>527.10777323798527</c:v>
                </c:pt>
                <c:pt idx="7">
                  <c:v>523.05680119581461</c:v>
                </c:pt>
                <c:pt idx="8">
                  <c:v>532.66221927987112</c:v>
                </c:pt>
                <c:pt idx="9">
                  <c:v>532.61281759575274</c:v>
                </c:pt>
                <c:pt idx="10">
                  <c:v>539.96219281663514</c:v>
                </c:pt>
                <c:pt idx="11">
                  <c:v>641.41859610437336</c:v>
                </c:pt>
                <c:pt idx="12">
                  <c:v>520.97927090779126</c:v>
                </c:pt>
                <c:pt idx="13">
                  <c:v>509.07429880100358</c:v>
                </c:pt>
                <c:pt idx="14">
                  <c:v>505.2105484476819</c:v>
                </c:pt>
                <c:pt idx="15">
                  <c:v>471.7244754514366</c:v>
                </c:pt>
                <c:pt idx="16">
                  <c:v>466.3658097443041</c:v>
                </c:pt>
                <c:pt idx="17">
                  <c:v>469.36083438424225</c:v>
                </c:pt>
                <c:pt idx="18">
                  <c:v>397.43643831285976</c:v>
                </c:pt>
                <c:pt idx="19">
                  <c:v>401.43916096836119</c:v>
                </c:pt>
                <c:pt idx="20">
                  <c:v>400.40795106389305</c:v>
                </c:pt>
                <c:pt idx="21">
                  <c:v>445.3256342741177</c:v>
                </c:pt>
                <c:pt idx="22">
                  <c:v>449.74106509284508</c:v>
                </c:pt>
                <c:pt idx="23">
                  <c:v>456.62913717005983</c:v>
                </c:pt>
                <c:pt idx="24">
                  <c:v>417.86300161192986</c:v>
                </c:pt>
                <c:pt idx="25">
                  <c:v>422.25887911052553</c:v>
                </c:pt>
                <c:pt idx="26">
                  <c:v>426.1588801839747</c:v>
                </c:pt>
                <c:pt idx="27">
                  <c:v>463.13311048283276</c:v>
                </c:pt>
                <c:pt idx="28">
                  <c:v>469.07700312251023</c:v>
                </c:pt>
                <c:pt idx="29">
                  <c:v>476.80983432364405</c:v>
                </c:pt>
                <c:pt idx="30">
                  <c:v>479.03418102269615</c:v>
                </c:pt>
                <c:pt idx="31">
                  <c:v>476.88460486737767</c:v>
                </c:pt>
                <c:pt idx="32">
                  <c:v>485.52502050861364</c:v>
                </c:pt>
                <c:pt idx="33">
                  <c:v>491.90158004571197</c:v>
                </c:pt>
                <c:pt idx="34">
                  <c:v>489.28477469184526</c:v>
                </c:pt>
                <c:pt idx="35">
                  <c:v>535.24038449333057</c:v>
                </c:pt>
              </c:numCache>
            </c:numRef>
          </c:val>
          <c:extLst>
            <c:ext xmlns:c16="http://schemas.microsoft.com/office/drawing/2014/chart" uri="{C3380CC4-5D6E-409C-BE32-E72D297353CC}">
              <c16:uniqueId val="{0000000F-338A-436C-BDF7-FDDCE90F33D3}"/>
            </c:ext>
          </c:extLst>
        </c:ser>
        <c:dLbls>
          <c:showLegendKey val="0"/>
          <c:showVal val="0"/>
          <c:showCatName val="0"/>
          <c:showSerName val="0"/>
          <c:showPercent val="0"/>
          <c:showBubbleSize val="0"/>
        </c:dLbls>
        <c:gapWidth val="150"/>
        <c:axId val="554919048"/>
        <c:axId val="554922248"/>
        <c:extLst>
          <c:ext xmlns:c15="http://schemas.microsoft.com/office/drawing/2012/chart" uri="{02D57815-91ED-43cb-92C2-25804820EDAC}">
            <c15:filteredBarSeries>
              <c15:ser>
                <c:idx val="2"/>
                <c:order val="2"/>
                <c:tx>
                  <c:strRef>
                    <c:extLst>
                      <c:ext uri="{02D57815-91ED-43cb-92C2-25804820EDAC}">
                        <c15:formulaRef>
                          <c15:sqref>'Прогноз Зарплати 2023'!$A$132</c15:sqref>
                        </c15:formulaRef>
                      </c:ext>
                    </c:extLst>
                    <c:strCache>
                      <c:ptCount val="1"/>
                      <c:pt idx="0">
                        <c:v>USD (сценарій 2)</c:v>
                      </c:pt>
                    </c:strCache>
                  </c:strRef>
                </c:tx>
                <c:spPr>
                  <a:solidFill>
                    <a:schemeClr val="accent2">
                      <a:lumMod val="60000"/>
                      <a:lumOff val="40000"/>
                    </a:schemeClr>
                  </a:solidFill>
                  <a:ln>
                    <a:noFill/>
                  </a:ln>
                  <a:effectLst/>
                </c:spPr>
                <c:invertIfNegative val="0"/>
                <c:dLbls>
                  <c:dLbl>
                    <c:idx val="0"/>
                    <c:layout>
                      <c:manualLayout>
                        <c:x val="2.8852464776706358E-3"/>
                        <c:y val="-7.0786050007310136E-17"/>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29-338A-436C-BDF7-FDDCE90F33D3}"/>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'Прогноз Зарплати 2023'!$N$127:$AW$128</c15:sqref>
                        </c15:formulaRef>
                      </c:ext>
                    </c:extLst>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extLst>
                      <c:ext uri="{02D57815-91ED-43cb-92C2-25804820EDAC}">
                        <c15:formulaRef>
                          <c15:sqref>'Прогноз Зарплати 2023'!$AL$132:$AW$132</c15:sqref>
                        </c15:formulaRef>
                      </c:ext>
                    </c:extLst>
                    <c:numCache>
                      <c:formatCode>_-* #\ ##0\ _₴_-;\-* #\ ##0\ _₴_-;_-* "-"?\ _₴_-;_-@_-</c:formatCode>
                      <c:ptCount val="12"/>
                      <c:pt idx="0">
                        <c:v>417.86300161192986</c:v>
                      </c:pt>
                      <c:pt idx="1">
                        <c:v>422.25887911052553</c:v>
                      </c:pt>
                      <c:pt idx="2">
                        <c:v>426.1588801839747</c:v>
                      </c:pt>
                      <c:pt idx="3">
                        <c:v>463.13311048283276</c:v>
                      </c:pt>
                      <c:pt idx="4">
                        <c:v>469.07700312251023</c:v>
                      </c:pt>
                      <c:pt idx="5">
                        <c:v>476.80983432364405</c:v>
                      </c:pt>
                      <c:pt idx="6">
                        <c:v>456.27075585940645</c:v>
                      </c:pt>
                      <c:pt idx="7">
                        <c:v>445.27284868919793</c:v>
                      </c:pt>
                      <c:pt idx="8">
                        <c:v>450.35166776776026</c:v>
                      </c:pt>
                      <c:pt idx="9">
                        <c:v>447.82503126516718</c:v>
                      </c:pt>
                      <c:pt idx="10">
                        <c:v>442.2095693878191</c:v>
                      </c:pt>
                      <c:pt idx="11">
                        <c:v>482.60636073389554</c:v>
                      </c:pt>
                    </c:numCache>
                  </c:numRef>
                </c:val>
                <c:extLst>
                  <c:ext xmlns:c16="http://schemas.microsoft.com/office/drawing/2014/chart" uri="{C3380CC4-5D6E-409C-BE32-E72D297353CC}">
                    <c16:uniqueId val="{0000002A-338A-436C-BDF7-FDDCE90F33D3}"/>
                  </c:ext>
                </c:extLst>
              </c15:ser>
            </c15:filteredBarSeries>
          </c:ext>
        </c:extLst>
      </c:barChart>
      <c:lineChart>
        <c:grouping val="standard"/>
        <c:varyColors val="0"/>
        <c:ser>
          <c:idx val="0"/>
          <c:order val="0"/>
          <c:tx>
            <c:strRef>
              <c:f>'Прогноз Зарплати 2023'!$A$143</c:f>
              <c:strCache>
                <c:ptCount val="1"/>
                <c:pt idx="0">
                  <c:v>UAH</c:v>
                </c:pt>
              </c:strCache>
            </c:strRef>
          </c:tx>
          <c:spPr>
            <a:ln w="28575" cap="rnd">
              <a:solidFill>
                <a:schemeClr val="accent5"/>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0-338A-436C-BDF7-FDDCE90F33D3}"/>
                </c:ext>
              </c:extLst>
            </c:dLbl>
            <c:dLbl>
              <c:idx val="3"/>
              <c:delete val="1"/>
              <c:extLst>
                <c:ext xmlns:c15="http://schemas.microsoft.com/office/drawing/2012/chart" uri="{CE6537A1-D6FC-4f65-9D91-7224C49458BB}"/>
                <c:ext xmlns:c16="http://schemas.microsoft.com/office/drawing/2014/chart" uri="{C3380CC4-5D6E-409C-BE32-E72D297353CC}">
                  <c16:uniqueId val="{00000011-338A-436C-BDF7-FDDCE90F33D3}"/>
                </c:ext>
              </c:extLst>
            </c:dLbl>
            <c:dLbl>
              <c:idx val="4"/>
              <c:delete val="1"/>
              <c:extLst>
                <c:ext xmlns:c15="http://schemas.microsoft.com/office/drawing/2012/chart" uri="{CE6537A1-D6FC-4f65-9D91-7224C49458BB}"/>
                <c:ext xmlns:c16="http://schemas.microsoft.com/office/drawing/2014/chart" uri="{C3380CC4-5D6E-409C-BE32-E72D297353CC}">
                  <c16:uniqueId val="{00000012-338A-436C-BDF7-FDDCE90F33D3}"/>
                </c:ext>
              </c:extLst>
            </c:dLbl>
            <c:dLbl>
              <c:idx val="6"/>
              <c:delete val="1"/>
              <c:extLst>
                <c:ext xmlns:c15="http://schemas.microsoft.com/office/drawing/2012/chart" uri="{CE6537A1-D6FC-4f65-9D91-7224C49458BB}"/>
                <c:ext xmlns:c16="http://schemas.microsoft.com/office/drawing/2014/chart" uri="{C3380CC4-5D6E-409C-BE32-E72D297353CC}">
                  <c16:uniqueId val="{00000013-338A-436C-BDF7-FDDCE90F33D3}"/>
                </c:ext>
              </c:extLst>
            </c:dLbl>
            <c:dLbl>
              <c:idx val="7"/>
              <c:delete val="1"/>
              <c:extLst>
                <c:ext xmlns:c15="http://schemas.microsoft.com/office/drawing/2012/chart" uri="{CE6537A1-D6FC-4f65-9D91-7224C49458BB}"/>
                <c:ext xmlns:c16="http://schemas.microsoft.com/office/drawing/2014/chart" uri="{C3380CC4-5D6E-409C-BE32-E72D297353CC}">
                  <c16:uniqueId val="{00000014-338A-436C-BDF7-FDDCE90F33D3}"/>
                </c:ext>
              </c:extLst>
            </c:dLbl>
            <c:dLbl>
              <c:idx val="9"/>
              <c:delete val="1"/>
              <c:extLst>
                <c:ext xmlns:c15="http://schemas.microsoft.com/office/drawing/2012/chart" uri="{CE6537A1-D6FC-4f65-9D91-7224C49458BB}"/>
                <c:ext xmlns:c16="http://schemas.microsoft.com/office/drawing/2014/chart" uri="{C3380CC4-5D6E-409C-BE32-E72D297353CC}">
                  <c16:uniqueId val="{00000015-338A-436C-BDF7-FDDCE90F33D3}"/>
                </c:ext>
              </c:extLst>
            </c:dLbl>
            <c:dLbl>
              <c:idx val="10"/>
              <c:delete val="1"/>
              <c:extLst>
                <c:ext xmlns:c15="http://schemas.microsoft.com/office/drawing/2012/chart" uri="{CE6537A1-D6FC-4f65-9D91-7224C49458BB}"/>
                <c:ext xmlns:c16="http://schemas.microsoft.com/office/drawing/2014/chart" uri="{C3380CC4-5D6E-409C-BE32-E72D297353CC}">
                  <c16:uniqueId val="{00000016-338A-436C-BDF7-FDDCE90F33D3}"/>
                </c:ext>
              </c:extLst>
            </c:dLbl>
            <c:dLbl>
              <c:idx val="12"/>
              <c:delete val="1"/>
              <c:extLst>
                <c:ext xmlns:c15="http://schemas.microsoft.com/office/drawing/2012/chart" uri="{CE6537A1-D6FC-4f65-9D91-7224C49458BB}"/>
                <c:ext xmlns:c16="http://schemas.microsoft.com/office/drawing/2014/chart" uri="{C3380CC4-5D6E-409C-BE32-E72D297353CC}">
                  <c16:uniqueId val="{00000017-338A-436C-BDF7-FDDCE90F33D3}"/>
                </c:ext>
              </c:extLst>
            </c:dLbl>
            <c:dLbl>
              <c:idx val="14"/>
              <c:delete val="1"/>
              <c:extLst>
                <c:ext xmlns:c15="http://schemas.microsoft.com/office/drawing/2012/chart" uri="{CE6537A1-D6FC-4f65-9D91-7224C49458BB}"/>
                <c:ext xmlns:c16="http://schemas.microsoft.com/office/drawing/2014/chart" uri="{C3380CC4-5D6E-409C-BE32-E72D297353CC}">
                  <c16:uniqueId val="{00000018-338A-436C-BDF7-FDDCE90F33D3}"/>
                </c:ext>
              </c:extLst>
            </c:dLbl>
            <c:dLbl>
              <c:idx val="15"/>
              <c:delete val="1"/>
              <c:extLst>
                <c:ext xmlns:c15="http://schemas.microsoft.com/office/drawing/2012/chart" uri="{CE6537A1-D6FC-4f65-9D91-7224C49458BB}"/>
                <c:ext xmlns:c16="http://schemas.microsoft.com/office/drawing/2014/chart" uri="{C3380CC4-5D6E-409C-BE32-E72D297353CC}">
                  <c16:uniqueId val="{00000019-338A-436C-BDF7-FDDCE90F33D3}"/>
                </c:ext>
              </c:extLst>
            </c:dLbl>
            <c:dLbl>
              <c:idx val="16"/>
              <c:delete val="1"/>
              <c:extLst>
                <c:ext xmlns:c15="http://schemas.microsoft.com/office/drawing/2012/chart" uri="{CE6537A1-D6FC-4f65-9D91-7224C49458BB}"/>
                <c:ext xmlns:c16="http://schemas.microsoft.com/office/drawing/2014/chart" uri="{C3380CC4-5D6E-409C-BE32-E72D297353CC}">
                  <c16:uniqueId val="{0000001A-338A-436C-BDF7-FDDCE90F33D3}"/>
                </c:ext>
              </c:extLst>
            </c:dLbl>
            <c:dLbl>
              <c:idx val="18"/>
              <c:delete val="1"/>
              <c:extLst>
                <c:ext xmlns:c15="http://schemas.microsoft.com/office/drawing/2012/chart" uri="{CE6537A1-D6FC-4f65-9D91-7224C49458BB}"/>
                <c:ext xmlns:c16="http://schemas.microsoft.com/office/drawing/2014/chart" uri="{C3380CC4-5D6E-409C-BE32-E72D297353CC}">
                  <c16:uniqueId val="{0000001B-338A-436C-BDF7-FDDCE90F33D3}"/>
                </c:ext>
              </c:extLst>
            </c:dLbl>
            <c:dLbl>
              <c:idx val="19"/>
              <c:delete val="1"/>
              <c:extLst>
                <c:ext xmlns:c15="http://schemas.microsoft.com/office/drawing/2012/chart" uri="{CE6537A1-D6FC-4f65-9D91-7224C49458BB}"/>
                <c:ext xmlns:c16="http://schemas.microsoft.com/office/drawing/2014/chart" uri="{C3380CC4-5D6E-409C-BE32-E72D297353CC}">
                  <c16:uniqueId val="{0000001C-338A-436C-BDF7-FDDCE90F33D3}"/>
                </c:ext>
              </c:extLst>
            </c:dLbl>
            <c:dLbl>
              <c:idx val="21"/>
              <c:delete val="1"/>
              <c:extLst>
                <c:ext xmlns:c15="http://schemas.microsoft.com/office/drawing/2012/chart" uri="{CE6537A1-D6FC-4f65-9D91-7224C49458BB}"/>
                <c:ext xmlns:c16="http://schemas.microsoft.com/office/drawing/2014/chart" uri="{C3380CC4-5D6E-409C-BE32-E72D297353CC}">
                  <c16:uniqueId val="{0000001D-338A-436C-BDF7-FDDCE90F33D3}"/>
                </c:ext>
              </c:extLst>
            </c:dLbl>
            <c:dLbl>
              <c:idx val="22"/>
              <c:delete val="1"/>
              <c:extLst>
                <c:ext xmlns:c15="http://schemas.microsoft.com/office/drawing/2012/chart" uri="{CE6537A1-D6FC-4f65-9D91-7224C49458BB}"/>
                <c:ext xmlns:c16="http://schemas.microsoft.com/office/drawing/2014/chart" uri="{C3380CC4-5D6E-409C-BE32-E72D297353CC}">
                  <c16:uniqueId val="{0000001E-338A-436C-BDF7-FDDCE90F33D3}"/>
                </c:ext>
              </c:extLst>
            </c:dLbl>
            <c:dLbl>
              <c:idx val="24"/>
              <c:delete val="1"/>
              <c:extLst>
                <c:ext xmlns:c15="http://schemas.microsoft.com/office/drawing/2012/chart" uri="{CE6537A1-D6FC-4f65-9D91-7224C49458BB}"/>
                <c:ext xmlns:c16="http://schemas.microsoft.com/office/drawing/2014/chart" uri="{C3380CC4-5D6E-409C-BE32-E72D297353CC}">
                  <c16:uniqueId val="{0000001F-338A-436C-BDF7-FDDCE90F33D3}"/>
                </c:ext>
              </c:extLst>
            </c:dLbl>
            <c:dLbl>
              <c:idx val="25"/>
              <c:delete val="1"/>
              <c:extLst>
                <c:ext xmlns:c15="http://schemas.microsoft.com/office/drawing/2012/chart" uri="{CE6537A1-D6FC-4f65-9D91-7224C49458BB}"/>
                <c:ext xmlns:c16="http://schemas.microsoft.com/office/drawing/2014/chart" uri="{C3380CC4-5D6E-409C-BE32-E72D297353CC}">
                  <c16:uniqueId val="{00000020-338A-436C-BDF7-FDDCE90F33D3}"/>
                </c:ext>
              </c:extLst>
            </c:dLbl>
            <c:dLbl>
              <c:idx val="27"/>
              <c:delete val="1"/>
              <c:extLst>
                <c:ext xmlns:c15="http://schemas.microsoft.com/office/drawing/2012/chart" uri="{CE6537A1-D6FC-4f65-9D91-7224C49458BB}"/>
                <c:ext xmlns:c16="http://schemas.microsoft.com/office/drawing/2014/chart" uri="{C3380CC4-5D6E-409C-BE32-E72D297353CC}">
                  <c16:uniqueId val="{00000021-338A-436C-BDF7-FDDCE90F33D3}"/>
                </c:ext>
              </c:extLst>
            </c:dLbl>
            <c:dLbl>
              <c:idx val="28"/>
              <c:delete val="1"/>
              <c:extLst>
                <c:ext xmlns:c15="http://schemas.microsoft.com/office/drawing/2012/chart" uri="{CE6537A1-D6FC-4f65-9D91-7224C49458BB}"/>
                <c:ext xmlns:c16="http://schemas.microsoft.com/office/drawing/2014/chart" uri="{C3380CC4-5D6E-409C-BE32-E72D297353CC}">
                  <c16:uniqueId val="{00000022-338A-436C-BDF7-FDDCE90F33D3}"/>
                </c:ext>
              </c:extLst>
            </c:dLbl>
            <c:dLbl>
              <c:idx val="30"/>
              <c:delete val="1"/>
              <c:extLst>
                <c:ext xmlns:c15="http://schemas.microsoft.com/office/drawing/2012/chart" uri="{CE6537A1-D6FC-4f65-9D91-7224C49458BB}"/>
                <c:ext xmlns:c16="http://schemas.microsoft.com/office/drawing/2014/chart" uri="{C3380CC4-5D6E-409C-BE32-E72D297353CC}">
                  <c16:uniqueId val="{00000023-338A-436C-BDF7-FDDCE90F33D3}"/>
                </c:ext>
              </c:extLst>
            </c:dLbl>
            <c:dLbl>
              <c:idx val="31"/>
              <c:delete val="1"/>
              <c:extLst>
                <c:ext xmlns:c15="http://schemas.microsoft.com/office/drawing/2012/chart" uri="{CE6537A1-D6FC-4f65-9D91-7224C49458BB}"/>
                <c:ext xmlns:c16="http://schemas.microsoft.com/office/drawing/2014/chart" uri="{C3380CC4-5D6E-409C-BE32-E72D297353CC}">
                  <c16:uniqueId val="{00000024-338A-436C-BDF7-FDDCE90F33D3}"/>
                </c:ext>
              </c:extLst>
            </c:dLbl>
            <c:dLbl>
              <c:idx val="32"/>
              <c:layout>
                <c:manualLayout>
                  <c:x val="-1.0686810718933468E-2"/>
                  <c:y val="-3.33787605549215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338A-436C-BDF7-FDDCE90F33D3}"/>
                </c:ext>
              </c:extLst>
            </c:dLbl>
            <c:dLbl>
              <c:idx val="33"/>
              <c:delete val="1"/>
              <c:extLst>
                <c:ext xmlns:c15="http://schemas.microsoft.com/office/drawing/2012/chart" uri="{CE6537A1-D6FC-4f65-9D91-7224C49458BB}"/>
                <c:ext xmlns:c16="http://schemas.microsoft.com/office/drawing/2014/chart" uri="{C3380CC4-5D6E-409C-BE32-E72D297353CC}">
                  <c16:uniqueId val="{00000026-338A-436C-BDF7-FDDCE90F33D3}"/>
                </c:ext>
              </c:extLst>
            </c:dLbl>
            <c:dLbl>
              <c:idx val="34"/>
              <c:delete val="1"/>
              <c:extLst>
                <c:ext xmlns:c15="http://schemas.microsoft.com/office/drawing/2012/chart" uri="{CE6537A1-D6FC-4f65-9D91-7224C49458BB}"/>
                <c:ext xmlns:c16="http://schemas.microsoft.com/office/drawing/2014/chart" uri="{C3380CC4-5D6E-409C-BE32-E72D297353CC}">
                  <c16:uniqueId val="{00000027-338A-436C-BDF7-FDDCE90F33D3}"/>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2023'!$N$129:$AW$129</c:f>
              <c:numCache>
                <c:formatCode>_(* #\ ##0_);_(* \(#\ ##0\);_(* "-"??_);_(@_)</c:formatCode>
                <c:ptCount val="36"/>
                <c:pt idx="0">
                  <c:v>12337</c:v>
                </c:pt>
                <c:pt idx="1">
                  <c:v>12549</c:v>
                </c:pt>
                <c:pt idx="2">
                  <c:v>13612</c:v>
                </c:pt>
                <c:pt idx="3">
                  <c:v>13543</c:v>
                </c:pt>
                <c:pt idx="4">
                  <c:v>13499</c:v>
                </c:pt>
                <c:pt idx="5">
                  <c:v>14313</c:v>
                </c:pt>
                <c:pt idx="6">
                  <c:v>14345</c:v>
                </c:pt>
                <c:pt idx="7">
                  <c:v>13997</c:v>
                </c:pt>
                <c:pt idx="8">
                  <c:v>14239</c:v>
                </c:pt>
                <c:pt idx="9">
                  <c:v>14045</c:v>
                </c:pt>
                <c:pt idx="10">
                  <c:v>14282</c:v>
                </c:pt>
                <c:pt idx="11">
                  <c:v>17453</c:v>
                </c:pt>
                <c:pt idx="12">
                  <c:v>14577</c:v>
                </c:pt>
                <c:pt idx="13">
                  <c:v>14462.800828936512</c:v>
                </c:pt>
                <c:pt idx="14">
                  <c:v>14777.408542094696</c:v>
                </c:pt>
                <c:pt idx="15">
                  <c:v>13797.94090695452</c:v>
                </c:pt>
                <c:pt idx="16">
                  <c:v>13641.199935020895</c:v>
                </c:pt>
                <c:pt idx="17">
                  <c:v>13728.804405739085</c:v>
                </c:pt>
                <c:pt idx="18">
                  <c:v>14534.250549101282</c:v>
                </c:pt>
                <c:pt idx="19">
                  <c:v>14680.630116612969</c:v>
                </c:pt>
                <c:pt idx="20">
                  <c:v>14642.918770406568</c:v>
                </c:pt>
                <c:pt idx="21">
                  <c:v>16285.558445404484</c:v>
                </c:pt>
                <c:pt idx="22">
                  <c:v>16447.030750445345</c:v>
                </c:pt>
                <c:pt idx="23">
                  <c:v>16698.927546309089</c:v>
                </c:pt>
                <c:pt idx="24">
                  <c:v>15281.249968948276</c:v>
                </c:pt>
                <c:pt idx="25">
                  <c:v>15442.007209071919</c:v>
                </c:pt>
                <c:pt idx="26">
                  <c:v>15584.630248327954</c:v>
                </c:pt>
                <c:pt idx="27">
                  <c:v>16936.777850357194</c:v>
                </c:pt>
                <c:pt idx="28">
                  <c:v>17154.146004190199</c:v>
                </c:pt>
                <c:pt idx="29">
                  <c:v>17436.935641215663</c:v>
                </c:pt>
                <c:pt idx="30">
                  <c:v>17518.28</c:v>
                </c:pt>
                <c:pt idx="31">
                  <c:v>17439.670000000002</c:v>
                </c:pt>
                <c:pt idx="32">
                  <c:v>17755.650000000001</c:v>
                </c:pt>
                <c:pt idx="33">
                  <c:v>17963.73</c:v>
                </c:pt>
                <c:pt idx="34">
                  <c:v>17810.099999999999</c:v>
                </c:pt>
                <c:pt idx="35">
                  <c:v>19654.830000000002</c:v>
                </c:pt>
              </c:numCache>
            </c:numRef>
          </c:val>
          <c:smooth val="0"/>
          <c:extLst>
            <c:ext xmlns:c16="http://schemas.microsoft.com/office/drawing/2014/chart" uri="{C3380CC4-5D6E-409C-BE32-E72D297353CC}">
              <c16:uniqueId val="{00000028-338A-436C-BDF7-FDDCE90F33D3}"/>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19000"/>
          <c:min val="800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900"/>
          <c:min val="3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0.22923230255315533"/>
          <c:y val="0.10527263863597912"/>
          <c:w val="0.56846383192083727"/>
          <c:h val="4.52712784335120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447863531756395E-2"/>
          <c:y val="0.25809980893874157"/>
          <c:w val="0.86127135796555443"/>
          <c:h val="0.59632274456813983"/>
        </c:manualLayout>
      </c:layout>
      <c:barChart>
        <c:barDir val="col"/>
        <c:grouping val="clustered"/>
        <c:varyColors val="0"/>
        <c:ser>
          <c:idx val="1"/>
          <c:order val="1"/>
          <c:tx>
            <c:strRef>
              <c:f>'Прогноз Зарплати 2023'!$A$150</c:f>
              <c:strCache>
                <c:ptCount val="1"/>
                <c:pt idx="0">
                  <c:v>USD </c:v>
                </c:pt>
              </c:strCache>
            </c:strRef>
          </c:tx>
          <c:spPr>
            <a:solidFill>
              <a:schemeClr val="accent5">
                <a:lumMod val="40000"/>
                <a:lumOff val="60000"/>
              </a:schemeClr>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0-9FCA-4DF6-8A3D-5B456820982B}"/>
                </c:ext>
              </c:extLst>
            </c:dLbl>
            <c:dLbl>
              <c:idx val="3"/>
              <c:delete val="1"/>
              <c:extLst>
                <c:ext xmlns:c15="http://schemas.microsoft.com/office/drawing/2012/chart" uri="{CE6537A1-D6FC-4f65-9D91-7224C49458BB}"/>
                <c:ext xmlns:c16="http://schemas.microsoft.com/office/drawing/2014/chart" uri="{C3380CC4-5D6E-409C-BE32-E72D297353CC}">
                  <c16:uniqueId val="{00000001-9FCA-4DF6-8A3D-5B456820982B}"/>
                </c:ext>
              </c:extLst>
            </c:dLbl>
            <c:dLbl>
              <c:idx val="5"/>
              <c:delete val="1"/>
              <c:extLst>
                <c:ext xmlns:c15="http://schemas.microsoft.com/office/drawing/2012/chart" uri="{CE6537A1-D6FC-4f65-9D91-7224C49458BB}"/>
                <c:ext xmlns:c16="http://schemas.microsoft.com/office/drawing/2014/chart" uri="{C3380CC4-5D6E-409C-BE32-E72D297353CC}">
                  <c16:uniqueId val="{00000002-9FCA-4DF6-8A3D-5B456820982B}"/>
                </c:ext>
              </c:extLst>
            </c:dLbl>
            <c:dLbl>
              <c:idx val="7"/>
              <c:delete val="1"/>
              <c:extLst>
                <c:ext xmlns:c15="http://schemas.microsoft.com/office/drawing/2012/chart" uri="{CE6537A1-D6FC-4f65-9D91-7224C49458BB}"/>
                <c:ext xmlns:c16="http://schemas.microsoft.com/office/drawing/2014/chart" uri="{C3380CC4-5D6E-409C-BE32-E72D297353CC}">
                  <c16:uniqueId val="{00000003-9FCA-4DF6-8A3D-5B456820982B}"/>
                </c:ext>
              </c:extLst>
            </c:dLbl>
            <c:dLbl>
              <c:idx val="9"/>
              <c:delete val="1"/>
              <c:extLst>
                <c:ext xmlns:c15="http://schemas.microsoft.com/office/drawing/2012/chart" uri="{CE6537A1-D6FC-4f65-9D91-7224C49458BB}"/>
                <c:ext xmlns:c16="http://schemas.microsoft.com/office/drawing/2014/chart" uri="{C3380CC4-5D6E-409C-BE32-E72D297353CC}">
                  <c16:uniqueId val="{00000004-9FCA-4DF6-8A3D-5B456820982B}"/>
                </c:ext>
              </c:extLst>
            </c:dLbl>
            <c:dLbl>
              <c:idx val="11"/>
              <c:layout>
                <c:manualLayout>
                  <c:x val="-4.5865758596997771E-17"/>
                  <c:y val="1.27673520377833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9FCA-4DF6-8A3D-5B456820982B}"/>
                </c:ext>
              </c:extLst>
            </c:dLbl>
            <c:dLbl>
              <c:idx val="12"/>
              <c:delete val="1"/>
              <c:extLst>
                <c:ext xmlns:c15="http://schemas.microsoft.com/office/drawing/2012/chart" uri="{CE6537A1-D6FC-4f65-9D91-7224C49458BB}"/>
                <c:ext xmlns:c16="http://schemas.microsoft.com/office/drawing/2014/chart" uri="{C3380CC4-5D6E-409C-BE32-E72D297353CC}">
                  <c16:uniqueId val="{00000005-9FCA-4DF6-8A3D-5B456820982B}"/>
                </c:ext>
              </c:extLst>
            </c:dLbl>
            <c:dLbl>
              <c:idx val="14"/>
              <c:delete val="1"/>
              <c:extLst>
                <c:ext xmlns:c15="http://schemas.microsoft.com/office/drawing/2012/chart" uri="{CE6537A1-D6FC-4f65-9D91-7224C49458BB}"/>
                <c:ext xmlns:c16="http://schemas.microsoft.com/office/drawing/2014/chart" uri="{C3380CC4-5D6E-409C-BE32-E72D297353CC}">
                  <c16:uniqueId val="{00000006-9FCA-4DF6-8A3D-5B456820982B}"/>
                </c:ext>
              </c:extLst>
            </c:dLbl>
            <c:dLbl>
              <c:idx val="16"/>
              <c:delete val="1"/>
              <c:extLst>
                <c:ext xmlns:c15="http://schemas.microsoft.com/office/drawing/2012/chart" uri="{CE6537A1-D6FC-4f65-9D91-7224C49458BB}"/>
                <c:ext xmlns:c16="http://schemas.microsoft.com/office/drawing/2014/chart" uri="{C3380CC4-5D6E-409C-BE32-E72D297353CC}">
                  <c16:uniqueId val="{00000007-9FCA-4DF6-8A3D-5B456820982B}"/>
                </c:ext>
              </c:extLst>
            </c:dLbl>
            <c:dLbl>
              <c:idx val="19"/>
              <c:delete val="1"/>
              <c:extLst>
                <c:ext xmlns:c15="http://schemas.microsoft.com/office/drawing/2012/chart" uri="{CE6537A1-D6FC-4f65-9D91-7224C49458BB}"/>
                <c:ext xmlns:c16="http://schemas.microsoft.com/office/drawing/2014/chart" uri="{C3380CC4-5D6E-409C-BE32-E72D297353CC}">
                  <c16:uniqueId val="{00000008-9FCA-4DF6-8A3D-5B456820982B}"/>
                </c:ext>
              </c:extLst>
            </c:dLbl>
            <c:dLbl>
              <c:idx val="21"/>
              <c:delete val="1"/>
              <c:extLst>
                <c:ext xmlns:c15="http://schemas.microsoft.com/office/drawing/2012/chart" uri="{CE6537A1-D6FC-4f65-9D91-7224C49458BB}"/>
                <c:ext xmlns:c16="http://schemas.microsoft.com/office/drawing/2014/chart" uri="{C3380CC4-5D6E-409C-BE32-E72D297353CC}">
                  <c16:uniqueId val="{00000009-9FCA-4DF6-8A3D-5B456820982B}"/>
                </c:ext>
              </c:extLst>
            </c:dLbl>
            <c:dLbl>
              <c:idx val="24"/>
              <c:delete val="1"/>
              <c:extLst>
                <c:ext xmlns:c15="http://schemas.microsoft.com/office/drawing/2012/chart" uri="{CE6537A1-D6FC-4f65-9D91-7224C49458BB}"/>
                <c:ext xmlns:c16="http://schemas.microsoft.com/office/drawing/2014/chart" uri="{C3380CC4-5D6E-409C-BE32-E72D297353CC}">
                  <c16:uniqueId val="{0000000A-9FCA-4DF6-8A3D-5B456820982B}"/>
                </c:ext>
              </c:extLst>
            </c:dLbl>
            <c:dLbl>
              <c:idx val="27"/>
              <c:delete val="1"/>
              <c:extLst>
                <c:ext xmlns:c15="http://schemas.microsoft.com/office/drawing/2012/chart" uri="{CE6537A1-D6FC-4f65-9D91-7224C49458BB}"/>
                <c:ext xmlns:c16="http://schemas.microsoft.com/office/drawing/2014/chart" uri="{C3380CC4-5D6E-409C-BE32-E72D297353CC}">
                  <c16:uniqueId val="{0000000B-9FCA-4DF6-8A3D-5B456820982B}"/>
                </c:ext>
              </c:extLst>
            </c:dLbl>
            <c:dLbl>
              <c:idx val="29"/>
              <c:delete val="1"/>
              <c:extLst>
                <c:ext xmlns:c15="http://schemas.microsoft.com/office/drawing/2012/chart" uri="{CE6537A1-D6FC-4f65-9D91-7224C49458BB}"/>
                <c:ext xmlns:c16="http://schemas.microsoft.com/office/drawing/2014/chart" uri="{C3380CC4-5D6E-409C-BE32-E72D297353CC}">
                  <c16:uniqueId val="{0000000C-9FCA-4DF6-8A3D-5B456820982B}"/>
                </c:ext>
              </c:extLst>
            </c:dLbl>
            <c:dLbl>
              <c:idx val="31"/>
              <c:delete val="1"/>
              <c:extLst>
                <c:ext xmlns:c15="http://schemas.microsoft.com/office/drawing/2012/chart" uri="{CE6537A1-D6FC-4f65-9D91-7224C49458BB}"/>
                <c:ext xmlns:c16="http://schemas.microsoft.com/office/drawing/2014/chart" uri="{C3380CC4-5D6E-409C-BE32-E72D297353CC}">
                  <c16:uniqueId val="{0000000D-9FCA-4DF6-8A3D-5B456820982B}"/>
                </c:ext>
              </c:extLst>
            </c:dLbl>
            <c:dLbl>
              <c:idx val="33"/>
              <c:delete val="1"/>
              <c:extLst>
                <c:ext xmlns:c15="http://schemas.microsoft.com/office/drawing/2012/chart" uri="{CE6537A1-D6FC-4f65-9D91-7224C49458BB}"/>
                <c:ext xmlns:c16="http://schemas.microsoft.com/office/drawing/2014/chart" uri="{C3380CC4-5D6E-409C-BE32-E72D297353CC}">
                  <c16:uniqueId val="{0000000E-9FCA-4DF6-8A3D-5B456820982B}"/>
                </c:ext>
              </c:extLst>
            </c:dLbl>
            <c:dLbl>
              <c:idx val="34"/>
              <c:layout>
                <c:manualLayout>
                  <c:x val="-5.031754531203911E-3"/>
                  <c:y val="4.280011134769046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FCA-4DF6-8A3D-5B456820982B}"/>
                </c:ext>
              </c:extLst>
            </c:dLbl>
            <c:dLbl>
              <c:idx val="35"/>
              <c:layout>
                <c:manualLayout>
                  <c:x val="-9.2247767417990676E-17"/>
                  <c:y val="1.42601882800488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FCA-4DF6-8A3D-5B456820982B}"/>
                </c:ext>
              </c:extLst>
            </c:dLbl>
            <c:dLbl>
              <c:idx val="36"/>
              <c:delete val="1"/>
              <c:extLst>
                <c:ext xmlns:c15="http://schemas.microsoft.com/office/drawing/2012/chart" uri="{CE6537A1-D6FC-4f65-9D91-7224C49458BB}"/>
                <c:ext xmlns:c16="http://schemas.microsoft.com/office/drawing/2014/chart" uri="{C3380CC4-5D6E-409C-BE32-E72D297353CC}">
                  <c16:uniqueId val="{0000003C-9FCA-4DF6-8A3D-5B456820982B}"/>
                </c:ext>
              </c:extLst>
            </c:dLbl>
            <c:dLbl>
              <c:idx val="38"/>
              <c:delete val="1"/>
              <c:extLst>
                <c:ext xmlns:c15="http://schemas.microsoft.com/office/drawing/2012/chart" uri="{CE6537A1-D6FC-4f65-9D91-7224C49458BB}"/>
                <c:ext xmlns:c16="http://schemas.microsoft.com/office/drawing/2014/chart" uri="{C3380CC4-5D6E-409C-BE32-E72D297353CC}">
                  <c16:uniqueId val="{0000003A-9FCA-4DF6-8A3D-5B456820982B}"/>
                </c:ext>
              </c:extLst>
            </c:dLbl>
            <c:dLbl>
              <c:idx val="40"/>
              <c:delete val="1"/>
              <c:extLst>
                <c:ext xmlns:c15="http://schemas.microsoft.com/office/drawing/2012/chart" uri="{CE6537A1-D6FC-4f65-9D91-7224C49458BB}"/>
                <c:ext xmlns:c16="http://schemas.microsoft.com/office/drawing/2014/chart" uri="{C3380CC4-5D6E-409C-BE32-E72D297353CC}">
                  <c16:uniqueId val="{0000003D-9FCA-4DF6-8A3D-5B456820982B}"/>
                </c:ext>
              </c:extLst>
            </c:dLbl>
            <c:dLbl>
              <c:idx val="42"/>
              <c:delete val="1"/>
              <c:extLst>
                <c:ext xmlns:c15="http://schemas.microsoft.com/office/drawing/2012/chart" uri="{CE6537A1-D6FC-4f65-9D91-7224C49458BB}"/>
                <c:ext xmlns:c16="http://schemas.microsoft.com/office/drawing/2014/chart" uri="{C3380CC4-5D6E-409C-BE32-E72D297353CC}">
                  <c16:uniqueId val="{0000003E-9FCA-4DF6-8A3D-5B456820982B}"/>
                </c:ext>
              </c:extLst>
            </c:dLbl>
            <c:dLbl>
              <c:idx val="43"/>
              <c:delete val="1"/>
              <c:extLst>
                <c:ext xmlns:c15="http://schemas.microsoft.com/office/drawing/2012/chart" uri="{CE6537A1-D6FC-4f65-9D91-7224C49458BB}"/>
                <c:ext xmlns:c16="http://schemas.microsoft.com/office/drawing/2014/chart" uri="{C3380CC4-5D6E-409C-BE32-E72D297353CC}">
                  <c16:uniqueId val="{0000003F-9FCA-4DF6-8A3D-5B456820982B}"/>
                </c:ext>
              </c:extLst>
            </c:dLbl>
            <c:dLbl>
              <c:idx val="45"/>
              <c:delete val="1"/>
              <c:extLst>
                <c:ext xmlns:c15="http://schemas.microsoft.com/office/drawing/2012/chart" uri="{CE6537A1-D6FC-4f65-9D91-7224C49458BB}"/>
                <c:ext xmlns:c16="http://schemas.microsoft.com/office/drawing/2014/chart" uri="{C3380CC4-5D6E-409C-BE32-E72D297353CC}">
                  <c16:uniqueId val="{00000040-9FCA-4DF6-8A3D-5B456820982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2023'!$N$127:$AW$128</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'Прогноз Зарплати 2023'!$N$131:$BI$131</c:f>
              <c:numCache>
                <c:formatCode>_(* #\ ##0_);_(* \(#\ ##0\);_(* "-"??_);_(@_)</c:formatCode>
                <c:ptCount val="48"/>
                <c:pt idx="0">
                  <c:v>437.17576638387527</c:v>
                </c:pt>
                <c:pt idx="1">
                  <c:v>450.03237186855824</c:v>
                </c:pt>
                <c:pt idx="2">
                  <c:v>489.71853590437973</c:v>
                </c:pt>
                <c:pt idx="3">
                  <c:v>484.89079842463303</c:v>
                </c:pt>
                <c:pt idx="4">
                  <c:v>489.09420289855069</c:v>
                </c:pt>
                <c:pt idx="5">
                  <c:v>525.44297195704064</c:v>
                </c:pt>
                <c:pt idx="6">
                  <c:v>527.10777323798527</c:v>
                </c:pt>
                <c:pt idx="7">
                  <c:v>523.05680119581461</c:v>
                </c:pt>
                <c:pt idx="8">
                  <c:v>532.66221927987112</c:v>
                </c:pt>
                <c:pt idx="9">
                  <c:v>532.61281759575274</c:v>
                </c:pt>
                <c:pt idx="10">
                  <c:v>539.96219281663514</c:v>
                </c:pt>
                <c:pt idx="11">
                  <c:v>641.41859610437336</c:v>
                </c:pt>
                <c:pt idx="12">
                  <c:v>520.97927090779126</c:v>
                </c:pt>
                <c:pt idx="13">
                  <c:v>509.07429880100358</c:v>
                </c:pt>
                <c:pt idx="14">
                  <c:v>505.2105484476819</c:v>
                </c:pt>
                <c:pt idx="15">
                  <c:v>471.7244754514366</c:v>
                </c:pt>
                <c:pt idx="16">
                  <c:v>466.3658097443041</c:v>
                </c:pt>
                <c:pt idx="17">
                  <c:v>469.36083438424225</c:v>
                </c:pt>
                <c:pt idx="18">
                  <c:v>397.43643831285976</c:v>
                </c:pt>
                <c:pt idx="19">
                  <c:v>401.43916096836119</c:v>
                </c:pt>
                <c:pt idx="20">
                  <c:v>400.40795106389305</c:v>
                </c:pt>
                <c:pt idx="21">
                  <c:v>445.3256342741177</c:v>
                </c:pt>
                <c:pt idx="22">
                  <c:v>449.74106509284508</c:v>
                </c:pt>
                <c:pt idx="23">
                  <c:v>456.62913717005983</c:v>
                </c:pt>
                <c:pt idx="24">
                  <c:v>417.86300161192986</c:v>
                </c:pt>
                <c:pt idx="25">
                  <c:v>422.25887911052553</c:v>
                </c:pt>
                <c:pt idx="26">
                  <c:v>426.1588801839747</c:v>
                </c:pt>
                <c:pt idx="27">
                  <c:v>463.13311048283276</c:v>
                </c:pt>
                <c:pt idx="28">
                  <c:v>469.07700312251023</c:v>
                </c:pt>
                <c:pt idx="29">
                  <c:v>476.80983432364405</c:v>
                </c:pt>
                <c:pt idx="30">
                  <c:v>479.03418102269615</c:v>
                </c:pt>
                <c:pt idx="31">
                  <c:v>476.88460486737767</c:v>
                </c:pt>
                <c:pt idx="32">
                  <c:v>485.52502050861364</c:v>
                </c:pt>
                <c:pt idx="33">
                  <c:v>491.90158004571197</c:v>
                </c:pt>
                <c:pt idx="34">
                  <c:v>489.28477469184526</c:v>
                </c:pt>
                <c:pt idx="35">
                  <c:v>535.24038449333057</c:v>
                </c:pt>
                <c:pt idx="36" formatCode="_-* #\ ##0\ _₴_-;\-* #\ ##0\ _₴_-;_-* &quot;-&quot;?\ _₴_-;_-@_-">
                  <c:v>508.84681053528681</c:v>
                </c:pt>
                <c:pt idx="37" formatCode="_-* #\ ##0\ _₴_-;\-* #\ ##0\ _₴_-;_-* &quot;-&quot;?\ _₴_-;_-@_-">
                  <c:v>503.19481265994614</c:v>
                </c:pt>
                <c:pt idx="38" formatCode="_-* #\ ##0\ _₴_-;\-* #\ ##0\ _₴_-;_-* &quot;-&quot;?\ _₴_-;_-@_-">
                  <c:v>499.64262863852281</c:v>
                </c:pt>
                <c:pt idx="39" formatCode="_-* #\ ##0\ _₴_-;\-* #\ ##0\ _₴_-;_-* &quot;-&quot;?\ _₴_-;_-@_-">
                  <c:v>499.07458573239524</c:v>
                </c:pt>
                <c:pt idx="40" formatCode="_-* #\ ##0\ _₴_-;\-* #\ ##0\ _₴_-;_-* &quot;-&quot;?\ _₴_-;_-@_-">
                  <c:v>495.36902860105619</c:v>
                </c:pt>
                <c:pt idx="41" formatCode="_-* #\ ##0\ _₴_-;\-* #\ ##0\ _₴_-;_-* &quot;-&quot;?\ _₴_-;_-@_-">
                  <c:v>512.7091228683995</c:v>
                </c:pt>
                <c:pt idx="42" formatCode="_-* #\ ##0\ _₴_-;\-* #\ ##0\ _₴_-;_-* &quot;-&quot;?\ _₴_-;_-@_-">
                  <c:v>518.53943329312915</c:v>
                </c:pt>
                <c:pt idx="43" formatCode="_-* #\ ##0\ _₴_-;\-* #\ ##0\ _₴_-;_-* &quot;-&quot;?\ _₴_-;_-@_-">
                  <c:v>510.40427339581566</c:v>
                </c:pt>
                <c:pt idx="44" formatCode="_-* #\ ##0\ _₴_-;\-* #\ ##0\ _₴_-;_-* &quot;-&quot;?\ _₴_-;_-@_-">
                  <c:v>517.83104008668101</c:v>
                </c:pt>
                <c:pt idx="45" formatCode="_-* #\ ##0\ _₴_-;\-* #\ ##0\ _₴_-;_-* &quot;-&quot;?\ _₴_-;_-@_-">
                  <c:v>535.83128279347136</c:v>
                </c:pt>
                <c:pt idx="46" formatCode="_-* #\ ##0\ _₴_-;\-* #\ ##0\ _₴_-;_-* &quot;-&quot;?\ _₴_-;_-@_-">
                  <c:v>530.22977513119031</c:v>
                </c:pt>
                <c:pt idx="47" formatCode="_-* #\ ##0\ _₴_-;\-* #\ ##0\ _₴_-;_-* &quot;-&quot;?\ _₴_-;_-@_-">
                  <c:v>591.00703827839345</c:v>
                </c:pt>
              </c:numCache>
            </c:numRef>
          </c:val>
          <c:extLst>
            <c:ext xmlns:c16="http://schemas.microsoft.com/office/drawing/2014/chart" uri="{C3380CC4-5D6E-409C-BE32-E72D297353CC}">
              <c16:uniqueId val="{00000011-9FCA-4DF6-8A3D-5B456820982B}"/>
            </c:ext>
          </c:extLst>
        </c:ser>
        <c:dLbls>
          <c:showLegendKey val="0"/>
          <c:showVal val="0"/>
          <c:showCatName val="0"/>
          <c:showSerName val="0"/>
          <c:showPercent val="0"/>
          <c:showBubbleSize val="0"/>
        </c:dLbls>
        <c:gapWidth val="150"/>
        <c:axId val="554919048"/>
        <c:axId val="554922248"/>
        <c:extLst>
          <c:ext xmlns:c15="http://schemas.microsoft.com/office/drawing/2012/chart" uri="{02D57815-91ED-43cb-92C2-25804820EDAC}">
            <c15:filteredBarSeries>
              <c15:ser>
                <c:idx val="2"/>
                <c:order val="2"/>
                <c:tx>
                  <c:strRef>
                    <c:extLst>
                      <c:ext uri="{02D57815-91ED-43cb-92C2-25804820EDAC}">
                        <c15:formulaRef>
                          <c15:sqref>'Прогноз Зарплати 2023'!$A$132</c15:sqref>
                        </c15:formulaRef>
                      </c:ext>
                    </c:extLst>
                    <c:strCache>
                      <c:ptCount val="1"/>
                      <c:pt idx="0">
                        <c:v>USD (сценарій 2)</c:v>
                      </c:pt>
                    </c:strCache>
                  </c:strRef>
                </c:tx>
                <c:spPr>
                  <a:solidFill>
                    <a:schemeClr val="accent2">
                      <a:lumMod val="60000"/>
                      <a:lumOff val="40000"/>
                    </a:schemeClr>
                  </a:solidFill>
                  <a:ln>
                    <a:noFill/>
                  </a:ln>
                  <a:effectLst/>
                </c:spPr>
                <c:invertIfNegative val="0"/>
                <c:dLbls>
                  <c:dLbl>
                    <c:idx val="0"/>
                    <c:layout>
                      <c:manualLayout>
                        <c:x val="2.8852464776706358E-3"/>
                        <c:y val="-7.0786050007310136E-17"/>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2C-9FCA-4DF6-8A3D-5B456820982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'Прогноз Зарплати 2023'!$N$127:$AW$128</c15:sqref>
                        </c15:formulaRef>
                      </c:ext>
                    </c:extLst>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extLst>
                      <c:ext uri="{02D57815-91ED-43cb-92C2-25804820EDAC}">
                        <c15:formulaRef>
                          <c15:sqref>'Прогноз Зарплати 2023'!$AL$132:$AW$132</c15:sqref>
                        </c15:formulaRef>
                      </c:ext>
                    </c:extLst>
                    <c:numCache>
                      <c:formatCode>_-* #\ ##0\ _₴_-;\-* #\ ##0\ _₴_-;_-* "-"?\ _₴_-;_-@_-</c:formatCode>
                      <c:ptCount val="12"/>
                      <c:pt idx="0">
                        <c:v>417.86300161192986</c:v>
                      </c:pt>
                      <c:pt idx="1">
                        <c:v>422.25887911052553</c:v>
                      </c:pt>
                      <c:pt idx="2">
                        <c:v>426.1588801839747</c:v>
                      </c:pt>
                      <c:pt idx="3">
                        <c:v>463.13311048283276</c:v>
                      </c:pt>
                      <c:pt idx="4">
                        <c:v>469.07700312251023</c:v>
                      </c:pt>
                      <c:pt idx="5">
                        <c:v>476.80983432364405</c:v>
                      </c:pt>
                      <c:pt idx="6">
                        <c:v>456.27075585940645</c:v>
                      </c:pt>
                      <c:pt idx="7">
                        <c:v>445.27284868919793</c:v>
                      </c:pt>
                      <c:pt idx="8">
                        <c:v>450.35166776776026</c:v>
                      </c:pt>
                      <c:pt idx="9">
                        <c:v>447.82503126516718</c:v>
                      </c:pt>
                      <c:pt idx="10">
                        <c:v>442.2095693878191</c:v>
                      </c:pt>
                      <c:pt idx="11">
                        <c:v>482.60636073389554</c:v>
                      </c:pt>
                    </c:numCache>
                  </c:numRef>
                </c:val>
                <c:extLst>
                  <c:ext xmlns:c16="http://schemas.microsoft.com/office/drawing/2014/chart" uri="{C3380CC4-5D6E-409C-BE32-E72D297353CC}">
                    <c16:uniqueId val="{0000002D-9FCA-4DF6-8A3D-5B456820982B}"/>
                  </c:ext>
                </c:extLst>
              </c15:ser>
            </c15:filteredBarSeries>
          </c:ext>
        </c:extLst>
      </c:barChart>
      <c:lineChart>
        <c:grouping val="standard"/>
        <c:varyColors val="0"/>
        <c:ser>
          <c:idx val="0"/>
          <c:order val="0"/>
          <c:tx>
            <c:strRef>
              <c:f>'Прогноз Зарплати 2023'!$A$143</c:f>
              <c:strCache>
                <c:ptCount val="1"/>
                <c:pt idx="0">
                  <c:v>UAH</c:v>
                </c:pt>
              </c:strCache>
            </c:strRef>
          </c:tx>
          <c:spPr>
            <a:ln w="28575" cap="rnd">
              <a:solidFill>
                <a:schemeClr val="accent5"/>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2-9FCA-4DF6-8A3D-5B456820982B}"/>
                </c:ext>
              </c:extLst>
            </c:dLbl>
            <c:dLbl>
              <c:idx val="3"/>
              <c:delete val="1"/>
              <c:extLst>
                <c:ext xmlns:c15="http://schemas.microsoft.com/office/drawing/2012/chart" uri="{CE6537A1-D6FC-4f65-9D91-7224C49458BB}"/>
                <c:ext xmlns:c16="http://schemas.microsoft.com/office/drawing/2014/chart" uri="{C3380CC4-5D6E-409C-BE32-E72D297353CC}">
                  <c16:uniqueId val="{00000013-9FCA-4DF6-8A3D-5B456820982B}"/>
                </c:ext>
              </c:extLst>
            </c:dLbl>
            <c:dLbl>
              <c:idx val="4"/>
              <c:delete val="1"/>
              <c:extLst>
                <c:ext xmlns:c15="http://schemas.microsoft.com/office/drawing/2012/chart" uri="{CE6537A1-D6FC-4f65-9D91-7224C49458BB}"/>
                <c:ext xmlns:c16="http://schemas.microsoft.com/office/drawing/2014/chart" uri="{C3380CC4-5D6E-409C-BE32-E72D297353CC}">
                  <c16:uniqueId val="{00000014-9FCA-4DF6-8A3D-5B456820982B}"/>
                </c:ext>
              </c:extLst>
            </c:dLbl>
            <c:dLbl>
              <c:idx val="6"/>
              <c:delete val="1"/>
              <c:extLst>
                <c:ext xmlns:c15="http://schemas.microsoft.com/office/drawing/2012/chart" uri="{CE6537A1-D6FC-4f65-9D91-7224C49458BB}"/>
                <c:ext xmlns:c16="http://schemas.microsoft.com/office/drawing/2014/chart" uri="{C3380CC4-5D6E-409C-BE32-E72D297353CC}">
                  <c16:uniqueId val="{00000015-9FCA-4DF6-8A3D-5B456820982B}"/>
                </c:ext>
              </c:extLst>
            </c:dLbl>
            <c:dLbl>
              <c:idx val="7"/>
              <c:delete val="1"/>
              <c:extLst>
                <c:ext xmlns:c15="http://schemas.microsoft.com/office/drawing/2012/chart" uri="{CE6537A1-D6FC-4f65-9D91-7224C49458BB}"/>
                <c:ext xmlns:c16="http://schemas.microsoft.com/office/drawing/2014/chart" uri="{C3380CC4-5D6E-409C-BE32-E72D297353CC}">
                  <c16:uniqueId val="{00000016-9FCA-4DF6-8A3D-5B456820982B}"/>
                </c:ext>
              </c:extLst>
            </c:dLbl>
            <c:dLbl>
              <c:idx val="9"/>
              <c:delete val="1"/>
              <c:extLst>
                <c:ext xmlns:c15="http://schemas.microsoft.com/office/drawing/2012/chart" uri="{CE6537A1-D6FC-4f65-9D91-7224C49458BB}"/>
                <c:ext xmlns:c16="http://schemas.microsoft.com/office/drawing/2014/chart" uri="{C3380CC4-5D6E-409C-BE32-E72D297353CC}">
                  <c16:uniqueId val="{00000017-9FCA-4DF6-8A3D-5B456820982B}"/>
                </c:ext>
              </c:extLst>
            </c:dLbl>
            <c:dLbl>
              <c:idx val="10"/>
              <c:delete val="1"/>
              <c:extLst>
                <c:ext xmlns:c15="http://schemas.microsoft.com/office/drawing/2012/chart" uri="{CE6537A1-D6FC-4f65-9D91-7224C49458BB}"/>
                <c:ext xmlns:c16="http://schemas.microsoft.com/office/drawing/2014/chart" uri="{C3380CC4-5D6E-409C-BE32-E72D297353CC}">
                  <c16:uniqueId val="{00000018-9FCA-4DF6-8A3D-5B456820982B}"/>
                </c:ext>
              </c:extLst>
            </c:dLbl>
            <c:dLbl>
              <c:idx val="12"/>
              <c:delete val="1"/>
              <c:extLst>
                <c:ext xmlns:c15="http://schemas.microsoft.com/office/drawing/2012/chart" uri="{CE6537A1-D6FC-4f65-9D91-7224C49458BB}"/>
                <c:ext xmlns:c16="http://schemas.microsoft.com/office/drawing/2014/chart" uri="{C3380CC4-5D6E-409C-BE32-E72D297353CC}">
                  <c16:uniqueId val="{00000019-9FCA-4DF6-8A3D-5B456820982B}"/>
                </c:ext>
              </c:extLst>
            </c:dLbl>
            <c:dLbl>
              <c:idx val="14"/>
              <c:delete val="1"/>
              <c:extLst>
                <c:ext xmlns:c15="http://schemas.microsoft.com/office/drawing/2012/chart" uri="{CE6537A1-D6FC-4f65-9D91-7224C49458BB}"/>
                <c:ext xmlns:c16="http://schemas.microsoft.com/office/drawing/2014/chart" uri="{C3380CC4-5D6E-409C-BE32-E72D297353CC}">
                  <c16:uniqueId val="{0000001A-9FCA-4DF6-8A3D-5B456820982B}"/>
                </c:ext>
              </c:extLst>
            </c:dLbl>
            <c:dLbl>
              <c:idx val="15"/>
              <c:delete val="1"/>
              <c:extLst>
                <c:ext xmlns:c15="http://schemas.microsoft.com/office/drawing/2012/chart" uri="{CE6537A1-D6FC-4f65-9D91-7224C49458BB}"/>
                <c:ext xmlns:c16="http://schemas.microsoft.com/office/drawing/2014/chart" uri="{C3380CC4-5D6E-409C-BE32-E72D297353CC}">
                  <c16:uniqueId val="{0000001B-9FCA-4DF6-8A3D-5B456820982B}"/>
                </c:ext>
              </c:extLst>
            </c:dLbl>
            <c:dLbl>
              <c:idx val="16"/>
              <c:delete val="1"/>
              <c:extLst>
                <c:ext xmlns:c15="http://schemas.microsoft.com/office/drawing/2012/chart" uri="{CE6537A1-D6FC-4f65-9D91-7224C49458BB}"/>
                <c:ext xmlns:c16="http://schemas.microsoft.com/office/drawing/2014/chart" uri="{C3380CC4-5D6E-409C-BE32-E72D297353CC}">
                  <c16:uniqueId val="{0000001C-9FCA-4DF6-8A3D-5B456820982B}"/>
                </c:ext>
              </c:extLst>
            </c:dLbl>
            <c:dLbl>
              <c:idx val="18"/>
              <c:delete val="1"/>
              <c:extLst>
                <c:ext xmlns:c15="http://schemas.microsoft.com/office/drawing/2012/chart" uri="{CE6537A1-D6FC-4f65-9D91-7224C49458BB}"/>
                <c:ext xmlns:c16="http://schemas.microsoft.com/office/drawing/2014/chart" uri="{C3380CC4-5D6E-409C-BE32-E72D297353CC}">
                  <c16:uniqueId val="{0000001D-9FCA-4DF6-8A3D-5B456820982B}"/>
                </c:ext>
              </c:extLst>
            </c:dLbl>
            <c:dLbl>
              <c:idx val="19"/>
              <c:delete val="1"/>
              <c:extLst>
                <c:ext xmlns:c15="http://schemas.microsoft.com/office/drawing/2012/chart" uri="{CE6537A1-D6FC-4f65-9D91-7224C49458BB}"/>
                <c:ext xmlns:c16="http://schemas.microsoft.com/office/drawing/2014/chart" uri="{C3380CC4-5D6E-409C-BE32-E72D297353CC}">
                  <c16:uniqueId val="{0000001E-9FCA-4DF6-8A3D-5B456820982B}"/>
                </c:ext>
              </c:extLst>
            </c:dLbl>
            <c:dLbl>
              <c:idx val="21"/>
              <c:delete val="1"/>
              <c:extLst>
                <c:ext xmlns:c15="http://schemas.microsoft.com/office/drawing/2012/chart" uri="{CE6537A1-D6FC-4f65-9D91-7224C49458BB}"/>
                <c:ext xmlns:c16="http://schemas.microsoft.com/office/drawing/2014/chart" uri="{C3380CC4-5D6E-409C-BE32-E72D297353CC}">
                  <c16:uniqueId val="{0000001F-9FCA-4DF6-8A3D-5B456820982B}"/>
                </c:ext>
              </c:extLst>
            </c:dLbl>
            <c:dLbl>
              <c:idx val="22"/>
              <c:delete val="1"/>
              <c:extLst>
                <c:ext xmlns:c15="http://schemas.microsoft.com/office/drawing/2012/chart" uri="{CE6537A1-D6FC-4f65-9D91-7224C49458BB}"/>
                <c:ext xmlns:c16="http://schemas.microsoft.com/office/drawing/2014/chart" uri="{C3380CC4-5D6E-409C-BE32-E72D297353CC}">
                  <c16:uniqueId val="{00000020-9FCA-4DF6-8A3D-5B456820982B}"/>
                </c:ext>
              </c:extLst>
            </c:dLbl>
            <c:dLbl>
              <c:idx val="24"/>
              <c:delete val="1"/>
              <c:extLst>
                <c:ext xmlns:c15="http://schemas.microsoft.com/office/drawing/2012/chart" uri="{CE6537A1-D6FC-4f65-9D91-7224C49458BB}"/>
                <c:ext xmlns:c16="http://schemas.microsoft.com/office/drawing/2014/chart" uri="{C3380CC4-5D6E-409C-BE32-E72D297353CC}">
                  <c16:uniqueId val="{00000021-9FCA-4DF6-8A3D-5B456820982B}"/>
                </c:ext>
              </c:extLst>
            </c:dLbl>
            <c:dLbl>
              <c:idx val="25"/>
              <c:delete val="1"/>
              <c:extLst>
                <c:ext xmlns:c15="http://schemas.microsoft.com/office/drawing/2012/chart" uri="{CE6537A1-D6FC-4f65-9D91-7224C49458BB}"/>
                <c:ext xmlns:c16="http://schemas.microsoft.com/office/drawing/2014/chart" uri="{C3380CC4-5D6E-409C-BE32-E72D297353CC}">
                  <c16:uniqueId val="{00000022-9FCA-4DF6-8A3D-5B456820982B}"/>
                </c:ext>
              </c:extLst>
            </c:dLbl>
            <c:dLbl>
              <c:idx val="27"/>
              <c:delete val="1"/>
              <c:extLst>
                <c:ext xmlns:c15="http://schemas.microsoft.com/office/drawing/2012/chart" uri="{CE6537A1-D6FC-4f65-9D91-7224C49458BB}"/>
                <c:ext xmlns:c16="http://schemas.microsoft.com/office/drawing/2014/chart" uri="{C3380CC4-5D6E-409C-BE32-E72D297353CC}">
                  <c16:uniqueId val="{00000023-9FCA-4DF6-8A3D-5B456820982B}"/>
                </c:ext>
              </c:extLst>
            </c:dLbl>
            <c:dLbl>
              <c:idx val="28"/>
              <c:delete val="1"/>
              <c:extLst>
                <c:ext xmlns:c15="http://schemas.microsoft.com/office/drawing/2012/chart" uri="{CE6537A1-D6FC-4f65-9D91-7224C49458BB}"/>
                <c:ext xmlns:c16="http://schemas.microsoft.com/office/drawing/2014/chart" uri="{C3380CC4-5D6E-409C-BE32-E72D297353CC}">
                  <c16:uniqueId val="{00000024-9FCA-4DF6-8A3D-5B456820982B}"/>
                </c:ext>
              </c:extLst>
            </c:dLbl>
            <c:dLbl>
              <c:idx val="29"/>
              <c:layout>
                <c:manualLayout>
                  <c:x val="-5.4908733146554006E-2"/>
                  <c:y val="-3.56013237469066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9FCA-4DF6-8A3D-5B456820982B}"/>
                </c:ext>
              </c:extLst>
            </c:dLbl>
            <c:dLbl>
              <c:idx val="30"/>
              <c:delete val="1"/>
              <c:extLst>
                <c:ext xmlns:c15="http://schemas.microsoft.com/office/drawing/2012/chart" uri="{CE6537A1-D6FC-4f65-9D91-7224C49458BB}"/>
                <c:ext xmlns:c16="http://schemas.microsoft.com/office/drawing/2014/chart" uri="{C3380CC4-5D6E-409C-BE32-E72D297353CC}">
                  <c16:uniqueId val="{00000026-9FCA-4DF6-8A3D-5B456820982B}"/>
                </c:ext>
              </c:extLst>
            </c:dLbl>
            <c:dLbl>
              <c:idx val="31"/>
              <c:delete val="1"/>
              <c:extLst>
                <c:ext xmlns:c15="http://schemas.microsoft.com/office/drawing/2012/chart" uri="{CE6537A1-D6FC-4f65-9D91-7224C49458BB}"/>
                <c:ext xmlns:c16="http://schemas.microsoft.com/office/drawing/2014/chart" uri="{C3380CC4-5D6E-409C-BE32-E72D297353CC}">
                  <c16:uniqueId val="{00000027-9FCA-4DF6-8A3D-5B456820982B}"/>
                </c:ext>
              </c:extLst>
            </c:dLbl>
            <c:dLbl>
              <c:idx val="32"/>
              <c:layout>
                <c:manualLayout>
                  <c:x val="-5.4406275918420455E-2"/>
                  <c:y val="-3.33786615688825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9FCA-4DF6-8A3D-5B456820982B}"/>
                </c:ext>
              </c:extLst>
            </c:dLbl>
            <c:dLbl>
              <c:idx val="33"/>
              <c:delete val="1"/>
              <c:extLst>
                <c:ext xmlns:c15="http://schemas.microsoft.com/office/drawing/2012/chart" uri="{CE6537A1-D6FC-4f65-9D91-7224C49458BB}"/>
                <c:ext xmlns:c16="http://schemas.microsoft.com/office/drawing/2014/chart" uri="{C3380CC4-5D6E-409C-BE32-E72D297353CC}">
                  <c16:uniqueId val="{00000029-9FCA-4DF6-8A3D-5B456820982B}"/>
                </c:ext>
              </c:extLst>
            </c:dLbl>
            <c:dLbl>
              <c:idx val="34"/>
              <c:delete val="1"/>
              <c:extLst>
                <c:ext xmlns:c15="http://schemas.microsoft.com/office/drawing/2012/chart" uri="{CE6537A1-D6FC-4f65-9D91-7224C49458BB}"/>
                <c:ext xmlns:c16="http://schemas.microsoft.com/office/drawing/2014/chart" uri="{C3380CC4-5D6E-409C-BE32-E72D297353CC}">
                  <c16:uniqueId val="{0000002A-9FCA-4DF6-8A3D-5B456820982B}"/>
                </c:ext>
              </c:extLst>
            </c:dLbl>
            <c:dLbl>
              <c:idx val="36"/>
              <c:delete val="1"/>
              <c:extLst>
                <c:ext xmlns:c15="http://schemas.microsoft.com/office/drawing/2012/chart" uri="{CE6537A1-D6FC-4f65-9D91-7224C49458BB}"/>
                <c:ext xmlns:c16="http://schemas.microsoft.com/office/drawing/2014/chart" uri="{C3380CC4-5D6E-409C-BE32-E72D297353CC}">
                  <c16:uniqueId val="{00000030-9FCA-4DF6-8A3D-5B456820982B}"/>
                </c:ext>
              </c:extLst>
            </c:dLbl>
            <c:dLbl>
              <c:idx val="37"/>
              <c:delete val="1"/>
              <c:extLst>
                <c:ext xmlns:c15="http://schemas.microsoft.com/office/drawing/2012/chart" uri="{CE6537A1-D6FC-4f65-9D91-7224C49458BB}"/>
                <c:ext xmlns:c16="http://schemas.microsoft.com/office/drawing/2014/chart" uri="{C3380CC4-5D6E-409C-BE32-E72D297353CC}">
                  <c16:uniqueId val="{0000002E-9FCA-4DF6-8A3D-5B456820982B}"/>
                </c:ext>
              </c:extLst>
            </c:dLbl>
            <c:dLbl>
              <c:idx val="38"/>
              <c:delete val="1"/>
              <c:extLst>
                <c:ext xmlns:c15="http://schemas.microsoft.com/office/drawing/2012/chart" uri="{CE6537A1-D6FC-4f65-9D91-7224C49458BB}"/>
                <c:ext xmlns:c16="http://schemas.microsoft.com/office/drawing/2014/chart" uri="{C3380CC4-5D6E-409C-BE32-E72D297353CC}">
                  <c16:uniqueId val="{0000002F-9FCA-4DF6-8A3D-5B456820982B}"/>
                </c:ext>
              </c:extLst>
            </c:dLbl>
            <c:dLbl>
              <c:idx val="39"/>
              <c:layout>
                <c:manualLayout>
                  <c:x val="-5.3920040974322007E-2"/>
                  <c:y val="-3.25885823011661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9FCA-4DF6-8A3D-5B456820982B}"/>
                </c:ext>
              </c:extLst>
            </c:dLbl>
            <c:dLbl>
              <c:idx val="40"/>
              <c:delete val="1"/>
              <c:extLst>
                <c:ext xmlns:c15="http://schemas.microsoft.com/office/drawing/2012/chart" uri="{CE6537A1-D6FC-4f65-9D91-7224C49458BB}"/>
                <c:ext xmlns:c16="http://schemas.microsoft.com/office/drawing/2014/chart" uri="{C3380CC4-5D6E-409C-BE32-E72D297353CC}">
                  <c16:uniqueId val="{00000034-9FCA-4DF6-8A3D-5B456820982B}"/>
                </c:ext>
              </c:extLst>
            </c:dLbl>
            <c:dLbl>
              <c:idx val="41"/>
              <c:delete val="1"/>
              <c:extLst>
                <c:ext xmlns:c15="http://schemas.microsoft.com/office/drawing/2012/chart" uri="{CE6537A1-D6FC-4f65-9D91-7224C49458BB}"/>
                <c:ext xmlns:c16="http://schemas.microsoft.com/office/drawing/2014/chart" uri="{C3380CC4-5D6E-409C-BE32-E72D297353CC}">
                  <c16:uniqueId val="{00000031-9FCA-4DF6-8A3D-5B456820982B}"/>
                </c:ext>
              </c:extLst>
            </c:dLbl>
            <c:dLbl>
              <c:idx val="42"/>
              <c:layout>
                <c:manualLayout>
                  <c:x val="-5.1436957656583966E-2"/>
                  <c:y val="-3.25885823011660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9FCA-4DF6-8A3D-5B456820982B}"/>
                </c:ext>
              </c:extLst>
            </c:dLbl>
            <c:dLbl>
              <c:idx val="43"/>
              <c:delete val="1"/>
              <c:extLst>
                <c:ext xmlns:c15="http://schemas.microsoft.com/office/drawing/2012/chart" uri="{CE6537A1-D6FC-4f65-9D91-7224C49458BB}"/>
                <c:ext xmlns:c16="http://schemas.microsoft.com/office/drawing/2014/chart" uri="{C3380CC4-5D6E-409C-BE32-E72D297353CC}">
                  <c16:uniqueId val="{00000033-9FCA-4DF6-8A3D-5B456820982B}"/>
                </c:ext>
              </c:extLst>
            </c:dLbl>
            <c:dLbl>
              <c:idx val="44"/>
              <c:delete val="1"/>
              <c:extLst>
                <c:ext xmlns:c15="http://schemas.microsoft.com/office/drawing/2012/chart" uri="{CE6537A1-D6FC-4f65-9D91-7224C49458BB}"/>
                <c:ext xmlns:c16="http://schemas.microsoft.com/office/drawing/2014/chart" uri="{C3380CC4-5D6E-409C-BE32-E72D297353CC}">
                  <c16:uniqueId val="{00000032-9FCA-4DF6-8A3D-5B456820982B}"/>
                </c:ext>
              </c:extLst>
            </c:dLbl>
            <c:dLbl>
              <c:idx val="45"/>
              <c:layout>
                <c:manualLayout>
                  <c:x val="-5.3388359746668376E-2"/>
                  <c:y val="-4.11001503263550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9FCA-4DF6-8A3D-5B456820982B}"/>
                </c:ext>
              </c:extLst>
            </c:dLbl>
            <c:dLbl>
              <c:idx val="46"/>
              <c:delete val="1"/>
              <c:extLst>
                <c:ext xmlns:c15="http://schemas.microsoft.com/office/drawing/2012/chart" uri="{CE6537A1-D6FC-4f65-9D91-7224C49458BB}"/>
                <c:ext xmlns:c16="http://schemas.microsoft.com/office/drawing/2014/chart" uri="{C3380CC4-5D6E-409C-BE32-E72D297353CC}">
                  <c16:uniqueId val="{00000037-9FCA-4DF6-8A3D-5B456820982B}"/>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2023'!$N$127:$BI$128</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'Прогноз Зарплати 2023'!$N$129:$BI$129</c:f>
              <c:numCache>
                <c:formatCode>_(* #\ ##0_);_(* \(#\ ##0\);_(* "-"??_);_(@_)</c:formatCode>
                <c:ptCount val="48"/>
                <c:pt idx="0">
                  <c:v>12337</c:v>
                </c:pt>
                <c:pt idx="1">
                  <c:v>12549</c:v>
                </c:pt>
                <c:pt idx="2">
                  <c:v>13612</c:v>
                </c:pt>
                <c:pt idx="3">
                  <c:v>13543</c:v>
                </c:pt>
                <c:pt idx="4">
                  <c:v>13499</c:v>
                </c:pt>
                <c:pt idx="5">
                  <c:v>14313</c:v>
                </c:pt>
                <c:pt idx="6">
                  <c:v>14345</c:v>
                </c:pt>
                <c:pt idx="7">
                  <c:v>13997</c:v>
                </c:pt>
                <c:pt idx="8">
                  <c:v>14239</c:v>
                </c:pt>
                <c:pt idx="9">
                  <c:v>14045</c:v>
                </c:pt>
                <c:pt idx="10">
                  <c:v>14282</c:v>
                </c:pt>
                <c:pt idx="11">
                  <c:v>17453</c:v>
                </c:pt>
                <c:pt idx="12">
                  <c:v>14577</c:v>
                </c:pt>
                <c:pt idx="13">
                  <c:v>14462.800828936512</c:v>
                </c:pt>
                <c:pt idx="14">
                  <c:v>14777.408542094696</c:v>
                </c:pt>
                <c:pt idx="15">
                  <c:v>13797.94090695452</c:v>
                </c:pt>
                <c:pt idx="16">
                  <c:v>13641.199935020895</c:v>
                </c:pt>
                <c:pt idx="17">
                  <c:v>13728.804405739085</c:v>
                </c:pt>
                <c:pt idx="18">
                  <c:v>14534.250549101282</c:v>
                </c:pt>
                <c:pt idx="19">
                  <c:v>14680.630116612969</c:v>
                </c:pt>
                <c:pt idx="20">
                  <c:v>14642.918770406568</c:v>
                </c:pt>
                <c:pt idx="21">
                  <c:v>16285.558445404484</c:v>
                </c:pt>
                <c:pt idx="22">
                  <c:v>16447.030750445345</c:v>
                </c:pt>
                <c:pt idx="23">
                  <c:v>16698.927546309089</c:v>
                </c:pt>
                <c:pt idx="24">
                  <c:v>15281.249968948276</c:v>
                </c:pt>
                <c:pt idx="25">
                  <c:v>15442.007209071919</c:v>
                </c:pt>
                <c:pt idx="26">
                  <c:v>15584.630248327954</c:v>
                </c:pt>
                <c:pt idx="27">
                  <c:v>16936.777850357194</c:v>
                </c:pt>
                <c:pt idx="28">
                  <c:v>17154.146004190199</c:v>
                </c:pt>
                <c:pt idx="29">
                  <c:v>17436.935641215663</c:v>
                </c:pt>
                <c:pt idx="30">
                  <c:v>17518.28</c:v>
                </c:pt>
                <c:pt idx="31">
                  <c:v>17439.670000000002</c:v>
                </c:pt>
                <c:pt idx="32">
                  <c:v>17755.650000000001</c:v>
                </c:pt>
                <c:pt idx="33">
                  <c:v>17963.73</c:v>
                </c:pt>
                <c:pt idx="34">
                  <c:v>17810.099999999999</c:v>
                </c:pt>
                <c:pt idx="35">
                  <c:v>19654.830000000002</c:v>
                </c:pt>
                <c:pt idx="36" formatCode="_-* #\ ##0\ _₴_-;\-* #\ ##0\ _₴_-;_-* &quot;-&quot;?\ _₴_-;_-@_-">
                  <c:v>19118.511067941676</c:v>
                </c:pt>
                <c:pt idx="37" formatCode="_-* #\ ##0\ _₴_-;\-* #\ ##0\ _₴_-;_-* &quot;-&quot;?\ _₴_-;_-@_-">
                  <c:v>19259.673709713803</c:v>
                </c:pt>
                <c:pt idx="38" formatCode="_-* #\ ##0\ _₴_-;\-* #\ ##0\ _₴_-;_-* &quot;-&quot;?\ _₴_-;_-@_-">
                  <c:v>19538.927916903838</c:v>
                </c:pt>
                <c:pt idx="39" formatCode="_-* #\ ##0\ _₴_-;\-* #\ ##0\ _₴_-;_-* &quot;-&quot;?\ _₴_-;_-@_-">
                  <c:v>19661.395225941844</c:v>
                </c:pt>
                <c:pt idx="40" formatCode="_-* #\ ##0\ _₴_-;\-* #\ ##0\ _₴_-;_-* &quot;-&quot;?\ _₴_-;_-@_-">
                  <c:v>19706.298631327682</c:v>
                </c:pt>
                <c:pt idx="41" formatCode="_-* #\ ##0\ _₴_-;\-* #\ ##0\ _₴_-;_-* &quot;-&quot;?\ _₴_-;_-@_-">
                  <c:v>20589.577773895002</c:v>
                </c:pt>
                <c:pt idx="42" formatCode="_-* #\ ##0\ _₴_-;\-* #\ ##0\ _₴_-;_-* &quot;-&quot;?\ _₴_-;_-@_-">
                  <c:v>21008.954504072528</c:v>
                </c:pt>
                <c:pt idx="43" formatCode="_-* #\ ##0\ _₴_-;\-* #\ ##0\ _₴_-;_-* &quot;-&quot;?\ _₴_-;_-@_-">
                  <c:v>20746.773501915468</c:v>
                </c:pt>
                <c:pt idx="44" formatCode="_-* #\ ##0\ _₴_-;\-* #\ ##0\ _₴_-;_-* &quot;-&quot;?\ _₴_-;_-@_-">
                  <c:v>21162.127376373395</c:v>
                </c:pt>
                <c:pt idx="45" formatCode="_-* #\ ##0\ _₴_-;\-* #\ ##0\ _₴_-;_-* &quot;-&quot;?\ _₴_-;_-@_-">
                  <c:v>21983.554257159536</c:v>
                </c:pt>
                <c:pt idx="46" formatCode="_-* #\ ##0\ _₴_-;\-* #\ ##0\ _₴_-;_-* &quot;-&quot;?\ _₴_-;_-@_-">
                  <c:v>21845.506348591651</c:v>
                </c:pt>
                <c:pt idx="47" formatCode="_-* #\ ##0\ _₴_-;\-* #\ ##0\ _₴_-;_-* &quot;-&quot;?\ _₴_-;_-@_-">
                  <c:v>24469.236765408983</c:v>
                </c:pt>
              </c:numCache>
            </c:numRef>
          </c:val>
          <c:smooth val="0"/>
          <c:extLst>
            <c:ext xmlns:c16="http://schemas.microsoft.com/office/drawing/2014/chart" uri="{C3380CC4-5D6E-409C-BE32-E72D297353CC}">
              <c16:uniqueId val="{0000002B-9FCA-4DF6-8A3D-5B456820982B}"/>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24000"/>
          <c:min val="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900"/>
          <c:min val="3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0"/>
          <c:y val="0.12388447289958943"/>
          <c:w val="0.74262477559768136"/>
          <c:h val="4.5271278433512065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45057244860272"/>
          <c:y val="0.22592175674593701"/>
          <c:w val="0.79606697033115847"/>
          <c:h val="0.62857870920968895"/>
        </c:manualLayout>
      </c:layout>
      <c:barChart>
        <c:barDir val="col"/>
        <c:grouping val="clustered"/>
        <c:varyColors val="0"/>
        <c:ser>
          <c:idx val="1"/>
          <c:order val="1"/>
          <c:tx>
            <c:strRef>
              <c:f>'Чарти 5-7'!$G$90</c:f>
              <c:strCache>
                <c:ptCount val="1"/>
                <c:pt idx="0">
                  <c:v>USD</c:v>
                </c:pt>
              </c:strCache>
            </c:strRef>
          </c:tx>
          <c:spPr>
            <a:solidFill>
              <a:schemeClr val="accent5">
                <a:lumMod val="20000"/>
                <a:lumOff val="8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2023'!$AK$117:$AW$118</c:f>
              <c:multiLvlStrCache>
                <c:ptCount val="13"/>
                <c:lvl>
                  <c:pt idx="0">
                    <c:v>12</c:v>
                  </c:pt>
                  <c:pt idx="1">
                    <c:v>1</c:v>
                  </c:pt>
                  <c:pt idx="2">
                    <c:v>2</c:v>
                  </c:pt>
                  <c:pt idx="3">
                    <c:v>3</c:v>
                  </c:pt>
                  <c:pt idx="4">
                    <c:v>4</c:v>
                  </c:pt>
                  <c:pt idx="5">
                    <c:v>5</c:v>
                  </c:pt>
                  <c:pt idx="6">
                    <c:v>6</c:v>
                  </c:pt>
                  <c:pt idx="7">
                    <c:v>7</c:v>
                  </c:pt>
                  <c:pt idx="8">
                    <c:v>8</c:v>
                  </c:pt>
                  <c:pt idx="9">
                    <c:v>9</c:v>
                  </c:pt>
                  <c:pt idx="10">
                    <c:v>10</c:v>
                  </c:pt>
                  <c:pt idx="11">
                    <c:v>11</c:v>
                  </c:pt>
                  <c:pt idx="12">
                    <c:v>12</c:v>
                  </c:pt>
                </c:lvl>
                <c:lvl>
                  <c:pt idx="0">
                    <c:v>2022</c:v>
                  </c:pt>
                  <c:pt idx="1">
                    <c:v>2023</c:v>
                  </c:pt>
                </c:lvl>
              </c:multiLvlStrCache>
            </c:multiLvlStrRef>
          </c:cat>
          <c:val>
            <c:numRef>
              <c:f>'Прогноз Зарплати 2023'!$AW$131:$BI$131</c:f>
              <c:numCache>
                <c:formatCode>_-* #\ ##0\ _₴_-;\-* #\ ##0\ _₴_-;_-* "-"?\ _₴_-;_-@_-</c:formatCode>
                <c:ptCount val="13"/>
                <c:pt idx="0" formatCode="_(* #\ ##0_);_(* \(#\ ##0\);_(* &quot;-&quot;??_);_(@_)">
                  <c:v>535.24038449333057</c:v>
                </c:pt>
                <c:pt idx="1">
                  <c:v>508.84681053528681</c:v>
                </c:pt>
                <c:pt idx="2">
                  <c:v>503.19481265994614</c:v>
                </c:pt>
                <c:pt idx="3">
                  <c:v>499.64262863852281</c:v>
                </c:pt>
                <c:pt idx="4">
                  <c:v>499.07458573239524</c:v>
                </c:pt>
                <c:pt idx="5">
                  <c:v>495.36902860105619</c:v>
                </c:pt>
                <c:pt idx="6">
                  <c:v>512.7091228683995</c:v>
                </c:pt>
                <c:pt idx="7">
                  <c:v>518.53943329312915</c:v>
                </c:pt>
                <c:pt idx="8">
                  <c:v>510.40427339581566</c:v>
                </c:pt>
                <c:pt idx="9">
                  <c:v>517.83104008668101</c:v>
                </c:pt>
                <c:pt idx="10">
                  <c:v>535.83128279347136</c:v>
                </c:pt>
                <c:pt idx="11">
                  <c:v>530.22977513119031</c:v>
                </c:pt>
                <c:pt idx="12">
                  <c:v>591.00703827839345</c:v>
                </c:pt>
              </c:numCache>
            </c:numRef>
          </c:val>
          <c:extLst>
            <c:ext xmlns:c16="http://schemas.microsoft.com/office/drawing/2014/chart" uri="{C3380CC4-5D6E-409C-BE32-E72D297353CC}">
              <c16:uniqueId val="{00000000-ED33-4C05-8A84-916668DABA3F}"/>
            </c:ext>
          </c:extLst>
        </c:ser>
        <c:dLbls>
          <c:showLegendKey val="0"/>
          <c:showVal val="0"/>
          <c:showCatName val="0"/>
          <c:showSerName val="0"/>
          <c:showPercent val="0"/>
          <c:showBubbleSize val="0"/>
        </c:dLbls>
        <c:gapWidth val="150"/>
        <c:axId val="554919048"/>
        <c:axId val="554922248"/>
      </c:barChart>
      <c:lineChart>
        <c:grouping val="standard"/>
        <c:varyColors val="0"/>
        <c:ser>
          <c:idx val="0"/>
          <c:order val="0"/>
          <c:tx>
            <c:strRef>
              <c:f>'Прогноз Зарплати 2023'!$A$143</c:f>
              <c:strCache>
                <c:ptCount val="1"/>
                <c:pt idx="0">
                  <c:v>UAH</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2023'!$AW$127:$BI$128</c:f>
              <c:multiLvlStrCache>
                <c:ptCount val="13"/>
                <c:lvl>
                  <c:pt idx="0">
                    <c:v>12</c:v>
                  </c:pt>
                  <c:pt idx="1">
                    <c:v>1</c:v>
                  </c:pt>
                  <c:pt idx="2">
                    <c:v>2</c:v>
                  </c:pt>
                  <c:pt idx="3">
                    <c:v>3</c:v>
                  </c:pt>
                  <c:pt idx="4">
                    <c:v>4</c:v>
                  </c:pt>
                  <c:pt idx="5">
                    <c:v>5</c:v>
                  </c:pt>
                  <c:pt idx="6">
                    <c:v>6</c:v>
                  </c:pt>
                  <c:pt idx="7">
                    <c:v>7</c:v>
                  </c:pt>
                  <c:pt idx="8">
                    <c:v>8</c:v>
                  </c:pt>
                  <c:pt idx="9">
                    <c:v>9</c:v>
                  </c:pt>
                  <c:pt idx="10">
                    <c:v>10</c:v>
                  </c:pt>
                  <c:pt idx="11">
                    <c:v>11</c:v>
                  </c:pt>
                  <c:pt idx="12">
                    <c:v>12</c:v>
                  </c:pt>
                </c:lvl>
                <c:lvl>
                  <c:pt idx="1">
                    <c:v>2024</c:v>
                  </c:pt>
                </c:lvl>
              </c:multiLvlStrCache>
            </c:multiLvlStrRef>
          </c:cat>
          <c:val>
            <c:numRef>
              <c:f>'Прогноз Зарплати 2023'!$AW$129:$BI$129</c:f>
              <c:numCache>
                <c:formatCode>_-* #\ ##0\ _₴_-;\-* #\ ##0\ _₴_-;_-* "-"?\ _₴_-;_-@_-</c:formatCode>
                <c:ptCount val="13"/>
                <c:pt idx="0" formatCode="_(* #\ ##0_);_(* \(#\ ##0\);_(* &quot;-&quot;??_);_(@_)">
                  <c:v>19654.830000000002</c:v>
                </c:pt>
                <c:pt idx="1">
                  <c:v>19118.511067941676</c:v>
                </c:pt>
                <c:pt idx="2">
                  <c:v>19259.673709713803</c:v>
                </c:pt>
                <c:pt idx="3">
                  <c:v>19538.927916903838</c:v>
                </c:pt>
                <c:pt idx="4">
                  <c:v>19661.395225941844</c:v>
                </c:pt>
                <c:pt idx="5">
                  <c:v>19706.298631327682</c:v>
                </c:pt>
                <c:pt idx="6">
                  <c:v>20589.577773895002</c:v>
                </c:pt>
                <c:pt idx="7">
                  <c:v>21008.954504072528</c:v>
                </c:pt>
                <c:pt idx="8">
                  <c:v>20746.773501915468</c:v>
                </c:pt>
                <c:pt idx="9">
                  <c:v>21162.127376373395</c:v>
                </c:pt>
                <c:pt idx="10">
                  <c:v>21983.554257159536</c:v>
                </c:pt>
                <c:pt idx="11">
                  <c:v>21845.506348591651</c:v>
                </c:pt>
                <c:pt idx="12">
                  <c:v>24469.236765408983</c:v>
                </c:pt>
              </c:numCache>
            </c:numRef>
          </c:val>
          <c:smooth val="0"/>
          <c:extLst>
            <c:ext xmlns:c16="http://schemas.microsoft.com/office/drawing/2014/chart" uri="{C3380CC4-5D6E-409C-BE32-E72D297353CC}">
              <c16:uniqueId val="{00000001-ED33-4C05-8A84-916668DABA3F}"/>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in val="600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750"/>
          <c:min val="3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4.1616890311461284E-2"/>
          <c:y val="0.1609899537115404"/>
          <c:w val="0.94682161762895478"/>
          <c:h val="7.3129989737642662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1" i="0" u="none" strike="noStrike" kern="1200" spc="0" baseline="0">
                <a:solidFill>
                  <a:sysClr val="windowText" lastClr="000000"/>
                </a:solidFill>
                <a:latin typeface="+mn-lt"/>
                <a:ea typeface="+mn-ea"/>
                <a:cs typeface="+mn-cs"/>
              </a:defRPr>
            </a:pPr>
            <a:r>
              <a:rPr lang="uk-UA" b="1" i="0">
                <a:solidFill>
                  <a:schemeClr val="accent1"/>
                </a:solidFill>
                <a:effectLst/>
              </a:rPr>
              <a:t>Кількість нових вакансій і резюме в Україні</a:t>
            </a:r>
            <a:r>
              <a:rPr lang="en-US" b="1" i="0">
                <a:solidFill>
                  <a:schemeClr val="accent1"/>
                </a:solidFill>
                <a:effectLst/>
              </a:rPr>
              <a:t> </a:t>
            </a:r>
            <a:r>
              <a:rPr lang="uk-UA" b="1" i="0">
                <a:solidFill>
                  <a:schemeClr val="accent1"/>
                </a:solidFill>
                <a:effectLst/>
              </a:rPr>
              <a:t>в</a:t>
            </a:r>
            <a:r>
              <a:rPr lang="uk-UA" b="1" i="0" baseline="0">
                <a:solidFill>
                  <a:schemeClr val="accent1"/>
                </a:solidFill>
                <a:effectLst/>
              </a:rPr>
              <a:t> 2022-23 роках, тис. шт., % р-р</a:t>
            </a:r>
            <a:endParaRPr lang="uk-UA" b="1" i="0">
              <a:solidFill>
                <a:schemeClr val="accent1"/>
              </a:solidFill>
              <a:effectLst/>
            </a:endParaRPr>
          </a:p>
        </c:rich>
      </c:tx>
      <c:layout>
        <c:manualLayout>
          <c:xMode val="edge"/>
          <c:yMode val="edge"/>
          <c:x val="2.4440235367001281E-2"/>
          <c:y val="2.2759598308023984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'Ворк юа (вакансії)'!$K$6</c:f>
              <c:strCache>
                <c:ptCount val="1"/>
                <c:pt idx="0">
                  <c:v>Вакансії</c:v>
                </c:pt>
              </c:strCache>
            </c:strRef>
          </c:tx>
          <c:spPr>
            <a:solidFill>
              <a:schemeClr val="accent1"/>
            </a:solidFill>
            <a:ln>
              <a:noFill/>
            </a:ln>
            <a:effectLst/>
          </c:spPr>
          <c:invertIfNegative val="0"/>
          <c:dLbls>
            <c:dLbl>
              <c:idx val="0"/>
              <c:tx>
                <c:rich>
                  <a:bodyPr/>
                  <a:lstStyle/>
                  <a:p>
                    <a:fld id="{04F59B77-17E6-4A96-A354-4892130E14FC}" type="CELLRANGE">
                      <a:rPr lang="en-US"/>
                      <a:pPr/>
                      <a:t>[ДІАПАЗОН КЛІТИНОК]</a:t>
                    </a:fld>
                    <a:endParaRPr lang="en-US" baseline="0"/>
                  </a:p>
                  <a:p>
                    <a:fld id="{BBAE4E68-0175-4B30-AF17-DC9E0C201330}"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B601-45D9-BCE7-6C7B14418F07}"/>
                </c:ext>
              </c:extLst>
            </c:dLbl>
            <c:dLbl>
              <c:idx val="1"/>
              <c:tx>
                <c:rich>
                  <a:bodyPr/>
                  <a:lstStyle/>
                  <a:p>
                    <a:fld id="{EF7833C2-FD4D-4885-8568-1C1D087189BB}" type="CELLRANGE">
                      <a:rPr lang="en-US"/>
                      <a:pPr/>
                      <a:t>[ДІАПАЗОН КЛІТИНОК]</a:t>
                    </a:fld>
                    <a:endParaRPr lang="en-US" baseline="0"/>
                  </a:p>
                  <a:p>
                    <a:fld id="{A964D5E1-BD52-411F-8D4A-5C70484B447F}"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B601-45D9-BCE7-6C7B14418F07}"/>
                </c:ext>
              </c:extLst>
            </c:dLbl>
            <c:dLbl>
              <c:idx val="2"/>
              <c:layout>
                <c:manualLayout>
                  <c:x val="2.245088647610061E-2"/>
                  <c:y val="1.896633192335332E-2"/>
                </c:manualLayout>
              </c:layout>
              <c:tx>
                <c:rich>
                  <a:bodyPr/>
                  <a:lstStyle/>
                  <a:p>
                    <a:fld id="{77D4B3B1-FA16-431F-8654-2CDF65C256B1}" type="CELLRANGE">
                      <a:rPr lang="en-US"/>
                      <a:pPr/>
                      <a:t>[ДІАПАЗОН КЛІТИНОК]</a:t>
                    </a:fld>
                    <a:endParaRPr lang="en-US" baseline="0"/>
                  </a:p>
                  <a:p>
                    <a:fld id="{7BEA3704-DE7E-4F28-9D6F-E2A14C7B63C7}"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B601-45D9-BCE7-6C7B14418F07}"/>
                </c:ext>
              </c:extLst>
            </c:dLbl>
            <c:dLbl>
              <c:idx val="3"/>
              <c:tx>
                <c:rich>
                  <a:bodyPr/>
                  <a:lstStyle/>
                  <a:p>
                    <a:fld id="{D4DFF484-857D-4396-8D26-75A65ADA7767}" type="CELLRANGE">
                      <a:rPr lang="en-US"/>
                      <a:pPr/>
                      <a:t>[ДІАПАЗОН КЛІТИНОК]</a:t>
                    </a:fld>
                    <a:endParaRPr lang="en-US" baseline="0"/>
                  </a:p>
                  <a:p>
                    <a:fld id="{71A32B75-DE38-4BFD-AE5F-5A333A539396}"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C-B601-45D9-BCE7-6C7B14418F07}"/>
                </c:ext>
              </c:extLst>
            </c:dLbl>
            <c:dLbl>
              <c:idx val="4"/>
              <c:tx>
                <c:rich>
                  <a:bodyPr/>
                  <a:lstStyle/>
                  <a:p>
                    <a:fld id="{93D386AF-CE15-4943-95D9-6694B859C951}" type="CELLRANGE">
                      <a:rPr lang="en-US"/>
                      <a:pPr/>
                      <a:t>[ДІАПАЗОН КЛІТИНОК]</a:t>
                    </a:fld>
                    <a:endParaRPr lang="en-US" baseline="0"/>
                  </a:p>
                  <a:p>
                    <a:fld id="{8996BFB5-776C-45C5-8FBE-C08C45B89BB6}"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D-B601-45D9-BCE7-6C7B14418F07}"/>
                </c:ext>
              </c:extLst>
            </c:dLbl>
            <c:dLbl>
              <c:idx val="5"/>
              <c:tx>
                <c:rich>
                  <a:bodyPr/>
                  <a:lstStyle/>
                  <a:p>
                    <a:fld id="{4866206A-79CB-4F2C-B003-1BEDB022A1B7}" type="CELLRANGE">
                      <a:rPr lang="en-US"/>
                      <a:pPr/>
                      <a:t>[ДІАПАЗОН КЛІТИНОК]</a:t>
                    </a:fld>
                    <a:endParaRPr lang="en-US" baseline="0"/>
                  </a:p>
                  <a:p>
                    <a:fld id="{0B230037-796E-417F-8425-FC5D228C12DF}"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E-B601-45D9-BCE7-6C7B14418F07}"/>
                </c:ext>
              </c:extLst>
            </c:dLbl>
            <c:dLbl>
              <c:idx val="6"/>
              <c:tx>
                <c:rich>
                  <a:bodyPr/>
                  <a:lstStyle/>
                  <a:p>
                    <a:fld id="{6B818EDE-E8FC-4E1E-ABB8-760965FE69D6}" type="CELLRANGE">
                      <a:rPr lang="en-US"/>
                      <a:pPr/>
                      <a:t>[ДІАПАЗОН КЛІТИНОК]</a:t>
                    </a:fld>
                    <a:endParaRPr lang="en-US" baseline="0"/>
                  </a:p>
                  <a:p>
                    <a:fld id="{0C19C9F0-69DE-412D-9AAA-45D99704AB58}"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F-B601-45D9-BCE7-6C7B14418F07}"/>
                </c:ext>
              </c:extLst>
            </c:dLbl>
            <c:dLbl>
              <c:idx val="7"/>
              <c:tx>
                <c:rich>
                  <a:bodyPr/>
                  <a:lstStyle/>
                  <a:p>
                    <a:fld id="{544897C8-4C91-468E-840F-99D52F22B1D3}" type="CELLRANGE">
                      <a:rPr lang="en-US"/>
                      <a:pPr/>
                      <a:t>[ДІАПАЗОН КЛІТИНОК]</a:t>
                    </a:fld>
                    <a:endParaRPr lang="en-US" baseline="0"/>
                  </a:p>
                  <a:p>
                    <a:fld id="{8039B8D3-21B1-4426-A277-A15BAB5ADB54}"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0-B601-45D9-BCE7-6C7B14418F07}"/>
                </c:ext>
              </c:extLst>
            </c:dLbl>
            <c:dLbl>
              <c:idx val="8"/>
              <c:tx>
                <c:rich>
                  <a:bodyPr/>
                  <a:lstStyle/>
                  <a:p>
                    <a:fld id="{AE72DCAA-F1F5-4523-B46B-56BBE7A9B813}" type="CELLRANGE">
                      <a:rPr lang="en-US"/>
                      <a:pPr/>
                      <a:t>[ДІАПАЗОН КЛІТИНОК]</a:t>
                    </a:fld>
                    <a:endParaRPr lang="en-US" baseline="0"/>
                  </a:p>
                  <a:p>
                    <a:fld id="{E15581B9-B8C4-4AA3-8271-28F9B5114EE4}"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1-B601-45D9-BCE7-6C7B14418F07}"/>
                </c:ext>
              </c:extLst>
            </c:dLbl>
            <c:dLbl>
              <c:idx val="9"/>
              <c:tx>
                <c:rich>
                  <a:bodyPr/>
                  <a:lstStyle/>
                  <a:p>
                    <a:fld id="{CB64865F-19BE-4475-A24C-4507C526A963}" type="CELLRANGE">
                      <a:rPr lang="en-US"/>
                      <a:pPr/>
                      <a:t>[ДІАПАЗОН КЛІТИНОК]</a:t>
                    </a:fld>
                    <a:endParaRPr lang="en-US" baseline="0"/>
                  </a:p>
                  <a:p>
                    <a:fld id="{712EA2F8-85FD-435D-A394-A85A1B026213}"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2-B601-45D9-BCE7-6C7B14418F07}"/>
                </c:ext>
              </c:extLst>
            </c:dLbl>
            <c:dLbl>
              <c:idx val="10"/>
              <c:tx>
                <c:rich>
                  <a:bodyPr/>
                  <a:lstStyle/>
                  <a:p>
                    <a:fld id="{F084DCC9-751F-4F39-93B9-F07A1EFB14A7}" type="CELLRANGE">
                      <a:rPr lang="en-US"/>
                      <a:pPr/>
                      <a:t>[ДІАПАЗОН КЛІТИНОК]</a:t>
                    </a:fld>
                    <a:endParaRPr lang="en-US" baseline="0"/>
                  </a:p>
                  <a:p>
                    <a:fld id="{4A4D52E3-C7FC-47CA-8A12-062A7F730AD1}"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3-B601-45D9-BCE7-6C7B14418F07}"/>
                </c:ext>
              </c:extLst>
            </c:dLbl>
            <c:dLbl>
              <c:idx val="11"/>
              <c:tx>
                <c:rich>
                  <a:bodyPr/>
                  <a:lstStyle/>
                  <a:p>
                    <a:fld id="{80EF6ED5-8545-4794-9C5F-26CE897A2DC8}" type="CELLRANGE">
                      <a:rPr lang="en-US"/>
                      <a:pPr/>
                      <a:t>[ДІАПАЗОН КЛІТИНОК]</a:t>
                    </a:fld>
                    <a:endParaRPr lang="en-US" baseline="0"/>
                  </a:p>
                  <a:p>
                    <a:fld id="{5438DA91-5C59-4832-83A8-0A639A8D4D6D}"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4-B601-45D9-BCE7-6C7B14418F07}"/>
                </c:ext>
              </c:extLst>
            </c:dLbl>
            <c:dLbl>
              <c:idx val="12"/>
              <c:layout>
                <c:manualLayout>
                  <c:x val="-6.9384208773259869E-3"/>
                  <c:y val="0"/>
                </c:manualLayout>
              </c:layout>
              <c:tx>
                <c:rich>
                  <a:bodyPr/>
                  <a:lstStyle/>
                  <a:p>
                    <a:fld id="{BC143B0A-6CAC-4E84-8FAA-03E35B63F2CB}" type="CELLRANGE">
                      <a:rPr lang="en-US" b="1">
                        <a:solidFill>
                          <a:schemeClr val="accent3"/>
                        </a:solidFill>
                      </a:rPr>
                      <a:pPr/>
                      <a:t>[ДІАПАЗОН КЛІТИНОК]</a:t>
                    </a:fld>
                    <a:endParaRPr lang="en-US" b="1" baseline="0">
                      <a:solidFill>
                        <a:schemeClr val="accent3"/>
                      </a:solidFill>
                    </a:endParaRPr>
                  </a:p>
                  <a:p>
                    <a:fld id="{76953D3D-32F1-4B00-9E28-DD888BF93FA7}"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B601-45D9-BCE7-6C7B14418F07}"/>
                </c:ext>
              </c:extLst>
            </c:dLbl>
            <c:dLbl>
              <c:idx val="13"/>
              <c:layout>
                <c:manualLayout>
                  <c:x val="-1.1564034795543313E-2"/>
                  <c:y val="1.1379799154011992E-2"/>
                </c:manualLayout>
              </c:layout>
              <c:tx>
                <c:rich>
                  <a:bodyPr/>
                  <a:lstStyle/>
                  <a:p>
                    <a:fld id="{8D573E76-ACE6-4109-99BF-9A608E1CD197}" type="CELLRANGE">
                      <a:rPr lang="en-US" b="1">
                        <a:solidFill>
                          <a:schemeClr val="accent3"/>
                        </a:solidFill>
                      </a:rPr>
                      <a:pPr/>
                      <a:t>[ДІАПАЗОН КЛІТИНОК]</a:t>
                    </a:fld>
                    <a:endParaRPr lang="en-US" b="1" baseline="0">
                      <a:solidFill>
                        <a:schemeClr val="accent3"/>
                      </a:solidFill>
                    </a:endParaRPr>
                  </a:p>
                  <a:p>
                    <a:fld id="{83B78989-A2EF-48B6-8C6C-6F2B13F3D626}"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B601-45D9-BCE7-6C7B14418F07}"/>
                </c:ext>
              </c:extLst>
            </c:dLbl>
            <c:dLbl>
              <c:idx val="14"/>
              <c:layout>
                <c:manualLayout>
                  <c:x val="-6.9384208773259869E-3"/>
                  <c:y val="0"/>
                </c:manualLayout>
              </c:layout>
              <c:tx>
                <c:rich>
                  <a:bodyPr/>
                  <a:lstStyle/>
                  <a:p>
                    <a:fld id="{BA3BE84A-906C-4349-96B2-D652ED70396E}" type="CELLRANGE">
                      <a:rPr lang="en-US" b="1">
                        <a:solidFill>
                          <a:schemeClr val="accent3"/>
                        </a:solidFill>
                      </a:rPr>
                      <a:pPr/>
                      <a:t>[ДІАПАЗОН КЛІТИНОК]</a:t>
                    </a:fld>
                    <a:endParaRPr lang="en-US" b="1" baseline="0">
                      <a:solidFill>
                        <a:schemeClr val="accent3"/>
                      </a:solidFill>
                    </a:endParaRPr>
                  </a:p>
                  <a:p>
                    <a:fld id="{1A02627E-916B-4DAA-AFBD-E320006F8C58}"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B601-45D9-BCE7-6C7B14418F07}"/>
                </c:ext>
              </c:extLst>
            </c:dLbl>
            <c:dLbl>
              <c:idx val="15"/>
              <c:layout>
                <c:manualLayout>
                  <c:x val="-6.9384208773259869E-3"/>
                  <c:y val="7.5865327693413276E-3"/>
                </c:manualLayout>
              </c:layout>
              <c:tx>
                <c:rich>
                  <a:bodyPr/>
                  <a:lstStyle/>
                  <a:p>
                    <a:fld id="{61A9D459-8E4F-4CB2-87D0-3CADCC78AEC5}" type="CELLRANGE">
                      <a:rPr lang="en-US">
                        <a:solidFill>
                          <a:srgbClr val="00B050"/>
                        </a:solidFill>
                      </a:rPr>
                      <a:pPr/>
                      <a:t>[ДІАПАЗОН КЛІТИНОК]</a:t>
                    </a:fld>
                    <a:r>
                      <a:rPr lang="en-US" baseline="0"/>
                      <a:t>
</a:t>
                    </a:r>
                    <a:fld id="{76D97281-CB01-41F0-9F12-F2AE0565C5EF}"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7CCD-4A76-8FB1-A1229E3ABA78}"/>
                </c:ext>
              </c:extLst>
            </c:dLbl>
            <c:dLbl>
              <c:idx val="16"/>
              <c:layout>
                <c:manualLayout>
                  <c:x val="-1.6960388438942324E-16"/>
                  <c:y val="7.5865327693413276E-3"/>
                </c:manualLayout>
              </c:layout>
              <c:tx>
                <c:rich>
                  <a:bodyPr/>
                  <a:lstStyle/>
                  <a:p>
                    <a:fld id="{4EC8B676-C5B7-4300-9B8E-B7FBD7E604E2}" type="CELLRANGE">
                      <a:rPr lang="en-US">
                        <a:solidFill>
                          <a:srgbClr val="00B050"/>
                        </a:solidFill>
                      </a:rPr>
                      <a:pPr/>
                      <a:t>[ДІАПАЗОН КЛІТИНОК]</a:t>
                    </a:fld>
                    <a:r>
                      <a:rPr lang="en-US" baseline="0"/>
                      <a:t>
</a:t>
                    </a:r>
                    <a:fld id="{0A4A755A-2EA6-45FD-92A8-F5332F8A6B94}"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7CCD-4A76-8FB1-A1229E3ABA78}"/>
                </c:ext>
              </c:extLst>
            </c:dLbl>
            <c:dLbl>
              <c:idx val="17"/>
              <c:layout>
                <c:manualLayout>
                  <c:x val="6.9384208773259869E-3"/>
                  <c:y val="0"/>
                </c:manualLayout>
              </c:layout>
              <c:tx>
                <c:rich>
                  <a:bodyPr/>
                  <a:lstStyle/>
                  <a:p>
                    <a:fld id="{7BF56D3F-8C78-4325-A1B6-F267A70851E6}" type="CELLRANGE">
                      <a:rPr lang="en-US">
                        <a:solidFill>
                          <a:srgbClr val="00B050"/>
                        </a:solidFill>
                      </a:rPr>
                      <a:pPr/>
                      <a:t>[ДІАПАЗОН КЛІТИНОК]</a:t>
                    </a:fld>
                    <a:r>
                      <a:rPr lang="en-US" baseline="0"/>
                      <a:t>
</a:t>
                    </a:r>
                    <a:fld id="{8BD5CB96-65C7-42AF-9CAC-BCD8F8E05675}"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2798-42B7-9D48-3FB10069C65C}"/>
                </c:ext>
              </c:extLst>
            </c:dLbl>
            <c:dLbl>
              <c:idx val="18"/>
              <c:tx>
                <c:rich>
                  <a:bodyPr/>
                  <a:lstStyle/>
                  <a:p>
                    <a:fld id="{F56A5483-2B90-4E52-A414-5B9C6681980F}" type="CELLRANGE">
                      <a:rPr lang="en-US"/>
                      <a:pPr/>
                      <a:t>[ДІАПАЗОН КЛІТИНОК]</a:t>
                    </a:fld>
                    <a:r>
                      <a:rPr lang="en-US" baseline="0"/>
                      <a:t>
</a:t>
                    </a:r>
                    <a:fld id="{0346DBD2-B1EE-48CE-A158-1CDDF37A2575}"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07C8-4EEE-917B-0ACE66B4356F}"/>
                </c:ext>
              </c:extLst>
            </c:dLbl>
            <c:dLbl>
              <c:idx val="19"/>
              <c:tx>
                <c:rich>
                  <a:bodyPr/>
                  <a:lstStyle/>
                  <a:p>
                    <a:fld id="{B3956800-5B04-43F0-B312-049341957E39}" type="CELLRANGE">
                      <a:rPr lang="en-US"/>
                      <a:pPr/>
                      <a:t>[ДІАПАЗОН КЛІТИНОК]</a:t>
                    </a:fld>
                    <a:r>
                      <a:rPr lang="en-US" baseline="0"/>
                      <a:t>
</a:t>
                    </a:r>
                    <a:fld id="{19B98C29-562A-4D96-8454-2D54E8364A24}"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07C8-4EEE-917B-0ACE66B4356F}"/>
                </c:ext>
              </c:extLst>
            </c:dLbl>
            <c:dLbl>
              <c:idx val="20"/>
              <c:layout>
                <c:manualLayout>
                  <c:x val="4.6123710692474876E-3"/>
                  <c:y val="0.12449386308526746"/>
                </c:manualLayout>
              </c:layout>
              <c:tx>
                <c:rich>
                  <a:bodyPr/>
                  <a:lstStyle/>
                  <a:p>
                    <a:fld id="{573F0F6D-0202-49A9-9480-42F2B5C3AF90}" type="CELLRANGE">
                      <a:rPr lang="en-US" baseline="0"/>
                      <a:pPr/>
                      <a:t>[ДІАПАЗОН КЛІТИНОК]</a:t>
                    </a:fld>
                    <a:r>
                      <a:rPr lang="en-US" baseline="0"/>
                      <a:t>
</a:t>
                    </a:r>
                    <a:fld id="{672FD833-4284-451B-AEDF-0574259AAE39}"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07C8-4EEE-917B-0ACE66B4356F}"/>
                </c:ext>
              </c:extLst>
            </c:dLbl>
            <c:dLbl>
              <c:idx val="21"/>
              <c:layout>
                <c:manualLayout>
                  <c:x val="0"/>
                  <c:y val="2.2635247833684924E-2"/>
                </c:manualLayout>
              </c:layout>
              <c:tx>
                <c:rich>
                  <a:bodyPr/>
                  <a:lstStyle/>
                  <a:p>
                    <a:fld id="{53010DF7-CE6E-4B9F-A592-7DFB211143A6}" type="CELLRANGE">
                      <a:rPr lang="en-US" baseline="0"/>
                      <a:pPr/>
                      <a:t>[ДІАПАЗОН КЛІТИНОК]</a:t>
                    </a:fld>
                    <a:r>
                      <a:rPr lang="en-US" baseline="0"/>
                      <a:t>
</a:t>
                    </a:r>
                    <a:fld id="{26CA7F23-7F7B-4F76-BA95-EE2BEFFD8C47}"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469F-4DAC-8E72-72E138E4CFAA}"/>
                </c:ext>
              </c:extLst>
            </c:dLbl>
            <c:dLbl>
              <c:idx val="22"/>
              <c:tx>
                <c:rich>
                  <a:bodyPr/>
                  <a:lstStyle/>
                  <a:p>
                    <a:fld id="{A6D64397-7A0A-46BC-A8D3-460D13F33BCF}" type="CELLRANGE">
                      <a:rPr lang="en-US"/>
                      <a:pPr/>
                      <a:t>[ДІАПАЗОН КЛІТИНОК]</a:t>
                    </a:fld>
                    <a:r>
                      <a:rPr lang="en-US" baseline="0"/>
                      <a:t>
</a:t>
                    </a:r>
                    <a:fld id="{FEE5A920-C015-48EA-87A7-86B8A96D0414}"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0D11-4B45-A803-FE34CF58B2C3}"/>
                </c:ext>
              </c:extLst>
            </c:dLbl>
            <c:dLbl>
              <c:idx val="23"/>
              <c:tx>
                <c:rich>
                  <a:bodyPr/>
                  <a:lstStyle/>
                  <a:p>
                    <a:fld id="{437F2FF1-959F-4112-91F4-2B1A311A46B9}" type="CELLRANGE">
                      <a:rPr lang="en-US"/>
                      <a:pPr/>
                      <a:t>[ДІАПАЗОН КЛІТИНОК]</a:t>
                    </a:fld>
                    <a:r>
                      <a:rPr lang="en-US" baseline="0"/>
                      <a:t>
</a:t>
                    </a:r>
                    <a:fld id="{AB14D806-0DCD-4401-A27B-CF1A5B30FF79}" type="VALUE">
                      <a:rPr lang="en-US" baseline="0"/>
                      <a:pPr/>
                      <a:t>[ЗНАЧЕННЯ]</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0D11-4B45-A803-FE34CF58B2C3}"/>
                </c:ext>
              </c:extLst>
            </c:dLbl>
            <c:dLbl>
              <c:idx val="24"/>
              <c:tx>
                <c:rich>
                  <a:bodyPr/>
                  <a:lstStyle/>
                  <a:p>
                    <a:fld id="{D47AF6F2-B225-48B5-A709-201FB19866A9}" type="VALUE">
                      <a:rPr lang="en-US"/>
                      <a:pPr/>
                      <a:t>[ЗНАЧЕННЯ]</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0BFB-47A6-BA97-2F59E069AF8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cat>
            <c:multiLvlStrRef>
              <c:f>'Ворк юа (вакансії)'!$L$4:$AJ$5</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lvl>
                <c:lvl>
                  <c:pt idx="0">
                    <c:v>2022</c:v>
                  </c:pt>
                  <c:pt idx="12">
                    <c:v>2023</c:v>
                  </c:pt>
                  <c:pt idx="24">
                    <c:v>2024</c:v>
                  </c:pt>
                </c:lvl>
              </c:multiLvlStrCache>
            </c:multiLvlStrRef>
          </c:cat>
          <c:val>
            <c:numRef>
              <c:f>'Ворк юа (вакансії)'!$L$6:$AJ$6</c:f>
              <c:numCache>
                <c:formatCode>0</c:formatCode>
                <c:ptCount val="25"/>
                <c:pt idx="0">
                  <c:v>40.381</c:v>
                </c:pt>
                <c:pt idx="1">
                  <c:v>58.487000000000002</c:v>
                </c:pt>
                <c:pt idx="2">
                  <c:v>43.033000000000001</c:v>
                </c:pt>
                <c:pt idx="3">
                  <c:v>8.6690000000000005</c:v>
                </c:pt>
                <c:pt idx="4">
                  <c:v>10.782</c:v>
                </c:pt>
                <c:pt idx="5">
                  <c:v>15.028</c:v>
                </c:pt>
                <c:pt idx="6">
                  <c:v>19.501000000000001</c:v>
                </c:pt>
                <c:pt idx="7">
                  <c:v>21.385999999999999</c:v>
                </c:pt>
                <c:pt idx="8">
                  <c:v>28.579000000000001</c:v>
                </c:pt>
                <c:pt idx="9">
                  <c:v>30.204000000000001</c:v>
                </c:pt>
                <c:pt idx="10">
                  <c:v>27.495000000000001</c:v>
                </c:pt>
                <c:pt idx="11">
                  <c:v>29.016999999999999</c:v>
                </c:pt>
                <c:pt idx="12">
                  <c:v>23.998999999999999</c:v>
                </c:pt>
                <c:pt idx="13">
                  <c:v>37.073</c:v>
                </c:pt>
                <c:pt idx="14">
                  <c:v>41.246000000000002</c:v>
                </c:pt>
                <c:pt idx="15">
                  <c:v>44.970999999999997</c:v>
                </c:pt>
                <c:pt idx="16">
                  <c:v>47.929000000000002</c:v>
                </c:pt>
                <c:pt idx="17">
                  <c:v>54.924999999999997</c:v>
                </c:pt>
                <c:pt idx="18">
                  <c:v>52.889000000000003</c:v>
                </c:pt>
                <c:pt idx="19">
                  <c:v>51.746000000000002</c:v>
                </c:pt>
                <c:pt idx="20">
                  <c:v>60.482999999999997</c:v>
                </c:pt>
                <c:pt idx="21">
                  <c:v>58.685000000000002</c:v>
                </c:pt>
                <c:pt idx="22">
                  <c:v>58.533999999999999</c:v>
                </c:pt>
                <c:pt idx="23">
                  <c:v>53.444000000000003</c:v>
                </c:pt>
                <c:pt idx="24">
                  <c:v>38.594000000000001</c:v>
                </c:pt>
              </c:numCache>
            </c:numRef>
          </c:val>
          <c:extLst>
            <c:ext xmlns:c15="http://schemas.microsoft.com/office/drawing/2012/chart" uri="{02D57815-91ED-43cb-92C2-25804820EDAC}">
              <c15:datalabelsRange>
                <c15:f>'Ворк юа (вакансії)'!$L$9:$AI$9</c15:f>
                <c15:dlblRangeCache>
                  <c:ptCount val="24"/>
                  <c:pt idx="12">
                    <c:v>-41%</c:v>
                  </c:pt>
                  <c:pt idx="13">
                    <c:v>-37%</c:v>
                  </c:pt>
                  <c:pt idx="14">
                    <c:v>-4%</c:v>
                  </c:pt>
                  <c:pt idx="15">
                    <c:v>419%</c:v>
                  </c:pt>
                  <c:pt idx="16">
                    <c:v>345%</c:v>
                  </c:pt>
                  <c:pt idx="17">
                    <c:v>265%</c:v>
                  </c:pt>
                  <c:pt idx="18">
                    <c:v>171%</c:v>
                  </c:pt>
                  <c:pt idx="19">
                    <c:v>142%</c:v>
                  </c:pt>
                  <c:pt idx="20">
                    <c:v>112%</c:v>
                  </c:pt>
                  <c:pt idx="21">
                    <c:v>94%</c:v>
                  </c:pt>
                  <c:pt idx="22">
                    <c:v>113%</c:v>
                  </c:pt>
                  <c:pt idx="23">
                    <c:v>84%</c:v>
                  </c:pt>
                </c15:dlblRangeCache>
              </c15:datalabelsRange>
            </c:ext>
            <c:ext xmlns:c16="http://schemas.microsoft.com/office/drawing/2014/chart" uri="{C3380CC4-5D6E-409C-BE32-E72D297353CC}">
              <c16:uniqueId val="{00000000-B601-45D9-BCE7-6C7B14418F07}"/>
            </c:ext>
          </c:extLst>
        </c:ser>
        <c:dLbls>
          <c:showLegendKey val="0"/>
          <c:showVal val="0"/>
          <c:showCatName val="0"/>
          <c:showSerName val="0"/>
          <c:showPercent val="0"/>
          <c:showBubbleSize val="0"/>
        </c:dLbls>
        <c:gapWidth val="150"/>
        <c:axId val="1240480720"/>
        <c:axId val="1284388192"/>
      </c:barChart>
      <c:lineChart>
        <c:grouping val="standard"/>
        <c:varyColors val="0"/>
        <c:ser>
          <c:idx val="1"/>
          <c:order val="1"/>
          <c:tx>
            <c:strRef>
              <c:f>'Ворк юа (вакансії)'!$K$7</c:f>
              <c:strCache>
                <c:ptCount val="1"/>
                <c:pt idx="0">
                  <c:v>Резюме</c:v>
                </c:pt>
              </c:strCache>
            </c:strRef>
          </c:tx>
          <c:spPr>
            <a:ln w="28575" cap="rnd">
              <a:solidFill>
                <a:schemeClr val="accent4"/>
              </a:solidFill>
              <a:round/>
            </a:ln>
            <a:effectLst/>
          </c:spPr>
          <c:marker>
            <c:symbol val="circle"/>
            <c:size val="6"/>
            <c:spPr>
              <a:solidFill>
                <a:schemeClr val="accent4">
                  <a:lumMod val="20000"/>
                  <a:lumOff val="80000"/>
                </a:schemeClr>
              </a:solidFill>
              <a:ln w="9525">
                <a:solidFill>
                  <a:schemeClr val="accent4"/>
                </a:solidFill>
              </a:ln>
              <a:effectLst/>
            </c:spPr>
          </c:marker>
          <c:dLbls>
            <c:dLbl>
              <c:idx val="0"/>
              <c:tx>
                <c:rich>
                  <a:bodyPr/>
                  <a:lstStyle/>
                  <a:p>
                    <a:fld id="{771B4401-55BA-4515-B429-0BAB0ED38E83}" type="CELLRANGE">
                      <a:rPr lang="en-US"/>
                      <a:pPr/>
                      <a:t>[ДІАПАЗОН КЛІТИНОК]</a:t>
                    </a:fld>
                    <a:endParaRPr lang="en-US" baseline="0"/>
                  </a:p>
                  <a:p>
                    <a:fld id="{5CCEED3B-38CE-484B-AA85-DFCDADFD76CE}"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5-B601-45D9-BCE7-6C7B14418F07}"/>
                </c:ext>
              </c:extLst>
            </c:dLbl>
            <c:dLbl>
              <c:idx val="1"/>
              <c:tx>
                <c:rich>
                  <a:bodyPr/>
                  <a:lstStyle/>
                  <a:p>
                    <a:fld id="{D59858A8-A1BA-4F1A-B89A-1D0E33D1F3C4}" type="CELLRANGE">
                      <a:rPr lang="en-US"/>
                      <a:pPr/>
                      <a:t>[ДІАПАЗОН КЛІТИНОК]</a:t>
                    </a:fld>
                    <a:endParaRPr lang="en-US" baseline="0"/>
                  </a:p>
                  <a:p>
                    <a:fld id="{6B49A242-E433-492E-8749-CCC7925A1F5C}"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6-B601-45D9-BCE7-6C7B14418F07}"/>
                </c:ext>
              </c:extLst>
            </c:dLbl>
            <c:dLbl>
              <c:idx val="2"/>
              <c:layout>
                <c:manualLayout>
                  <c:x val="9.0925108124687085E-3"/>
                  <c:y val="-5.868183097085531E-2"/>
                </c:manualLayout>
              </c:layout>
              <c:tx>
                <c:rich>
                  <a:bodyPr/>
                  <a:lstStyle/>
                  <a:p>
                    <a:fld id="{BF4B602F-8794-481F-99A3-3A93B569D950}" type="CELLRANGE">
                      <a:rPr lang="en-US"/>
                      <a:pPr/>
                      <a:t>[ДІАПАЗОН КЛІТИНОК]</a:t>
                    </a:fld>
                    <a:endParaRPr lang="en-US" baseline="0"/>
                  </a:p>
                  <a:p>
                    <a:fld id="{D3063930-5488-459C-9543-4415E2654EF6}" type="VALUE">
                      <a:rPr lang="en-US"/>
                      <a:pPr/>
                      <a:t>[ЗНАЧЕННЯ]</a:t>
                    </a:fld>
                    <a:endParaRPr lang="en-US"/>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B601-45D9-BCE7-6C7B14418F07}"/>
                </c:ext>
              </c:extLst>
            </c:dLbl>
            <c:dLbl>
              <c:idx val="3"/>
              <c:tx>
                <c:rich>
                  <a:bodyPr/>
                  <a:lstStyle/>
                  <a:p>
                    <a:fld id="{507B57F6-538D-4F9E-841C-8D3EBE48429F}" type="CELLRANGE">
                      <a:rPr lang="en-US"/>
                      <a:pPr/>
                      <a:t>[ДІАПАЗОН КЛІТИНОК]</a:t>
                    </a:fld>
                    <a:endParaRPr lang="en-US" baseline="0"/>
                  </a:p>
                  <a:p>
                    <a:fld id="{2038B368-C2A0-4A7A-B0D8-1371F04C2A26}"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7-B601-45D9-BCE7-6C7B14418F07}"/>
                </c:ext>
              </c:extLst>
            </c:dLbl>
            <c:dLbl>
              <c:idx val="4"/>
              <c:tx>
                <c:rich>
                  <a:bodyPr/>
                  <a:lstStyle/>
                  <a:p>
                    <a:fld id="{6F3AA133-6A02-4A7B-8EA3-4595A61DFDAF}" type="CELLRANGE">
                      <a:rPr lang="en-US"/>
                      <a:pPr/>
                      <a:t>[ДІАПАЗОН КЛІТИНОК]</a:t>
                    </a:fld>
                    <a:endParaRPr lang="en-US" baseline="0"/>
                  </a:p>
                  <a:p>
                    <a:fld id="{7704B5AF-1D33-471A-BB5D-D2DED31B5E7A}"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8-B601-45D9-BCE7-6C7B14418F07}"/>
                </c:ext>
              </c:extLst>
            </c:dLbl>
            <c:dLbl>
              <c:idx val="5"/>
              <c:tx>
                <c:rich>
                  <a:bodyPr/>
                  <a:lstStyle/>
                  <a:p>
                    <a:fld id="{0AAE0149-13FC-4DD3-B18B-AEE299B058E0}" type="CELLRANGE">
                      <a:rPr lang="en-US"/>
                      <a:pPr/>
                      <a:t>[ДІАПАЗОН КЛІТИНОК]</a:t>
                    </a:fld>
                    <a:endParaRPr lang="en-US" baseline="0"/>
                  </a:p>
                  <a:p>
                    <a:fld id="{81A3718A-8E25-4613-AC80-598CCD04BE00}"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9-B601-45D9-BCE7-6C7B14418F07}"/>
                </c:ext>
              </c:extLst>
            </c:dLbl>
            <c:dLbl>
              <c:idx val="6"/>
              <c:tx>
                <c:rich>
                  <a:bodyPr/>
                  <a:lstStyle/>
                  <a:p>
                    <a:fld id="{D0C71151-7B39-47E0-96AF-16FB723B1534}" type="CELLRANGE">
                      <a:rPr lang="en-US"/>
                      <a:pPr/>
                      <a:t>[ДІАПАЗОН КЛІТИНОК]</a:t>
                    </a:fld>
                    <a:endParaRPr lang="en-US" baseline="0"/>
                  </a:p>
                  <a:p>
                    <a:fld id="{C2547DF1-3927-4554-8966-7B7F996FC47B}"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A-B601-45D9-BCE7-6C7B14418F07}"/>
                </c:ext>
              </c:extLst>
            </c:dLbl>
            <c:dLbl>
              <c:idx val="7"/>
              <c:tx>
                <c:rich>
                  <a:bodyPr/>
                  <a:lstStyle/>
                  <a:p>
                    <a:fld id="{95E1EA0D-40E7-44AB-82E0-490B3B4D64AB}" type="CELLRANGE">
                      <a:rPr lang="en-US"/>
                      <a:pPr/>
                      <a:t>[ДІАПАЗОН КЛІТИНОК]</a:t>
                    </a:fld>
                    <a:endParaRPr lang="en-US" baseline="0"/>
                  </a:p>
                  <a:p>
                    <a:fld id="{CDC5EC2C-B784-474A-92AF-1FD9DDC2606D}"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B-B601-45D9-BCE7-6C7B14418F07}"/>
                </c:ext>
              </c:extLst>
            </c:dLbl>
            <c:dLbl>
              <c:idx val="8"/>
              <c:tx>
                <c:rich>
                  <a:bodyPr/>
                  <a:lstStyle/>
                  <a:p>
                    <a:fld id="{78C88D28-F20F-412F-9565-EF80993154AD}" type="CELLRANGE">
                      <a:rPr lang="en-US"/>
                      <a:pPr/>
                      <a:t>[ДІАПАЗОН КЛІТИНОК]</a:t>
                    </a:fld>
                    <a:endParaRPr lang="en-US" baseline="0"/>
                  </a:p>
                  <a:p>
                    <a:fld id="{ACF460D7-8E28-4B60-9595-C50B25C9AA98}"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C-B601-45D9-BCE7-6C7B14418F07}"/>
                </c:ext>
              </c:extLst>
            </c:dLbl>
            <c:dLbl>
              <c:idx val="9"/>
              <c:tx>
                <c:rich>
                  <a:bodyPr/>
                  <a:lstStyle/>
                  <a:p>
                    <a:fld id="{6513A7CB-70FB-4BD0-86E1-57302523D279}" type="CELLRANGE">
                      <a:rPr lang="en-US"/>
                      <a:pPr/>
                      <a:t>[ДІАПАЗОН КЛІТИНОК]</a:t>
                    </a:fld>
                    <a:endParaRPr lang="en-US" baseline="0"/>
                  </a:p>
                  <a:p>
                    <a:fld id="{FD8D5B4A-6600-4F74-B5F8-166C487040DC}"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D-B601-45D9-BCE7-6C7B14418F07}"/>
                </c:ext>
              </c:extLst>
            </c:dLbl>
            <c:dLbl>
              <c:idx val="10"/>
              <c:tx>
                <c:rich>
                  <a:bodyPr/>
                  <a:lstStyle/>
                  <a:p>
                    <a:fld id="{180AE9CA-81B8-435A-A76A-EEF9EE37588E}" type="CELLRANGE">
                      <a:rPr lang="en-US"/>
                      <a:pPr/>
                      <a:t>[ДІАПАЗОН КЛІТИНОК]</a:t>
                    </a:fld>
                    <a:endParaRPr lang="en-US" baseline="0"/>
                  </a:p>
                  <a:p>
                    <a:fld id="{4C232149-AE57-479E-ABE3-33AC6AC0D385}"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E-B601-45D9-BCE7-6C7B14418F07}"/>
                </c:ext>
              </c:extLst>
            </c:dLbl>
            <c:dLbl>
              <c:idx val="11"/>
              <c:tx>
                <c:rich>
                  <a:bodyPr/>
                  <a:lstStyle/>
                  <a:p>
                    <a:fld id="{7106051F-D873-41C1-8A27-81C531DBE9FC}" type="CELLRANGE">
                      <a:rPr lang="en-US"/>
                      <a:pPr/>
                      <a:t>[ДІАПАЗОН КЛІТИНОК]</a:t>
                    </a:fld>
                    <a:endParaRPr lang="en-US" baseline="0"/>
                  </a:p>
                  <a:p>
                    <a:fld id="{50BCE6C9-B4F5-4C29-A15D-0BB4C350E2BE}"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F-B601-45D9-BCE7-6C7B14418F07}"/>
                </c:ext>
              </c:extLst>
            </c:dLbl>
            <c:dLbl>
              <c:idx val="12"/>
              <c:tx>
                <c:rich>
                  <a:bodyPr/>
                  <a:lstStyle/>
                  <a:p>
                    <a:fld id="{0341CABA-95B2-436B-AA9C-BFFFF3B60FA4}" type="CELLRANGE">
                      <a:rPr lang="en-US" b="1">
                        <a:solidFill>
                          <a:srgbClr val="00B050"/>
                        </a:solidFill>
                      </a:rPr>
                      <a:pPr/>
                      <a:t>[ДІАПАЗОН КЛІТИНОК]</a:t>
                    </a:fld>
                    <a:endParaRPr lang="en-US" b="1" baseline="0">
                      <a:solidFill>
                        <a:srgbClr val="00B050"/>
                      </a:solidFill>
                    </a:endParaRPr>
                  </a:p>
                  <a:p>
                    <a:fld id="{997EBBBF-65E3-4F1F-94BF-24776F9BFC3E}"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B601-45D9-BCE7-6C7B14418F07}"/>
                </c:ext>
              </c:extLst>
            </c:dLbl>
            <c:dLbl>
              <c:idx val="13"/>
              <c:tx>
                <c:rich>
                  <a:bodyPr/>
                  <a:lstStyle/>
                  <a:p>
                    <a:fld id="{6A6AF6F9-A0BB-4112-9A70-B2F511BA2D73}" type="CELLRANGE">
                      <a:rPr lang="en-US" b="1">
                        <a:solidFill>
                          <a:schemeClr val="accent3"/>
                        </a:solidFill>
                      </a:rPr>
                      <a:pPr/>
                      <a:t>[ДІАПАЗОН КЛІТИНОК]</a:t>
                    </a:fld>
                    <a:endParaRPr lang="en-US" b="1" baseline="0">
                      <a:solidFill>
                        <a:schemeClr val="accent3"/>
                      </a:solidFill>
                    </a:endParaRPr>
                  </a:p>
                  <a:p>
                    <a:fld id="{D9A1C4B1-008B-4104-B40E-024B612857DF}"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B601-45D9-BCE7-6C7B14418F07}"/>
                </c:ext>
              </c:extLst>
            </c:dLbl>
            <c:dLbl>
              <c:idx val="14"/>
              <c:tx>
                <c:rich>
                  <a:bodyPr/>
                  <a:lstStyle/>
                  <a:p>
                    <a:fld id="{43FCEC49-A25A-4C9B-9CBB-2A6A9EDB9F0F}" type="CELLRANGE">
                      <a:rPr lang="en-US" b="1">
                        <a:solidFill>
                          <a:srgbClr val="00B050"/>
                        </a:solidFill>
                      </a:rPr>
                      <a:pPr/>
                      <a:t>[ДІАПАЗОН КЛІТИНОК]</a:t>
                    </a:fld>
                    <a:endParaRPr lang="en-US" b="1" baseline="0">
                      <a:solidFill>
                        <a:srgbClr val="00B050"/>
                      </a:solidFill>
                    </a:endParaRPr>
                  </a:p>
                  <a:p>
                    <a:fld id="{E22B58ED-43A4-44ED-AD88-9CCD024A7510}"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B601-45D9-BCE7-6C7B14418F07}"/>
                </c:ext>
              </c:extLst>
            </c:dLbl>
            <c:dLbl>
              <c:idx val="15"/>
              <c:tx>
                <c:rich>
                  <a:bodyPr/>
                  <a:lstStyle/>
                  <a:p>
                    <a:fld id="{302AC51C-3590-4761-ABA2-633B8A393CC7}" type="CELLRANGE">
                      <a:rPr lang="en-US">
                        <a:solidFill>
                          <a:srgbClr val="00B050"/>
                        </a:solidFill>
                      </a:rPr>
                      <a:pPr/>
                      <a:t>[ДІАПАЗОН КЛІТИНОК]</a:t>
                    </a:fld>
                    <a:r>
                      <a:rPr lang="en-US" baseline="0"/>
                      <a:t>
</a:t>
                    </a:r>
                    <a:fld id="{EACF1B76-BE3A-43AE-B015-EFDB262BA5D2}" type="VALUE">
                      <a:rPr lang="en-US" baseline="0"/>
                      <a:pPr/>
                      <a:t>[ЗНАЧЕННЯ]</a:t>
                    </a:fld>
                    <a:endParaRPr lang="en-US" baseline="0"/>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7CCD-4A76-8FB1-A1229E3ABA78}"/>
                </c:ext>
              </c:extLst>
            </c:dLbl>
            <c:dLbl>
              <c:idx val="16"/>
              <c:tx>
                <c:rich>
                  <a:bodyPr/>
                  <a:lstStyle/>
                  <a:p>
                    <a:fld id="{2BF7A6A6-9F34-443F-8F87-C56951095E23}" type="CELLRANGE">
                      <a:rPr lang="en-US">
                        <a:solidFill>
                          <a:schemeClr val="accent3"/>
                        </a:solidFill>
                      </a:rPr>
                      <a:pPr/>
                      <a:t>[ДІАПАЗОН КЛІТИНОК]</a:t>
                    </a:fld>
                    <a:r>
                      <a:rPr lang="en-US" baseline="0"/>
                      <a:t>
</a:t>
                    </a:r>
                    <a:fld id="{84017F29-7876-4D28-AF98-ADF329C2D04D}" type="VALUE">
                      <a:rPr lang="en-US" baseline="0"/>
                      <a:pPr/>
                      <a:t>[ЗНАЧЕННЯ]</a:t>
                    </a:fld>
                    <a:endParaRPr lang="en-US" baseline="0"/>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7CCD-4A76-8FB1-A1229E3ABA78}"/>
                </c:ext>
              </c:extLst>
            </c:dLbl>
            <c:dLbl>
              <c:idx val="17"/>
              <c:layout>
                <c:manualLayout>
                  <c:x val="-2.3556029933913818E-3"/>
                  <c:y val="-6.6268363740196498E-2"/>
                </c:manualLayout>
              </c:layout>
              <c:tx>
                <c:rich>
                  <a:bodyPr/>
                  <a:lstStyle/>
                  <a:p>
                    <a:fld id="{5883933F-5281-4D6D-AEFC-A35AEE2BED37}" type="CELLRANGE">
                      <a:rPr lang="en-US">
                        <a:solidFill>
                          <a:schemeClr val="accent3"/>
                        </a:solidFill>
                      </a:rPr>
                      <a:pPr/>
                      <a:t>[ДІАПАЗОН КЛІТИНОК]</a:t>
                    </a:fld>
                    <a:r>
                      <a:rPr lang="en-US" baseline="0"/>
                      <a:t>
</a:t>
                    </a:r>
                    <a:fld id="{B3F1D5B8-B9EC-4A0C-A279-8A24CA5B132B}" type="VALUE">
                      <a:rPr lang="en-US" baseline="0"/>
                      <a:pPr/>
                      <a:t>[ЗНАЧЕННЯ]</a:t>
                    </a:fld>
                    <a:endParaRPr lang="en-US" baseline="0"/>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2798-42B7-9D48-3FB10069C65C}"/>
                </c:ext>
              </c:extLst>
            </c:dLbl>
            <c:dLbl>
              <c:idx val="18"/>
              <c:tx>
                <c:rich>
                  <a:bodyPr/>
                  <a:lstStyle/>
                  <a:p>
                    <a:fld id="{64DF014F-3D25-4EFF-9436-55C6D751A246}" type="CELLRANGE">
                      <a:rPr lang="en-US"/>
                      <a:pPr/>
                      <a:t>[ДІАПАЗОН КЛІТИНОК]</a:t>
                    </a:fld>
                    <a:r>
                      <a:rPr lang="en-US" baseline="0"/>
                      <a:t>
</a:t>
                    </a:r>
                    <a:fld id="{5522B169-A258-4244-8A2E-3981F534ABD2}" type="VALUE">
                      <a:rPr lang="en-US" baseline="0"/>
                      <a:pPr/>
                      <a:t>[ЗНАЧЕННЯ]</a:t>
                    </a:fld>
                    <a:endParaRPr lang="en-US" baseline="0"/>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7C8-4EEE-917B-0ACE66B4356F}"/>
                </c:ext>
              </c:extLst>
            </c:dLbl>
            <c:dLbl>
              <c:idx val="19"/>
              <c:tx>
                <c:rich>
                  <a:bodyPr/>
                  <a:lstStyle/>
                  <a:p>
                    <a:fld id="{E3CCB890-E92A-4287-99BA-7137F60FECDF}" type="CELLRANGE">
                      <a:rPr lang="en-US"/>
                      <a:pPr/>
                      <a:t>[ДІАПАЗОН КЛІТИНОК]</a:t>
                    </a:fld>
                    <a:r>
                      <a:rPr lang="en-US" baseline="0"/>
                      <a:t>
</a:t>
                    </a:r>
                    <a:fld id="{70B3FD31-92C2-4B5D-83B3-3BADA8FFD59C}" type="VALUE">
                      <a:rPr lang="en-US" baseline="0"/>
                      <a:pPr/>
                      <a:t>[ЗНАЧЕННЯ]</a:t>
                    </a:fld>
                    <a:endParaRPr lang="en-US" baseline="0"/>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7C8-4EEE-917B-0ACE66B4356F}"/>
                </c:ext>
              </c:extLst>
            </c:dLbl>
            <c:dLbl>
              <c:idx val="20"/>
              <c:layout>
                <c:manualLayout>
                  <c:x val="-5.6386236321550542E-2"/>
                  <c:y val="-0.14890220533259116"/>
                </c:manualLayout>
              </c:layout>
              <c:tx>
                <c:rich>
                  <a:bodyPr/>
                  <a:lstStyle/>
                  <a:p>
                    <a:fld id="{BA5F1A09-6B26-4D3D-A782-C650D76435F9}" type="CELLRANGE">
                      <a:rPr lang="en-US" baseline="0"/>
                      <a:pPr/>
                      <a:t>[ДІАПАЗОН КЛІТИНОК]</a:t>
                    </a:fld>
                    <a:r>
                      <a:rPr lang="en-US" baseline="0"/>
                      <a:t>
</a:t>
                    </a:r>
                    <a:fld id="{B1B27C1B-06E0-4108-840E-AF85748FC8CA}" type="VALUE">
                      <a:rPr lang="en-US" baseline="0"/>
                      <a:pPr/>
                      <a:t>[ЗНАЧЕННЯ]</a:t>
                    </a:fld>
                    <a:endParaRPr lang="en-US" baseline="0"/>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07C8-4EEE-917B-0ACE66B4356F}"/>
                </c:ext>
              </c:extLst>
            </c:dLbl>
            <c:dLbl>
              <c:idx val="21"/>
              <c:tx>
                <c:rich>
                  <a:bodyPr/>
                  <a:lstStyle/>
                  <a:p>
                    <a:fld id="{2C626F52-76BC-4256-8E8A-31B60C86CC98}" type="CELLRANGE">
                      <a:rPr lang="en-US"/>
                      <a:pPr/>
                      <a:t>[ДІАПАЗОН КЛІТИНОК]</a:t>
                    </a:fld>
                    <a:r>
                      <a:rPr lang="en-US" baseline="0"/>
                      <a:t>
</a:t>
                    </a:r>
                    <a:fld id="{E7DB12B8-845F-439A-A1F2-1733B4B7CA27}" type="VALUE">
                      <a:rPr lang="en-US" baseline="0"/>
                      <a:pPr/>
                      <a:t>[ЗНАЧЕННЯ]</a:t>
                    </a:fld>
                    <a:endParaRPr lang="en-US" baseline="0"/>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69F-4DAC-8E72-72E138E4CFAA}"/>
                </c:ext>
              </c:extLst>
            </c:dLbl>
            <c:dLbl>
              <c:idx val="22"/>
              <c:tx>
                <c:rich>
                  <a:bodyPr/>
                  <a:lstStyle/>
                  <a:p>
                    <a:fld id="{527828E4-1CBC-492C-8CB6-28F220A97F3C}" type="CELLRANGE">
                      <a:rPr lang="en-US"/>
                      <a:pPr/>
                      <a:t>[ДІАПАЗОН КЛІТИНОК]</a:t>
                    </a:fld>
                    <a:r>
                      <a:rPr lang="en-US" baseline="0"/>
                      <a:t>
</a:t>
                    </a:r>
                    <a:fld id="{4FE1AEFD-3303-492B-A76A-A12A65CB8762}" type="VALUE">
                      <a:rPr lang="en-US" baseline="0"/>
                      <a:pPr/>
                      <a:t>[ЗНАЧЕННЯ]</a:t>
                    </a:fld>
                    <a:endParaRPr lang="en-US" baseline="0"/>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D11-4B45-A803-FE34CF58B2C3}"/>
                </c:ext>
              </c:extLst>
            </c:dLbl>
            <c:dLbl>
              <c:idx val="23"/>
              <c:tx>
                <c:rich>
                  <a:bodyPr/>
                  <a:lstStyle/>
                  <a:p>
                    <a:fld id="{82494F64-0E34-4FCA-A09E-F6DDEF0D8008}" type="CELLRANGE">
                      <a:rPr lang="en-US"/>
                      <a:pPr/>
                      <a:t>[ДІАПАЗОН КЛІТИНОК]</a:t>
                    </a:fld>
                    <a:r>
                      <a:rPr lang="en-US" baseline="0"/>
                      <a:t>
</a:t>
                    </a:r>
                    <a:fld id="{2E0F2CFC-886E-4CB6-8122-9F3C92356EE4}" type="VALUE">
                      <a:rPr lang="en-US" baseline="0"/>
                      <a:pPr/>
                      <a:t>[ЗНАЧЕННЯ]</a:t>
                    </a:fld>
                    <a:endParaRPr lang="en-US" baseline="0"/>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D11-4B45-A803-FE34CF58B2C3}"/>
                </c:ext>
              </c:extLst>
            </c:dLbl>
            <c:dLbl>
              <c:idx val="24"/>
              <c:tx>
                <c:rich>
                  <a:bodyPr/>
                  <a:lstStyle/>
                  <a:p>
                    <a:fld id="{C2D03105-CDCF-4CA4-A84C-D3E491398DB5}" type="VALUE">
                      <a:rPr lang="en-US"/>
                      <a:pPr/>
                      <a:t>[ЗНАЧЕННЯ]</a:t>
                    </a:fld>
                    <a:endParaRPr lang="en-US"/>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0BFB-47A6-BA97-2F59E069AF8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cat>
            <c:multiLvlStrRef>
              <c:f>'Ворк юа (вакансії)'!$L$4:$AJ$5</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lvl>
                <c:lvl>
                  <c:pt idx="0">
                    <c:v>2022</c:v>
                  </c:pt>
                  <c:pt idx="12">
                    <c:v>2023</c:v>
                  </c:pt>
                  <c:pt idx="24">
                    <c:v>2024</c:v>
                  </c:pt>
                </c:lvl>
              </c:multiLvlStrCache>
            </c:multiLvlStrRef>
          </c:cat>
          <c:val>
            <c:numRef>
              <c:f>'Ворк юа (вакансії)'!$L$7:$AJ$7</c:f>
              <c:numCache>
                <c:formatCode>0</c:formatCode>
                <c:ptCount val="25"/>
                <c:pt idx="0">
                  <c:v>79.98</c:v>
                </c:pt>
                <c:pt idx="1">
                  <c:v>124.209</c:v>
                </c:pt>
                <c:pt idx="2">
                  <c:v>54.927</c:v>
                </c:pt>
                <c:pt idx="3">
                  <c:v>99.314999999999998</c:v>
                </c:pt>
                <c:pt idx="4">
                  <c:v>131.221</c:v>
                </c:pt>
                <c:pt idx="5">
                  <c:v>152.328</c:v>
                </c:pt>
                <c:pt idx="6">
                  <c:v>152.80000000000001</c:v>
                </c:pt>
                <c:pt idx="7">
                  <c:v>141.55799999999999</c:v>
                </c:pt>
                <c:pt idx="8">
                  <c:v>136.57900000000001</c:v>
                </c:pt>
                <c:pt idx="9">
                  <c:v>125.685</c:v>
                </c:pt>
                <c:pt idx="10">
                  <c:v>113.485</c:v>
                </c:pt>
                <c:pt idx="11">
                  <c:v>104.94199999999999</c:v>
                </c:pt>
                <c:pt idx="12">
                  <c:v>84.114000000000004</c:v>
                </c:pt>
                <c:pt idx="13">
                  <c:v>114.64700000000001</c:v>
                </c:pt>
                <c:pt idx="14">
                  <c:v>114.04300000000001</c:v>
                </c:pt>
                <c:pt idx="15">
                  <c:v>104.616</c:v>
                </c:pt>
                <c:pt idx="16">
                  <c:v>93.132000000000005</c:v>
                </c:pt>
                <c:pt idx="17">
                  <c:v>91.554000000000002</c:v>
                </c:pt>
                <c:pt idx="18">
                  <c:v>97.444000000000003</c:v>
                </c:pt>
                <c:pt idx="19">
                  <c:v>89.995999999999995</c:v>
                </c:pt>
                <c:pt idx="20">
                  <c:v>89.701999999999998</c:v>
                </c:pt>
                <c:pt idx="21">
                  <c:v>88.165000000000006</c:v>
                </c:pt>
                <c:pt idx="22">
                  <c:v>88.247</c:v>
                </c:pt>
                <c:pt idx="23">
                  <c:v>83.915000000000006</c:v>
                </c:pt>
                <c:pt idx="24">
                  <c:v>59.853000000000002</c:v>
                </c:pt>
              </c:numCache>
            </c:numRef>
          </c:val>
          <c:smooth val="0"/>
          <c:extLst>
            <c:ext xmlns:c15="http://schemas.microsoft.com/office/drawing/2012/chart" uri="{02D57815-91ED-43cb-92C2-25804820EDAC}">
              <c15:datalabelsRange>
                <c15:f>'Ворк юа (вакансії)'!$L$10:$AI$10</c15:f>
                <c15:dlblRangeCache>
                  <c:ptCount val="24"/>
                  <c:pt idx="12">
                    <c:v>5%</c:v>
                  </c:pt>
                  <c:pt idx="13">
                    <c:v>-8%</c:v>
                  </c:pt>
                  <c:pt idx="14">
                    <c:v>108%</c:v>
                  </c:pt>
                  <c:pt idx="15">
                    <c:v>5%</c:v>
                  </c:pt>
                  <c:pt idx="16">
                    <c:v>-29%</c:v>
                  </c:pt>
                  <c:pt idx="17">
                    <c:v>-40%</c:v>
                  </c:pt>
                  <c:pt idx="18">
                    <c:v>-36%</c:v>
                  </c:pt>
                  <c:pt idx="19">
                    <c:v>-36%</c:v>
                  </c:pt>
                  <c:pt idx="20">
                    <c:v>-34%</c:v>
                  </c:pt>
                  <c:pt idx="21">
                    <c:v>-30%</c:v>
                  </c:pt>
                  <c:pt idx="22">
                    <c:v>-22%</c:v>
                  </c:pt>
                  <c:pt idx="23">
                    <c:v>-20%</c:v>
                  </c:pt>
                </c15:dlblRangeCache>
              </c15:datalabelsRange>
            </c:ext>
            <c:ext xmlns:c16="http://schemas.microsoft.com/office/drawing/2014/chart" uri="{C3380CC4-5D6E-409C-BE32-E72D297353CC}">
              <c16:uniqueId val="{00000001-B601-45D9-BCE7-6C7B14418F07}"/>
            </c:ext>
          </c:extLst>
        </c:ser>
        <c:dLbls>
          <c:showLegendKey val="0"/>
          <c:showVal val="0"/>
          <c:showCatName val="0"/>
          <c:showSerName val="0"/>
          <c:showPercent val="0"/>
          <c:showBubbleSize val="0"/>
        </c:dLbls>
        <c:marker val="1"/>
        <c:smooth val="0"/>
        <c:axId val="1240480720"/>
        <c:axId val="1284388192"/>
      </c:lineChart>
      <c:catAx>
        <c:axId val="1240480720"/>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84388192"/>
        <c:crosses val="autoZero"/>
        <c:auto val="1"/>
        <c:lblAlgn val="ctr"/>
        <c:lblOffset val="100"/>
        <c:noMultiLvlLbl val="0"/>
      </c:catAx>
      <c:valAx>
        <c:axId val="1284388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404807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1" i="0" u="none" strike="noStrike" kern="1200" spc="0" baseline="0">
                <a:solidFill>
                  <a:schemeClr val="accent1"/>
                </a:solidFill>
                <a:latin typeface="+mn-lt"/>
                <a:ea typeface="+mn-ea"/>
                <a:cs typeface="+mn-cs"/>
              </a:defRPr>
            </a:pPr>
            <a:r>
              <a:rPr lang="uk-UA" b="1">
                <a:solidFill>
                  <a:schemeClr val="accent1"/>
                </a:solidFill>
              </a:rPr>
              <a:t>Рівень безробіття в Україні в 2022-23 роках, %</a:t>
            </a:r>
          </a:p>
        </c:rich>
      </c:tx>
      <c:layout>
        <c:manualLayout>
          <c:xMode val="edge"/>
          <c:yMode val="edge"/>
          <c:x val="2.1088927062407871E-2"/>
          <c:y val="1.6904387387330428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accent1"/>
              </a:solidFill>
              <a:latin typeface="+mn-lt"/>
              <a:ea typeface="+mn-ea"/>
              <a:cs typeface="+mn-cs"/>
            </a:defRPr>
          </a:pPr>
          <a:endParaRPr lang="en-US"/>
        </a:p>
      </c:txPr>
    </c:title>
    <c:autoTitleDeleted val="0"/>
    <c:plotArea>
      <c:layout/>
      <c:lineChart>
        <c:grouping val="standard"/>
        <c:varyColors val="0"/>
        <c:ser>
          <c:idx val="0"/>
          <c:order val="0"/>
          <c:spPr>
            <a:ln w="12700" cap="rnd">
              <a:solidFill>
                <a:schemeClr val="accent1"/>
              </a:solidFill>
              <a:round/>
            </a:ln>
            <a:effectLst/>
          </c:spPr>
          <c:marker>
            <c:symbol val="circle"/>
            <c:size val="7"/>
            <c:spPr>
              <a:solidFill>
                <a:schemeClr val="accent1">
                  <a:lumMod val="20000"/>
                  <a:lumOff val="80000"/>
                </a:schemeClr>
              </a:solidFill>
              <a:ln w="12700">
                <a:solidFill>
                  <a:schemeClr val="accent1"/>
                </a:solidFill>
              </a:ln>
              <a:effectLst/>
            </c:spPr>
          </c:marker>
          <c:dLbls>
            <c:dLbl>
              <c:idx val="1"/>
              <c:layout>
                <c:manualLayout>
                  <c:x val="-4.6604346042027095E-2"/>
                  <c:y val="4.86636715730430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0D3-430E-BA91-69727271EDD2}"/>
                </c:ext>
              </c:extLst>
            </c:dLbl>
            <c:dLbl>
              <c:idx val="3"/>
              <c:layout>
                <c:manualLayout>
                  <c:x val="-5.1674357555761503E-2"/>
                  <c:y val="3.45455440514626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0D3-430E-BA91-69727271EDD2}"/>
                </c:ext>
              </c:extLst>
            </c:dLbl>
            <c:dLbl>
              <c:idx val="5"/>
              <c:layout>
                <c:manualLayout>
                  <c:x val="-5.5724678153169595E-2"/>
                  <c:y val="6.4316947228932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0D3-430E-BA91-69727271EDD2}"/>
                </c:ext>
              </c:extLst>
            </c:dLbl>
            <c:dLbl>
              <c:idx val="8"/>
              <c:layout>
                <c:manualLayout>
                  <c:x val="-4.6336474278995642E-2"/>
                  <c:y val="4.73047168418066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0D3-430E-BA91-69727271EDD2}"/>
                </c:ext>
              </c:extLst>
            </c:dLbl>
            <c:dLbl>
              <c:idx val="10"/>
              <c:layout>
                <c:manualLayout>
                  <c:x val="-5.2606821232640703E-2"/>
                  <c:y val="5.58108320353693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0D3-430E-BA91-69727271EDD2}"/>
                </c:ext>
              </c:extLst>
            </c:dLbl>
            <c:dLbl>
              <c:idx val="12"/>
              <c:layout>
                <c:manualLayout>
                  <c:x val="-5.2377322062520222E-2"/>
                  <c:y val="4.30516592450253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0D3-430E-BA91-69727271EDD2}"/>
                </c:ext>
              </c:extLst>
            </c:dLbl>
            <c:dLbl>
              <c:idx val="14"/>
              <c:layout>
                <c:manualLayout>
                  <c:x val="-5.5251432013446414E-2"/>
                  <c:y val="4.73047168418066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0D3-430E-BA91-69727271EDD2}"/>
                </c:ext>
              </c:extLst>
            </c:dLbl>
            <c:dLbl>
              <c:idx val="16"/>
              <c:layout>
                <c:manualLayout>
                  <c:x val="-4.9600316344987884E-2"/>
                  <c:y val="4.30516592450253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0D3-430E-BA91-69727271EDD2}"/>
                </c:ext>
              </c:extLst>
            </c:dLbl>
            <c:dLbl>
              <c:idx val="18"/>
              <c:layout>
                <c:manualLayout>
                  <c:x val="-3.6126720366988344E-2"/>
                  <c:y val="-4.20094926906014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0D3-430E-BA91-69727271EDD2}"/>
                </c:ext>
              </c:extLst>
            </c:dLbl>
            <c:dLbl>
              <c:idx val="19"/>
              <c:layout>
                <c:manualLayout>
                  <c:x val="-4.3613640338502055E-2"/>
                  <c:y val="3.89720908061690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0D3-430E-BA91-69727271EDD2}"/>
                </c:ext>
              </c:extLst>
            </c:dLbl>
            <c:dLbl>
              <c:idx val="20"/>
              <c:layout>
                <c:manualLayout>
                  <c:x val="-1.5444308707558906E-2"/>
                  <c:y val="2.55087663009762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25E-4CED-9F14-2FCCE3A0CA8C}"/>
                </c:ext>
              </c:extLst>
            </c:dLbl>
            <c:dLbl>
              <c:idx val="21"/>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0-EBF5-4DA4-8737-2E457814905B}"/>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'Беробіття '!$A$6:$B$29</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2022</c:v>
                  </c:pt>
                  <c:pt idx="12">
                    <c:v>2023</c:v>
                  </c:pt>
                </c:lvl>
              </c:multiLvlStrCache>
            </c:multiLvlStrRef>
          </c:cat>
          <c:val>
            <c:numRef>
              <c:f>'Беробіття '!$C$6:$C$29</c:f>
              <c:numCache>
                <c:formatCode>0.0%</c:formatCode>
                <c:ptCount val="24"/>
                <c:pt idx="0">
                  <c:v>0.105</c:v>
                </c:pt>
                <c:pt idx="1">
                  <c:v>8.5999999999999993E-2</c:v>
                </c:pt>
                <c:pt idx="2">
                  <c:v>0.29499999999999998</c:v>
                </c:pt>
                <c:pt idx="3">
                  <c:v>0.27200000000000002</c:v>
                </c:pt>
                <c:pt idx="4">
                  <c:v>0.307</c:v>
                </c:pt>
                <c:pt idx="5">
                  <c:v>0.26</c:v>
                </c:pt>
                <c:pt idx="6">
                  <c:v>0.28199999999999997</c:v>
                </c:pt>
                <c:pt idx="7">
                  <c:v>0.26</c:v>
                </c:pt>
                <c:pt idx="8">
                  <c:v>0.215</c:v>
                </c:pt>
                <c:pt idx="9">
                  <c:v>0.22900000000000001</c:v>
                </c:pt>
                <c:pt idx="10">
                  <c:v>0.19700000000000001</c:v>
                </c:pt>
                <c:pt idx="11">
                  <c:v>0.223</c:v>
                </c:pt>
                <c:pt idx="12">
                  <c:v>0.216</c:v>
                </c:pt>
                <c:pt idx="13">
                  <c:v>0.24199999999999999</c:v>
                </c:pt>
                <c:pt idx="14">
                  <c:v>0.20499999999999999</c:v>
                </c:pt>
                <c:pt idx="15">
                  <c:v>0.20799999999999999</c:v>
                </c:pt>
                <c:pt idx="16">
                  <c:v>0.17699999999999999</c:v>
                </c:pt>
                <c:pt idx="17">
                  <c:v>0.214</c:v>
                </c:pt>
                <c:pt idx="18">
                  <c:v>0.16600000000000001</c:v>
                </c:pt>
                <c:pt idx="19">
                  <c:v>0.151</c:v>
                </c:pt>
                <c:pt idx="20">
                  <c:v>0.159</c:v>
                </c:pt>
                <c:pt idx="21">
                  <c:v>0.184</c:v>
                </c:pt>
                <c:pt idx="22">
                  <c:v>0.2</c:v>
                </c:pt>
                <c:pt idx="23">
                  <c:v>0.161</c:v>
                </c:pt>
              </c:numCache>
            </c:numRef>
          </c:val>
          <c:smooth val="1"/>
          <c:extLst>
            <c:ext xmlns:c16="http://schemas.microsoft.com/office/drawing/2014/chart" uri="{C3380CC4-5D6E-409C-BE32-E72D297353CC}">
              <c16:uniqueId val="{00000000-10D3-430E-BA91-69727271EDD2}"/>
            </c:ext>
          </c:extLst>
        </c:ser>
        <c:dLbls>
          <c:showLegendKey val="0"/>
          <c:showVal val="0"/>
          <c:showCatName val="0"/>
          <c:showSerName val="0"/>
          <c:showPercent val="0"/>
          <c:showBubbleSize val="0"/>
        </c:dLbls>
        <c:marker val="1"/>
        <c:smooth val="0"/>
        <c:axId val="119254592"/>
        <c:axId val="243399439"/>
      </c:lineChart>
      <c:catAx>
        <c:axId val="119254592"/>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43399439"/>
        <c:crosses val="autoZero"/>
        <c:auto val="1"/>
        <c:lblAlgn val="ctr"/>
        <c:lblOffset val="100"/>
        <c:noMultiLvlLbl val="0"/>
      </c:catAx>
      <c:valAx>
        <c:axId val="243399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en-US"/>
          </a:p>
        </c:txPr>
        <c:crossAx val="11925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xMode val="edge"/>
          <c:yMode val="edge"/>
          <c:x val="0"/>
          <c:y val="2.4640661068192061E-2"/>
          <c:w val="0.96680497925311204"/>
          <c:h val="0.81314181525033791"/>
        </c:manualLayout>
      </c:layout>
      <c:lineChart>
        <c:grouping val="standard"/>
        <c:varyColors val="0"/>
        <c:ser>
          <c:idx val="1"/>
          <c:order val="0"/>
          <c:tx>
            <c:strRef>
              <c:f>'Очікування по безробіттю'!$B$1</c:f>
              <c:strCache>
                <c:ptCount val="1"/>
                <c:pt idx="0">
                  <c:v>С/г</c:v>
                </c:pt>
              </c:strCache>
            </c:strRef>
          </c:tx>
          <c:spPr>
            <a:ln w="25400" cap="rnd" cmpd="sng">
              <a:solidFill>
                <a:srgbClr val="057D46"/>
              </a:solidFill>
              <a:prstDash val="solid"/>
              <a:round/>
            </a:ln>
            <a:effectLst/>
          </c:spPr>
          <c:marker>
            <c:symbol val="none"/>
          </c:marker>
          <c:cat>
            <c:strRef>
              <c:f>'Очікування по безробіттю'!$H$4:$H$20</c:f>
              <c:strCache>
                <c:ptCount val="17"/>
                <c:pt idx="0">
                  <c:v>I.19</c:v>
                </c:pt>
                <c:pt idx="2">
                  <c:v>IІI.19</c:v>
                </c:pt>
                <c:pt idx="4">
                  <c:v>I.20</c:v>
                </c:pt>
                <c:pt idx="6">
                  <c:v>IІI.20</c:v>
                </c:pt>
                <c:pt idx="8">
                  <c:v>I.21</c:v>
                </c:pt>
                <c:pt idx="10">
                  <c:v>III.21</c:v>
                </c:pt>
                <c:pt idx="12">
                  <c:v>I.22</c:v>
                </c:pt>
                <c:pt idx="14">
                  <c:v>III.22</c:v>
                </c:pt>
                <c:pt idx="16">
                  <c:v>I.23</c:v>
                </c:pt>
              </c:strCache>
            </c:strRef>
          </c:cat>
          <c:val>
            <c:numRef>
              <c:f>'Очікування по безробіттю'!$B$4:$B$20</c:f>
              <c:numCache>
                <c:formatCode>General</c:formatCode>
                <c:ptCount val="17"/>
                <c:pt idx="0">
                  <c:v>-7</c:v>
                </c:pt>
                <c:pt idx="1">
                  <c:v>-6</c:v>
                </c:pt>
                <c:pt idx="2">
                  <c:v>-16.399999999999999</c:v>
                </c:pt>
                <c:pt idx="3">
                  <c:v>-20.3</c:v>
                </c:pt>
                <c:pt idx="4">
                  <c:v>-26.5</c:v>
                </c:pt>
                <c:pt idx="5">
                  <c:v>-11.8</c:v>
                </c:pt>
                <c:pt idx="6">
                  <c:v>-22.9</c:v>
                </c:pt>
                <c:pt idx="7">
                  <c:v>-20.2</c:v>
                </c:pt>
                <c:pt idx="8">
                  <c:v>-11.8</c:v>
                </c:pt>
                <c:pt idx="9">
                  <c:v>-7.1</c:v>
                </c:pt>
                <c:pt idx="10">
                  <c:v>-8.8000000000000007</c:v>
                </c:pt>
                <c:pt idx="11">
                  <c:v>-6.9</c:v>
                </c:pt>
                <c:pt idx="12">
                  <c:v>3.8</c:v>
                </c:pt>
                <c:pt idx="13">
                  <c:v>-10.9</c:v>
                </c:pt>
                <c:pt idx="14">
                  <c:v>-24.5</c:v>
                </c:pt>
                <c:pt idx="15">
                  <c:v>-26.1</c:v>
                </c:pt>
                <c:pt idx="16" formatCode="0.0">
                  <c:v>-6.5</c:v>
                </c:pt>
              </c:numCache>
            </c:numRef>
          </c:val>
          <c:smooth val="0"/>
          <c:extLst>
            <c:ext xmlns:c16="http://schemas.microsoft.com/office/drawing/2014/chart" uri="{C3380CC4-5D6E-409C-BE32-E72D297353CC}">
              <c16:uniqueId val="{00000000-9AF8-45A2-88AB-8F540DF3DCAB}"/>
            </c:ext>
          </c:extLst>
        </c:ser>
        <c:ser>
          <c:idx val="2"/>
          <c:order val="1"/>
          <c:tx>
            <c:strRef>
              <c:f>'Очікування по безробіттю'!$C$1</c:f>
              <c:strCache>
                <c:ptCount val="1"/>
                <c:pt idx="0">
                  <c:v>Промисловість</c:v>
                </c:pt>
              </c:strCache>
            </c:strRef>
          </c:tx>
          <c:spPr>
            <a:ln w="25400" cap="rnd" cmpd="sng">
              <a:solidFill>
                <a:srgbClr val="91C864"/>
              </a:solidFill>
              <a:prstDash val="solid"/>
              <a:round/>
            </a:ln>
            <a:effectLst/>
          </c:spPr>
          <c:marker>
            <c:symbol val="none"/>
          </c:marker>
          <c:cat>
            <c:strRef>
              <c:f>'Очікування по безробіттю'!$H$4:$H$20</c:f>
              <c:strCache>
                <c:ptCount val="17"/>
                <c:pt idx="0">
                  <c:v>I.19</c:v>
                </c:pt>
                <c:pt idx="2">
                  <c:v>IІI.19</c:v>
                </c:pt>
                <c:pt idx="4">
                  <c:v>I.20</c:v>
                </c:pt>
                <c:pt idx="6">
                  <c:v>IІI.20</c:v>
                </c:pt>
                <c:pt idx="8">
                  <c:v>I.21</c:v>
                </c:pt>
                <c:pt idx="10">
                  <c:v>III.21</c:v>
                </c:pt>
                <c:pt idx="12">
                  <c:v>I.22</c:v>
                </c:pt>
                <c:pt idx="14">
                  <c:v>III.22</c:v>
                </c:pt>
                <c:pt idx="16">
                  <c:v>I.23</c:v>
                </c:pt>
              </c:strCache>
            </c:strRef>
          </c:cat>
          <c:val>
            <c:numRef>
              <c:f>'Очікування по безробіттю'!$C$4:$C$20</c:f>
              <c:numCache>
                <c:formatCode>General</c:formatCode>
                <c:ptCount val="17"/>
                <c:pt idx="0">
                  <c:v>5.9</c:v>
                </c:pt>
                <c:pt idx="1">
                  <c:v>-3.4</c:v>
                </c:pt>
                <c:pt idx="2">
                  <c:v>-2</c:v>
                </c:pt>
                <c:pt idx="3">
                  <c:v>-9.4</c:v>
                </c:pt>
                <c:pt idx="4">
                  <c:v>-6.1</c:v>
                </c:pt>
                <c:pt idx="5">
                  <c:v>-20.9</c:v>
                </c:pt>
                <c:pt idx="6">
                  <c:v>-8.6999999999999993</c:v>
                </c:pt>
                <c:pt idx="7">
                  <c:v>-10.7</c:v>
                </c:pt>
                <c:pt idx="8">
                  <c:v>-1</c:v>
                </c:pt>
                <c:pt idx="9">
                  <c:v>1</c:v>
                </c:pt>
                <c:pt idx="10">
                  <c:v>-2</c:v>
                </c:pt>
                <c:pt idx="11">
                  <c:v>1</c:v>
                </c:pt>
                <c:pt idx="12">
                  <c:v>-3.3</c:v>
                </c:pt>
                <c:pt idx="13">
                  <c:v>-33</c:v>
                </c:pt>
                <c:pt idx="14">
                  <c:v>-26.6</c:v>
                </c:pt>
                <c:pt idx="15">
                  <c:v>-25.9</c:v>
                </c:pt>
                <c:pt idx="16" formatCode="0.0">
                  <c:v>-16.399999999999999</c:v>
                </c:pt>
              </c:numCache>
            </c:numRef>
          </c:val>
          <c:smooth val="0"/>
          <c:extLst>
            <c:ext xmlns:c16="http://schemas.microsoft.com/office/drawing/2014/chart" uri="{C3380CC4-5D6E-409C-BE32-E72D297353CC}">
              <c16:uniqueId val="{00000001-9AF8-45A2-88AB-8F540DF3DCAB}"/>
            </c:ext>
          </c:extLst>
        </c:ser>
        <c:ser>
          <c:idx val="3"/>
          <c:order val="2"/>
          <c:tx>
            <c:strRef>
              <c:f>'Очікування по безробіттю'!$D$1</c:f>
              <c:strCache>
                <c:ptCount val="1"/>
                <c:pt idx="0">
                  <c:v>Будівництво</c:v>
                </c:pt>
              </c:strCache>
            </c:strRef>
          </c:tx>
          <c:spPr>
            <a:ln w="25400" cap="rnd" cmpd="sng">
              <a:solidFill>
                <a:srgbClr val="7D0532"/>
              </a:solidFill>
              <a:prstDash val="solid"/>
              <a:round/>
            </a:ln>
            <a:effectLst/>
          </c:spPr>
          <c:marker>
            <c:symbol val="none"/>
          </c:marker>
          <c:cat>
            <c:strRef>
              <c:f>'Очікування по безробіттю'!$H$4:$H$20</c:f>
              <c:strCache>
                <c:ptCount val="17"/>
                <c:pt idx="0">
                  <c:v>I.19</c:v>
                </c:pt>
                <c:pt idx="2">
                  <c:v>IІI.19</c:v>
                </c:pt>
                <c:pt idx="4">
                  <c:v>I.20</c:v>
                </c:pt>
                <c:pt idx="6">
                  <c:v>IІI.20</c:v>
                </c:pt>
                <c:pt idx="8">
                  <c:v>I.21</c:v>
                </c:pt>
                <c:pt idx="10">
                  <c:v>III.21</c:v>
                </c:pt>
                <c:pt idx="12">
                  <c:v>I.22</c:v>
                </c:pt>
                <c:pt idx="14">
                  <c:v>III.22</c:v>
                </c:pt>
                <c:pt idx="16">
                  <c:v>I.23</c:v>
                </c:pt>
              </c:strCache>
            </c:strRef>
          </c:cat>
          <c:val>
            <c:numRef>
              <c:f>'Очікування по безробіттю'!$D$4:$D$20</c:f>
              <c:numCache>
                <c:formatCode>General</c:formatCode>
                <c:ptCount val="17"/>
                <c:pt idx="0">
                  <c:v>21.1</c:v>
                </c:pt>
                <c:pt idx="1">
                  <c:v>11.1</c:v>
                </c:pt>
                <c:pt idx="2">
                  <c:v>16.7</c:v>
                </c:pt>
                <c:pt idx="3">
                  <c:v>11.1</c:v>
                </c:pt>
                <c:pt idx="4">
                  <c:v>30</c:v>
                </c:pt>
                <c:pt idx="5">
                  <c:v>0</c:v>
                </c:pt>
                <c:pt idx="6">
                  <c:v>-9.1</c:v>
                </c:pt>
                <c:pt idx="7">
                  <c:v>-9.1</c:v>
                </c:pt>
                <c:pt idx="8">
                  <c:v>0</c:v>
                </c:pt>
                <c:pt idx="9">
                  <c:v>5</c:v>
                </c:pt>
                <c:pt idx="10">
                  <c:v>13.6</c:v>
                </c:pt>
                <c:pt idx="11">
                  <c:v>4.5</c:v>
                </c:pt>
                <c:pt idx="12">
                  <c:v>5</c:v>
                </c:pt>
                <c:pt idx="13">
                  <c:v>-50</c:v>
                </c:pt>
                <c:pt idx="14">
                  <c:v>-21.1</c:v>
                </c:pt>
                <c:pt idx="15">
                  <c:v>-5.3</c:v>
                </c:pt>
                <c:pt idx="16" formatCode="0.0">
                  <c:v>-33.299999999999997</c:v>
                </c:pt>
              </c:numCache>
            </c:numRef>
          </c:val>
          <c:smooth val="0"/>
          <c:extLst>
            <c:ext xmlns:c16="http://schemas.microsoft.com/office/drawing/2014/chart" uri="{C3380CC4-5D6E-409C-BE32-E72D297353CC}">
              <c16:uniqueId val="{00000002-9AF8-45A2-88AB-8F540DF3DCAB}"/>
            </c:ext>
          </c:extLst>
        </c:ser>
        <c:ser>
          <c:idx val="4"/>
          <c:order val="3"/>
          <c:tx>
            <c:strRef>
              <c:f>'Очікування по безробіттю'!$E$1</c:f>
              <c:strCache>
                <c:ptCount val="1"/>
                <c:pt idx="0">
                  <c:v>Торгівля</c:v>
                </c:pt>
              </c:strCache>
            </c:strRef>
          </c:tx>
          <c:spPr>
            <a:ln w="25400" cap="rnd" cmpd="sng">
              <a:solidFill>
                <a:srgbClr val="DC4B64"/>
              </a:solidFill>
              <a:prstDash val="solid"/>
              <a:round/>
            </a:ln>
            <a:effectLst/>
          </c:spPr>
          <c:marker>
            <c:symbol val="none"/>
          </c:marker>
          <c:cat>
            <c:strRef>
              <c:f>'Очікування по безробіттю'!$H$4:$H$20</c:f>
              <c:strCache>
                <c:ptCount val="17"/>
                <c:pt idx="0">
                  <c:v>I.19</c:v>
                </c:pt>
                <c:pt idx="2">
                  <c:v>IІI.19</c:v>
                </c:pt>
                <c:pt idx="4">
                  <c:v>I.20</c:v>
                </c:pt>
                <c:pt idx="6">
                  <c:v>IІI.20</c:v>
                </c:pt>
                <c:pt idx="8">
                  <c:v>I.21</c:v>
                </c:pt>
                <c:pt idx="10">
                  <c:v>III.21</c:v>
                </c:pt>
                <c:pt idx="12">
                  <c:v>I.22</c:v>
                </c:pt>
                <c:pt idx="14">
                  <c:v>III.22</c:v>
                </c:pt>
                <c:pt idx="16">
                  <c:v>I.23</c:v>
                </c:pt>
              </c:strCache>
            </c:strRef>
          </c:cat>
          <c:val>
            <c:numRef>
              <c:f>'Очікування по безробіттю'!$E$4:$E$20</c:f>
              <c:numCache>
                <c:formatCode>General</c:formatCode>
                <c:ptCount val="17"/>
                <c:pt idx="0">
                  <c:v>15.4</c:v>
                </c:pt>
                <c:pt idx="1">
                  <c:v>15.7</c:v>
                </c:pt>
                <c:pt idx="2">
                  <c:v>11.1</c:v>
                </c:pt>
                <c:pt idx="3">
                  <c:v>10.9</c:v>
                </c:pt>
                <c:pt idx="4">
                  <c:v>0.7</c:v>
                </c:pt>
                <c:pt idx="5">
                  <c:v>-19.899999999999999</c:v>
                </c:pt>
                <c:pt idx="6">
                  <c:v>0</c:v>
                </c:pt>
                <c:pt idx="7">
                  <c:v>-4.9000000000000004</c:v>
                </c:pt>
                <c:pt idx="8">
                  <c:v>10.1</c:v>
                </c:pt>
                <c:pt idx="9">
                  <c:v>8</c:v>
                </c:pt>
                <c:pt idx="10">
                  <c:v>12.6</c:v>
                </c:pt>
                <c:pt idx="11">
                  <c:v>11.3</c:v>
                </c:pt>
                <c:pt idx="12">
                  <c:v>6.9</c:v>
                </c:pt>
                <c:pt idx="13">
                  <c:v>-31.1</c:v>
                </c:pt>
                <c:pt idx="14">
                  <c:v>-21.3</c:v>
                </c:pt>
                <c:pt idx="15">
                  <c:v>-5.3</c:v>
                </c:pt>
                <c:pt idx="16" formatCode="0.0">
                  <c:v>-10.4</c:v>
                </c:pt>
              </c:numCache>
            </c:numRef>
          </c:val>
          <c:smooth val="0"/>
          <c:extLst>
            <c:ext xmlns:c16="http://schemas.microsoft.com/office/drawing/2014/chart" uri="{C3380CC4-5D6E-409C-BE32-E72D297353CC}">
              <c16:uniqueId val="{00000003-9AF8-45A2-88AB-8F540DF3DCAB}"/>
            </c:ext>
          </c:extLst>
        </c:ser>
        <c:ser>
          <c:idx val="5"/>
          <c:order val="4"/>
          <c:tx>
            <c:strRef>
              <c:f>'Очікування по безробіттю'!$F$1</c:f>
              <c:strCache>
                <c:ptCount val="1"/>
                <c:pt idx="0">
                  <c:v>Транспорт</c:v>
                </c:pt>
              </c:strCache>
            </c:strRef>
          </c:tx>
          <c:spPr>
            <a:ln w="25400" cmpd="sng">
              <a:solidFill>
                <a:srgbClr val="005591"/>
              </a:solidFill>
              <a:prstDash val="solid"/>
            </a:ln>
          </c:spPr>
          <c:marker>
            <c:symbol val="none"/>
          </c:marker>
          <c:cat>
            <c:strRef>
              <c:f>'Очікування по безробіттю'!$H$4:$H$20</c:f>
              <c:strCache>
                <c:ptCount val="17"/>
                <c:pt idx="0">
                  <c:v>I.19</c:v>
                </c:pt>
                <c:pt idx="2">
                  <c:v>IІI.19</c:v>
                </c:pt>
                <c:pt idx="4">
                  <c:v>I.20</c:v>
                </c:pt>
                <c:pt idx="6">
                  <c:v>IІI.20</c:v>
                </c:pt>
                <c:pt idx="8">
                  <c:v>I.21</c:v>
                </c:pt>
                <c:pt idx="10">
                  <c:v>III.21</c:v>
                </c:pt>
                <c:pt idx="12">
                  <c:v>I.22</c:v>
                </c:pt>
                <c:pt idx="14">
                  <c:v>III.22</c:v>
                </c:pt>
                <c:pt idx="16">
                  <c:v>I.23</c:v>
                </c:pt>
              </c:strCache>
            </c:strRef>
          </c:cat>
          <c:val>
            <c:numRef>
              <c:f>'Очікування по безробіттю'!$F$4:$F$20</c:f>
              <c:numCache>
                <c:formatCode>General</c:formatCode>
                <c:ptCount val="17"/>
                <c:pt idx="0">
                  <c:v>-1.2</c:v>
                </c:pt>
                <c:pt idx="1">
                  <c:v>11.1</c:v>
                </c:pt>
                <c:pt idx="2">
                  <c:v>11</c:v>
                </c:pt>
                <c:pt idx="3">
                  <c:v>-1.1000000000000001</c:v>
                </c:pt>
                <c:pt idx="4">
                  <c:v>-1.1000000000000001</c:v>
                </c:pt>
                <c:pt idx="5">
                  <c:v>-15.7</c:v>
                </c:pt>
                <c:pt idx="6">
                  <c:v>-21.5</c:v>
                </c:pt>
                <c:pt idx="7">
                  <c:v>-14.6</c:v>
                </c:pt>
                <c:pt idx="8">
                  <c:v>-14.9</c:v>
                </c:pt>
                <c:pt idx="9">
                  <c:v>-14.6</c:v>
                </c:pt>
                <c:pt idx="10">
                  <c:v>-1.1000000000000001</c:v>
                </c:pt>
                <c:pt idx="11">
                  <c:v>2.2000000000000002</c:v>
                </c:pt>
                <c:pt idx="12">
                  <c:v>-8.6</c:v>
                </c:pt>
                <c:pt idx="13">
                  <c:v>-27.1</c:v>
                </c:pt>
                <c:pt idx="14">
                  <c:v>-32.9</c:v>
                </c:pt>
                <c:pt idx="15">
                  <c:v>-28.9</c:v>
                </c:pt>
                <c:pt idx="16" formatCode="0.0">
                  <c:v>-31.8</c:v>
                </c:pt>
              </c:numCache>
            </c:numRef>
          </c:val>
          <c:smooth val="0"/>
          <c:extLst>
            <c:ext xmlns:c16="http://schemas.microsoft.com/office/drawing/2014/chart" uri="{C3380CC4-5D6E-409C-BE32-E72D297353CC}">
              <c16:uniqueId val="{00000004-9AF8-45A2-88AB-8F540DF3DCAB}"/>
            </c:ext>
          </c:extLst>
        </c:ser>
        <c:ser>
          <c:idx val="6"/>
          <c:order val="5"/>
          <c:tx>
            <c:strRef>
              <c:f>'Очікування по безробіттю'!$G$1</c:f>
              <c:strCache>
                <c:ptCount val="1"/>
                <c:pt idx="0">
                  <c:v>Послуги</c:v>
                </c:pt>
              </c:strCache>
            </c:strRef>
          </c:tx>
          <c:spPr>
            <a:ln w="25400" cap="rnd" cmpd="sng">
              <a:solidFill>
                <a:srgbClr val="46AFE6"/>
              </a:solidFill>
              <a:prstDash val="solid"/>
              <a:round/>
            </a:ln>
            <a:effectLst/>
          </c:spPr>
          <c:marker>
            <c:symbol val="none"/>
          </c:marker>
          <c:cat>
            <c:strRef>
              <c:f>'Очікування по безробіттю'!$H$4:$H$20</c:f>
              <c:strCache>
                <c:ptCount val="17"/>
                <c:pt idx="0">
                  <c:v>I.19</c:v>
                </c:pt>
                <c:pt idx="2">
                  <c:v>IІI.19</c:v>
                </c:pt>
                <c:pt idx="4">
                  <c:v>I.20</c:v>
                </c:pt>
                <c:pt idx="6">
                  <c:v>IІI.20</c:v>
                </c:pt>
                <c:pt idx="8">
                  <c:v>I.21</c:v>
                </c:pt>
                <c:pt idx="10">
                  <c:v>III.21</c:v>
                </c:pt>
                <c:pt idx="12">
                  <c:v>I.22</c:v>
                </c:pt>
                <c:pt idx="14">
                  <c:v>III.22</c:v>
                </c:pt>
                <c:pt idx="16">
                  <c:v>I.23</c:v>
                </c:pt>
              </c:strCache>
            </c:strRef>
          </c:cat>
          <c:val>
            <c:numRef>
              <c:f>'Очікування по безробіттю'!$G$4:$G$20</c:f>
              <c:numCache>
                <c:formatCode>General</c:formatCode>
                <c:ptCount val="17"/>
                <c:pt idx="0">
                  <c:v>6.3</c:v>
                </c:pt>
                <c:pt idx="1">
                  <c:v>8.4</c:v>
                </c:pt>
                <c:pt idx="2">
                  <c:v>8.1999999999999993</c:v>
                </c:pt>
                <c:pt idx="3">
                  <c:v>13.1</c:v>
                </c:pt>
                <c:pt idx="4">
                  <c:v>5.9</c:v>
                </c:pt>
                <c:pt idx="5">
                  <c:v>-16.5</c:v>
                </c:pt>
                <c:pt idx="6">
                  <c:v>-8.4</c:v>
                </c:pt>
                <c:pt idx="7">
                  <c:v>-2.5</c:v>
                </c:pt>
                <c:pt idx="8">
                  <c:v>0</c:v>
                </c:pt>
                <c:pt idx="9">
                  <c:v>-0.8</c:v>
                </c:pt>
                <c:pt idx="10">
                  <c:v>6.7</c:v>
                </c:pt>
                <c:pt idx="11">
                  <c:v>4.8</c:v>
                </c:pt>
                <c:pt idx="12">
                  <c:v>9.1999999999999993</c:v>
                </c:pt>
                <c:pt idx="13">
                  <c:v>-33.700000000000003</c:v>
                </c:pt>
                <c:pt idx="14">
                  <c:v>-25</c:v>
                </c:pt>
                <c:pt idx="15">
                  <c:v>-18.8</c:v>
                </c:pt>
                <c:pt idx="16" formatCode="0.0">
                  <c:v>-17</c:v>
                </c:pt>
              </c:numCache>
            </c:numRef>
          </c:val>
          <c:smooth val="0"/>
          <c:extLst>
            <c:ext xmlns:c16="http://schemas.microsoft.com/office/drawing/2014/chart" uri="{C3380CC4-5D6E-409C-BE32-E72D297353CC}">
              <c16:uniqueId val="{00000005-9AF8-45A2-88AB-8F540DF3DCAB}"/>
            </c:ext>
          </c:extLst>
        </c:ser>
        <c:dLbls>
          <c:showLegendKey val="0"/>
          <c:showVal val="0"/>
          <c:showCatName val="0"/>
          <c:showSerName val="0"/>
          <c:showPercent val="0"/>
          <c:showBubbleSize val="0"/>
        </c:dLbls>
        <c:smooth val="0"/>
        <c:axId val="719169336"/>
        <c:axId val="719173256"/>
      </c:lineChart>
      <c:catAx>
        <c:axId val="719169336"/>
        <c:scaling>
          <c:orientation val="minMax"/>
        </c:scaling>
        <c:delete val="0"/>
        <c:axPos val="b"/>
        <c:majorGridlines>
          <c:spPr>
            <a:ln w="3175" cap="flat" cmpd="sng" algn="ctr">
              <a:solidFill>
                <a:srgbClr val="8C969B">
                  <a:alpha val="50000"/>
                </a:srgbClr>
              </a:solidFill>
              <a:prstDash val="solid"/>
              <a:round/>
              <a:headEnd type="none" w="med" len="med"/>
              <a:tailEnd type="none" w="med" len="med"/>
            </a:ln>
          </c:spPr>
        </c:majorGridlines>
        <c:numFmt formatCode="@" sourceLinked="0"/>
        <c:majorTickMark val="in"/>
        <c:minorTickMark val="none"/>
        <c:tickLblPos val="low"/>
        <c:spPr>
          <a:noFill/>
          <a:ln w="9525" cap="flat" cmpd="sng" algn="ctr">
            <a:solidFill>
              <a:srgbClr val="505050"/>
            </a:solidFill>
            <a:prstDash val="solid"/>
            <a:round/>
            <a:headEnd type="none" w="med" len="med"/>
            <a:tailEnd type="none" w="med" len="med"/>
          </a:ln>
          <a:effectLst/>
        </c:spPr>
        <c:txPr>
          <a:bodyPr rot="0" spcFirstLastPara="1" vertOverflow="ellipsis" vert="horz" wrap="square" anchor="ctr" anchorCtr="1"/>
          <a:lstStyle/>
          <a:p>
            <a:pPr>
              <a:defRPr sz="750" b="0" i="0" u="none" strike="noStrike" kern="1200" baseline="0">
                <a:solidFill>
                  <a:srgbClr val="000000"/>
                </a:solidFill>
                <a:latin typeface="Arial"/>
                <a:ea typeface="Arial"/>
                <a:cs typeface="Arial"/>
              </a:defRPr>
            </a:pPr>
            <a:endParaRPr lang="en-US"/>
          </a:p>
        </c:txPr>
        <c:crossAx val="719173256"/>
        <c:crosses val="autoZero"/>
        <c:auto val="1"/>
        <c:lblAlgn val="ctr"/>
        <c:lblOffset val="100"/>
        <c:tickMarkSkip val="4"/>
        <c:noMultiLvlLbl val="0"/>
      </c:catAx>
      <c:valAx>
        <c:axId val="719173256"/>
        <c:scaling>
          <c:orientation val="minMax"/>
        </c:scaling>
        <c:delete val="0"/>
        <c:axPos val="l"/>
        <c:majorGridlines>
          <c:spPr>
            <a:ln w="3175" cap="flat" cmpd="sng" algn="ctr">
              <a:solidFill>
                <a:srgbClr val="8C969B">
                  <a:alpha val="50000"/>
                </a:srgbClr>
              </a:solidFill>
              <a:prstDash val="solid"/>
              <a:round/>
              <a:headEnd type="none" w="med" len="med"/>
              <a:tailEnd type="none" w="med" len="med"/>
            </a:ln>
            <a:effectLst/>
          </c:spPr>
        </c:majorGridlines>
        <c:numFmt formatCode="0" sourceLinked="0"/>
        <c:majorTickMark val="in"/>
        <c:minorTickMark val="none"/>
        <c:tickLblPos val="low"/>
        <c:spPr>
          <a:noFill/>
          <a:ln w="9525">
            <a:solidFill>
              <a:srgbClr val="505050"/>
            </a:solidFill>
            <a:prstDash val="solid"/>
          </a:ln>
          <a:effectLst/>
        </c:spPr>
        <c:txPr>
          <a:bodyPr rot="0" spcFirstLastPara="1" vertOverflow="ellipsis" vert="horz" wrap="square" anchor="ctr" anchorCtr="1"/>
          <a:lstStyle/>
          <a:p>
            <a:pPr>
              <a:defRPr sz="750" b="0" i="0" u="none" strike="noStrike" kern="1200" baseline="0">
                <a:solidFill>
                  <a:srgbClr val="000000"/>
                </a:solidFill>
                <a:latin typeface="Arial"/>
                <a:ea typeface="Arial"/>
                <a:cs typeface="Arial"/>
              </a:defRPr>
            </a:pPr>
            <a:endParaRPr lang="en-US"/>
          </a:p>
        </c:txPr>
        <c:crossAx val="719169336"/>
        <c:crosses val="autoZero"/>
        <c:crossBetween val="between"/>
      </c:valAx>
      <c:spPr>
        <a:noFill/>
        <a:ln w="9525">
          <a:solidFill>
            <a:srgbClr val="505050"/>
          </a:solidFill>
        </a:ln>
        <a:effectLst/>
        <a:extLst>
          <a:ext uri="{909E8E84-426E-40DD-AFC4-6F175D3DCCD1}">
            <a14:hiddenFill xmlns:a14="http://schemas.microsoft.com/office/drawing/2010/main">
              <a:noFill/>
            </a14:hiddenFill>
          </a:ext>
        </a:extLst>
      </c:spPr>
    </c:plotArea>
    <c:legend>
      <c:legendPos val="b"/>
      <c:layout>
        <c:manualLayout>
          <c:xMode val="edge"/>
          <c:yMode val="edge"/>
          <c:x val="0"/>
          <c:y val="0.83778247631852998"/>
          <c:w val="0.99585062240663902"/>
          <c:h val="0.15400413167620036"/>
        </c:manualLayout>
      </c:layout>
      <c:overlay val="0"/>
      <c:spPr>
        <a:no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750" b="0" i="0" u="none" strike="noStrike" kern="1200" baseline="0">
              <a:solidFill>
                <a:srgbClr val="000000"/>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750" b="0" i="0" strike="noStrike">
          <a:solidFill>
            <a:srgbClr val="000000"/>
          </a:solidFill>
          <a:latin typeface="Arial"/>
          <a:ea typeface="Arial"/>
          <a:cs typeface="Arial"/>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86450811905774"/>
          <c:y val="5.3999990655015893E-2"/>
          <c:w val="0.84718299735354663"/>
          <c:h val="0.61584639338125924"/>
        </c:manualLayout>
      </c:layout>
      <c:barChart>
        <c:barDir val="col"/>
        <c:grouping val="stacked"/>
        <c:varyColors val="0"/>
        <c:ser>
          <c:idx val="0"/>
          <c:order val="0"/>
          <c:tx>
            <c:strRef>
              <c:f>'Статус тих хто мав роботу'!$B$1</c:f>
              <c:strCache>
                <c:ptCount val="1"/>
                <c:pt idx="0">
                  <c:v>Не працюю</c:v>
                </c:pt>
              </c:strCache>
            </c:strRef>
          </c:tx>
          <c:spPr>
            <a:solidFill>
              <a:schemeClr val="accent1"/>
            </a:solidFill>
            <a:ln>
              <a:noFill/>
            </a:ln>
            <a:effectLst/>
            <a:extLst>
              <a:ext uri="{91240B29-F687-4F45-9708-019B960494DF}">
                <a14:hiddenLine xmlns:a14="http://schemas.microsoft.com/office/drawing/2010/main">
                  <a:noFill/>
                </a14:hiddenLine>
              </a:ext>
            </a:extLst>
          </c:spPr>
          <c:invertIfNegative val="0"/>
          <c:cat>
            <c:strRef>
              <c:f>'Статус тих хто мав роботу'!$A$4:$A$12</c:f>
              <c:strCache>
                <c:ptCount val="9"/>
                <c:pt idx="0">
                  <c:v>03'22</c:v>
                </c:pt>
                <c:pt idx="1">
                  <c:v>04'22</c:v>
                </c:pt>
                <c:pt idx="2">
                  <c:v>04'22</c:v>
                </c:pt>
                <c:pt idx="3">
                  <c:v>06'22</c:v>
                </c:pt>
                <c:pt idx="4">
                  <c:v>07'22</c:v>
                </c:pt>
                <c:pt idx="5">
                  <c:v>09'22</c:v>
                </c:pt>
                <c:pt idx="6">
                  <c:v>10'22</c:v>
                </c:pt>
                <c:pt idx="7">
                  <c:v>12'22</c:v>
                </c:pt>
                <c:pt idx="8">
                  <c:v>02'23</c:v>
                </c:pt>
              </c:strCache>
            </c:strRef>
          </c:cat>
          <c:val>
            <c:numRef>
              <c:f>'Статус тих хто мав роботу'!$B$4:$B$12</c:f>
              <c:numCache>
                <c:formatCode>0.0</c:formatCode>
                <c:ptCount val="9"/>
                <c:pt idx="0">
                  <c:v>53</c:v>
                </c:pt>
                <c:pt idx="1">
                  <c:v>41</c:v>
                </c:pt>
                <c:pt idx="2">
                  <c:v>39.39</c:v>
                </c:pt>
                <c:pt idx="3">
                  <c:v>35.35</c:v>
                </c:pt>
                <c:pt idx="4">
                  <c:v>39.39</c:v>
                </c:pt>
                <c:pt idx="5">
                  <c:v>36.729999999999997</c:v>
                </c:pt>
                <c:pt idx="6">
                  <c:v>34.69</c:v>
                </c:pt>
                <c:pt idx="7">
                  <c:v>33.33</c:v>
                </c:pt>
                <c:pt idx="8">
                  <c:v>36.729999999999997</c:v>
                </c:pt>
              </c:numCache>
            </c:numRef>
          </c:val>
          <c:extLst>
            <c:ext xmlns:c16="http://schemas.microsoft.com/office/drawing/2014/chart" uri="{C3380CC4-5D6E-409C-BE32-E72D297353CC}">
              <c16:uniqueId val="{00000000-8B75-4100-A9C1-82D617E97720}"/>
            </c:ext>
          </c:extLst>
        </c:ser>
        <c:ser>
          <c:idx val="1"/>
          <c:order val="1"/>
          <c:tx>
            <c:strRef>
              <c:f>'Статус тих хто мав роботу'!$C$1</c:f>
              <c:strCache>
                <c:ptCount val="1"/>
                <c:pt idx="0">
                  <c:v>Інше</c:v>
                </c:pt>
              </c:strCache>
            </c:strRef>
          </c:tx>
          <c:spPr>
            <a:solidFill>
              <a:schemeClr val="accent2"/>
            </a:solidFill>
            <a:ln>
              <a:noFill/>
            </a:ln>
            <a:effectLst/>
            <a:extLst>
              <a:ext uri="{91240B29-F687-4F45-9708-019B960494DF}">
                <a14:hiddenLine xmlns:a14="http://schemas.microsoft.com/office/drawing/2010/main">
                  <a:noFill/>
                </a14:hiddenLine>
              </a:ext>
            </a:extLst>
          </c:spPr>
          <c:invertIfNegative val="0"/>
          <c:cat>
            <c:strRef>
              <c:f>'Статус тих хто мав роботу'!$A$4:$A$12</c:f>
              <c:strCache>
                <c:ptCount val="9"/>
                <c:pt idx="0">
                  <c:v>03'22</c:v>
                </c:pt>
                <c:pt idx="1">
                  <c:v>04'22</c:v>
                </c:pt>
                <c:pt idx="2">
                  <c:v>04'22</c:v>
                </c:pt>
                <c:pt idx="3">
                  <c:v>06'22</c:v>
                </c:pt>
                <c:pt idx="4">
                  <c:v>07'22</c:v>
                </c:pt>
                <c:pt idx="5">
                  <c:v>09'22</c:v>
                </c:pt>
                <c:pt idx="6">
                  <c:v>10'22</c:v>
                </c:pt>
                <c:pt idx="7">
                  <c:v>12'22</c:v>
                </c:pt>
                <c:pt idx="8">
                  <c:v>02'23</c:v>
                </c:pt>
              </c:strCache>
            </c:strRef>
          </c:cat>
          <c:val>
            <c:numRef>
              <c:f>'Статус тих хто мав роботу'!$C$4:$C$12</c:f>
              <c:numCache>
                <c:formatCode>0.0</c:formatCode>
                <c:ptCount val="9"/>
                <c:pt idx="0">
                  <c:v>1</c:v>
                </c:pt>
                <c:pt idx="1">
                  <c:v>1</c:v>
                </c:pt>
                <c:pt idx="2">
                  <c:v>1.01</c:v>
                </c:pt>
                <c:pt idx="3">
                  <c:v>1.01</c:v>
                </c:pt>
                <c:pt idx="4">
                  <c:v>1.01</c:v>
                </c:pt>
                <c:pt idx="5">
                  <c:v>1.02</c:v>
                </c:pt>
                <c:pt idx="6">
                  <c:v>1.02</c:v>
                </c:pt>
                <c:pt idx="7">
                  <c:v>1.01</c:v>
                </c:pt>
                <c:pt idx="8">
                  <c:v>1.02</c:v>
                </c:pt>
              </c:numCache>
            </c:numRef>
          </c:val>
          <c:extLst>
            <c:ext xmlns:c16="http://schemas.microsoft.com/office/drawing/2014/chart" uri="{C3380CC4-5D6E-409C-BE32-E72D297353CC}">
              <c16:uniqueId val="{00000001-8B75-4100-A9C1-82D617E97720}"/>
            </c:ext>
          </c:extLst>
        </c:ser>
        <c:ser>
          <c:idx val="2"/>
          <c:order val="2"/>
          <c:tx>
            <c:strRef>
              <c:f>'Статус тих хто мав роботу'!$D$1</c:f>
              <c:strCache>
                <c:ptCount val="1"/>
                <c:pt idx="0">
                  <c:v>Працюю на новій роботі</c:v>
                </c:pt>
              </c:strCache>
            </c:strRef>
          </c:tx>
          <c:spPr>
            <a:solidFill>
              <a:schemeClr val="accent3"/>
            </a:solidFill>
            <a:ln>
              <a:noFill/>
            </a:ln>
            <a:effectLst/>
            <a:extLst>
              <a:ext uri="{91240B29-F687-4F45-9708-019B960494DF}">
                <a14:hiddenLine xmlns:a14="http://schemas.microsoft.com/office/drawing/2010/main">
                  <a:noFill/>
                </a14:hiddenLine>
              </a:ext>
            </a:extLst>
          </c:spPr>
          <c:invertIfNegative val="0"/>
          <c:cat>
            <c:strRef>
              <c:f>'Статус тих хто мав роботу'!$A$4:$A$12</c:f>
              <c:strCache>
                <c:ptCount val="9"/>
                <c:pt idx="0">
                  <c:v>03'22</c:v>
                </c:pt>
                <c:pt idx="1">
                  <c:v>04'22</c:v>
                </c:pt>
                <c:pt idx="2">
                  <c:v>04'22</c:v>
                </c:pt>
                <c:pt idx="3">
                  <c:v>06'22</c:v>
                </c:pt>
                <c:pt idx="4">
                  <c:v>07'22</c:v>
                </c:pt>
                <c:pt idx="5">
                  <c:v>09'22</c:v>
                </c:pt>
                <c:pt idx="6">
                  <c:v>10'22</c:v>
                </c:pt>
                <c:pt idx="7">
                  <c:v>12'22</c:v>
                </c:pt>
                <c:pt idx="8">
                  <c:v>02'23</c:v>
                </c:pt>
              </c:strCache>
            </c:strRef>
          </c:cat>
          <c:val>
            <c:numRef>
              <c:f>'Статус тих хто мав роботу'!$D$4:$D$12</c:f>
              <c:numCache>
                <c:formatCode>0.0</c:formatCode>
                <c:ptCount val="9"/>
                <c:pt idx="0">
                  <c:v>2</c:v>
                </c:pt>
                <c:pt idx="1">
                  <c:v>3</c:v>
                </c:pt>
                <c:pt idx="2">
                  <c:v>3.03</c:v>
                </c:pt>
                <c:pt idx="3">
                  <c:v>7.07</c:v>
                </c:pt>
                <c:pt idx="4">
                  <c:v>6.06</c:v>
                </c:pt>
                <c:pt idx="5">
                  <c:v>6.12</c:v>
                </c:pt>
                <c:pt idx="6">
                  <c:v>7.14</c:v>
                </c:pt>
                <c:pt idx="7">
                  <c:v>8.08</c:v>
                </c:pt>
                <c:pt idx="8">
                  <c:v>8.16</c:v>
                </c:pt>
              </c:numCache>
            </c:numRef>
          </c:val>
          <c:extLst>
            <c:ext xmlns:c16="http://schemas.microsoft.com/office/drawing/2014/chart" uri="{C3380CC4-5D6E-409C-BE32-E72D297353CC}">
              <c16:uniqueId val="{00000002-8B75-4100-A9C1-82D617E97720}"/>
            </c:ext>
          </c:extLst>
        </c:ser>
        <c:ser>
          <c:idx val="3"/>
          <c:order val="3"/>
          <c:tx>
            <c:strRef>
              <c:f>'Статус тих хто мав роботу'!$E$1</c:f>
              <c:strCache>
                <c:ptCount val="1"/>
                <c:pt idx="0">
                  <c:v>Працюю частково</c:v>
                </c:pt>
              </c:strCache>
            </c:strRef>
          </c:tx>
          <c:spPr>
            <a:solidFill>
              <a:schemeClr val="bg2"/>
            </a:solidFill>
            <a:ln>
              <a:noFill/>
            </a:ln>
            <a:effectLst/>
            <a:extLst>
              <a:ext uri="{91240B29-F687-4F45-9708-019B960494DF}">
                <a14:hiddenLine xmlns:a14="http://schemas.microsoft.com/office/drawing/2010/main">
                  <a:noFill/>
                </a14:hiddenLine>
              </a:ext>
            </a:extLst>
          </c:spPr>
          <c:invertIfNegative val="0"/>
          <c:cat>
            <c:strRef>
              <c:f>'Статус тих хто мав роботу'!$A$4:$A$12</c:f>
              <c:strCache>
                <c:ptCount val="9"/>
                <c:pt idx="0">
                  <c:v>03'22</c:v>
                </c:pt>
                <c:pt idx="1">
                  <c:v>04'22</c:v>
                </c:pt>
                <c:pt idx="2">
                  <c:v>04'22</c:v>
                </c:pt>
                <c:pt idx="3">
                  <c:v>06'22</c:v>
                </c:pt>
                <c:pt idx="4">
                  <c:v>07'22</c:v>
                </c:pt>
                <c:pt idx="5">
                  <c:v>09'22</c:v>
                </c:pt>
                <c:pt idx="6">
                  <c:v>10'22</c:v>
                </c:pt>
                <c:pt idx="7">
                  <c:v>12'22</c:v>
                </c:pt>
                <c:pt idx="8">
                  <c:v>02'23</c:v>
                </c:pt>
              </c:strCache>
            </c:strRef>
          </c:cat>
          <c:val>
            <c:numRef>
              <c:f>'Статус тих хто мав роботу'!$E$4:$E$12</c:f>
              <c:numCache>
                <c:formatCode>0.0</c:formatCode>
                <c:ptCount val="9"/>
                <c:pt idx="0">
                  <c:v>21</c:v>
                </c:pt>
                <c:pt idx="1">
                  <c:v>26</c:v>
                </c:pt>
                <c:pt idx="2">
                  <c:v>24.24</c:v>
                </c:pt>
                <c:pt idx="3">
                  <c:v>18.18</c:v>
                </c:pt>
                <c:pt idx="4">
                  <c:v>19.190000000000001</c:v>
                </c:pt>
                <c:pt idx="5">
                  <c:v>19.39</c:v>
                </c:pt>
                <c:pt idx="6">
                  <c:v>18.37</c:v>
                </c:pt>
                <c:pt idx="7">
                  <c:v>17.170000000000002</c:v>
                </c:pt>
                <c:pt idx="8">
                  <c:v>17.350000000000001</c:v>
                </c:pt>
              </c:numCache>
            </c:numRef>
          </c:val>
          <c:extLst>
            <c:ext xmlns:c16="http://schemas.microsoft.com/office/drawing/2014/chart" uri="{C3380CC4-5D6E-409C-BE32-E72D297353CC}">
              <c16:uniqueId val="{00000003-8B75-4100-A9C1-82D617E97720}"/>
            </c:ext>
          </c:extLst>
        </c:ser>
        <c:ser>
          <c:idx val="4"/>
          <c:order val="4"/>
          <c:tx>
            <c:strRef>
              <c:f>'Статус тих хто мав роботу'!$F$1</c:f>
              <c:strCache>
                <c:ptCount val="1"/>
                <c:pt idx="0">
                  <c:v>Працюю у звичайному режимі</c:v>
                </c:pt>
              </c:strCache>
            </c:strRef>
          </c:tx>
          <c:spPr>
            <a:solidFill>
              <a:schemeClr val="tx2"/>
            </a:solidFill>
            <a:ln>
              <a:noFill/>
            </a:ln>
            <a:effectLst/>
            <a:extLst>
              <a:ext uri="{91240B29-F687-4F45-9708-019B960494DF}">
                <a14:hiddenLine xmlns:a14="http://schemas.microsoft.com/office/drawing/2010/main">
                  <a:noFill/>
                </a14:hiddenLine>
              </a:ext>
            </a:extLst>
          </c:spPr>
          <c:invertIfNegative val="0"/>
          <c:cat>
            <c:strRef>
              <c:f>'Статус тих хто мав роботу'!$A$4:$A$12</c:f>
              <c:strCache>
                <c:ptCount val="9"/>
                <c:pt idx="0">
                  <c:v>03'22</c:v>
                </c:pt>
                <c:pt idx="1">
                  <c:v>04'22</c:v>
                </c:pt>
                <c:pt idx="2">
                  <c:v>04'22</c:v>
                </c:pt>
                <c:pt idx="3">
                  <c:v>06'22</c:v>
                </c:pt>
                <c:pt idx="4">
                  <c:v>07'22</c:v>
                </c:pt>
                <c:pt idx="5">
                  <c:v>09'22</c:v>
                </c:pt>
                <c:pt idx="6">
                  <c:v>10'22</c:v>
                </c:pt>
                <c:pt idx="7">
                  <c:v>12'22</c:v>
                </c:pt>
                <c:pt idx="8">
                  <c:v>02'23</c:v>
                </c:pt>
              </c:strCache>
            </c:strRef>
          </c:cat>
          <c:val>
            <c:numRef>
              <c:f>'Статус тих хто мав роботу'!$F$4:$F$12</c:f>
              <c:numCache>
                <c:formatCode>0.0</c:formatCode>
                <c:ptCount val="9"/>
                <c:pt idx="0">
                  <c:v>23</c:v>
                </c:pt>
                <c:pt idx="1">
                  <c:v>29</c:v>
                </c:pt>
                <c:pt idx="2">
                  <c:v>32.32</c:v>
                </c:pt>
                <c:pt idx="3">
                  <c:v>38.380000000000003</c:v>
                </c:pt>
                <c:pt idx="4">
                  <c:v>34.340000000000003</c:v>
                </c:pt>
                <c:pt idx="5">
                  <c:v>36.729999999999997</c:v>
                </c:pt>
                <c:pt idx="6">
                  <c:v>38.78</c:v>
                </c:pt>
                <c:pt idx="7">
                  <c:v>40.4</c:v>
                </c:pt>
                <c:pt idx="8">
                  <c:v>36.729999999999997</c:v>
                </c:pt>
              </c:numCache>
            </c:numRef>
          </c:val>
          <c:extLst>
            <c:ext xmlns:c16="http://schemas.microsoft.com/office/drawing/2014/chart" uri="{C3380CC4-5D6E-409C-BE32-E72D297353CC}">
              <c16:uniqueId val="{00000004-8B75-4100-A9C1-82D617E97720}"/>
            </c:ext>
          </c:extLst>
        </c:ser>
        <c:dLbls>
          <c:showLegendKey val="0"/>
          <c:showVal val="0"/>
          <c:showCatName val="0"/>
          <c:showSerName val="0"/>
          <c:showPercent val="0"/>
          <c:showBubbleSize val="0"/>
        </c:dLbls>
        <c:gapWidth val="50"/>
        <c:overlap val="100"/>
        <c:axId val="47766575"/>
        <c:axId val="47767407"/>
      </c:barChart>
      <c:catAx>
        <c:axId val="47766575"/>
        <c:scaling>
          <c:orientation val="minMax"/>
        </c:scaling>
        <c:delete val="0"/>
        <c:axPos val="b"/>
        <c:majorGridlines>
          <c:spPr>
            <a:ln w="3175" cap="flat" cmpd="sng" algn="ctr">
              <a:solidFill>
                <a:srgbClr val="8C969B">
                  <a:alpha val="50000"/>
                </a:srgbClr>
              </a:solidFill>
              <a:prstDash val="solid"/>
              <a:round/>
              <a:headEnd type="none" w="med" len="med"/>
              <a:tailEnd type="none" w="med" len="med"/>
            </a:ln>
            <a:effectLst/>
          </c:spPr>
        </c:majorGridlines>
        <c:numFmt formatCode="@" sourceLinked="0"/>
        <c:majorTickMark val="in"/>
        <c:minorTickMark val="none"/>
        <c:tickLblPos val="low"/>
        <c:spPr>
          <a:noFill/>
          <a:ln w="9525" cap="flat" cmpd="sng" algn="ctr">
            <a:solidFill>
              <a:srgbClr val="505050"/>
            </a:solidFill>
            <a:prstDash val="solid"/>
            <a:round/>
            <a:headEnd type="none" w="med" len="med"/>
            <a:tailEnd type="none" w="med" len="med"/>
          </a:ln>
          <a:effectLst/>
        </c:spPr>
        <c:txPr>
          <a:bodyPr rot="0" spcFirstLastPara="1" vertOverflow="ellipsis" wrap="square" anchor="ctr" anchorCtr="1"/>
          <a:lstStyle/>
          <a:p>
            <a:pPr>
              <a:defRPr sz="900" b="0" i="0" u="none" strike="noStrike" kern="1200" baseline="0">
                <a:solidFill>
                  <a:srgbClr val="000000"/>
                </a:solidFill>
                <a:latin typeface="+mn-lt"/>
                <a:ea typeface="Arial"/>
                <a:cs typeface="Arial"/>
              </a:defRPr>
            </a:pPr>
            <a:endParaRPr lang="en-US"/>
          </a:p>
        </c:txPr>
        <c:crossAx val="47767407"/>
        <c:crosses val="autoZero"/>
        <c:auto val="1"/>
        <c:lblAlgn val="ctr"/>
        <c:lblOffset val="100"/>
        <c:noMultiLvlLbl val="0"/>
      </c:catAx>
      <c:valAx>
        <c:axId val="47767407"/>
        <c:scaling>
          <c:orientation val="minMax"/>
          <c:max val="100"/>
        </c:scaling>
        <c:delete val="0"/>
        <c:axPos val="l"/>
        <c:majorGridlines>
          <c:spPr>
            <a:ln w="3175" cap="flat" cmpd="sng" algn="ctr">
              <a:solidFill>
                <a:srgbClr val="8C969B">
                  <a:alpha val="50000"/>
                </a:srgbClr>
              </a:solidFill>
              <a:prstDash val="solid"/>
              <a:round/>
              <a:headEnd type="none" w="med" len="med"/>
              <a:tailEnd type="none" w="med" len="med"/>
            </a:ln>
            <a:effectLst/>
          </c:spPr>
        </c:majorGridlines>
        <c:numFmt formatCode="0.0" sourceLinked="1"/>
        <c:majorTickMark val="in"/>
        <c:minorTickMark val="none"/>
        <c:tickLblPos val="low"/>
        <c:spPr>
          <a:noFill/>
          <a:ln w="9525">
            <a:noFill/>
            <a:prstDash val="solid"/>
          </a:ln>
          <a:effectLst/>
        </c:spPr>
        <c:txPr>
          <a:bodyPr rot="0" spcFirstLastPara="1" vertOverflow="ellipsis" wrap="square" anchor="ctr" anchorCtr="1"/>
          <a:lstStyle/>
          <a:p>
            <a:pPr>
              <a:defRPr sz="900" b="0" i="0" u="none" strike="noStrike" kern="1200" baseline="0">
                <a:solidFill>
                  <a:srgbClr val="000000"/>
                </a:solidFill>
                <a:latin typeface="+mn-lt"/>
                <a:ea typeface="Arial"/>
                <a:cs typeface="Arial"/>
              </a:defRPr>
            </a:pPr>
            <a:endParaRPr lang="en-US"/>
          </a:p>
        </c:txPr>
        <c:crossAx val="47766575"/>
        <c:crosses val="autoZero"/>
        <c:crossBetween val="between"/>
      </c:valAx>
      <c:spPr>
        <a:noFill/>
        <a:ln w="9525">
          <a:solidFill>
            <a:srgbClr val="505050"/>
          </a:solidFill>
        </a:ln>
        <a:effectLst/>
        <a:extLst>
          <a:ext uri="{909E8E84-426E-40DD-AFC4-6F175D3DCCD1}">
            <a14:hiddenFill xmlns:a14="http://schemas.microsoft.com/office/drawing/2010/main">
              <a:noFill/>
            </a14:hiddenFill>
          </a:ext>
        </a:extLst>
      </c:spPr>
    </c:plotArea>
    <c:legend>
      <c:legendPos val="b"/>
      <c:layout>
        <c:manualLayout>
          <c:xMode val="edge"/>
          <c:yMode val="edge"/>
          <c:x val="0"/>
          <c:y val="0.75479504568370792"/>
          <c:w val="1"/>
          <c:h val="0.24520495431629202"/>
        </c:manualLayout>
      </c:layout>
      <c:overlay val="0"/>
      <c:spPr>
        <a:no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900" b="0" i="0" u="none" strike="noStrike" kern="1200" baseline="0">
              <a:solidFill>
                <a:srgbClr val="000000"/>
              </a:solidFill>
              <a:latin typeface="+mn-lt"/>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900" b="0" i="0" strike="noStrike">
          <a:solidFill>
            <a:srgbClr val="000000"/>
          </a:solidFill>
          <a:latin typeface="+mn-lt"/>
          <a:ea typeface="Arial"/>
          <a:cs typeface="Aria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r>
              <a:rPr lang="uk-UA" sz="2400">
                <a:solidFill>
                  <a:schemeClr val="accent1"/>
                </a:solidFill>
              </a:rPr>
              <a:t>Курс  НБУ та РЕОК</a:t>
            </a:r>
          </a:p>
        </c:rich>
      </c:tx>
      <c:layout>
        <c:manualLayout>
          <c:xMode val="edge"/>
          <c:yMode val="edge"/>
          <c:x val="1.2030485831657116E-4"/>
          <c:y val="0"/>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5.1229550055529455E-2"/>
          <c:y val="0.16685251178769081"/>
          <c:w val="0.89770474672010681"/>
          <c:h val="0.77102033330399944"/>
        </c:manualLayout>
      </c:layout>
      <c:lineChart>
        <c:grouping val="standard"/>
        <c:varyColors val="0"/>
        <c:ser>
          <c:idx val="0"/>
          <c:order val="0"/>
          <c:tx>
            <c:strRef>
              <c:f>REER!$B$1</c:f>
              <c:strCache>
                <c:ptCount val="1"/>
                <c:pt idx="0">
                  <c:v>РЕОК (06.2015=1)</c:v>
                </c:pt>
              </c:strCache>
            </c:strRef>
          </c:tx>
          <c:spPr>
            <a:ln w="28575" cap="rnd">
              <a:solidFill>
                <a:schemeClr val="accent5"/>
              </a:solidFill>
              <a:round/>
            </a:ln>
            <a:effectLst/>
          </c:spPr>
          <c:marker>
            <c:symbol val="none"/>
          </c:marker>
          <c:cat>
            <c:numRef>
              <c:f>REER!$A$74:$A$142</c:f>
              <c:numCache>
                <c:formatCode>mm/yyyy</c:formatCode>
                <c:ptCount val="69"/>
                <c:pt idx="0">
                  <c:v>42736</c:v>
                </c:pt>
                <c:pt idx="1">
                  <c:v>42767</c:v>
                </c:pt>
                <c:pt idx="2">
                  <c:v>42795</c:v>
                </c:pt>
                <c:pt idx="3">
                  <c:v>42826</c:v>
                </c:pt>
                <c:pt idx="4">
                  <c:v>42856</c:v>
                </c:pt>
                <c:pt idx="5">
                  <c:v>42887</c:v>
                </c:pt>
                <c:pt idx="6">
                  <c:v>42917</c:v>
                </c:pt>
                <c:pt idx="7">
                  <c:v>42948</c:v>
                </c:pt>
                <c:pt idx="8">
                  <c:v>42979</c:v>
                </c:pt>
                <c:pt idx="9">
                  <c:v>43009</c:v>
                </c:pt>
                <c:pt idx="10">
                  <c:v>43040</c:v>
                </c:pt>
                <c:pt idx="11">
                  <c:v>43070</c:v>
                </c:pt>
                <c:pt idx="12">
                  <c:v>43101</c:v>
                </c:pt>
                <c:pt idx="13">
                  <c:v>43132</c:v>
                </c:pt>
                <c:pt idx="14">
                  <c:v>43160</c:v>
                </c:pt>
                <c:pt idx="15">
                  <c:v>43191</c:v>
                </c:pt>
                <c:pt idx="16">
                  <c:v>43221</c:v>
                </c:pt>
                <c:pt idx="17">
                  <c:v>43252</c:v>
                </c:pt>
                <c:pt idx="18">
                  <c:v>43282</c:v>
                </c:pt>
                <c:pt idx="19">
                  <c:v>43313</c:v>
                </c:pt>
                <c:pt idx="20">
                  <c:v>43344</c:v>
                </c:pt>
                <c:pt idx="21">
                  <c:v>43374</c:v>
                </c:pt>
                <c:pt idx="22">
                  <c:v>43405</c:v>
                </c:pt>
                <c:pt idx="23">
                  <c:v>43435</c:v>
                </c:pt>
                <c:pt idx="24">
                  <c:v>43466</c:v>
                </c:pt>
                <c:pt idx="25">
                  <c:v>43497</c:v>
                </c:pt>
                <c:pt idx="26">
                  <c:v>43525</c:v>
                </c:pt>
                <c:pt idx="27">
                  <c:v>43556</c:v>
                </c:pt>
                <c:pt idx="28">
                  <c:v>43586</c:v>
                </c:pt>
                <c:pt idx="29">
                  <c:v>43617</c:v>
                </c:pt>
                <c:pt idx="30">
                  <c:v>43647</c:v>
                </c:pt>
                <c:pt idx="31">
                  <c:v>43678</c:v>
                </c:pt>
                <c:pt idx="32">
                  <c:v>43709</c:v>
                </c:pt>
                <c:pt idx="33">
                  <c:v>43740</c:v>
                </c:pt>
                <c:pt idx="34">
                  <c:v>43770</c:v>
                </c:pt>
                <c:pt idx="35">
                  <c:v>43800</c:v>
                </c:pt>
                <c:pt idx="36">
                  <c:v>43831</c:v>
                </c:pt>
                <c:pt idx="37">
                  <c:v>43862</c:v>
                </c:pt>
                <c:pt idx="38">
                  <c:v>43891</c:v>
                </c:pt>
                <c:pt idx="39">
                  <c:v>43922</c:v>
                </c:pt>
                <c:pt idx="40">
                  <c:v>43952</c:v>
                </c:pt>
                <c:pt idx="41">
                  <c:v>43983</c:v>
                </c:pt>
                <c:pt idx="42">
                  <c:v>44013</c:v>
                </c:pt>
                <c:pt idx="43">
                  <c:v>44044</c:v>
                </c:pt>
                <c:pt idx="44">
                  <c:v>44075</c:v>
                </c:pt>
                <c:pt idx="45">
                  <c:v>44105</c:v>
                </c:pt>
                <c:pt idx="46">
                  <c:v>44136</c:v>
                </c:pt>
                <c:pt idx="47">
                  <c:v>44166</c:v>
                </c:pt>
                <c:pt idx="48">
                  <c:v>44197</c:v>
                </c:pt>
                <c:pt idx="49">
                  <c:v>44228</c:v>
                </c:pt>
                <c:pt idx="50">
                  <c:v>44256</c:v>
                </c:pt>
                <c:pt idx="51">
                  <c:v>44287</c:v>
                </c:pt>
                <c:pt idx="52">
                  <c:v>44317</c:v>
                </c:pt>
                <c:pt idx="53">
                  <c:v>44348</c:v>
                </c:pt>
                <c:pt idx="54">
                  <c:v>44378</c:v>
                </c:pt>
                <c:pt idx="55">
                  <c:v>44409</c:v>
                </c:pt>
                <c:pt idx="56">
                  <c:v>44440</c:v>
                </c:pt>
                <c:pt idx="57">
                  <c:v>44470</c:v>
                </c:pt>
                <c:pt idx="58">
                  <c:v>44501</c:v>
                </c:pt>
                <c:pt idx="59">
                  <c:v>44531</c:v>
                </c:pt>
                <c:pt idx="60">
                  <c:v>44562</c:v>
                </c:pt>
                <c:pt idx="61">
                  <c:v>44593</c:v>
                </c:pt>
                <c:pt idx="62">
                  <c:v>44621</c:v>
                </c:pt>
                <c:pt idx="63">
                  <c:v>44652</c:v>
                </c:pt>
                <c:pt idx="64">
                  <c:v>44682</c:v>
                </c:pt>
                <c:pt idx="65">
                  <c:v>44713</c:v>
                </c:pt>
                <c:pt idx="66">
                  <c:v>44743</c:v>
                </c:pt>
                <c:pt idx="67">
                  <c:v>44774</c:v>
                </c:pt>
                <c:pt idx="68">
                  <c:v>44805</c:v>
                </c:pt>
              </c:numCache>
            </c:numRef>
          </c:cat>
          <c:val>
            <c:numRef>
              <c:f>REER!$B$74:$B$142</c:f>
              <c:numCache>
                <c:formatCode>#,##0.00</c:formatCode>
                <c:ptCount val="69"/>
                <c:pt idx="0">
                  <c:v>0.98101283749748525</c:v>
                </c:pt>
                <c:pt idx="1">
                  <c:v>0.97776988096622475</c:v>
                </c:pt>
                <c:pt idx="2">
                  <c:v>0.99357197029635791</c:v>
                </c:pt>
                <c:pt idx="3">
                  <c:v>0.99381481310493547</c:v>
                </c:pt>
                <c:pt idx="4">
                  <c:v>1.0077587740335348</c:v>
                </c:pt>
                <c:pt idx="5">
                  <c:v>1.0286621640386318</c:v>
                </c:pt>
                <c:pt idx="6">
                  <c:v>1.0324657937980253</c:v>
                </c:pt>
                <c:pt idx="7">
                  <c:v>1.0295153112863693</c:v>
                </c:pt>
                <c:pt idx="8">
                  <c:v>1.0141126238990319</c:v>
                </c:pt>
                <c:pt idx="9">
                  <c:v>1.0141834806461241</c:v>
                </c:pt>
                <c:pt idx="10">
                  <c:v>1.0271395042559734</c:v>
                </c:pt>
                <c:pt idx="11">
                  <c:v>0.99747395660635818</c:v>
                </c:pt>
                <c:pt idx="12">
                  <c:v>0.95365367643686383</c:v>
                </c:pt>
                <c:pt idx="13">
                  <c:v>0.99813282273344961</c:v>
                </c:pt>
                <c:pt idx="14">
                  <c:v>1.040983099801889</c:v>
                </c:pt>
                <c:pt idx="15">
                  <c:v>1.0681368612710396</c:v>
                </c:pt>
                <c:pt idx="16">
                  <c:v>1.0978629273928693</c:v>
                </c:pt>
                <c:pt idx="17">
                  <c:v>1.1041037247591095</c:v>
                </c:pt>
                <c:pt idx="18">
                  <c:v>1.0923053989582605</c:v>
                </c:pt>
                <c:pt idx="19">
                  <c:v>1.073719671474286</c:v>
                </c:pt>
                <c:pt idx="20">
                  <c:v>1.0708650742293291</c:v>
                </c:pt>
                <c:pt idx="21">
                  <c:v>1.0873014892010466</c:v>
                </c:pt>
                <c:pt idx="22">
                  <c:v>1.1123908836617962</c:v>
                </c:pt>
                <c:pt idx="23">
                  <c:v>1.1283314938891951</c:v>
                </c:pt>
                <c:pt idx="24">
                  <c:v>1.1287890971818622</c:v>
                </c:pt>
                <c:pt idx="25">
                  <c:v>1.160787066705524</c:v>
                </c:pt>
                <c:pt idx="26">
                  <c:v>1.1755499002684537</c:v>
                </c:pt>
                <c:pt idx="27">
                  <c:v>1.1897686118605195</c:v>
                </c:pt>
                <c:pt idx="28">
                  <c:v>1.2224220365026057</c:v>
                </c:pt>
                <c:pt idx="29">
                  <c:v>1.2014598739551892</c:v>
                </c:pt>
                <c:pt idx="30">
                  <c:v>1.2247947742846068</c:v>
                </c:pt>
                <c:pt idx="31">
                  <c:v>1.2591470695697822</c:v>
                </c:pt>
                <c:pt idx="32">
                  <c:v>1.302265404550409</c:v>
                </c:pt>
                <c:pt idx="33">
                  <c:v>1.2919323085468142</c:v>
                </c:pt>
                <c:pt idx="34">
                  <c:v>1.315503845117441</c:v>
                </c:pt>
                <c:pt idx="35">
                  <c:v>1.3444064257720703</c:v>
                </c:pt>
                <c:pt idx="36">
                  <c:v>1.2969855967231811</c:v>
                </c:pt>
                <c:pt idx="37">
                  <c:v>1.2969748882683949</c:v>
                </c:pt>
                <c:pt idx="38">
                  <c:v>1.2404912350497157</c:v>
                </c:pt>
                <c:pt idx="39">
                  <c:v>1.2532473040637369</c:v>
                </c:pt>
                <c:pt idx="40">
                  <c:v>1.2643295528790819</c:v>
                </c:pt>
                <c:pt idx="41">
                  <c:v>1.2333965300968133</c:v>
                </c:pt>
                <c:pt idx="42">
                  <c:v>1.1886133218773072</c:v>
                </c:pt>
                <c:pt idx="43">
                  <c:v>1.1684926450337751</c:v>
                </c:pt>
                <c:pt idx="44">
                  <c:v>1.163396940543818</c:v>
                </c:pt>
                <c:pt idx="45">
                  <c:v>1.1653229286298099</c:v>
                </c:pt>
                <c:pt idx="46">
                  <c:v>1.1732067883668453</c:v>
                </c:pt>
                <c:pt idx="47">
                  <c:v>1.1587772885349727</c:v>
                </c:pt>
                <c:pt idx="48">
                  <c:v>1.1606296266702854</c:v>
                </c:pt>
                <c:pt idx="49">
                  <c:v>1.1787243918759522</c:v>
                </c:pt>
                <c:pt idx="50">
                  <c:v>1.2164236659040613</c:v>
                </c:pt>
                <c:pt idx="51">
                  <c:v>1.2175970001111991</c:v>
                </c:pt>
                <c:pt idx="52">
                  <c:v>1.2253465846792759</c:v>
                </c:pt>
                <c:pt idx="53">
                  <c:v>1.240300844097634</c:v>
                </c:pt>
                <c:pt idx="54">
                  <c:v>1.2554981172281778</c:v>
                </c:pt>
                <c:pt idx="55">
                  <c:v>1.2675480103344705</c:v>
                </c:pt>
                <c:pt idx="56">
                  <c:v>1.2784951254078978</c:v>
                </c:pt>
                <c:pt idx="57">
                  <c:v>1.3053106122689584</c:v>
                </c:pt>
                <c:pt idx="58">
                  <c:v>1.3228737657130758</c:v>
                </c:pt>
                <c:pt idx="59">
                  <c:v>1.3074001673261797</c:v>
                </c:pt>
                <c:pt idx="60">
                  <c:v>1.2635753789798947</c:v>
                </c:pt>
                <c:pt idx="61">
                  <c:v>1.264138421072609</c:v>
                </c:pt>
                <c:pt idx="62">
                  <c:v>1.2958978088796422</c:v>
                </c:pt>
                <c:pt idx="63">
                  <c:v>1.3332567418812589</c:v>
                </c:pt>
                <c:pt idx="64">
                  <c:v>1.3930960056837547</c:v>
                </c:pt>
                <c:pt idx="65">
                  <c:v>1.4311907904238237</c:v>
                </c:pt>
                <c:pt idx="66">
                  <c:v>1.3600464446205751</c:v>
                </c:pt>
                <c:pt idx="67">
                  <c:v>1.1903183552708574</c:v>
                </c:pt>
                <c:pt idx="68">
                  <c:v>1.2284947942100792</c:v>
                </c:pt>
              </c:numCache>
            </c:numRef>
          </c:val>
          <c:smooth val="0"/>
          <c:extLst>
            <c:ext xmlns:c16="http://schemas.microsoft.com/office/drawing/2014/chart" uri="{C3380CC4-5D6E-409C-BE32-E72D297353CC}">
              <c16:uniqueId val="{00000000-4E3D-4871-97C7-9820EA8C078C}"/>
            </c:ext>
          </c:extLst>
        </c:ser>
        <c:dLbls>
          <c:showLegendKey val="0"/>
          <c:showVal val="0"/>
          <c:showCatName val="0"/>
          <c:showSerName val="0"/>
          <c:showPercent val="0"/>
          <c:showBubbleSize val="0"/>
        </c:dLbls>
        <c:marker val="1"/>
        <c:smooth val="0"/>
        <c:axId val="2053865152"/>
        <c:axId val="2053867648"/>
      </c:lineChart>
      <c:lineChart>
        <c:grouping val="standard"/>
        <c:varyColors val="0"/>
        <c:ser>
          <c:idx val="1"/>
          <c:order val="1"/>
          <c:tx>
            <c:strRef>
              <c:f>REER!$C$1</c:f>
              <c:strCache>
                <c:ptCount val="1"/>
                <c:pt idx="0">
                  <c:v>Курс НБУ</c:v>
                </c:pt>
              </c:strCache>
            </c:strRef>
          </c:tx>
          <c:spPr>
            <a:ln w="28575" cap="rnd">
              <a:solidFill>
                <a:schemeClr val="accent4"/>
              </a:solidFill>
              <a:round/>
            </a:ln>
            <a:effectLst/>
          </c:spPr>
          <c:marker>
            <c:symbol val="none"/>
          </c:marker>
          <c:cat>
            <c:numRef>
              <c:f>REER!$A$74:$A$142</c:f>
              <c:numCache>
                <c:formatCode>mm/yyyy</c:formatCode>
                <c:ptCount val="69"/>
                <c:pt idx="0">
                  <c:v>42736</c:v>
                </c:pt>
                <c:pt idx="1">
                  <c:v>42767</c:v>
                </c:pt>
                <c:pt idx="2">
                  <c:v>42795</c:v>
                </c:pt>
                <c:pt idx="3">
                  <c:v>42826</c:v>
                </c:pt>
                <c:pt idx="4">
                  <c:v>42856</c:v>
                </c:pt>
                <c:pt idx="5">
                  <c:v>42887</c:v>
                </c:pt>
                <c:pt idx="6">
                  <c:v>42917</c:v>
                </c:pt>
                <c:pt idx="7">
                  <c:v>42948</c:v>
                </c:pt>
                <c:pt idx="8">
                  <c:v>42979</c:v>
                </c:pt>
                <c:pt idx="9">
                  <c:v>43009</c:v>
                </c:pt>
                <c:pt idx="10">
                  <c:v>43040</c:v>
                </c:pt>
                <c:pt idx="11">
                  <c:v>43070</c:v>
                </c:pt>
                <c:pt idx="12">
                  <c:v>43101</c:v>
                </c:pt>
                <c:pt idx="13">
                  <c:v>43132</c:v>
                </c:pt>
                <c:pt idx="14">
                  <c:v>43160</c:v>
                </c:pt>
                <c:pt idx="15">
                  <c:v>43191</c:v>
                </c:pt>
                <c:pt idx="16">
                  <c:v>43221</c:v>
                </c:pt>
                <c:pt idx="17">
                  <c:v>43252</c:v>
                </c:pt>
                <c:pt idx="18">
                  <c:v>43282</c:v>
                </c:pt>
                <c:pt idx="19">
                  <c:v>43313</c:v>
                </c:pt>
                <c:pt idx="20">
                  <c:v>43344</c:v>
                </c:pt>
                <c:pt idx="21">
                  <c:v>43374</c:v>
                </c:pt>
                <c:pt idx="22">
                  <c:v>43405</c:v>
                </c:pt>
                <c:pt idx="23">
                  <c:v>43435</c:v>
                </c:pt>
                <c:pt idx="24">
                  <c:v>43466</c:v>
                </c:pt>
                <c:pt idx="25">
                  <c:v>43497</c:v>
                </c:pt>
                <c:pt idx="26">
                  <c:v>43525</c:v>
                </c:pt>
                <c:pt idx="27">
                  <c:v>43556</c:v>
                </c:pt>
                <c:pt idx="28">
                  <c:v>43586</c:v>
                </c:pt>
                <c:pt idx="29">
                  <c:v>43617</c:v>
                </c:pt>
                <c:pt idx="30">
                  <c:v>43647</c:v>
                </c:pt>
                <c:pt idx="31">
                  <c:v>43678</c:v>
                </c:pt>
                <c:pt idx="32">
                  <c:v>43709</c:v>
                </c:pt>
                <c:pt idx="33">
                  <c:v>43740</c:v>
                </c:pt>
                <c:pt idx="34">
                  <c:v>43770</c:v>
                </c:pt>
                <c:pt idx="35">
                  <c:v>43800</c:v>
                </c:pt>
                <c:pt idx="36">
                  <c:v>43831</c:v>
                </c:pt>
                <c:pt idx="37">
                  <c:v>43862</c:v>
                </c:pt>
                <c:pt idx="38">
                  <c:v>43891</c:v>
                </c:pt>
                <c:pt idx="39">
                  <c:v>43922</c:v>
                </c:pt>
                <c:pt idx="40">
                  <c:v>43952</c:v>
                </c:pt>
                <c:pt idx="41">
                  <c:v>43983</c:v>
                </c:pt>
                <c:pt idx="42">
                  <c:v>44013</c:v>
                </c:pt>
                <c:pt idx="43">
                  <c:v>44044</c:v>
                </c:pt>
                <c:pt idx="44">
                  <c:v>44075</c:v>
                </c:pt>
                <c:pt idx="45">
                  <c:v>44105</c:v>
                </c:pt>
                <c:pt idx="46">
                  <c:v>44136</c:v>
                </c:pt>
                <c:pt idx="47">
                  <c:v>44166</c:v>
                </c:pt>
                <c:pt idx="48">
                  <c:v>44197</c:v>
                </c:pt>
                <c:pt idx="49">
                  <c:v>44228</c:v>
                </c:pt>
                <c:pt idx="50">
                  <c:v>44256</c:v>
                </c:pt>
                <c:pt idx="51">
                  <c:v>44287</c:v>
                </c:pt>
                <c:pt idx="52">
                  <c:v>44317</c:v>
                </c:pt>
                <c:pt idx="53">
                  <c:v>44348</c:v>
                </c:pt>
                <c:pt idx="54">
                  <c:v>44378</c:v>
                </c:pt>
                <c:pt idx="55">
                  <c:v>44409</c:v>
                </c:pt>
                <c:pt idx="56">
                  <c:v>44440</c:v>
                </c:pt>
                <c:pt idx="57">
                  <c:v>44470</c:v>
                </c:pt>
                <c:pt idx="58">
                  <c:v>44501</c:v>
                </c:pt>
                <c:pt idx="59">
                  <c:v>44531</c:v>
                </c:pt>
                <c:pt idx="60">
                  <c:v>44562</c:v>
                </c:pt>
                <c:pt idx="61">
                  <c:v>44593</c:v>
                </c:pt>
                <c:pt idx="62">
                  <c:v>44621</c:v>
                </c:pt>
                <c:pt idx="63">
                  <c:v>44652</c:v>
                </c:pt>
                <c:pt idx="64">
                  <c:v>44682</c:v>
                </c:pt>
                <c:pt idx="65">
                  <c:v>44713</c:v>
                </c:pt>
                <c:pt idx="66">
                  <c:v>44743</c:v>
                </c:pt>
                <c:pt idx="67">
                  <c:v>44774</c:v>
                </c:pt>
                <c:pt idx="68">
                  <c:v>44805</c:v>
                </c:pt>
              </c:numCache>
            </c:numRef>
          </c:cat>
          <c:val>
            <c:numRef>
              <c:f>REER!$C$74:$C$142</c:f>
              <c:numCache>
                <c:formatCode>General</c:formatCode>
                <c:ptCount val="69"/>
                <c:pt idx="0">
                  <c:v>27.150611903225798</c:v>
                </c:pt>
                <c:pt idx="1">
                  <c:v>27.027771071428578</c:v>
                </c:pt>
                <c:pt idx="2">
                  <c:v>27.001562419354837</c:v>
                </c:pt>
                <c:pt idx="3">
                  <c:v>26.856827100000014</c:v>
                </c:pt>
                <c:pt idx="4">
                  <c:v>26.423693</c:v>
                </c:pt>
                <c:pt idx="5">
                  <c:v>26.108858166666668</c:v>
                </c:pt>
                <c:pt idx="6">
                  <c:v>25.969315225806444</c:v>
                </c:pt>
                <c:pt idx="7">
                  <c:v>25.635271419354826</c:v>
                </c:pt>
                <c:pt idx="8">
                  <c:v>26.10860709999999</c:v>
                </c:pt>
                <c:pt idx="9">
                  <c:v>26.654977096774203</c:v>
                </c:pt>
                <c:pt idx="10">
                  <c:v>26.705274633333332</c:v>
                </c:pt>
                <c:pt idx="11">
                  <c:v>27.516507935483883</c:v>
                </c:pt>
                <c:pt idx="12">
                  <c:v>28.434328612903219</c:v>
                </c:pt>
                <c:pt idx="13">
                  <c:v>27.171049392857139</c:v>
                </c:pt>
                <c:pt idx="14">
                  <c:v>26.341204741935485</c:v>
                </c:pt>
                <c:pt idx="15">
                  <c:v>26.151748566666665</c:v>
                </c:pt>
                <c:pt idx="16">
                  <c:v>26.181224580645161</c:v>
                </c:pt>
                <c:pt idx="17">
                  <c:v>26.202170466666661</c:v>
                </c:pt>
                <c:pt idx="18">
                  <c:v>26.400686419354855</c:v>
                </c:pt>
                <c:pt idx="19">
                  <c:v>27.482209032258066</c:v>
                </c:pt>
                <c:pt idx="20">
                  <c:v>28.191267433333341</c:v>
                </c:pt>
                <c:pt idx="21">
                  <c:v>28.127382419354841</c:v>
                </c:pt>
                <c:pt idx="22">
                  <c:v>27.933498133333334</c:v>
                </c:pt>
                <c:pt idx="23">
                  <c:v>27.789138709677424</c:v>
                </c:pt>
                <c:pt idx="24">
                  <c:v>27.879174999999989</c:v>
                </c:pt>
                <c:pt idx="25">
                  <c:v>27.160679178571421</c:v>
                </c:pt>
                <c:pt idx="26">
                  <c:v>26.863534580645165</c:v>
                </c:pt>
                <c:pt idx="27">
                  <c:v>26.811495299999994</c:v>
                </c:pt>
                <c:pt idx="28">
                  <c:v>26.378847709677427</c:v>
                </c:pt>
                <c:pt idx="29">
                  <c:v>26.500110633333335</c:v>
                </c:pt>
                <c:pt idx="30">
                  <c:v>25.751355387096766</c:v>
                </c:pt>
                <c:pt idx="31">
                  <c:v>25.246989612903224</c:v>
                </c:pt>
                <c:pt idx="32">
                  <c:v>24.769724166666666</c:v>
                </c:pt>
                <c:pt idx="33">
                  <c:v>24.808206516129029</c:v>
                </c:pt>
                <c:pt idx="34">
                  <c:v>24.367518633333326</c:v>
                </c:pt>
                <c:pt idx="35">
                  <c:v>23.609435129032253</c:v>
                </c:pt>
                <c:pt idx="36">
                  <c:v>24.119351612903227</c:v>
                </c:pt>
                <c:pt idx="37">
                  <c:v>24.596524137931045</c:v>
                </c:pt>
                <c:pt idx="38">
                  <c:v>26.412293548387101</c:v>
                </c:pt>
                <c:pt idx="39">
                  <c:v>27.224653333333325</c:v>
                </c:pt>
                <c:pt idx="40">
                  <c:v>26.814329032258055</c:v>
                </c:pt>
                <c:pt idx="41">
                  <c:v>26.707343333333327</c:v>
                </c:pt>
                <c:pt idx="42">
                  <c:v>27.312838709677415</c:v>
                </c:pt>
                <c:pt idx="43">
                  <c:v>27.521419354838709</c:v>
                </c:pt>
                <c:pt idx="44">
                  <c:v>27.976716666666668</c:v>
                </c:pt>
                <c:pt idx="45">
                  <c:v>28.324951612903224</c:v>
                </c:pt>
                <c:pt idx="46">
                  <c:v>28.310153333333343</c:v>
                </c:pt>
                <c:pt idx="47">
                  <c:v>28.169719354838708</c:v>
                </c:pt>
                <c:pt idx="48">
                  <c:v>28.219770967741937</c:v>
                </c:pt>
                <c:pt idx="49">
                  <c:v>27.884660714285712</c:v>
                </c:pt>
                <c:pt idx="50">
                  <c:v>27.795558064516129</c:v>
                </c:pt>
                <c:pt idx="51">
                  <c:v>27.930006666666667</c:v>
                </c:pt>
                <c:pt idx="52">
                  <c:v>27.602848387096767</c:v>
                </c:pt>
                <c:pt idx="53">
                  <c:v>27.239873333333321</c:v>
                </c:pt>
                <c:pt idx="54">
                  <c:v>27.214548387096777</c:v>
                </c:pt>
                <c:pt idx="55">
                  <c:v>26.78485483870967</c:v>
                </c:pt>
                <c:pt idx="56">
                  <c:v>26.727786666666663</c:v>
                </c:pt>
                <c:pt idx="57">
                  <c:v>26.374677419354835</c:v>
                </c:pt>
                <c:pt idx="58">
                  <c:v>26.446223333333332</c:v>
                </c:pt>
                <c:pt idx="59">
                  <c:v>27.21346451612904</c:v>
                </c:pt>
                <c:pt idx="60">
                  <c:v>27.981270967741931</c:v>
                </c:pt>
                <c:pt idx="61">
                  <c:v>28.413664285714287</c:v>
                </c:pt>
                <c:pt idx="62">
                  <c:v>29.254900000000013</c:v>
                </c:pt>
                <c:pt idx="63">
                  <c:v>29.254900000000013</c:v>
                </c:pt>
                <c:pt idx="64">
                  <c:v>29.254900000000013</c:v>
                </c:pt>
                <c:pt idx="65">
                  <c:v>29.254900000000013</c:v>
                </c:pt>
                <c:pt idx="66">
                  <c:v>31.850083870967769</c:v>
                </c:pt>
                <c:pt idx="67">
                  <c:v>36.568600000000032</c:v>
                </c:pt>
                <c:pt idx="68">
                  <c:v>36.568600000000032</c:v>
                </c:pt>
              </c:numCache>
            </c:numRef>
          </c:val>
          <c:smooth val="0"/>
          <c:extLst>
            <c:ext xmlns:c16="http://schemas.microsoft.com/office/drawing/2014/chart" uri="{C3380CC4-5D6E-409C-BE32-E72D297353CC}">
              <c16:uniqueId val="{00000001-4E3D-4871-97C7-9820EA8C078C}"/>
            </c:ext>
          </c:extLst>
        </c:ser>
        <c:dLbls>
          <c:showLegendKey val="0"/>
          <c:showVal val="0"/>
          <c:showCatName val="0"/>
          <c:showSerName val="0"/>
          <c:showPercent val="0"/>
          <c:showBubbleSize val="0"/>
        </c:dLbls>
        <c:marker val="1"/>
        <c:smooth val="0"/>
        <c:axId val="2053869312"/>
        <c:axId val="2053870976"/>
      </c:lineChart>
      <c:dateAx>
        <c:axId val="2053865152"/>
        <c:scaling>
          <c:orientation val="minMax"/>
        </c:scaling>
        <c:delete val="0"/>
        <c:axPos val="b"/>
        <c:majorGridlines>
          <c:spPr>
            <a:ln w="9525" cap="flat" cmpd="sng" algn="ctr">
              <a:solidFill>
                <a:schemeClr val="tx1">
                  <a:lumMod val="15000"/>
                  <a:lumOff val="85000"/>
                </a:schemeClr>
              </a:solidFill>
              <a:round/>
            </a:ln>
            <a:effectLst/>
          </c:spPr>
        </c:majorGridlines>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chemeClr val="tx1"/>
                </a:solidFill>
                <a:latin typeface="+mn-lt"/>
                <a:ea typeface="+mn-ea"/>
                <a:cs typeface="+mn-cs"/>
              </a:defRPr>
            </a:pPr>
            <a:endParaRPr lang="en-US"/>
          </a:p>
        </c:txPr>
        <c:crossAx val="2053867648"/>
        <c:crosses val="autoZero"/>
        <c:auto val="1"/>
        <c:lblOffset val="100"/>
        <c:baseTimeUnit val="days"/>
        <c:majorUnit val="1"/>
        <c:majorTimeUnit val="years"/>
      </c:dateAx>
      <c:valAx>
        <c:axId val="2053867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300" b="1" i="0" u="none" strike="noStrike" kern="1200" baseline="0">
                <a:solidFill>
                  <a:schemeClr val="accent5"/>
                </a:solidFill>
                <a:latin typeface="+mn-lt"/>
                <a:ea typeface="+mn-ea"/>
                <a:cs typeface="+mn-cs"/>
              </a:defRPr>
            </a:pPr>
            <a:endParaRPr lang="en-US"/>
          </a:p>
        </c:txPr>
        <c:crossAx val="2053865152"/>
        <c:crosses val="autoZero"/>
        <c:crossBetween val="between"/>
      </c:valAx>
      <c:valAx>
        <c:axId val="20538709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300" b="1" i="0" u="none" strike="noStrike" kern="1200" baseline="0">
                <a:solidFill>
                  <a:schemeClr val="accent4"/>
                </a:solidFill>
                <a:latin typeface="+mn-lt"/>
                <a:ea typeface="+mn-ea"/>
                <a:cs typeface="+mn-cs"/>
              </a:defRPr>
            </a:pPr>
            <a:endParaRPr lang="en-US"/>
          </a:p>
        </c:txPr>
        <c:crossAx val="2053869312"/>
        <c:crosses val="max"/>
        <c:crossBetween val="between"/>
      </c:valAx>
      <c:dateAx>
        <c:axId val="2053869312"/>
        <c:scaling>
          <c:orientation val="minMax"/>
        </c:scaling>
        <c:delete val="1"/>
        <c:axPos val="b"/>
        <c:numFmt formatCode="mm/yyyy" sourceLinked="1"/>
        <c:majorTickMark val="out"/>
        <c:minorTickMark val="none"/>
        <c:tickLblPos val="nextTo"/>
        <c:crossAx val="2053870976"/>
        <c:crosses val="autoZero"/>
        <c:auto val="1"/>
        <c:lblOffset val="100"/>
        <c:baseTimeUnit val="months"/>
      </c:dateAx>
      <c:spPr>
        <a:noFill/>
        <a:ln>
          <a:noFill/>
        </a:ln>
        <a:effectLst/>
      </c:spPr>
    </c:plotArea>
    <c:legend>
      <c:legendPos val="t"/>
      <c:layout>
        <c:manualLayout>
          <c:xMode val="edge"/>
          <c:yMode val="edge"/>
          <c:x val="0"/>
          <c:y val="9.2449216086692265E-2"/>
          <c:w val="1"/>
          <c:h val="4.5313750373184351E-2"/>
        </c:manualLayout>
      </c:layout>
      <c:overlay val="0"/>
      <c:spPr>
        <a:noFill/>
        <a:ln>
          <a:noFill/>
        </a:ln>
        <a:effectLst/>
      </c:spPr>
      <c:txPr>
        <a:bodyPr rot="0" spcFirstLastPara="1" vertOverflow="ellipsis" vert="horz" wrap="square" anchor="ctr" anchorCtr="1"/>
        <a:lstStyle/>
        <a:p>
          <a:pPr>
            <a:defRPr sz="13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300" b="1">
          <a:solidFill>
            <a:schemeClr val="tx1"/>
          </a:solidFill>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4513939467894035E-2"/>
          <c:y val="0.1777384668047812"/>
          <c:w val="0.91772885755214983"/>
          <c:h val="0.76681029229924946"/>
        </c:manualLayout>
      </c:layout>
      <c:lineChart>
        <c:grouping val="standard"/>
        <c:varyColors val="0"/>
        <c:ser>
          <c:idx val="0"/>
          <c:order val="0"/>
          <c:tx>
            <c:strRef>
              <c:f>'ІЦВ (Стрим Інфл)+'!$J$1</c:f>
              <c:strCache>
                <c:ptCount val="1"/>
                <c:pt idx="0">
                  <c:v>ІЦВ - (ГБ last 12 month)</c:v>
                </c:pt>
              </c:strCache>
            </c:strRef>
          </c:tx>
          <c:spPr>
            <a:ln w="28575" cap="rnd">
              <a:solidFill>
                <a:schemeClr val="accent1"/>
              </a:solidFill>
              <a:round/>
            </a:ln>
            <a:effectLst/>
          </c:spPr>
          <c:marker>
            <c:symbol val="none"/>
          </c:marker>
          <c:cat>
            <c:strRef>
              <c:f>'ІЦВ (Стрим Інфл)+'!$C$14:$C$133</c:f>
              <c:strCache>
                <c:ptCount val="120"/>
                <c:pt idx="0">
                  <c:v>2011M01</c:v>
                </c:pt>
                <c:pt idx="1">
                  <c:v>2011M02</c:v>
                </c:pt>
                <c:pt idx="2">
                  <c:v>2011M03</c:v>
                </c:pt>
                <c:pt idx="3">
                  <c:v>2011M04</c:v>
                </c:pt>
                <c:pt idx="4">
                  <c:v>2011M05</c:v>
                </c:pt>
                <c:pt idx="5">
                  <c:v>2011M06</c:v>
                </c:pt>
                <c:pt idx="6">
                  <c:v>2011M07</c:v>
                </c:pt>
                <c:pt idx="7">
                  <c:v>2011M08</c:v>
                </c:pt>
                <c:pt idx="8">
                  <c:v>2011M09</c:v>
                </c:pt>
                <c:pt idx="9">
                  <c:v>2011M10</c:v>
                </c:pt>
                <c:pt idx="10">
                  <c:v>2011M11</c:v>
                </c:pt>
                <c:pt idx="11">
                  <c:v>2011M12</c:v>
                </c:pt>
                <c:pt idx="12">
                  <c:v>2012M01</c:v>
                </c:pt>
                <c:pt idx="13">
                  <c:v>2012M02</c:v>
                </c:pt>
                <c:pt idx="14">
                  <c:v>2012M03</c:v>
                </c:pt>
                <c:pt idx="15">
                  <c:v>2012M04</c:v>
                </c:pt>
                <c:pt idx="16">
                  <c:v>2012M05</c:v>
                </c:pt>
                <c:pt idx="17">
                  <c:v>2012M06</c:v>
                </c:pt>
                <c:pt idx="18">
                  <c:v>2012M07</c:v>
                </c:pt>
                <c:pt idx="19">
                  <c:v>2012M08</c:v>
                </c:pt>
                <c:pt idx="20">
                  <c:v>2012M09</c:v>
                </c:pt>
                <c:pt idx="21">
                  <c:v>2012M10</c:v>
                </c:pt>
                <c:pt idx="22">
                  <c:v>2012M11</c:v>
                </c:pt>
                <c:pt idx="23">
                  <c:v>2012M12</c:v>
                </c:pt>
                <c:pt idx="24">
                  <c:v>2013M01</c:v>
                </c:pt>
                <c:pt idx="25">
                  <c:v>2013M02</c:v>
                </c:pt>
                <c:pt idx="26">
                  <c:v>2013M03</c:v>
                </c:pt>
                <c:pt idx="27">
                  <c:v>2013M04</c:v>
                </c:pt>
                <c:pt idx="28">
                  <c:v>2013M05</c:v>
                </c:pt>
                <c:pt idx="29">
                  <c:v>2013M06</c:v>
                </c:pt>
                <c:pt idx="30">
                  <c:v>2013M07</c:v>
                </c:pt>
                <c:pt idx="31">
                  <c:v>2013M08</c:v>
                </c:pt>
                <c:pt idx="32">
                  <c:v>2013M09</c:v>
                </c:pt>
                <c:pt idx="33">
                  <c:v>2013M10</c:v>
                </c:pt>
                <c:pt idx="34">
                  <c:v>2013M11</c:v>
                </c:pt>
                <c:pt idx="35">
                  <c:v>2013M12</c:v>
                </c:pt>
                <c:pt idx="36">
                  <c:v>2014M01</c:v>
                </c:pt>
                <c:pt idx="37">
                  <c:v>2014M02</c:v>
                </c:pt>
                <c:pt idx="38">
                  <c:v>2014M03</c:v>
                </c:pt>
                <c:pt idx="39">
                  <c:v>2014M04</c:v>
                </c:pt>
                <c:pt idx="40">
                  <c:v>2014M05</c:v>
                </c:pt>
                <c:pt idx="41">
                  <c:v>2014M06</c:v>
                </c:pt>
                <c:pt idx="42">
                  <c:v>2014M07</c:v>
                </c:pt>
                <c:pt idx="43">
                  <c:v>2014M08</c:v>
                </c:pt>
                <c:pt idx="44">
                  <c:v>2014M09</c:v>
                </c:pt>
                <c:pt idx="45">
                  <c:v>2014M10</c:v>
                </c:pt>
                <c:pt idx="46">
                  <c:v>2014M11</c:v>
                </c:pt>
                <c:pt idx="47">
                  <c:v>2014M12</c:v>
                </c:pt>
                <c:pt idx="48">
                  <c:v>2015M01</c:v>
                </c:pt>
                <c:pt idx="49">
                  <c:v>2015M02</c:v>
                </c:pt>
                <c:pt idx="50">
                  <c:v>2015M03</c:v>
                </c:pt>
                <c:pt idx="51">
                  <c:v>2015M04</c:v>
                </c:pt>
                <c:pt idx="52">
                  <c:v>2015M05</c:v>
                </c:pt>
                <c:pt idx="53">
                  <c:v>2015M06</c:v>
                </c:pt>
                <c:pt idx="54">
                  <c:v>2015M07</c:v>
                </c:pt>
                <c:pt idx="55">
                  <c:v>2015M08</c:v>
                </c:pt>
                <c:pt idx="56">
                  <c:v>2015M09</c:v>
                </c:pt>
                <c:pt idx="57">
                  <c:v>2015M10</c:v>
                </c:pt>
                <c:pt idx="58">
                  <c:v>2015M11</c:v>
                </c:pt>
                <c:pt idx="59">
                  <c:v>2015M12</c:v>
                </c:pt>
                <c:pt idx="60">
                  <c:v>2016M01</c:v>
                </c:pt>
                <c:pt idx="61">
                  <c:v>2016M02</c:v>
                </c:pt>
                <c:pt idx="62">
                  <c:v>2016M03</c:v>
                </c:pt>
                <c:pt idx="63">
                  <c:v>2016M04</c:v>
                </c:pt>
                <c:pt idx="64">
                  <c:v>2016M05</c:v>
                </c:pt>
                <c:pt idx="65">
                  <c:v>2016M06</c:v>
                </c:pt>
                <c:pt idx="66">
                  <c:v>2016M07</c:v>
                </c:pt>
                <c:pt idx="67">
                  <c:v>2016M08</c:v>
                </c:pt>
                <c:pt idx="68">
                  <c:v>2016M09</c:v>
                </c:pt>
                <c:pt idx="69">
                  <c:v>2016M10</c:v>
                </c:pt>
                <c:pt idx="70">
                  <c:v>2016M11</c:v>
                </c:pt>
                <c:pt idx="71">
                  <c:v>2016M12</c:v>
                </c:pt>
                <c:pt idx="72">
                  <c:v>2017M01</c:v>
                </c:pt>
                <c:pt idx="73">
                  <c:v>2017M02</c:v>
                </c:pt>
                <c:pt idx="74">
                  <c:v>2017M03</c:v>
                </c:pt>
                <c:pt idx="75">
                  <c:v>2017M04</c:v>
                </c:pt>
                <c:pt idx="76">
                  <c:v>2017M05</c:v>
                </c:pt>
                <c:pt idx="77">
                  <c:v>2017M06</c:v>
                </c:pt>
                <c:pt idx="78">
                  <c:v>2017M07</c:v>
                </c:pt>
                <c:pt idx="79">
                  <c:v>2017M08</c:v>
                </c:pt>
                <c:pt idx="80">
                  <c:v>2017M09</c:v>
                </c:pt>
                <c:pt idx="81">
                  <c:v>2017M10</c:v>
                </c:pt>
                <c:pt idx="82">
                  <c:v>2017M11</c:v>
                </c:pt>
                <c:pt idx="83">
                  <c:v>2017M12</c:v>
                </c:pt>
                <c:pt idx="84">
                  <c:v>2018M01</c:v>
                </c:pt>
                <c:pt idx="85">
                  <c:v>2018M02</c:v>
                </c:pt>
                <c:pt idx="86">
                  <c:v>2018M03</c:v>
                </c:pt>
                <c:pt idx="87">
                  <c:v>2018M04</c:v>
                </c:pt>
                <c:pt idx="88">
                  <c:v>2018M05</c:v>
                </c:pt>
                <c:pt idx="89">
                  <c:v>2018M06</c:v>
                </c:pt>
                <c:pt idx="90">
                  <c:v>2018M07</c:v>
                </c:pt>
                <c:pt idx="91">
                  <c:v>2018M08</c:v>
                </c:pt>
                <c:pt idx="92">
                  <c:v>2018M09</c:v>
                </c:pt>
                <c:pt idx="93">
                  <c:v>2018M10</c:v>
                </c:pt>
                <c:pt idx="94">
                  <c:v>2018M11</c:v>
                </c:pt>
                <c:pt idx="95">
                  <c:v>2018M12</c:v>
                </c:pt>
                <c:pt idx="96">
                  <c:v>2019M01</c:v>
                </c:pt>
                <c:pt idx="97">
                  <c:v>2019M02</c:v>
                </c:pt>
                <c:pt idx="98">
                  <c:v>2019M03</c:v>
                </c:pt>
                <c:pt idx="99">
                  <c:v>2019M04</c:v>
                </c:pt>
                <c:pt idx="100">
                  <c:v>2019M05</c:v>
                </c:pt>
                <c:pt idx="101">
                  <c:v>2019M06</c:v>
                </c:pt>
                <c:pt idx="102">
                  <c:v>2019M07</c:v>
                </c:pt>
                <c:pt idx="103">
                  <c:v>2019M08</c:v>
                </c:pt>
                <c:pt idx="104">
                  <c:v>2019M09</c:v>
                </c:pt>
                <c:pt idx="105">
                  <c:v>2019M10</c:v>
                </c:pt>
                <c:pt idx="106">
                  <c:v>2019M11</c:v>
                </c:pt>
                <c:pt idx="107">
                  <c:v>2019M12</c:v>
                </c:pt>
                <c:pt idx="108">
                  <c:v>2020M01</c:v>
                </c:pt>
                <c:pt idx="109">
                  <c:v>2020M02</c:v>
                </c:pt>
                <c:pt idx="110">
                  <c:v>2020M03</c:v>
                </c:pt>
                <c:pt idx="111">
                  <c:v>2020M04</c:v>
                </c:pt>
                <c:pt idx="112">
                  <c:v>2020M05</c:v>
                </c:pt>
                <c:pt idx="113">
                  <c:v>2020M06</c:v>
                </c:pt>
                <c:pt idx="114">
                  <c:v>2020M07</c:v>
                </c:pt>
                <c:pt idx="115">
                  <c:v>2020M08</c:v>
                </c:pt>
                <c:pt idx="116">
                  <c:v>2020M09</c:v>
                </c:pt>
                <c:pt idx="117">
                  <c:v>2020M10</c:v>
                </c:pt>
                <c:pt idx="118">
                  <c:v>2020M11</c:v>
                </c:pt>
                <c:pt idx="119">
                  <c:v>2020M12</c:v>
                </c:pt>
              </c:strCache>
            </c:strRef>
          </c:cat>
          <c:val>
            <c:numRef>
              <c:f>'ІЦВ (Стрим Інфл)+'!$J$14:$J$133</c:f>
              <c:numCache>
                <c:formatCode>0.0%</c:formatCode>
                <c:ptCount val="120"/>
                <c:pt idx="0">
                  <c:v>0.18</c:v>
                </c:pt>
                <c:pt idx="1">
                  <c:v>0.21400000000000005</c:v>
                </c:pt>
                <c:pt idx="2">
                  <c:v>0.20299999999999996</c:v>
                </c:pt>
                <c:pt idx="3">
                  <c:v>0.20799999999999996</c:v>
                </c:pt>
                <c:pt idx="4">
                  <c:v>0.18799999999999997</c:v>
                </c:pt>
                <c:pt idx="5">
                  <c:v>0.2</c:v>
                </c:pt>
                <c:pt idx="6">
                  <c:v>0.20299999999999996</c:v>
                </c:pt>
                <c:pt idx="7">
                  <c:v>0.19900000000000007</c:v>
                </c:pt>
                <c:pt idx="8">
                  <c:v>0.21299999999999997</c:v>
                </c:pt>
                <c:pt idx="9">
                  <c:v>0.16299999999999998</c:v>
                </c:pt>
                <c:pt idx="10">
                  <c:v>0.17299999999999996</c:v>
                </c:pt>
                <c:pt idx="11">
                  <c:v>0.14200000000000002</c:v>
                </c:pt>
                <c:pt idx="12">
                  <c:v>0.11799999999999997</c:v>
                </c:pt>
                <c:pt idx="13">
                  <c:v>7.4999999999999997E-2</c:v>
                </c:pt>
                <c:pt idx="14">
                  <c:v>6.5000000000000002E-2</c:v>
                </c:pt>
                <c:pt idx="15">
                  <c:v>6.9000000000000061E-2</c:v>
                </c:pt>
                <c:pt idx="16">
                  <c:v>4.2999999999999969E-2</c:v>
                </c:pt>
                <c:pt idx="17">
                  <c:v>4.4999999999999998E-2</c:v>
                </c:pt>
                <c:pt idx="18">
                  <c:v>1.4000000000000058E-2</c:v>
                </c:pt>
                <c:pt idx="19">
                  <c:v>1.4000000000000058E-2</c:v>
                </c:pt>
                <c:pt idx="20">
                  <c:v>2.9999999999999714E-3</c:v>
                </c:pt>
                <c:pt idx="21">
                  <c:v>5.9999999999999429E-3</c:v>
                </c:pt>
                <c:pt idx="22">
                  <c:v>0</c:v>
                </c:pt>
                <c:pt idx="23">
                  <c:v>2.9999999999999714E-3</c:v>
                </c:pt>
                <c:pt idx="24">
                  <c:v>1.4999999999999999E-2</c:v>
                </c:pt>
                <c:pt idx="25">
                  <c:v>-9.0000000000000566E-3</c:v>
                </c:pt>
                <c:pt idx="26">
                  <c:v>2.0000000000000282E-3</c:v>
                </c:pt>
                <c:pt idx="27">
                  <c:v>-0.01</c:v>
                </c:pt>
                <c:pt idx="28">
                  <c:v>1.9000000000000059E-2</c:v>
                </c:pt>
                <c:pt idx="29">
                  <c:v>-1.59999999999999E-2</c:v>
                </c:pt>
                <c:pt idx="30">
                  <c:v>-1.5999999999999945E-2</c:v>
                </c:pt>
                <c:pt idx="31">
                  <c:v>-9.0000000000000566E-3</c:v>
                </c:pt>
                <c:pt idx="32">
                  <c:v>-9.0000000000000566E-3</c:v>
                </c:pt>
                <c:pt idx="33">
                  <c:v>7.9999999999999724E-3</c:v>
                </c:pt>
                <c:pt idx="34">
                  <c:v>-5.0000000000000001E-3</c:v>
                </c:pt>
                <c:pt idx="35">
                  <c:v>1.7000000000000029E-2</c:v>
                </c:pt>
                <c:pt idx="36">
                  <c:v>0.02</c:v>
                </c:pt>
                <c:pt idx="37">
                  <c:v>3.2999999999999974E-2</c:v>
                </c:pt>
                <c:pt idx="38">
                  <c:v>3.9000000000000055E-2</c:v>
                </c:pt>
                <c:pt idx="39">
                  <c:v>7.4999999999999997E-2</c:v>
                </c:pt>
                <c:pt idx="40">
                  <c:v>8.7999999999999967E-2</c:v>
                </c:pt>
                <c:pt idx="41">
                  <c:v>0.15900000000000006</c:v>
                </c:pt>
                <c:pt idx="42">
                  <c:v>0.22500000000000001</c:v>
                </c:pt>
                <c:pt idx="43">
                  <c:v>0.24200000000000002</c:v>
                </c:pt>
                <c:pt idx="44">
                  <c:v>0.26900000000000007</c:v>
                </c:pt>
                <c:pt idx="45">
                  <c:v>0.25900000000000006</c:v>
                </c:pt>
                <c:pt idx="46">
                  <c:v>0.32800000000000012</c:v>
                </c:pt>
                <c:pt idx="47">
                  <c:v>0.31800000000000012</c:v>
                </c:pt>
                <c:pt idx="48">
                  <c:v>0.34099999999999997</c:v>
                </c:pt>
                <c:pt idx="49">
                  <c:v>0.41</c:v>
                </c:pt>
                <c:pt idx="50">
                  <c:v>0.5169999999999999</c:v>
                </c:pt>
                <c:pt idx="51">
                  <c:v>0.48599999999999993</c:v>
                </c:pt>
                <c:pt idx="52">
                  <c:v>0.42</c:v>
                </c:pt>
                <c:pt idx="53">
                  <c:v>0.37900000000000006</c:v>
                </c:pt>
                <c:pt idx="54">
                  <c:v>0.37</c:v>
                </c:pt>
                <c:pt idx="55">
                  <c:v>0.33</c:v>
                </c:pt>
                <c:pt idx="56">
                  <c:v>0.32500000000000001</c:v>
                </c:pt>
                <c:pt idx="57">
                  <c:v>0.30199999999999988</c:v>
                </c:pt>
                <c:pt idx="58">
                  <c:v>0.25099999999999995</c:v>
                </c:pt>
                <c:pt idx="59">
                  <c:v>0.25400000000000006</c:v>
                </c:pt>
                <c:pt idx="60">
                  <c:v>0.21200000000000002</c:v>
                </c:pt>
                <c:pt idx="61">
                  <c:v>0.17400000000000004</c:v>
                </c:pt>
                <c:pt idx="62">
                  <c:v>0.105</c:v>
                </c:pt>
                <c:pt idx="63">
                  <c:v>0.10099999999999994</c:v>
                </c:pt>
                <c:pt idx="64">
                  <c:v>0.16400000000000006</c:v>
                </c:pt>
                <c:pt idx="65">
                  <c:v>0.15700000000000003</c:v>
                </c:pt>
                <c:pt idx="66">
                  <c:v>0.18299999999999997</c:v>
                </c:pt>
                <c:pt idx="67">
                  <c:v>0.18900000000000006</c:v>
                </c:pt>
                <c:pt idx="68">
                  <c:v>0.19599999999999995</c:v>
                </c:pt>
                <c:pt idx="69">
                  <c:v>0.29199999999999987</c:v>
                </c:pt>
                <c:pt idx="70">
                  <c:v>0.32</c:v>
                </c:pt>
                <c:pt idx="71">
                  <c:v>0.35699999999999987</c:v>
                </c:pt>
                <c:pt idx="72">
                  <c:v>0.3680000000000001</c:v>
                </c:pt>
                <c:pt idx="73">
                  <c:v>0.38900000000000007</c:v>
                </c:pt>
                <c:pt idx="74">
                  <c:v>0.38300000000000012</c:v>
                </c:pt>
                <c:pt idx="75">
                  <c:v>0.35599999999999993</c:v>
                </c:pt>
                <c:pt idx="76">
                  <c:v>0.27099999999999996</c:v>
                </c:pt>
                <c:pt idx="77">
                  <c:v>0.26299999999999996</c:v>
                </c:pt>
                <c:pt idx="78">
                  <c:v>0.23299999999999998</c:v>
                </c:pt>
                <c:pt idx="79">
                  <c:v>0.23599999999999993</c:v>
                </c:pt>
                <c:pt idx="80">
                  <c:v>0.22400000000000006</c:v>
                </c:pt>
                <c:pt idx="81">
                  <c:v>0.18799999999999997</c:v>
                </c:pt>
                <c:pt idx="82">
                  <c:v>0.18400000000000005</c:v>
                </c:pt>
                <c:pt idx="83">
                  <c:v>0.16500000000000001</c:v>
                </c:pt>
                <c:pt idx="84">
                  <c:v>0.22</c:v>
                </c:pt>
                <c:pt idx="85">
                  <c:v>0.19599999999999995</c:v>
                </c:pt>
                <c:pt idx="86">
                  <c:v>0.15900000000000006</c:v>
                </c:pt>
                <c:pt idx="87">
                  <c:v>0.14099999999999993</c:v>
                </c:pt>
                <c:pt idx="88">
                  <c:v>0.16500000000000001</c:v>
                </c:pt>
                <c:pt idx="89">
                  <c:v>0.18400000000000005</c:v>
                </c:pt>
                <c:pt idx="90">
                  <c:v>0.18099999999999994</c:v>
                </c:pt>
                <c:pt idx="91">
                  <c:v>0.19299999999999998</c:v>
                </c:pt>
                <c:pt idx="92">
                  <c:v>0.18900000000000006</c:v>
                </c:pt>
                <c:pt idx="93">
                  <c:v>0.16600000000000001</c:v>
                </c:pt>
                <c:pt idx="94">
                  <c:v>0.16500000000000001</c:v>
                </c:pt>
                <c:pt idx="95">
                  <c:v>0.14199999999999999</c:v>
                </c:pt>
                <c:pt idx="96">
                  <c:v>0.104</c:v>
                </c:pt>
                <c:pt idx="97">
                  <c:v>0.10199999999999999</c:v>
                </c:pt>
                <c:pt idx="98">
                  <c:v>8.8999999999999996E-2</c:v>
                </c:pt>
                <c:pt idx="99">
                  <c:v>7.2999999999999995E-2</c:v>
                </c:pt>
                <c:pt idx="100">
                  <c:v>8.5000000000000006E-2</c:v>
                </c:pt>
                <c:pt idx="101">
                  <c:v>4.4999999999999998E-2</c:v>
                </c:pt>
                <c:pt idx="102">
                  <c:v>6.7000000000000004E-2</c:v>
                </c:pt>
                <c:pt idx="103">
                  <c:v>4.4999999999999998E-2</c:v>
                </c:pt>
                <c:pt idx="104">
                  <c:v>1.7000000000000001E-2</c:v>
                </c:pt>
                <c:pt idx="105" formatCode="0.00%">
                  <c:v>2E-3</c:v>
                </c:pt>
                <c:pt idx="106">
                  <c:v>-4.4999999999999998E-2</c:v>
                </c:pt>
                <c:pt idx="107">
                  <c:v>-7.3999999999999996E-2</c:v>
                </c:pt>
                <c:pt idx="108">
                  <c:v>-5.8999999999999997E-2</c:v>
                </c:pt>
                <c:pt idx="109">
                  <c:v>-6.8000000000000005E-2</c:v>
                </c:pt>
                <c:pt idx="110">
                  <c:v>-4.2000000000000003E-2</c:v>
                </c:pt>
                <c:pt idx="111">
                  <c:v>-2.5999999999999999E-2</c:v>
                </c:pt>
                <c:pt idx="112">
                  <c:v>-5.0999999999999941E-2</c:v>
                </c:pt>
                <c:pt idx="113">
                  <c:v>-4.5999999999999944E-2</c:v>
                </c:pt>
                <c:pt idx="114">
                  <c:v>-7.4999999999999997E-2</c:v>
                </c:pt>
                <c:pt idx="115">
                  <c:v>-4.7E-2</c:v>
                </c:pt>
                <c:pt idx="116">
                  <c:v>-1.7000000000000001E-2</c:v>
                </c:pt>
                <c:pt idx="117">
                  <c:v>3.2000000000000001E-2</c:v>
                </c:pt>
                <c:pt idx="118">
                  <c:v>8.5999999999999993E-2</c:v>
                </c:pt>
                <c:pt idx="119">
                  <c:v>0.14499999999999999</c:v>
                </c:pt>
              </c:numCache>
            </c:numRef>
          </c:val>
          <c:smooth val="0"/>
          <c:extLst>
            <c:ext xmlns:c16="http://schemas.microsoft.com/office/drawing/2014/chart" uri="{C3380CC4-5D6E-409C-BE32-E72D297353CC}">
              <c16:uniqueId val="{00000000-A502-4396-AD1F-494D88BB0DCD}"/>
            </c:ext>
          </c:extLst>
        </c:ser>
        <c:ser>
          <c:idx val="1"/>
          <c:order val="1"/>
          <c:tx>
            <c:strRef>
              <c:f>'ІЦВ (Стрим Інфл)+'!$AN$1</c:f>
              <c:strCache>
                <c:ptCount val="1"/>
                <c:pt idx="0">
                  <c:v>ГБ%</c:v>
                </c:pt>
              </c:strCache>
            </c:strRef>
          </c:tx>
          <c:spPr>
            <a:ln w="28575" cap="rnd">
              <a:solidFill>
                <a:schemeClr val="accent2"/>
              </a:solidFill>
              <a:round/>
            </a:ln>
            <a:effectLst/>
          </c:spPr>
          <c:marker>
            <c:symbol val="none"/>
          </c:marker>
          <c:cat>
            <c:strRef>
              <c:f>'ІЦВ (Стрим Інфл)+'!$C$14:$C$133</c:f>
              <c:strCache>
                <c:ptCount val="120"/>
                <c:pt idx="0">
                  <c:v>2011M01</c:v>
                </c:pt>
                <c:pt idx="1">
                  <c:v>2011M02</c:v>
                </c:pt>
                <c:pt idx="2">
                  <c:v>2011M03</c:v>
                </c:pt>
                <c:pt idx="3">
                  <c:v>2011M04</c:v>
                </c:pt>
                <c:pt idx="4">
                  <c:v>2011M05</c:v>
                </c:pt>
                <c:pt idx="5">
                  <c:v>2011M06</c:v>
                </c:pt>
                <c:pt idx="6">
                  <c:v>2011M07</c:v>
                </c:pt>
                <c:pt idx="7">
                  <c:v>2011M08</c:v>
                </c:pt>
                <c:pt idx="8">
                  <c:v>2011M09</c:v>
                </c:pt>
                <c:pt idx="9">
                  <c:v>2011M10</c:v>
                </c:pt>
                <c:pt idx="10">
                  <c:v>2011M11</c:v>
                </c:pt>
                <c:pt idx="11">
                  <c:v>2011M12</c:v>
                </c:pt>
                <c:pt idx="12">
                  <c:v>2012M01</c:v>
                </c:pt>
                <c:pt idx="13">
                  <c:v>2012M02</c:v>
                </c:pt>
                <c:pt idx="14">
                  <c:v>2012M03</c:v>
                </c:pt>
                <c:pt idx="15">
                  <c:v>2012M04</c:v>
                </c:pt>
                <c:pt idx="16">
                  <c:v>2012M05</c:v>
                </c:pt>
                <c:pt idx="17">
                  <c:v>2012M06</c:v>
                </c:pt>
                <c:pt idx="18">
                  <c:v>2012M07</c:v>
                </c:pt>
                <c:pt idx="19">
                  <c:v>2012M08</c:v>
                </c:pt>
                <c:pt idx="20">
                  <c:v>2012M09</c:v>
                </c:pt>
                <c:pt idx="21">
                  <c:v>2012M10</c:v>
                </c:pt>
                <c:pt idx="22">
                  <c:v>2012M11</c:v>
                </c:pt>
                <c:pt idx="23">
                  <c:v>2012M12</c:v>
                </c:pt>
                <c:pt idx="24">
                  <c:v>2013M01</c:v>
                </c:pt>
                <c:pt idx="25">
                  <c:v>2013M02</c:v>
                </c:pt>
                <c:pt idx="26">
                  <c:v>2013M03</c:v>
                </c:pt>
                <c:pt idx="27">
                  <c:v>2013M04</c:v>
                </c:pt>
                <c:pt idx="28">
                  <c:v>2013M05</c:v>
                </c:pt>
                <c:pt idx="29">
                  <c:v>2013M06</c:v>
                </c:pt>
                <c:pt idx="30">
                  <c:v>2013M07</c:v>
                </c:pt>
                <c:pt idx="31">
                  <c:v>2013M08</c:v>
                </c:pt>
                <c:pt idx="32">
                  <c:v>2013M09</c:v>
                </c:pt>
                <c:pt idx="33">
                  <c:v>2013M10</c:v>
                </c:pt>
                <c:pt idx="34">
                  <c:v>2013M11</c:v>
                </c:pt>
                <c:pt idx="35">
                  <c:v>2013M12</c:v>
                </c:pt>
                <c:pt idx="36">
                  <c:v>2014M01</c:v>
                </c:pt>
                <c:pt idx="37">
                  <c:v>2014M02</c:v>
                </c:pt>
                <c:pt idx="38">
                  <c:v>2014M03</c:v>
                </c:pt>
                <c:pt idx="39">
                  <c:v>2014M04</c:v>
                </c:pt>
                <c:pt idx="40">
                  <c:v>2014M05</c:v>
                </c:pt>
                <c:pt idx="41">
                  <c:v>2014M06</c:v>
                </c:pt>
                <c:pt idx="42">
                  <c:v>2014M07</c:v>
                </c:pt>
                <c:pt idx="43">
                  <c:v>2014M08</c:v>
                </c:pt>
                <c:pt idx="44">
                  <c:v>2014M09</c:v>
                </c:pt>
                <c:pt idx="45">
                  <c:v>2014M10</c:v>
                </c:pt>
                <c:pt idx="46">
                  <c:v>2014M11</c:v>
                </c:pt>
                <c:pt idx="47">
                  <c:v>2014M12</c:v>
                </c:pt>
                <c:pt idx="48">
                  <c:v>2015M01</c:v>
                </c:pt>
                <c:pt idx="49">
                  <c:v>2015M02</c:v>
                </c:pt>
                <c:pt idx="50">
                  <c:v>2015M03</c:v>
                </c:pt>
                <c:pt idx="51">
                  <c:v>2015M04</c:v>
                </c:pt>
                <c:pt idx="52">
                  <c:v>2015M05</c:v>
                </c:pt>
                <c:pt idx="53">
                  <c:v>2015M06</c:v>
                </c:pt>
                <c:pt idx="54">
                  <c:v>2015M07</c:v>
                </c:pt>
                <c:pt idx="55">
                  <c:v>2015M08</c:v>
                </c:pt>
                <c:pt idx="56">
                  <c:v>2015M09</c:v>
                </c:pt>
                <c:pt idx="57">
                  <c:v>2015M10</c:v>
                </c:pt>
                <c:pt idx="58">
                  <c:v>2015M11</c:v>
                </c:pt>
                <c:pt idx="59">
                  <c:v>2015M12</c:v>
                </c:pt>
                <c:pt idx="60">
                  <c:v>2016M01</c:v>
                </c:pt>
                <c:pt idx="61">
                  <c:v>2016M02</c:v>
                </c:pt>
                <c:pt idx="62">
                  <c:v>2016M03</c:v>
                </c:pt>
                <c:pt idx="63">
                  <c:v>2016M04</c:v>
                </c:pt>
                <c:pt idx="64">
                  <c:v>2016M05</c:v>
                </c:pt>
                <c:pt idx="65">
                  <c:v>2016M06</c:v>
                </c:pt>
                <c:pt idx="66">
                  <c:v>2016M07</c:v>
                </c:pt>
                <c:pt idx="67">
                  <c:v>2016M08</c:v>
                </c:pt>
                <c:pt idx="68">
                  <c:v>2016M09</c:v>
                </c:pt>
                <c:pt idx="69">
                  <c:v>2016M10</c:v>
                </c:pt>
                <c:pt idx="70">
                  <c:v>2016M11</c:v>
                </c:pt>
                <c:pt idx="71">
                  <c:v>2016M12</c:v>
                </c:pt>
                <c:pt idx="72">
                  <c:v>2017M01</c:v>
                </c:pt>
                <c:pt idx="73">
                  <c:v>2017M02</c:v>
                </c:pt>
                <c:pt idx="74">
                  <c:v>2017M03</c:v>
                </c:pt>
                <c:pt idx="75">
                  <c:v>2017M04</c:v>
                </c:pt>
                <c:pt idx="76">
                  <c:v>2017M05</c:v>
                </c:pt>
                <c:pt idx="77">
                  <c:v>2017M06</c:v>
                </c:pt>
                <c:pt idx="78">
                  <c:v>2017M07</c:v>
                </c:pt>
                <c:pt idx="79">
                  <c:v>2017M08</c:v>
                </c:pt>
                <c:pt idx="80">
                  <c:v>2017M09</c:v>
                </c:pt>
                <c:pt idx="81">
                  <c:v>2017M10</c:v>
                </c:pt>
                <c:pt idx="82">
                  <c:v>2017M11</c:v>
                </c:pt>
                <c:pt idx="83">
                  <c:v>2017M12</c:v>
                </c:pt>
                <c:pt idx="84">
                  <c:v>2018M01</c:v>
                </c:pt>
                <c:pt idx="85">
                  <c:v>2018M02</c:v>
                </c:pt>
                <c:pt idx="86">
                  <c:v>2018M03</c:v>
                </c:pt>
                <c:pt idx="87">
                  <c:v>2018M04</c:v>
                </c:pt>
                <c:pt idx="88">
                  <c:v>2018M05</c:v>
                </c:pt>
                <c:pt idx="89">
                  <c:v>2018M06</c:v>
                </c:pt>
                <c:pt idx="90">
                  <c:v>2018M07</c:v>
                </c:pt>
                <c:pt idx="91">
                  <c:v>2018M08</c:v>
                </c:pt>
                <c:pt idx="92">
                  <c:v>2018M09</c:v>
                </c:pt>
                <c:pt idx="93">
                  <c:v>2018M10</c:v>
                </c:pt>
                <c:pt idx="94">
                  <c:v>2018M11</c:v>
                </c:pt>
                <c:pt idx="95">
                  <c:v>2018M12</c:v>
                </c:pt>
                <c:pt idx="96">
                  <c:v>2019M01</c:v>
                </c:pt>
                <c:pt idx="97">
                  <c:v>2019M02</c:v>
                </c:pt>
                <c:pt idx="98">
                  <c:v>2019M03</c:v>
                </c:pt>
                <c:pt idx="99">
                  <c:v>2019M04</c:v>
                </c:pt>
                <c:pt idx="100">
                  <c:v>2019M05</c:v>
                </c:pt>
                <c:pt idx="101">
                  <c:v>2019M06</c:v>
                </c:pt>
                <c:pt idx="102">
                  <c:v>2019M07</c:v>
                </c:pt>
                <c:pt idx="103">
                  <c:v>2019M08</c:v>
                </c:pt>
                <c:pt idx="104">
                  <c:v>2019M09</c:v>
                </c:pt>
                <c:pt idx="105">
                  <c:v>2019M10</c:v>
                </c:pt>
                <c:pt idx="106">
                  <c:v>2019M11</c:v>
                </c:pt>
                <c:pt idx="107">
                  <c:v>2019M12</c:v>
                </c:pt>
                <c:pt idx="108">
                  <c:v>2020M01</c:v>
                </c:pt>
                <c:pt idx="109">
                  <c:v>2020M02</c:v>
                </c:pt>
                <c:pt idx="110">
                  <c:v>2020M03</c:v>
                </c:pt>
                <c:pt idx="111">
                  <c:v>2020M04</c:v>
                </c:pt>
                <c:pt idx="112">
                  <c:v>2020M05</c:v>
                </c:pt>
                <c:pt idx="113">
                  <c:v>2020M06</c:v>
                </c:pt>
                <c:pt idx="114">
                  <c:v>2020M07</c:v>
                </c:pt>
                <c:pt idx="115">
                  <c:v>2020M08</c:v>
                </c:pt>
                <c:pt idx="116">
                  <c:v>2020M09</c:v>
                </c:pt>
                <c:pt idx="117">
                  <c:v>2020M10</c:v>
                </c:pt>
                <c:pt idx="118">
                  <c:v>2020M11</c:v>
                </c:pt>
                <c:pt idx="119">
                  <c:v>2020M12</c:v>
                </c:pt>
              </c:strCache>
            </c:strRef>
          </c:cat>
          <c:val>
            <c:numRef>
              <c:f>'ІЦВ (Стрим Інфл)+'!$AN$14:$AN$133</c:f>
              <c:numCache>
                <c:formatCode>0.0%</c:formatCode>
                <c:ptCount val="120"/>
                <c:pt idx="0">
                  <c:v>0.16400204550507791</c:v>
                </c:pt>
                <c:pt idx="1">
                  <c:v>0.15527058214757861</c:v>
                </c:pt>
                <c:pt idx="2">
                  <c:v>0.13832927505781134</c:v>
                </c:pt>
                <c:pt idx="3">
                  <c:v>0.14191579233067642</c:v>
                </c:pt>
                <c:pt idx="4">
                  <c:v>0.13412880263492277</c:v>
                </c:pt>
                <c:pt idx="5">
                  <c:v>7.8733560310230377E-2</c:v>
                </c:pt>
                <c:pt idx="6">
                  <c:v>4.6489716296116645E-2</c:v>
                </c:pt>
                <c:pt idx="7">
                  <c:v>7.0901440384351755E-2</c:v>
                </c:pt>
                <c:pt idx="8">
                  <c:v>8.4933157570688644E-2</c:v>
                </c:pt>
                <c:pt idx="9">
                  <c:v>6.8940735807412112E-2</c:v>
                </c:pt>
                <c:pt idx="10">
                  <c:v>6.3895610965198912E-2</c:v>
                </c:pt>
                <c:pt idx="11">
                  <c:v>6.6925062199366669E-2</c:v>
                </c:pt>
                <c:pt idx="12">
                  <c:v>4.9870804173453909E-2</c:v>
                </c:pt>
                <c:pt idx="13">
                  <c:v>4.376418904089352E-2</c:v>
                </c:pt>
                <c:pt idx="14">
                  <c:v>4.6967958560070633E-2</c:v>
                </c:pt>
                <c:pt idx="15">
                  <c:v>3.7216198456712535E-2</c:v>
                </c:pt>
                <c:pt idx="16">
                  <c:v>3.5786437522671521E-2</c:v>
                </c:pt>
                <c:pt idx="17">
                  <c:v>5.3064225399737985E-2</c:v>
                </c:pt>
                <c:pt idx="18">
                  <c:v>5.2376917830883496E-2</c:v>
                </c:pt>
                <c:pt idx="19">
                  <c:v>4.0171166712167361E-2</c:v>
                </c:pt>
                <c:pt idx="20">
                  <c:v>4.9473271150392018E-2</c:v>
                </c:pt>
                <c:pt idx="21">
                  <c:v>5.3412598269855449E-2</c:v>
                </c:pt>
                <c:pt idx="22">
                  <c:v>4.089534546528828E-2</c:v>
                </c:pt>
                <c:pt idx="23">
                  <c:v>4.8780824762549413E-2</c:v>
                </c:pt>
                <c:pt idx="24">
                  <c:v>7.9338973587758987E-2</c:v>
                </c:pt>
                <c:pt idx="25">
                  <c:v>0.10538413431027283</c:v>
                </c:pt>
                <c:pt idx="26">
                  <c:v>0.10712543064724644</c:v>
                </c:pt>
                <c:pt idx="27">
                  <c:v>0.11363622105858528</c:v>
                </c:pt>
                <c:pt idx="28">
                  <c:v>0.13531575833067877</c:v>
                </c:pt>
                <c:pt idx="29">
                  <c:v>0.13795850086680828</c:v>
                </c:pt>
                <c:pt idx="30">
                  <c:v>0.13594466399426963</c:v>
                </c:pt>
                <c:pt idx="31">
                  <c:v>0.13693378337480167</c:v>
                </c:pt>
                <c:pt idx="32">
                  <c:v>0.14173333463167714</c:v>
                </c:pt>
                <c:pt idx="33">
                  <c:v>0.16037497437718984</c:v>
                </c:pt>
                <c:pt idx="34">
                  <c:v>0.19093987449600047</c:v>
                </c:pt>
                <c:pt idx="35">
                  <c:v>0.20612006700119689</c:v>
                </c:pt>
                <c:pt idx="36">
                  <c:v>0.18648804002348185</c:v>
                </c:pt>
                <c:pt idx="37">
                  <c:v>0.18975070242260839</c:v>
                </c:pt>
                <c:pt idx="38">
                  <c:v>0.2472325135651019</c:v>
                </c:pt>
                <c:pt idx="39">
                  <c:v>0.27630937836636837</c:v>
                </c:pt>
                <c:pt idx="40">
                  <c:v>0.2674642682846502</c:v>
                </c:pt>
                <c:pt idx="41">
                  <c:v>0.2696441681953563</c:v>
                </c:pt>
                <c:pt idx="42">
                  <c:v>0.26158881273858414</c:v>
                </c:pt>
                <c:pt idx="43">
                  <c:v>0.2269255260434051</c:v>
                </c:pt>
                <c:pt idx="44">
                  <c:v>0.21929042082899453</c:v>
                </c:pt>
                <c:pt idx="45">
                  <c:v>0.19424027429308155</c:v>
                </c:pt>
                <c:pt idx="46">
                  <c:v>0.14595301543967287</c:v>
                </c:pt>
                <c:pt idx="47">
                  <c:v>0.11054761465372653</c:v>
                </c:pt>
                <c:pt idx="48">
                  <c:v>9.6957454403301613E-2</c:v>
                </c:pt>
                <c:pt idx="49">
                  <c:v>9.1983789947901684E-2</c:v>
                </c:pt>
                <c:pt idx="50">
                  <c:v>4.0960191533398582E-2</c:v>
                </c:pt>
                <c:pt idx="51">
                  <c:v>-8.3586819635060872E-3</c:v>
                </c:pt>
                <c:pt idx="52">
                  <c:v>-3.2069176088872942E-2</c:v>
                </c:pt>
                <c:pt idx="53">
                  <c:v>-4.8835471234985883E-2</c:v>
                </c:pt>
                <c:pt idx="54">
                  <c:v>-5.2897537383546744E-2</c:v>
                </c:pt>
                <c:pt idx="55">
                  <c:v>-4.2190684646750798E-2</c:v>
                </c:pt>
                <c:pt idx="56">
                  <c:v>-6.1868540532891036E-2</c:v>
                </c:pt>
                <c:pt idx="57">
                  <c:v>-6.488835968442519E-2</c:v>
                </c:pt>
                <c:pt idx="58">
                  <c:v>-3.2251882860970027E-2</c:v>
                </c:pt>
                <c:pt idx="59">
                  <c:v>-6.582407552773395E-3</c:v>
                </c:pt>
                <c:pt idx="60">
                  <c:v>1.6900438457136069E-2</c:v>
                </c:pt>
                <c:pt idx="61">
                  <c:v>7.973539993082035E-3</c:v>
                </c:pt>
                <c:pt idx="62">
                  <c:v>-1.1859259069667782E-2</c:v>
                </c:pt>
                <c:pt idx="63">
                  <c:v>1.117368993500456E-3</c:v>
                </c:pt>
                <c:pt idx="64">
                  <c:v>2.0142814674639853E-2</c:v>
                </c:pt>
                <c:pt idx="65">
                  <c:v>4.5533918692153286E-2</c:v>
                </c:pt>
                <c:pt idx="66">
                  <c:v>6.7312926454356825E-2</c:v>
                </c:pt>
                <c:pt idx="67">
                  <c:v>7.7459799916726357E-2</c:v>
                </c:pt>
                <c:pt idx="68">
                  <c:v>9.6703053387338977E-2</c:v>
                </c:pt>
                <c:pt idx="69">
                  <c:v>0.10987234423890402</c:v>
                </c:pt>
                <c:pt idx="70">
                  <c:v>0.11358282298260924</c:v>
                </c:pt>
                <c:pt idx="71">
                  <c:v>0.124669732462803</c:v>
                </c:pt>
                <c:pt idx="72">
                  <c:v>0.10803211725533179</c:v>
                </c:pt>
                <c:pt idx="73">
                  <c:v>9.026068370574114E-2</c:v>
                </c:pt>
                <c:pt idx="74">
                  <c:v>9.556956130816241E-2</c:v>
                </c:pt>
                <c:pt idx="75">
                  <c:v>9.3774215823846818E-2</c:v>
                </c:pt>
                <c:pt idx="76">
                  <c:v>9.4075182377076016E-2</c:v>
                </c:pt>
                <c:pt idx="77">
                  <c:v>8.6891248913206542E-2</c:v>
                </c:pt>
                <c:pt idx="78">
                  <c:v>7.6339277291160412E-2</c:v>
                </c:pt>
                <c:pt idx="79">
                  <c:v>6.4930824435173173E-2</c:v>
                </c:pt>
                <c:pt idx="80">
                  <c:v>5.551303953990594E-2</c:v>
                </c:pt>
                <c:pt idx="81">
                  <c:v>5.6606379065422541E-2</c:v>
                </c:pt>
                <c:pt idx="82">
                  <c:v>6.0557209603139484E-2</c:v>
                </c:pt>
                <c:pt idx="83">
                  <c:v>5.2274731561617882E-2</c:v>
                </c:pt>
                <c:pt idx="84">
                  <c:v>6.4292210495440871E-2</c:v>
                </c:pt>
                <c:pt idx="85">
                  <c:v>0.101822812955797</c:v>
                </c:pt>
                <c:pt idx="86">
                  <c:v>0.11088660098989567</c:v>
                </c:pt>
                <c:pt idx="87">
                  <c:v>0.11058195252699221</c:v>
                </c:pt>
                <c:pt idx="88">
                  <c:v>0.11249211709080401</c:v>
                </c:pt>
                <c:pt idx="89">
                  <c:v>0.10290068380490647</c:v>
                </c:pt>
                <c:pt idx="90">
                  <c:v>0.10408647418285888</c:v>
                </c:pt>
                <c:pt idx="91">
                  <c:v>0.11063329422976587</c:v>
                </c:pt>
                <c:pt idx="92">
                  <c:v>0.12471101885890934</c:v>
                </c:pt>
                <c:pt idx="93">
                  <c:v>0.13247397423300389</c:v>
                </c:pt>
                <c:pt idx="94">
                  <c:v>0.13527585486916638</c:v>
                </c:pt>
                <c:pt idx="95">
                  <c:v>0.11638157315486009</c:v>
                </c:pt>
                <c:pt idx="96">
                  <c:v>9.2660991193975306E-2</c:v>
                </c:pt>
                <c:pt idx="97">
                  <c:v>6.8997273238144752E-2</c:v>
                </c:pt>
                <c:pt idx="98">
                  <c:v>6.1267214464985065E-2</c:v>
                </c:pt>
                <c:pt idx="99">
                  <c:v>6.8583316792270921E-2</c:v>
                </c:pt>
                <c:pt idx="100">
                  <c:v>5.6399836806372498E-2</c:v>
                </c:pt>
                <c:pt idx="101">
                  <c:v>5.6322619746557834E-2</c:v>
                </c:pt>
                <c:pt idx="102">
                  <c:v>4.8633795962898407E-2</c:v>
                </c:pt>
                <c:pt idx="103">
                  <c:v>4.6994789954724725E-2</c:v>
                </c:pt>
                <c:pt idx="104">
                  <c:v>4.7854637041340187E-2</c:v>
                </c:pt>
                <c:pt idx="105">
                  <c:v>3.9420137013847611E-2</c:v>
                </c:pt>
                <c:pt idx="106">
                  <c:v>3.6170326935767827E-2</c:v>
                </c:pt>
                <c:pt idx="107">
                  <c:v>6.4355248934123033E-2</c:v>
                </c:pt>
                <c:pt idx="108">
                  <c:v>8.6504919099430921E-2</c:v>
                </c:pt>
                <c:pt idx="109">
                  <c:v>8.7502856582608146E-2</c:v>
                </c:pt>
                <c:pt idx="110">
                  <c:v>0.13783654688152192</c:v>
                </c:pt>
                <c:pt idx="111">
                  <c:v>0.18973900630213958</c:v>
                </c:pt>
                <c:pt idx="112">
                  <c:v>0.20054725032312026</c:v>
                </c:pt>
                <c:pt idx="113">
                  <c:v>0.2191956338185026</c:v>
                </c:pt>
                <c:pt idx="114">
                  <c:v>0.24548744652892784</c:v>
                </c:pt>
                <c:pt idx="115">
                  <c:v>0.2749972894327477</c:v>
                </c:pt>
                <c:pt idx="116">
                  <c:v>0.2808264648740777</c:v>
                </c:pt>
                <c:pt idx="117">
                  <c:v>0.31781730695227184</c:v>
                </c:pt>
                <c:pt idx="118">
                  <c:v>0.31959051649816206</c:v>
                </c:pt>
                <c:pt idx="119">
                  <c:v>0.28973990815307737</c:v>
                </c:pt>
              </c:numCache>
            </c:numRef>
          </c:val>
          <c:smooth val="0"/>
          <c:extLst>
            <c:ext xmlns:c16="http://schemas.microsoft.com/office/drawing/2014/chart" uri="{C3380CC4-5D6E-409C-BE32-E72D297353CC}">
              <c16:uniqueId val="{00000001-A502-4396-AD1F-494D88BB0DCD}"/>
            </c:ext>
          </c:extLst>
        </c:ser>
        <c:dLbls>
          <c:showLegendKey val="0"/>
          <c:showVal val="0"/>
          <c:showCatName val="0"/>
          <c:showSerName val="0"/>
          <c:showPercent val="0"/>
          <c:showBubbleSize val="0"/>
        </c:dLbls>
        <c:smooth val="0"/>
        <c:axId val="973331744"/>
        <c:axId val="973330912"/>
      </c:lineChart>
      <c:catAx>
        <c:axId val="97333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30912"/>
        <c:crosses val="autoZero"/>
        <c:auto val="1"/>
        <c:lblAlgn val="ctr"/>
        <c:lblOffset val="100"/>
        <c:noMultiLvlLbl val="0"/>
      </c:catAx>
      <c:valAx>
        <c:axId val="9733309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3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'ІЦВ (Стрим Інфл)+'!$J$99:$J$118</c:f>
              <c:numCache>
                <c:formatCode>0.0%</c:formatCode>
                <c:ptCount val="20"/>
                <c:pt idx="0">
                  <c:v>0.19599999999999995</c:v>
                </c:pt>
                <c:pt idx="1">
                  <c:v>0.15900000000000006</c:v>
                </c:pt>
                <c:pt idx="2">
                  <c:v>0.14099999999999993</c:v>
                </c:pt>
                <c:pt idx="3">
                  <c:v>0.16500000000000001</c:v>
                </c:pt>
                <c:pt idx="4">
                  <c:v>0.18400000000000005</c:v>
                </c:pt>
                <c:pt idx="5">
                  <c:v>0.18099999999999994</c:v>
                </c:pt>
                <c:pt idx="6">
                  <c:v>0.19299999999999998</c:v>
                </c:pt>
                <c:pt idx="7">
                  <c:v>0.18900000000000006</c:v>
                </c:pt>
                <c:pt idx="8">
                  <c:v>0.16600000000000001</c:v>
                </c:pt>
                <c:pt idx="9">
                  <c:v>0.16500000000000001</c:v>
                </c:pt>
                <c:pt idx="10">
                  <c:v>0.14199999999999999</c:v>
                </c:pt>
                <c:pt idx="11">
                  <c:v>0.104</c:v>
                </c:pt>
                <c:pt idx="12">
                  <c:v>0.10199999999999999</c:v>
                </c:pt>
                <c:pt idx="13">
                  <c:v>8.8999999999999996E-2</c:v>
                </c:pt>
                <c:pt idx="14">
                  <c:v>7.2999999999999995E-2</c:v>
                </c:pt>
                <c:pt idx="15">
                  <c:v>8.5000000000000006E-2</c:v>
                </c:pt>
                <c:pt idx="16">
                  <c:v>4.4999999999999998E-2</c:v>
                </c:pt>
                <c:pt idx="17">
                  <c:v>6.7000000000000004E-2</c:v>
                </c:pt>
                <c:pt idx="18">
                  <c:v>4.4999999999999998E-2</c:v>
                </c:pt>
                <c:pt idx="19">
                  <c:v>1.7000000000000001E-2</c:v>
                </c:pt>
              </c:numCache>
            </c:numRef>
          </c:xVal>
          <c:yVal>
            <c:numRef>
              <c:f>'ІЦВ (Стрим Інфл)+'!$AN$99:$AN$118</c:f>
              <c:numCache>
                <c:formatCode>0.0%</c:formatCode>
                <c:ptCount val="20"/>
                <c:pt idx="0">
                  <c:v>0.101822812955797</c:v>
                </c:pt>
                <c:pt idx="1">
                  <c:v>0.11088660098989567</c:v>
                </c:pt>
                <c:pt idx="2">
                  <c:v>0.11058195252699221</c:v>
                </c:pt>
                <c:pt idx="3">
                  <c:v>0.11249211709080401</c:v>
                </c:pt>
                <c:pt idx="4">
                  <c:v>0.10290068380490647</c:v>
                </c:pt>
                <c:pt idx="5">
                  <c:v>0.10408647418285888</c:v>
                </c:pt>
                <c:pt idx="6">
                  <c:v>0.11063329422976587</c:v>
                </c:pt>
                <c:pt idx="7">
                  <c:v>0.12471101885890934</c:v>
                </c:pt>
                <c:pt idx="8">
                  <c:v>0.13247397423300389</c:v>
                </c:pt>
                <c:pt idx="9">
                  <c:v>0.13527585486916638</c:v>
                </c:pt>
                <c:pt idx="10">
                  <c:v>0.11638157315486009</c:v>
                </c:pt>
                <c:pt idx="11">
                  <c:v>9.2660991193975306E-2</c:v>
                </c:pt>
                <c:pt idx="12">
                  <c:v>6.8997273238144752E-2</c:v>
                </c:pt>
                <c:pt idx="13">
                  <c:v>6.1267214464985065E-2</c:v>
                </c:pt>
                <c:pt idx="14">
                  <c:v>6.8583316792270921E-2</c:v>
                </c:pt>
                <c:pt idx="15">
                  <c:v>5.6399836806372498E-2</c:v>
                </c:pt>
                <c:pt idx="16">
                  <c:v>5.6322619746557834E-2</c:v>
                </c:pt>
                <c:pt idx="17">
                  <c:v>4.8633795962898407E-2</c:v>
                </c:pt>
                <c:pt idx="18">
                  <c:v>4.6994789954724725E-2</c:v>
                </c:pt>
                <c:pt idx="19">
                  <c:v>4.7854637041340187E-2</c:v>
                </c:pt>
              </c:numCache>
            </c:numRef>
          </c:yVal>
          <c:smooth val="0"/>
          <c:extLst>
            <c:ext xmlns:c16="http://schemas.microsoft.com/office/drawing/2014/chart" uri="{C3380CC4-5D6E-409C-BE32-E72D297353CC}">
              <c16:uniqueId val="{00000000-6395-40C8-B48B-88532A503E56}"/>
            </c:ext>
          </c:extLst>
        </c:ser>
        <c:dLbls>
          <c:showLegendKey val="0"/>
          <c:showVal val="0"/>
          <c:showCatName val="0"/>
          <c:showSerName val="0"/>
          <c:showPercent val="0"/>
          <c:showBubbleSize val="0"/>
        </c:dLbls>
        <c:axId val="1120913200"/>
        <c:axId val="1120912784"/>
      </c:scatterChart>
      <c:valAx>
        <c:axId val="112091320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912784"/>
        <c:crosses val="autoZero"/>
        <c:crossBetween val="midCat"/>
      </c:valAx>
      <c:valAx>
        <c:axId val="11209127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9132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0056233595800524"/>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og"/>
            <c:dispRSqr val="1"/>
            <c:dispEq val="1"/>
            <c:trendlineLbl>
              <c:layout>
                <c:manualLayout>
                  <c:x val="0.1273786089238845"/>
                  <c:y val="-0.6008249489647127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'ІЦВ (Стрим Інфл)+'!$AN$26:$AN$49</c:f>
              <c:numCache>
                <c:formatCode>0.0%</c:formatCode>
                <c:ptCount val="24"/>
                <c:pt idx="0">
                  <c:v>4.9870804173453909E-2</c:v>
                </c:pt>
                <c:pt idx="1">
                  <c:v>4.376418904089352E-2</c:v>
                </c:pt>
                <c:pt idx="2">
                  <c:v>4.6967958560070633E-2</c:v>
                </c:pt>
                <c:pt idx="3">
                  <c:v>3.7216198456712535E-2</c:v>
                </c:pt>
                <c:pt idx="4">
                  <c:v>3.5786437522671521E-2</c:v>
                </c:pt>
                <c:pt idx="5">
                  <c:v>5.3064225399737985E-2</c:v>
                </c:pt>
                <c:pt idx="6">
                  <c:v>5.2376917830883496E-2</c:v>
                </c:pt>
                <c:pt idx="7">
                  <c:v>4.0171166712167361E-2</c:v>
                </c:pt>
                <c:pt idx="8">
                  <c:v>4.9473271150392018E-2</c:v>
                </c:pt>
                <c:pt idx="9">
                  <c:v>5.3412598269855449E-2</c:v>
                </c:pt>
                <c:pt idx="10">
                  <c:v>4.089534546528828E-2</c:v>
                </c:pt>
                <c:pt idx="11">
                  <c:v>4.8780824762549413E-2</c:v>
                </c:pt>
                <c:pt idx="12">
                  <c:v>7.9338973587758987E-2</c:v>
                </c:pt>
                <c:pt idx="13">
                  <c:v>0.10538413431027283</c:v>
                </c:pt>
                <c:pt idx="14">
                  <c:v>0.10712543064724644</c:v>
                </c:pt>
                <c:pt idx="15">
                  <c:v>0.11363622105858528</c:v>
                </c:pt>
                <c:pt idx="16">
                  <c:v>0.13531575833067877</c:v>
                </c:pt>
                <c:pt idx="17">
                  <c:v>0.13795850086680828</c:v>
                </c:pt>
                <c:pt idx="18">
                  <c:v>0.13594466399426963</c:v>
                </c:pt>
                <c:pt idx="19">
                  <c:v>0.13693378337480167</c:v>
                </c:pt>
                <c:pt idx="20">
                  <c:v>0.14173333463167714</c:v>
                </c:pt>
                <c:pt idx="21">
                  <c:v>0.16037497437718984</c:v>
                </c:pt>
                <c:pt idx="22">
                  <c:v>0.19093987449600047</c:v>
                </c:pt>
                <c:pt idx="23">
                  <c:v>0.20612006700119689</c:v>
                </c:pt>
              </c:numCache>
            </c:numRef>
          </c:xVal>
          <c:yVal>
            <c:numRef>
              <c:f>'ІЦВ (Стрим Інфл)+'!$J$26:$J$49</c:f>
              <c:numCache>
                <c:formatCode>0.0%</c:formatCode>
                <c:ptCount val="24"/>
                <c:pt idx="0">
                  <c:v>0.11799999999999997</c:v>
                </c:pt>
                <c:pt idx="1">
                  <c:v>7.4999999999999997E-2</c:v>
                </c:pt>
                <c:pt idx="2">
                  <c:v>6.5000000000000002E-2</c:v>
                </c:pt>
                <c:pt idx="3">
                  <c:v>6.9000000000000061E-2</c:v>
                </c:pt>
                <c:pt idx="4">
                  <c:v>4.2999999999999969E-2</c:v>
                </c:pt>
                <c:pt idx="5">
                  <c:v>4.4999999999999998E-2</c:v>
                </c:pt>
                <c:pt idx="6">
                  <c:v>1.4000000000000058E-2</c:v>
                </c:pt>
                <c:pt idx="7">
                  <c:v>1.4000000000000058E-2</c:v>
                </c:pt>
                <c:pt idx="8">
                  <c:v>2.9999999999999714E-3</c:v>
                </c:pt>
                <c:pt idx="9">
                  <c:v>5.9999999999999429E-3</c:v>
                </c:pt>
                <c:pt idx="10">
                  <c:v>0</c:v>
                </c:pt>
                <c:pt idx="11">
                  <c:v>2.9999999999999714E-3</c:v>
                </c:pt>
                <c:pt idx="12">
                  <c:v>1.4999999999999999E-2</c:v>
                </c:pt>
                <c:pt idx="13">
                  <c:v>-9.0000000000000566E-3</c:v>
                </c:pt>
                <c:pt idx="14">
                  <c:v>2.0000000000000282E-3</c:v>
                </c:pt>
                <c:pt idx="15">
                  <c:v>-0.01</c:v>
                </c:pt>
                <c:pt idx="16">
                  <c:v>1.9000000000000059E-2</c:v>
                </c:pt>
                <c:pt idx="17">
                  <c:v>-1.59999999999999E-2</c:v>
                </c:pt>
                <c:pt idx="18">
                  <c:v>-1.5999999999999945E-2</c:v>
                </c:pt>
                <c:pt idx="19">
                  <c:v>-9.0000000000000566E-3</c:v>
                </c:pt>
                <c:pt idx="20">
                  <c:v>-9.0000000000000566E-3</c:v>
                </c:pt>
                <c:pt idx="21">
                  <c:v>7.9999999999999724E-3</c:v>
                </c:pt>
                <c:pt idx="22">
                  <c:v>-5.0000000000000001E-3</c:v>
                </c:pt>
                <c:pt idx="23">
                  <c:v>1.7000000000000029E-2</c:v>
                </c:pt>
              </c:numCache>
            </c:numRef>
          </c:yVal>
          <c:smooth val="0"/>
          <c:extLst>
            <c:ext xmlns:c16="http://schemas.microsoft.com/office/drawing/2014/chart" uri="{C3380CC4-5D6E-409C-BE32-E72D297353CC}">
              <c16:uniqueId val="{00000002-4A93-4DFD-95A9-6009BA4D1594}"/>
            </c:ext>
          </c:extLst>
        </c:ser>
        <c:dLbls>
          <c:showLegendKey val="0"/>
          <c:showVal val="0"/>
          <c:showCatName val="0"/>
          <c:showSerName val="0"/>
          <c:showPercent val="0"/>
          <c:showBubbleSize val="0"/>
        </c:dLbls>
        <c:axId val="603918136"/>
        <c:axId val="603914296"/>
      </c:scatterChart>
      <c:valAx>
        <c:axId val="60391813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914296"/>
        <c:crosses val="autoZero"/>
        <c:crossBetween val="midCat"/>
      </c:valAx>
      <c:valAx>
        <c:axId val="6039142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918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og"/>
            <c:dispRSqr val="1"/>
            <c:dispEq val="1"/>
            <c:trendlineLbl>
              <c:layout>
                <c:manualLayout>
                  <c:x val="0.1273786089238845"/>
                  <c:y val="-0.6008249489647127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'ІЦВ (Стрим Інфл)+'!$AN$110:$AN$133</c:f>
              <c:numCache>
                <c:formatCode>0.0%</c:formatCode>
                <c:ptCount val="24"/>
                <c:pt idx="0">
                  <c:v>9.2660991193975306E-2</c:v>
                </c:pt>
                <c:pt idx="1">
                  <c:v>6.8997273238144752E-2</c:v>
                </c:pt>
                <c:pt idx="2">
                  <c:v>6.1267214464985065E-2</c:v>
                </c:pt>
                <c:pt idx="3">
                  <c:v>6.8583316792270921E-2</c:v>
                </c:pt>
                <c:pt idx="4">
                  <c:v>5.6399836806372498E-2</c:v>
                </c:pt>
                <c:pt idx="5">
                  <c:v>5.6322619746557834E-2</c:v>
                </c:pt>
                <c:pt idx="6">
                  <c:v>4.8633795962898407E-2</c:v>
                </c:pt>
                <c:pt idx="7">
                  <c:v>4.6994789954724725E-2</c:v>
                </c:pt>
                <c:pt idx="8">
                  <c:v>4.7854637041340187E-2</c:v>
                </c:pt>
                <c:pt idx="9">
                  <c:v>3.9420137013847611E-2</c:v>
                </c:pt>
                <c:pt idx="10">
                  <c:v>3.6170326935767827E-2</c:v>
                </c:pt>
                <c:pt idx="11">
                  <c:v>6.4355248934123033E-2</c:v>
                </c:pt>
                <c:pt idx="12">
                  <c:v>8.6504919099430921E-2</c:v>
                </c:pt>
                <c:pt idx="13">
                  <c:v>8.7502856582608146E-2</c:v>
                </c:pt>
                <c:pt idx="14">
                  <c:v>0.13783654688152192</c:v>
                </c:pt>
                <c:pt idx="15">
                  <c:v>0.18973900630213958</c:v>
                </c:pt>
                <c:pt idx="16">
                  <c:v>0.20054725032312026</c:v>
                </c:pt>
                <c:pt idx="17">
                  <c:v>0.2191956338185026</c:v>
                </c:pt>
                <c:pt idx="18">
                  <c:v>0.24548744652892784</c:v>
                </c:pt>
                <c:pt idx="19">
                  <c:v>0.2749972894327477</c:v>
                </c:pt>
                <c:pt idx="20">
                  <c:v>0.2808264648740777</c:v>
                </c:pt>
                <c:pt idx="21">
                  <c:v>0.31781730695227184</c:v>
                </c:pt>
                <c:pt idx="22">
                  <c:v>0.31959051649816206</c:v>
                </c:pt>
                <c:pt idx="23">
                  <c:v>0.28973990815307737</c:v>
                </c:pt>
              </c:numCache>
            </c:numRef>
          </c:xVal>
          <c:yVal>
            <c:numRef>
              <c:f>'ІЦВ (Стрим Інфл)+'!$J$110:$J$133</c:f>
              <c:numCache>
                <c:formatCode>0.0%</c:formatCode>
                <c:ptCount val="24"/>
                <c:pt idx="0">
                  <c:v>0.104</c:v>
                </c:pt>
                <c:pt idx="1">
                  <c:v>0.10199999999999999</c:v>
                </c:pt>
                <c:pt idx="2">
                  <c:v>8.8999999999999996E-2</c:v>
                </c:pt>
                <c:pt idx="3">
                  <c:v>7.2999999999999995E-2</c:v>
                </c:pt>
                <c:pt idx="4">
                  <c:v>8.5000000000000006E-2</c:v>
                </c:pt>
                <c:pt idx="5">
                  <c:v>4.4999999999999998E-2</c:v>
                </c:pt>
                <c:pt idx="6">
                  <c:v>6.7000000000000004E-2</c:v>
                </c:pt>
                <c:pt idx="7">
                  <c:v>4.4999999999999998E-2</c:v>
                </c:pt>
                <c:pt idx="8">
                  <c:v>1.7000000000000001E-2</c:v>
                </c:pt>
                <c:pt idx="9" formatCode="0.00%">
                  <c:v>2E-3</c:v>
                </c:pt>
                <c:pt idx="10">
                  <c:v>-4.4999999999999998E-2</c:v>
                </c:pt>
                <c:pt idx="11">
                  <c:v>-7.3999999999999996E-2</c:v>
                </c:pt>
                <c:pt idx="12">
                  <c:v>-5.8999999999999997E-2</c:v>
                </c:pt>
                <c:pt idx="13">
                  <c:v>-6.8000000000000005E-2</c:v>
                </c:pt>
                <c:pt idx="14">
                  <c:v>-4.2000000000000003E-2</c:v>
                </c:pt>
                <c:pt idx="15">
                  <c:v>-2.5999999999999999E-2</c:v>
                </c:pt>
                <c:pt idx="16">
                  <c:v>-5.0999999999999941E-2</c:v>
                </c:pt>
                <c:pt idx="17">
                  <c:v>-4.5999999999999944E-2</c:v>
                </c:pt>
                <c:pt idx="18">
                  <c:v>-7.4999999999999997E-2</c:v>
                </c:pt>
                <c:pt idx="19">
                  <c:v>-4.7E-2</c:v>
                </c:pt>
                <c:pt idx="20">
                  <c:v>-1.7000000000000001E-2</c:v>
                </c:pt>
                <c:pt idx="21">
                  <c:v>3.2000000000000001E-2</c:v>
                </c:pt>
                <c:pt idx="22">
                  <c:v>8.5999999999999993E-2</c:v>
                </c:pt>
                <c:pt idx="23">
                  <c:v>0.14499999999999999</c:v>
                </c:pt>
              </c:numCache>
            </c:numRef>
          </c:yVal>
          <c:smooth val="0"/>
          <c:extLst>
            <c:ext xmlns:c16="http://schemas.microsoft.com/office/drawing/2014/chart" uri="{C3380CC4-5D6E-409C-BE32-E72D297353CC}">
              <c16:uniqueId val="{00000002-3222-4C74-B525-1AB29CD3D431}"/>
            </c:ext>
          </c:extLst>
        </c:ser>
        <c:dLbls>
          <c:showLegendKey val="0"/>
          <c:showVal val="0"/>
          <c:showCatName val="0"/>
          <c:showSerName val="0"/>
          <c:showPercent val="0"/>
          <c:showBubbleSize val="0"/>
        </c:dLbls>
        <c:axId val="603918136"/>
        <c:axId val="603914296"/>
      </c:scatterChart>
      <c:valAx>
        <c:axId val="60391813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914296"/>
        <c:crosses val="autoZero"/>
        <c:crossBetween val="midCat"/>
      </c:valAx>
      <c:valAx>
        <c:axId val="6039142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918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1600066749777724E-2"/>
          <c:y val="0.17139716535108296"/>
          <c:w val="0.95042176127381006"/>
          <c:h val="0.81423697005006268"/>
        </c:manualLayout>
      </c:layout>
      <c:lineChart>
        <c:grouping val="standard"/>
        <c:varyColors val="0"/>
        <c:ser>
          <c:idx val="0"/>
          <c:order val="0"/>
          <c:tx>
            <c:strRef>
              <c:f>'ІЦВ (Стрим Інфл)+'!$J$1</c:f>
              <c:strCache>
                <c:ptCount val="1"/>
                <c:pt idx="0">
                  <c:v>ІЦВ - (ГБ last 12 month)</c:v>
                </c:pt>
              </c:strCache>
            </c:strRef>
          </c:tx>
          <c:spPr>
            <a:ln w="28575" cap="rnd">
              <a:solidFill>
                <a:schemeClr val="accent1"/>
              </a:solidFill>
              <a:round/>
            </a:ln>
            <a:effectLst/>
          </c:spPr>
          <c:marker>
            <c:symbol val="none"/>
          </c:marker>
          <c:cat>
            <c:strRef>
              <c:f>'ІЦВ (Стрим Інфл)+'!$C$14:$C$133</c:f>
              <c:strCache>
                <c:ptCount val="120"/>
                <c:pt idx="0">
                  <c:v>2011M01</c:v>
                </c:pt>
                <c:pt idx="1">
                  <c:v>2011M02</c:v>
                </c:pt>
                <c:pt idx="2">
                  <c:v>2011M03</c:v>
                </c:pt>
                <c:pt idx="3">
                  <c:v>2011M04</c:v>
                </c:pt>
                <c:pt idx="4">
                  <c:v>2011M05</c:v>
                </c:pt>
                <c:pt idx="5">
                  <c:v>2011M06</c:v>
                </c:pt>
                <c:pt idx="6">
                  <c:v>2011M07</c:v>
                </c:pt>
                <c:pt idx="7">
                  <c:v>2011M08</c:v>
                </c:pt>
                <c:pt idx="8">
                  <c:v>2011M09</c:v>
                </c:pt>
                <c:pt idx="9">
                  <c:v>2011M10</c:v>
                </c:pt>
                <c:pt idx="10">
                  <c:v>2011M11</c:v>
                </c:pt>
                <c:pt idx="11">
                  <c:v>2011M12</c:v>
                </c:pt>
                <c:pt idx="12">
                  <c:v>2012M01</c:v>
                </c:pt>
                <c:pt idx="13">
                  <c:v>2012M02</c:v>
                </c:pt>
                <c:pt idx="14">
                  <c:v>2012M03</c:v>
                </c:pt>
                <c:pt idx="15">
                  <c:v>2012M04</c:v>
                </c:pt>
                <c:pt idx="16">
                  <c:v>2012M05</c:v>
                </c:pt>
                <c:pt idx="17">
                  <c:v>2012M06</c:v>
                </c:pt>
                <c:pt idx="18">
                  <c:v>2012M07</c:v>
                </c:pt>
                <c:pt idx="19">
                  <c:v>2012M08</c:v>
                </c:pt>
                <c:pt idx="20">
                  <c:v>2012M09</c:v>
                </c:pt>
                <c:pt idx="21">
                  <c:v>2012M10</c:v>
                </c:pt>
                <c:pt idx="22">
                  <c:v>2012M11</c:v>
                </c:pt>
                <c:pt idx="23">
                  <c:v>2012M12</c:v>
                </c:pt>
                <c:pt idx="24">
                  <c:v>2013M01</c:v>
                </c:pt>
                <c:pt idx="25">
                  <c:v>2013M02</c:v>
                </c:pt>
                <c:pt idx="26">
                  <c:v>2013M03</c:v>
                </c:pt>
                <c:pt idx="27">
                  <c:v>2013M04</c:v>
                </c:pt>
                <c:pt idx="28">
                  <c:v>2013M05</c:v>
                </c:pt>
                <c:pt idx="29">
                  <c:v>2013M06</c:v>
                </c:pt>
                <c:pt idx="30">
                  <c:v>2013M07</c:v>
                </c:pt>
                <c:pt idx="31">
                  <c:v>2013M08</c:v>
                </c:pt>
                <c:pt idx="32">
                  <c:v>2013M09</c:v>
                </c:pt>
                <c:pt idx="33">
                  <c:v>2013M10</c:v>
                </c:pt>
                <c:pt idx="34">
                  <c:v>2013M11</c:v>
                </c:pt>
                <c:pt idx="35">
                  <c:v>2013M12</c:v>
                </c:pt>
                <c:pt idx="36">
                  <c:v>2014M01</c:v>
                </c:pt>
                <c:pt idx="37">
                  <c:v>2014M02</c:v>
                </c:pt>
                <c:pt idx="38">
                  <c:v>2014M03</c:v>
                </c:pt>
                <c:pt idx="39">
                  <c:v>2014M04</c:v>
                </c:pt>
                <c:pt idx="40">
                  <c:v>2014M05</c:v>
                </c:pt>
                <c:pt idx="41">
                  <c:v>2014M06</c:v>
                </c:pt>
                <c:pt idx="42">
                  <c:v>2014M07</c:v>
                </c:pt>
                <c:pt idx="43">
                  <c:v>2014M08</c:v>
                </c:pt>
                <c:pt idx="44">
                  <c:v>2014M09</c:v>
                </c:pt>
                <c:pt idx="45">
                  <c:v>2014M10</c:v>
                </c:pt>
                <c:pt idx="46">
                  <c:v>2014M11</c:v>
                </c:pt>
                <c:pt idx="47">
                  <c:v>2014M12</c:v>
                </c:pt>
                <c:pt idx="48">
                  <c:v>2015M01</c:v>
                </c:pt>
                <c:pt idx="49">
                  <c:v>2015M02</c:v>
                </c:pt>
                <c:pt idx="50">
                  <c:v>2015M03</c:v>
                </c:pt>
                <c:pt idx="51">
                  <c:v>2015M04</c:v>
                </c:pt>
                <c:pt idx="52">
                  <c:v>2015M05</c:v>
                </c:pt>
                <c:pt idx="53">
                  <c:v>2015M06</c:v>
                </c:pt>
                <c:pt idx="54">
                  <c:v>2015M07</c:v>
                </c:pt>
                <c:pt idx="55">
                  <c:v>2015M08</c:v>
                </c:pt>
                <c:pt idx="56">
                  <c:v>2015M09</c:v>
                </c:pt>
                <c:pt idx="57">
                  <c:v>2015M10</c:v>
                </c:pt>
                <c:pt idx="58">
                  <c:v>2015M11</c:v>
                </c:pt>
                <c:pt idx="59">
                  <c:v>2015M12</c:v>
                </c:pt>
                <c:pt idx="60">
                  <c:v>2016M01</c:v>
                </c:pt>
                <c:pt idx="61">
                  <c:v>2016M02</c:v>
                </c:pt>
                <c:pt idx="62">
                  <c:v>2016M03</c:v>
                </c:pt>
                <c:pt idx="63">
                  <c:v>2016M04</c:v>
                </c:pt>
                <c:pt idx="64">
                  <c:v>2016M05</c:v>
                </c:pt>
                <c:pt idx="65">
                  <c:v>2016M06</c:v>
                </c:pt>
                <c:pt idx="66">
                  <c:v>2016M07</c:v>
                </c:pt>
                <c:pt idx="67">
                  <c:v>2016M08</c:v>
                </c:pt>
                <c:pt idx="68">
                  <c:v>2016M09</c:v>
                </c:pt>
                <c:pt idx="69">
                  <c:v>2016M10</c:v>
                </c:pt>
                <c:pt idx="70">
                  <c:v>2016M11</c:v>
                </c:pt>
                <c:pt idx="71">
                  <c:v>2016M12</c:v>
                </c:pt>
                <c:pt idx="72">
                  <c:v>2017M01</c:v>
                </c:pt>
                <c:pt idx="73">
                  <c:v>2017M02</c:v>
                </c:pt>
                <c:pt idx="74">
                  <c:v>2017M03</c:v>
                </c:pt>
                <c:pt idx="75">
                  <c:v>2017M04</c:v>
                </c:pt>
                <c:pt idx="76">
                  <c:v>2017M05</c:v>
                </c:pt>
                <c:pt idx="77">
                  <c:v>2017M06</c:v>
                </c:pt>
                <c:pt idx="78">
                  <c:v>2017M07</c:v>
                </c:pt>
                <c:pt idx="79">
                  <c:v>2017M08</c:v>
                </c:pt>
                <c:pt idx="80">
                  <c:v>2017M09</c:v>
                </c:pt>
                <c:pt idx="81">
                  <c:v>2017M10</c:v>
                </c:pt>
                <c:pt idx="82">
                  <c:v>2017M11</c:v>
                </c:pt>
                <c:pt idx="83">
                  <c:v>2017M12</c:v>
                </c:pt>
                <c:pt idx="84">
                  <c:v>2018M01</c:v>
                </c:pt>
                <c:pt idx="85">
                  <c:v>2018M02</c:v>
                </c:pt>
                <c:pt idx="86">
                  <c:v>2018M03</c:v>
                </c:pt>
                <c:pt idx="87">
                  <c:v>2018M04</c:v>
                </c:pt>
                <c:pt idx="88">
                  <c:v>2018M05</c:v>
                </c:pt>
                <c:pt idx="89">
                  <c:v>2018M06</c:v>
                </c:pt>
                <c:pt idx="90">
                  <c:v>2018M07</c:v>
                </c:pt>
                <c:pt idx="91">
                  <c:v>2018M08</c:v>
                </c:pt>
                <c:pt idx="92">
                  <c:v>2018M09</c:v>
                </c:pt>
                <c:pt idx="93">
                  <c:v>2018M10</c:v>
                </c:pt>
                <c:pt idx="94">
                  <c:v>2018M11</c:v>
                </c:pt>
                <c:pt idx="95">
                  <c:v>2018M12</c:v>
                </c:pt>
                <c:pt idx="96">
                  <c:v>2019M01</c:v>
                </c:pt>
                <c:pt idx="97">
                  <c:v>2019M02</c:v>
                </c:pt>
                <c:pt idx="98">
                  <c:v>2019M03</c:v>
                </c:pt>
                <c:pt idx="99">
                  <c:v>2019M04</c:v>
                </c:pt>
                <c:pt idx="100">
                  <c:v>2019M05</c:v>
                </c:pt>
                <c:pt idx="101">
                  <c:v>2019M06</c:v>
                </c:pt>
                <c:pt idx="102">
                  <c:v>2019M07</c:v>
                </c:pt>
                <c:pt idx="103">
                  <c:v>2019M08</c:v>
                </c:pt>
                <c:pt idx="104">
                  <c:v>2019M09</c:v>
                </c:pt>
                <c:pt idx="105">
                  <c:v>2019M10</c:v>
                </c:pt>
                <c:pt idx="106">
                  <c:v>2019M11</c:v>
                </c:pt>
                <c:pt idx="107">
                  <c:v>2019M12</c:v>
                </c:pt>
                <c:pt idx="108">
                  <c:v>2020M01</c:v>
                </c:pt>
                <c:pt idx="109">
                  <c:v>2020M02</c:v>
                </c:pt>
                <c:pt idx="110">
                  <c:v>2020M03</c:v>
                </c:pt>
                <c:pt idx="111">
                  <c:v>2020M04</c:v>
                </c:pt>
                <c:pt idx="112">
                  <c:v>2020M05</c:v>
                </c:pt>
                <c:pt idx="113">
                  <c:v>2020M06</c:v>
                </c:pt>
                <c:pt idx="114">
                  <c:v>2020M07</c:v>
                </c:pt>
                <c:pt idx="115">
                  <c:v>2020M08</c:v>
                </c:pt>
                <c:pt idx="116">
                  <c:v>2020M09</c:v>
                </c:pt>
                <c:pt idx="117">
                  <c:v>2020M10</c:v>
                </c:pt>
                <c:pt idx="118">
                  <c:v>2020M11</c:v>
                </c:pt>
                <c:pt idx="119">
                  <c:v>2020M12</c:v>
                </c:pt>
              </c:strCache>
            </c:strRef>
          </c:cat>
          <c:val>
            <c:numRef>
              <c:f>'ІЦВ (Стрим Інфл)+'!$J$14:$J$145</c:f>
              <c:numCache>
                <c:formatCode>0.0%</c:formatCode>
                <c:ptCount val="132"/>
                <c:pt idx="0">
                  <c:v>0.18</c:v>
                </c:pt>
                <c:pt idx="1">
                  <c:v>0.21400000000000005</c:v>
                </c:pt>
                <c:pt idx="2">
                  <c:v>0.20299999999999996</c:v>
                </c:pt>
                <c:pt idx="3">
                  <c:v>0.20799999999999996</c:v>
                </c:pt>
                <c:pt idx="4">
                  <c:v>0.18799999999999997</c:v>
                </c:pt>
                <c:pt idx="5">
                  <c:v>0.2</c:v>
                </c:pt>
                <c:pt idx="6">
                  <c:v>0.20299999999999996</c:v>
                </c:pt>
                <c:pt idx="7">
                  <c:v>0.19900000000000007</c:v>
                </c:pt>
                <c:pt idx="8">
                  <c:v>0.21299999999999997</c:v>
                </c:pt>
                <c:pt idx="9">
                  <c:v>0.16299999999999998</c:v>
                </c:pt>
                <c:pt idx="10">
                  <c:v>0.17299999999999996</c:v>
                </c:pt>
                <c:pt idx="11">
                  <c:v>0.14200000000000002</c:v>
                </c:pt>
                <c:pt idx="12">
                  <c:v>0.11799999999999997</c:v>
                </c:pt>
                <c:pt idx="13">
                  <c:v>7.4999999999999997E-2</c:v>
                </c:pt>
                <c:pt idx="14">
                  <c:v>6.5000000000000002E-2</c:v>
                </c:pt>
                <c:pt idx="15">
                  <c:v>6.9000000000000061E-2</c:v>
                </c:pt>
                <c:pt idx="16">
                  <c:v>4.2999999999999969E-2</c:v>
                </c:pt>
                <c:pt idx="17">
                  <c:v>4.4999999999999998E-2</c:v>
                </c:pt>
                <c:pt idx="18">
                  <c:v>1.4000000000000058E-2</c:v>
                </c:pt>
                <c:pt idx="19">
                  <c:v>1.4000000000000058E-2</c:v>
                </c:pt>
                <c:pt idx="20">
                  <c:v>2.9999999999999714E-3</c:v>
                </c:pt>
                <c:pt idx="21">
                  <c:v>5.9999999999999429E-3</c:v>
                </c:pt>
                <c:pt idx="22">
                  <c:v>0</c:v>
                </c:pt>
                <c:pt idx="23">
                  <c:v>2.9999999999999714E-3</c:v>
                </c:pt>
                <c:pt idx="24">
                  <c:v>1.4999999999999999E-2</c:v>
                </c:pt>
                <c:pt idx="25">
                  <c:v>-9.0000000000000566E-3</c:v>
                </c:pt>
                <c:pt idx="26">
                  <c:v>2.0000000000000282E-3</c:v>
                </c:pt>
                <c:pt idx="27">
                  <c:v>-0.01</c:v>
                </c:pt>
                <c:pt idx="28">
                  <c:v>1.9000000000000059E-2</c:v>
                </c:pt>
                <c:pt idx="29">
                  <c:v>-1.59999999999999E-2</c:v>
                </c:pt>
                <c:pt idx="30">
                  <c:v>-1.5999999999999945E-2</c:v>
                </c:pt>
                <c:pt idx="31">
                  <c:v>-9.0000000000000566E-3</c:v>
                </c:pt>
                <c:pt idx="32">
                  <c:v>-9.0000000000000566E-3</c:v>
                </c:pt>
                <c:pt idx="33">
                  <c:v>7.9999999999999724E-3</c:v>
                </c:pt>
                <c:pt idx="34">
                  <c:v>-5.0000000000000001E-3</c:v>
                </c:pt>
                <c:pt idx="35">
                  <c:v>1.7000000000000029E-2</c:v>
                </c:pt>
                <c:pt idx="36">
                  <c:v>0.02</c:v>
                </c:pt>
                <c:pt idx="37">
                  <c:v>3.2999999999999974E-2</c:v>
                </c:pt>
                <c:pt idx="38">
                  <c:v>3.9000000000000055E-2</c:v>
                </c:pt>
                <c:pt idx="39">
                  <c:v>7.4999999999999997E-2</c:v>
                </c:pt>
                <c:pt idx="40">
                  <c:v>8.7999999999999967E-2</c:v>
                </c:pt>
                <c:pt idx="41">
                  <c:v>0.15900000000000006</c:v>
                </c:pt>
                <c:pt idx="42">
                  <c:v>0.22500000000000001</c:v>
                </c:pt>
                <c:pt idx="43">
                  <c:v>0.24200000000000002</c:v>
                </c:pt>
                <c:pt idx="44">
                  <c:v>0.26900000000000007</c:v>
                </c:pt>
                <c:pt idx="45">
                  <c:v>0.25900000000000006</c:v>
                </c:pt>
                <c:pt idx="46">
                  <c:v>0.32800000000000012</c:v>
                </c:pt>
                <c:pt idx="47">
                  <c:v>0.31800000000000012</c:v>
                </c:pt>
                <c:pt idx="48">
                  <c:v>0.34099999999999997</c:v>
                </c:pt>
                <c:pt idx="49">
                  <c:v>0.41</c:v>
                </c:pt>
                <c:pt idx="50">
                  <c:v>0.5169999999999999</c:v>
                </c:pt>
                <c:pt idx="51">
                  <c:v>0.48599999999999993</c:v>
                </c:pt>
                <c:pt idx="52">
                  <c:v>0.42</c:v>
                </c:pt>
                <c:pt idx="53">
                  <c:v>0.37900000000000006</c:v>
                </c:pt>
                <c:pt idx="54">
                  <c:v>0.37</c:v>
                </c:pt>
                <c:pt idx="55">
                  <c:v>0.33</c:v>
                </c:pt>
                <c:pt idx="56">
                  <c:v>0.32500000000000001</c:v>
                </c:pt>
                <c:pt idx="57">
                  <c:v>0.30199999999999988</c:v>
                </c:pt>
                <c:pt idx="58">
                  <c:v>0.25099999999999995</c:v>
                </c:pt>
                <c:pt idx="59">
                  <c:v>0.25400000000000006</c:v>
                </c:pt>
                <c:pt idx="60">
                  <c:v>0.21200000000000002</c:v>
                </c:pt>
                <c:pt idx="61">
                  <c:v>0.17400000000000004</c:v>
                </c:pt>
                <c:pt idx="62">
                  <c:v>0.105</c:v>
                </c:pt>
                <c:pt idx="63">
                  <c:v>0.10099999999999994</c:v>
                </c:pt>
                <c:pt idx="64">
                  <c:v>0.16400000000000006</c:v>
                </c:pt>
                <c:pt idx="65">
                  <c:v>0.15700000000000003</c:v>
                </c:pt>
                <c:pt idx="66">
                  <c:v>0.18299999999999997</c:v>
                </c:pt>
                <c:pt idx="67">
                  <c:v>0.18900000000000006</c:v>
                </c:pt>
                <c:pt idx="68">
                  <c:v>0.19599999999999995</c:v>
                </c:pt>
                <c:pt idx="69">
                  <c:v>0.29199999999999987</c:v>
                </c:pt>
                <c:pt idx="70">
                  <c:v>0.32</c:v>
                </c:pt>
                <c:pt idx="71">
                  <c:v>0.35699999999999987</c:v>
                </c:pt>
                <c:pt idx="72">
                  <c:v>0.3680000000000001</c:v>
                </c:pt>
                <c:pt idx="73">
                  <c:v>0.38900000000000007</c:v>
                </c:pt>
                <c:pt idx="74">
                  <c:v>0.38300000000000012</c:v>
                </c:pt>
                <c:pt idx="75">
                  <c:v>0.35599999999999993</c:v>
                </c:pt>
                <c:pt idx="76">
                  <c:v>0.27099999999999996</c:v>
                </c:pt>
                <c:pt idx="77">
                  <c:v>0.26299999999999996</c:v>
                </c:pt>
                <c:pt idx="78">
                  <c:v>0.23299999999999998</c:v>
                </c:pt>
                <c:pt idx="79">
                  <c:v>0.23599999999999993</c:v>
                </c:pt>
                <c:pt idx="80">
                  <c:v>0.22400000000000006</c:v>
                </c:pt>
                <c:pt idx="81">
                  <c:v>0.18799999999999997</c:v>
                </c:pt>
                <c:pt idx="82">
                  <c:v>0.18400000000000005</c:v>
                </c:pt>
                <c:pt idx="83">
                  <c:v>0.16500000000000001</c:v>
                </c:pt>
                <c:pt idx="84">
                  <c:v>0.22</c:v>
                </c:pt>
                <c:pt idx="85">
                  <c:v>0.19599999999999995</c:v>
                </c:pt>
                <c:pt idx="86">
                  <c:v>0.15900000000000006</c:v>
                </c:pt>
                <c:pt idx="87">
                  <c:v>0.14099999999999993</c:v>
                </c:pt>
                <c:pt idx="88">
                  <c:v>0.16500000000000001</c:v>
                </c:pt>
                <c:pt idx="89">
                  <c:v>0.18400000000000005</c:v>
                </c:pt>
                <c:pt idx="90">
                  <c:v>0.18099999999999994</c:v>
                </c:pt>
                <c:pt idx="91">
                  <c:v>0.19299999999999998</c:v>
                </c:pt>
                <c:pt idx="92">
                  <c:v>0.18900000000000006</c:v>
                </c:pt>
                <c:pt idx="93">
                  <c:v>0.16600000000000001</c:v>
                </c:pt>
                <c:pt idx="94">
                  <c:v>0.16500000000000001</c:v>
                </c:pt>
                <c:pt idx="95">
                  <c:v>0.14199999999999999</c:v>
                </c:pt>
                <c:pt idx="96">
                  <c:v>0.104</c:v>
                </c:pt>
                <c:pt idx="97">
                  <c:v>0.10199999999999999</c:v>
                </c:pt>
                <c:pt idx="98">
                  <c:v>8.8999999999999996E-2</c:v>
                </c:pt>
                <c:pt idx="99">
                  <c:v>7.2999999999999995E-2</c:v>
                </c:pt>
                <c:pt idx="100">
                  <c:v>8.5000000000000006E-2</c:v>
                </c:pt>
                <c:pt idx="101">
                  <c:v>4.4999999999999998E-2</c:v>
                </c:pt>
                <c:pt idx="102">
                  <c:v>6.7000000000000004E-2</c:v>
                </c:pt>
                <c:pt idx="103">
                  <c:v>4.4999999999999998E-2</c:v>
                </c:pt>
                <c:pt idx="104">
                  <c:v>1.7000000000000001E-2</c:v>
                </c:pt>
                <c:pt idx="105" formatCode="0.00%">
                  <c:v>2E-3</c:v>
                </c:pt>
                <c:pt idx="106">
                  <c:v>-4.4999999999999998E-2</c:v>
                </c:pt>
                <c:pt idx="107">
                  <c:v>-7.3999999999999996E-2</c:v>
                </c:pt>
                <c:pt idx="108">
                  <c:v>-5.8999999999999997E-2</c:v>
                </c:pt>
                <c:pt idx="109">
                  <c:v>-6.8000000000000005E-2</c:v>
                </c:pt>
                <c:pt idx="110">
                  <c:v>-4.2000000000000003E-2</c:v>
                </c:pt>
                <c:pt idx="111">
                  <c:v>-2.5999999999999999E-2</c:v>
                </c:pt>
                <c:pt idx="112">
                  <c:v>-5.0999999999999941E-2</c:v>
                </c:pt>
                <c:pt idx="113">
                  <c:v>-4.5999999999999944E-2</c:v>
                </c:pt>
                <c:pt idx="114">
                  <c:v>-7.4999999999999997E-2</c:v>
                </c:pt>
                <c:pt idx="115">
                  <c:v>-4.7E-2</c:v>
                </c:pt>
                <c:pt idx="116">
                  <c:v>-1.7000000000000001E-2</c:v>
                </c:pt>
                <c:pt idx="117">
                  <c:v>3.2000000000000001E-2</c:v>
                </c:pt>
                <c:pt idx="118">
                  <c:v>8.5999999999999993E-2</c:v>
                </c:pt>
                <c:pt idx="119">
                  <c:v>0.14499999999999999</c:v>
                </c:pt>
                <c:pt idx="120">
                  <c:v>0.17599999999999999</c:v>
                </c:pt>
                <c:pt idx="121">
                  <c:v>0.26600000000000001</c:v>
                </c:pt>
                <c:pt idx="122">
                  <c:v>0.26300000000000001</c:v>
                </c:pt>
                <c:pt idx="123">
                  <c:v>0.27800000000000002</c:v>
                </c:pt>
                <c:pt idx="124">
                  <c:v>0.33100000000000002</c:v>
                </c:pt>
                <c:pt idx="125">
                  <c:v>0.39100000000000001</c:v>
                </c:pt>
                <c:pt idx="126">
                  <c:v>0.42199999999999988</c:v>
                </c:pt>
                <c:pt idx="127">
                  <c:v>0.46500000000000002</c:v>
                </c:pt>
                <c:pt idx="128">
                  <c:v>0.45100000000000001</c:v>
                </c:pt>
                <c:pt idx="129">
                  <c:v>0.57199999999999995</c:v>
                </c:pt>
                <c:pt idx="130">
                  <c:v>0.60699999999999998</c:v>
                </c:pt>
                <c:pt idx="131">
                  <c:v>0.622</c:v>
                </c:pt>
              </c:numCache>
            </c:numRef>
          </c:val>
          <c:smooth val="0"/>
          <c:extLst>
            <c:ext xmlns:c16="http://schemas.microsoft.com/office/drawing/2014/chart" uri="{C3380CC4-5D6E-409C-BE32-E72D297353CC}">
              <c16:uniqueId val="{00000000-07AE-4462-9297-8021BC59FEC4}"/>
            </c:ext>
          </c:extLst>
        </c:ser>
        <c:ser>
          <c:idx val="1"/>
          <c:order val="1"/>
          <c:tx>
            <c:strRef>
              <c:f>'ІЦВ (Стрим Інфл)+'!$AN$1</c:f>
              <c:strCache>
                <c:ptCount val="1"/>
                <c:pt idx="0">
                  <c:v>ГБ%</c:v>
                </c:pt>
              </c:strCache>
            </c:strRef>
          </c:tx>
          <c:spPr>
            <a:ln w="28575" cap="rnd">
              <a:solidFill>
                <a:schemeClr val="accent2"/>
              </a:solidFill>
              <a:round/>
            </a:ln>
            <a:effectLst/>
          </c:spPr>
          <c:marker>
            <c:symbol val="none"/>
          </c:marker>
          <c:cat>
            <c:strRef>
              <c:f>'ІЦВ (Стрим Інфл)+'!$C$14:$C$133</c:f>
              <c:strCache>
                <c:ptCount val="120"/>
                <c:pt idx="0">
                  <c:v>2011M01</c:v>
                </c:pt>
                <c:pt idx="1">
                  <c:v>2011M02</c:v>
                </c:pt>
                <c:pt idx="2">
                  <c:v>2011M03</c:v>
                </c:pt>
                <c:pt idx="3">
                  <c:v>2011M04</c:v>
                </c:pt>
                <c:pt idx="4">
                  <c:v>2011M05</c:v>
                </c:pt>
                <c:pt idx="5">
                  <c:v>2011M06</c:v>
                </c:pt>
                <c:pt idx="6">
                  <c:v>2011M07</c:v>
                </c:pt>
                <c:pt idx="7">
                  <c:v>2011M08</c:v>
                </c:pt>
                <c:pt idx="8">
                  <c:v>2011M09</c:v>
                </c:pt>
                <c:pt idx="9">
                  <c:v>2011M10</c:v>
                </c:pt>
                <c:pt idx="10">
                  <c:v>2011M11</c:v>
                </c:pt>
                <c:pt idx="11">
                  <c:v>2011M12</c:v>
                </c:pt>
                <c:pt idx="12">
                  <c:v>2012M01</c:v>
                </c:pt>
                <c:pt idx="13">
                  <c:v>2012M02</c:v>
                </c:pt>
                <c:pt idx="14">
                  <c:v>2012M03</c:v>
                </c:pt>
                <c:pt idx="15">
                  <c:v>2012M04</c:v>
                </c:pt>
                <c:pt idx="16">
                  <c:v>2012M05</c:v>
                </c:pt>
                <c:pt idx="17">
                  <c:v>2012M06</c:v>
                </c:pt>
                <c:pt idx="18">
                  <c:v>2012M07</c:v>
                </c:pt>
                <c:pt idx="19">
                  <c:v>2012M08</c:v>
                </c:pt>
                <c:pt idx="20">
                  <c:v>2012M09</c:v>
                </c:pt>
                <c:pt idx="21">
                  <c:v>2012M10</c:v>
                </c:pt>
                <c:pt idx="22">
                  <c:v>2012M11</c:v>
                </c:pt>
                <c:pt idx="23">
                  <c:v>2012M12</c:v>
                </c:pt>
                <c:pt idx="24">
                  <c:v>2013M01</c:v>
                </c:pt>
                <c:pt idx="25">
                  <c:v>2013M02</c:v>
                </c:pt>
                <c:pt idx="26">
                  <c:v>2013M03</c:v>
                </c:pt>
                <c:pt idx="27">
                  <c:v>2013M04</c:v>
                </c:pt>
                <c:pt idx="28">
                  <c:v>2013M05</c:v>
                </c:pt>
                <c:pt idx="29">
                  <c:v>2013M06</c:v>
                </c:pt>
                <c:pt idx="30">
                  <c:v>2013M07</c:v>
                </c:pt>
                <c:pt idx="31">
                  <c:v>2013M08</c:v>
                </c:pt>
                <c:pt idx="32">
                  <c:v>2013M09</c:v>
                </c:pt>
                <c:pt idx="33">
                  <c:v>2013M10</c:v>
                </c:pt>
                <c:pt idx="34">
                  <c:v>2013M11</c:v>
                </c:pt>
                <c:pt idx="35">
                  <c:v>2013M12</c:v>
                </c:pt>
                <c:pt idx="36">
                  <c:v>2014M01</c:v>
                </c:pt>
                <c:pt idx="37">
                  <c:v>2014M02</c:v>
                </c:pt>
                <c:pt idx="38">
                  <c:v>2014M03</c:v>
                </c:pt>
                <c:pt idx="39">
                  <c:v>2014M04</c:v>
                </c:pt>
                <c:pt idx="40">
                  <c:v>2014M05</c:v>
                </c:pt>
                <c:pt idx="41">
                  <c:v>2014M06</c:v>
                </c:pt>
                <c:pt idx="42">
                  <c:v>2014M07</c:v>
                </c:pt>
                <c:pt idx="43">
                  <c:v>2014M08</c:v>
                </c:pt>
                <c:pt idx="44">
                  <c:v>2014M09</c:v>
                </c:pt>
                <c:pt idx="45">
                  <c:v>2014M10</c:v>
                </c:pt>
                <c:pt idx="46">
                  <c:v>2014M11</c:v>
                </c:pt>
                <c:pt idx="47">
                  <c:v>2014M12</c:v>
                </c:pt>
                <c:pt idx="48">
                  <c:v>2015M01</c:v>
                </c:pt>
                <c:pt idx="49">
                  <c:v>2015M02</c:v>
                </c:pt>
                <c:pt idx="50">
                  <c:v>2015M03</c:v>
                </c:pt>
                <c:pt idx="51">
                  <c:v>2015M04</c:v>
                </c:pt>
                <c:pt idx="52">
                  <c:v>2015M05</c:v>
                </c:pt>
                <c:pt idx="53">
                  <c:v>2015M06</c:v>
                </c:pt>
                <c:pt idx="54">
                  <c:v>2015M07</c:v>
                </c:pt>
                <c:pt idx="55">
                  <c:v>2015M08</c:v>
                </c:pt>
                <c:pt idx="56">
                  <c:v>2015M09</c:v>
                </c:pt>
                <c:pt idx="57">
                  <c:v>2015M10</c:v>
                </c:pt>
                <c:pt idx="58">
                  <c:v>2015M11</c:v>
                </c:pt>
                <c:pt idx="59">
                  <c:v>2015M12</c:v>
                </c:pt>
                <c:pt idx="60">
                  <c:v>2016M01</c:v>
                </c:pt>
                <c:pt idx="61">
                  <c:v>2016M02</c:v>
                </c:pt>
                <c:pt idx="62">
                  <c:v>2016M03</c:v>
                </c:pt>
                <c:pt idx="63">
                  <c:v>2016M04</c:v>
                </c:pt>
                <c:pt idx="64">
                  <c:v>2016M05</c:v>
                </c:pt>
                <c:pt idx="65">
                  <c:v>2016M06</c:v>
                </c:pt>
                <c:pt idx="66">
                  <c:v>2016M07</c:v>
                </c:pt>
                <c:pt idx="67">
                  <c:v>2016M08</c:v>
                </c:pt>
                <c:pt idx="68">
                  <c:v>2016M09</c:v>
                </c:pt>
                <c:pt idx="69">
                  <c:v>2016M10</c:v>
                </c:pt>
                <c:pt idx="70">
                  <c:v>2016M11</c:v>
                </c:pt>
                <c:pt idx="71">
                  <c:v>2016M12</c:v>
                </c:pt>
                <c:pt idx="72">
                  <c:v>2017M01</c:v>
                </c:pt>
                <c:pt idx="73">
                  <c:v>2017M02</c:v>
                </c:pt>
                <c:pt idx="74">
                  <c:v>2017M03</c:v>
                </c:pt>
                <c:pt idx="75">
                  <c:v>2017M04</c:v>
                </c:pt>
                <c:pt idx="76">
                  <c:v>2017M05</c:v>
                </c:pt>
                <c:pt idx="77">
                  <c:v>2017M06</c:v>
                </c:pt>
                <c:pt idx="78">
                  <c:v>2017M07</c:v>
                </c:pt>
                <c:pt idx="79">
                  <c:v>2017M08</c:v>
                </c:pt>
                <c:pt idx="80">
                  <c:v>2017M09</c:v>
                </c:pt>
                <c:pt idx="81">
                  <c:v>2017M10</c:v>
                </c:pt>
                <c:pt idx="82">
                  <c:v>2017M11</c:v>
                </c:pt>
                <c:pt idx="83">
                  <c:v>2017M12</c:v>
                </c:pt>
                <c:pt idx="84">
                  <c:v>2018M01</c:v>
                </c:pt>
                <c:pt idx="85">
                  <c:v>2018M02</c:v>
                </c:pt>
                <c:pt idx="86">
                  <c:v>2018M03</c:v>
                </c:pt>
                <c:pt idx="87">
                  <c:v>2018M04</c:v>
                </c:pt>
                <c:pt idx="88">
                  <c:v>2018M05</c:v>
                </c:pt>
                <c:pt idx="89">
                  <c:v>2018M06</c:v>
                </c:pt>
                <c:pt idx="90">
                  <c:v>2018M07</c:v>
                </c:pt>
                <c:pt idx="91">
                  <c:v>2018M08</c:v>
                </c:pt>
                <c:pt idx="92">
                  <c:v>2018M09</c:v>
                </c:pt>
                <c:pt idx="93">
                  <c:v>2018M10</c:v>
                </c:pt>
                <c:pt idx="94">
                  <c:v>2018M11</c:v>
                </c:pt>
                <c:pt idx="95">
                  <c:v>2018M12</c:v>
                </c:pt>
                <c:pt idx="96">
                  <c:v>2019M01</c:v>
                </c:pt>
                <c:pt idx="97">
                  <c:v>2019M02</c:v>
                </c:pt>
                <c:pt idx="98">
                  <c:v>2019M03</c:v>
                </c:pt>
                <c:pt idx="99">
                  <c:v>2019M04</c:v>
                </c:pt>
                <c:pt idx="100">
                  <c:v>2019M05</c:v>
                </c:pt>
                <c:pt idx="101">
                  <c:v>2019M06</c:v>
                </c:pt>
                <c:pt idx="102">
                  <c:v>2019M07</c:v>
                </c:pt>
                <c:pt idx="103">
                  <c:v>2019M08</c:v>
                </c:pt>
                <c:pt idx="104">
                  <c:v>2019M09</c:v>
                </c:pt>
                <c:pt idx="105">
                  <c:v>2019M10</c:v>
                </c:pt>
                <c:pt idx="106">
                  <c:v>2019M11</c:v>
                </c:pt>
                <c:pt idx="107">
                  <c:v>2019M12</c:v>
                </c:pt>
                <c:pt idx="108">
                  <c:v>2020M01</c:v>
                </c:pt>
                <c:pt idx="109">
                  <c:v>2020M02</c:v>
                </c:pt>
                <c:pt idx="110">
                  <c:v>2020M03</c:v>
                </c:pt>
                <c:pt idx="111">
                  <c:v>2020M04</c:v>
                </c:pt>
                <c:pt idx="112">
                  <c:v>2020M05</c:v>
                </c:pt>
                <c:pt idx="113">
                  <c:v>2020M06</c:v>
                </c:pt>
                <c:pt idx="114">
                  <c:v>2020M07</c:v>
                </c:pt>
                <c:pt idx="115">
                  <c:v>2020M08</c:v>
                </c:pt>
                <c:pt idx="116">
                  <c:v>2020M09</c:v>
                </c:pt>
                <c:pt idx="117">
                  <c:v>2020M10</c:v>
                </c:pt>
                <c:pt idx="118">
                  <c:v>2020M11</c:v>
                </c:pt>
                <c:pt idx="119">
                  <c:v>2020M12</c:v>
                </c:pt>
              </c:strCache>
            </c:strRef>
          </c:cat>
          <c:val>
            <c:numRef>
              <c:f>'ІЦВ (Стрим Інфл)+'!$AQ$14:$AQ$146</c:f>
              <c:numCache>
                <c:formatCode>General</c:formatCode>
                <c:ptCount val="133"/>
                <c:pt idx="0">
                  <c:v>0.10751859705525968</c:v>
                </c:pt>
                <c:pt idx="1">
                  <c:v>9.9210829826430702E-2</c:v>
                </c:pt>
                <c:pt idx="2">
                  <c:v>8.309160329002041E-2</c:v>
                </c:pt>
                <c:pt idx="3">
                  <c:v>9.9052735640689615E-2</c:v>
                </c:pt>
                <c:pt idx="4">
                  <c:v>9.1558039109646661E-2</c:v>
                </c:pt>
                <c:pt idx="5">
                  <c:v>3.8242117719182289E-2</c:v>
                </c:pt>
                <c:pt idx="6">
                  <c:v>-1.7380548078763658E-2</c:v>
                </c:pt>
                <c:pt idx="7">
                  <c:v>5.5412585768561673E-3</c:v>
                </c:pt>
                <c:pt idx="8">
                  <c:v>1.8716579878580886E-2</c:v>
                </c:pt>
                <c:pt idx="9">
                  <c:v>1.8038796007059155E-2</c:v>
                </c:pt>
                <c:pt idx="10">
                  <c:v>1.3233915204951208E-2</c:v>
                </c:pt>
                <c:pt idx="11">
                  <c:v>1.6119106856539611E-2</c:v>
                </c:pt>
                <c:pt idx="12">
                  <c:v>2.4264199193613667E-2</c:v>
                </c:pt>
                <c:pt idx="13">
                  <c:v>1.8306525893554637E-2</c:v>
                </c:pt>
                <c:pt idx="14">
                  <c:v>2.1432154692751837E-2</c:v>
                </c:pt>
                <c:pt idx="15">
                  <c:v>6.0292904526795255E-3</c:v>
                </c:pt>
                <c:pt idx="16">
                  <c:v>4.6425194206320963E-3</c:v>
                </c:pt>
                <c:pt idx="17">
                  <c:v>2.1400800581705237E-2</c:v>
                </c:pt>
                <c:pt idx="18">
                  <c:v>5.2376917830883496E-2</c:v>
                </c:pt>
                <c:pt idx="19">
                  <c:v>4.0171166712167361E-2</c:v>
                </c:pt>
                <c:pt idx="20">
                  <c:v>4.9473271150392018E-2</c:v>
                </c:pt>
                <c:pt idx="21">
                  <c:v>5.3412598269855449E-2</c:v>
                </c:pt>
                <c:pt idx="22">
                  <c:v>4.089534546528828E-2</c:v>
                </c:pt>
                <c:pt idx="23">
                  <c:v>4.8780824762549413E-2</c:v>
                </c:pt>
                <c:pt idx="24">
                  <c:v>7.9338973587758987E-2</c:v>
                </c:pt>
                <c:pt idx="25">
                  <c:v>0.10538413431027283</c:v>
                </c:pt>
                <c:pt idx="26">
                  <c:v>0.10712543064724644</c:v>
                </c:pt>
                <c:pt idx="27">
                  <c:v>0.11363622105858528</c:v>
                </c:pt>
                <c:pt idx="28">
                  <c:v>0.13531575833067877</c:v>
                </c:pt>
                <c:pt idx="29">
                  <c:v>0.13795850086680828</c:v>
                </c:pt>
                <c:pt idx="30">
                  <c:v>0.13594466399426963</c:v>
                </c:pt>
                <c:pt idx="31">
                  <c:v>0.13693378337480167</c:v>
                </c:pt>
                <c:pt idx="32">
                  <c:v>0.14173333463167714</c:v>
                </c:pt>
                <c:pt idx="33">
                  <c:v>0.1233058803264182</c:v>
                </c:pt>
                <c:pt idx="34">
                  <c:v>0.152894360596322</c:v>
                </c:pt>
                <c:pt idx="35">
                  <c:v>0.1675896098753118</c:v>
                </c:pt>
                <c:pt idx="36">
                  <c:v>0.18648804002348185</c:v>
                </c:pt>
                <c:pt idx="37">
                  <c:v>0.18975070242260839</c:v>
                </c:pt>
                <c:pt idx="38">
                  <c:v>0.2472325135651019</c:v>
                </c:pt>
                <c:pt idx="39">
                  <c:v>0.27630937836636837</c:v>
                </c:pt>
                <c:pt idx="40">
                  <c:v>0.2674642682846502</c:v>
                </c:pt>
                <c:pt idx="41">
                  <c:v>0.2696441681953563</c:v>
                </c:pt>
                <c:pt idx="42">
                  <c:v>0.26158881273858414</c:v>
                </c:pt>
                <c:pt idx="43">
                  <c:v>0.2269255260434051</c:v>
                </c:pt>
                <c:pt idx="44">
                  <c:v>0.21929042082899453</c:v>
                </c:pt>
                <c:pt idx="45">
                  <c:v>0.19424027429308155</c:v>
                </c:pt>
                <c:pt idx="46">
                  <c:v>0.14595301543967287</c:v>
                </c:pt>
                <c:pt idx="47">
                  <c:v>0.11054761465372653</c:v>
                </c:pt>
                <c:pt idx="48">
                  <c:v>9.6957454403301613E-2</c:v>
                </c:pt>
                <c:pt idx="49">
                  <c:v>9.1983789947901684E-2</c:v>
                </c:pt>
                <c:pt idx="50">
                  <c:v>4.0960191533398582E-2</c:v>
                </c:pt>
                <c:pt idx="51">
                  <c:v>-8.3586819635060872E-3</c:v>
                </c:pt>
                <c:pt idx="52">
                  <c:v>-3.2069176088872942E-2</c:v>
                </c:pt>
                <c:pt idx="53">
                  <c:v>-4.8835471234985883E-2</c:v>
                </c:pt>
                <c:pt idx="54">
                  <c:v>-5.2897537383546744E-2</c:v>
                </c:pt>
                <c:pt idx="55">
                  <c:v>-4.2190684646750798E-2</c:v>
                </c:pt>
                <c:pt idx="56">
                  <c:v>-6.1868540532891036E-2</c:v>
                </c:pt>
                <c:pt idx="57">
                  <c:v>-6.488835968442519E-2</c:v>
                </c:pt>
                <c:pt idx="58">
                  <c:v>-3.2251882860970027E-2</c:v>
                </c:pt>
                <c:pt idx="59">
                  <c:v>-6.582407552773395E-3</c:v>
                </c:pt>
                <c:pt idx="60">
                  <c:v>1.5884553903232845E-2</c:v>
                </c:pt>
                <c:pt idx="61">
                  <c:v>6.9665734196624474E-3</c:v>
                </c:pt>
                <c:pt idx="62">
                  <c:v>-1.2846412657010697E-2</c:v>
                </c:pt>
                <c:pt idx="63">
                  <c:v>-1.5617139632742805E-2</c:v>
                </c:pt>
                <c:pt idx="64">
                  <c:v>3.0902799160668071E-3</c:v>
                </c:pt>
                <c:pt idx="65">
                  <c:v>2.8056950533090763E-2</c:v>
                </c:pt>
                <c:pt idx="66">
                  <c:v>3.9253092944846024E-2</c:v>
                </c:pt>
                <c:pt idx="67">
                  <c:v>4.9133203424271077E-2</c:v>
                </c:pt>
                <c:pt idx="68">
                  <c:v>6.7870548575792666E-2</c:v>
                </c:pt>
                <c:pt idx="69">
                  <c:v>6.1063426614631044E-2</c:v>
                </c:pt>
                <c:pt idx="70">
                  <c:v>6.4610729428880687E-2</c:v>
                </c:pt>
                <c:pt idx="71">
                  <c:v>7.5210069276102187E-2</c:v>
                </c:pt>
                <c:pt idx="72">
                  <c:v>7.7852254139427757E-2</c:v>
                </c:pt>
                <c:pt idx="73">
                  <c:v>6.0564867418036128E-2</c:v>
                </c:pt>
                <c:pt idx="74">
                  <c:v>6.5729145241403053E-2</c:v>
                </c:pt>
                <c:pt idx="75">
                  <c:v>6.6056740569051531E-2</c:v>
                </c:pt>
                <c:pt idx="76">
                  <c:v>6.6350080289547808E-2</c:v>
                </c:pt>
                <c:pt idx="77">
                  <c:v>5.9348195821838701E-2</c:v>
                </c:pt>
                <c:pt idx="78">
                  <c:v>5.111257547964887E-2</c:v>
                </c:pt>
                <c:pt idx="79">
                  <c:v>3.9971508237473863E-2</c:v>
                </c:pt>
                <c:pt idx="80">
                  <c:v>3.0774452675689457E-2</c:v>
                </c:pt>
                <c:pt idx="81">
                  <c:v>3.386142765696909E-2</c:v>
                </c:pt>
                <c:pt idx="82">
                  <c:v>3.7727210961975954E-2</c:v>
                </c:pt>
                <c:pt idx="83">
                  <c:v>2.9623025011367821E-2</c:v>
                </c:pt>
                <c:pt idx="84">
                  <c:v>3.2291183797711787E-2</c:v>
                </c:pt>
                <c:pt idx="85">
                  <c:v>6.8693320034720839E-2</c:v>
                </c:pt>
                <c:pt idx="86">
                  <c:v>7.7484579039666102E-2</c:v>
                </c:pt>
                <c:pt idx="87">
                  <c:v>6.9924809756254591E-2</c:v>
                </c:pt>
                <c:pt idx="88">
                  <c:v>7.1765045366863234E-2</c:v>
                </c:pt>
                <c:pt idx="89">
                  <c:v>6.2524743550006256E-2</c:v>
                </c:pt>
                <c:pt idx="90">
                  <c:v>7.4014079944415334E-2</c:v>
                </c:pt>
                <c:pt idx="91">
                  <c:v>8.0382581935569908E-2</c:v>
                </c:pt>
                <c:pt idx="92">
                  <c:v>9.4076866594269726E-2</c:v>
                </c:pt>
                <c:pt idx="93">
                  <c:v>9.629619964472802E-2</c:v>
                </c:pt>
                <c:pt idx="94">
                  <c:v>9.9008571993384864E-2</c:v>
                </c:pt>
                <c:pt idx="95">
                  <c:v>8.0717883015353431E-2</c:v>
                </c:pt>
                <c:pt idx="96">
                  <c:v>6.6010723116073589E-2</c:v>
                </c:pt>
                <c:pt idx="97">
                  <c:v>4.2924169012824143E-2</c:v>
                </c:pt>
                <c:pt idx="98">
                  <c:v>3.5382648258521998E-2</c:v>
                </c:pt>
                <c:pt idx="99">
                  <c:v>2.1590169017467353E-2</c:v>
                </c:pt>
                <c:pt idx="100">
                  <c:v>9.9424826064746785E-3</c:v>
                </c:pt>
                <c:pt idx="101">
                  <c:v>9.8686613255811739E-3</c:v>
                </c:pt>
                <c:pt idx="102">
                  <c:v>7.3331373322751414E-3</c:v>
                </c:pt>
                <c:pt idx="103">
                  <c:v>5.7586839142409474E-3</c:v>
                </c:pt>
                <c:pt idx="104">
                  <c:v>6.5846657457639957E-3</c:v>
                </c:pt>
                <c:pt idx="105">
                  <c:v>2.4059248289505231E-2</c:v>
                </c:pt>
                <c:pt idx="106">
                  <c:v>2.0857464961347771E-2</c:v>
                </c:pt>
                <c:pt idx="107">
                  <c:v>4.8625861018840588E-2</c:v>
                </c:pt>
                <c:pt idx="108">
                  <c:v>8.6504919099430921E-2</c:v>
                </c:pt>
                <c:pt idx="109">
                  <c:v>8.6416440142465856E-2</c:v>
                </c:pt>
                <c:pt idx="110">
                  <c:v>0.13783654688152192</c:v>
                </c:pt>
                <c:pt idx="111">
                  <c:v>0.18973900630213958</c:v>
                </c:pt>
                <c:pt idx="112">
                  <c:v>0.20054725032312026</c:v>
                </c:pt>
                <c:pt idx="113">
                  <c:v>0.2191956338185026</c:v>
                </c:pt>
                <c:pt idx="114">
                  <c:v>0.24548744652892784</c:v>
                </c:pt>
                <c:pt idx="115">
                  <c:v>0.2749972894327477</c:v>
                </c:pt>
                <c:pt idx="116">
                  <c:v>0.2808264648740777</c:v>
                </c:pt>
                <c:pt idx="117">
                  <c:v>0.31781730695227184</c:v>
                </c:pt>
                <c:pt idx="118">
                  <c:v>0.31534529666303635</c:v>
                </c:pt>
                <c:pt idx="119">
                  <c:v>0.28973990815307737</c:v>
                </c:pt>
                <c:pt idx="120">
                  <c:v>0.30428142215623111</c:v>
                </c:pt>
                <c:pt idx="121">
                  <c:v>0.32950032962995546</c:v>
                </c:pt>
                <c:pt idx="122">
                  <c:v>0.24818352514236031</c:v>
                </c:pt>
                <c:pt idx="123">
                  <c:v>7.539029187660673E-2</c:v>
                </c:pt>
                <c:pt idx="124">
                  <c:v>0.17229508209059041</c:v>
                </c:pt>
                <c:pt idx="125">
                  <c:v>0.1841059436560073</c:v>
                </c:pt>
                <c:pt idx="126">
                  <c:v>0.15201749226878758</c:v>
                </c:pt>
                <c:pt idx="127">
                  <c:v>0.10976971953355918</c:v>
                </c:pt>
                <c:pt idx="128">
                  <c:v>0.13471849327823548</c:v>
                </c:pt>
                <c:pt idx="129">
                  <c:v>5.0655830943678648E-2</c:v>
                </c:pt>
                <c:pt idx="130">
                  <c:v>4.4871181784827074E-2</c:v>
                </c:pt>
                <c:pt idx="131">
                  <c:v>9.9471666474037823E-2</c:v>
                </c:pt>
              </c:numCache>
            </c:numRef>
          </c:val>
          <c:smooth val="0"/>
          <c:extLst>
            <c:ext xmlns:c16="http://schemas.microsoft.com/office/drawing/2014/chart" uri="{C3380CC4-5D6E-409C-BE32-E72D297353CC}">
              <c16:uniqueId val="{00000001-07AE-4462-9297-8021BC59FEC4}"/>
            </c:ext>
          </c:extLst>
        </c:ser>
        <c:dLbls>
          <c:showLegendKey val="0"/>
          <c:showVal val="0"/>
          <c:showCatName val="0"/>
          <c:showSerName val="0"/>
          <c:showPercent val="0"/>
          <c:showBubbleSize val="0"/>
        </c:dLbls>
        <c:smooth val="0"/>
        <c:axId val="973331744"/>
        <c:axId val="973330912"/>
      </c:lineChart>
      <c:catAx>
        <c:axId val="97333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30912"/>
        <c:crosses val="autoZero"/>
        <c:auto val="1"/>
        <c:lblAlgn val="ctr"/>
        <c:lblOffset val="100"/>
        <c:noMultiLvlLbl val="0"/>
      </c:catAx>
      <c:valAx>
        <c:axId val="9733309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3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1"/>
                </a:solidFill>
                <a:latin typeface="+mn-lt"/>
                <a:ea typeface="+mn-ea"/>
                <a:cs typeface="+mn-cs"/>
              </a:defRPr>
            </a:pPr>
            <a:r>
              <a:rPr lang="uk-UA" b="1">
                <a:solidFill>
                  <a:schemeClr val="accent1"/>
                </a:solidFill>
              </a:rPr>
              <a:t>Динаміка ІЦВ та </a:t>
            </a:r>
            <a:r>
              <a:rPr lang="en-US" b="1">
                <a:solidFill>
                  <a:schemeClr val="accent1"/>
                </a:solidFill>
              </a:rPr>
              <a:t>UA-CPI </a:t>
            </a:r>
            <a:r>
              <a:rPr lang="uk-UA" b="1">
                <a:solidFill>
                  <a:schemeClr val="accent1"/>
                </a:solidFill>
              </a:rPr>
              <a:t>в 2021-2</a:t>
            </a:r>
            <a:r>
              <a:rPr lang="en-US" b="1">
                <a:solidFill>
                  <a:schemeClr val="accent1"/>
                </a:solidFill>
              </a:rPr>
              <a:t>4</a:t>
            </a:r>
            <a:r>
              <a:rPr lang="uk-UA" b="1">
                <a:solidFill>
                  <a:schemeClr val="accent1"/>
                </a:solidFill>
              </a:rPr>
              <a:t> роках</a:t>
            </a:r>
          </a:p>
        </c:rich>
      </c:tx>
      <c:layout>
        <c:manualLayout>
          <c:xMode val="edge"/>
          <c:yMode val="edge"/>
          <c:x val="1.3363335965758399E-2"/>
          <c:y val="2.110584080601045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1"/>
              </a:solidFill>
              <a:latin typeface="+mn-lt"/>
              <a:ea typeface="+mn-ea"/>
              <a:cs typeface="+mn-cs"/>
            </a:defRPr>
          </a:pPr>
          <a:endParaRPr lang="en-US"/>
        </a:p>
      </c:txPr>
    </c:title>
    <c:autoTitleDeleted val="0"/>
    <c:plotArea>
      <c:layout/>
      <c:lineChart>
        <c:grouping val="standard"/>
        <c:varyColors val="0"/>
        <c:ser>
          <c:idx val="0"/>
          <c:order val="0"/>
          <c:tx>
            <c:strRef>
              <c:f>'ІЦВ (Стрим Інфл)+'!$D$270</c:f>
              <c:strCache>
                <c:ptCount val="1"/>
                <c:pt idx="0">
                  <c:v>ІЦВ</c:v>
                </c:pt>
              </c:strCache>
            </c:strRef>
          </c:tx>
          <c:spPr>
            <a:ln w="9525" cap="rnd">
              <a:solidFill>
                <a:schemeClr val="accent1"/>
              </a:solidFill>
              <a:round/>
            </a:ln>
            <a:effectLst/>
          </c:spPr>
          <c:marker>
            <c:symbol val="circle"/>
            <c:size val="5"/>
            <c:spPr>
              <a:solidFill>
                <a:schemeClr val="accent1">
                  <a:lumMod val="20000"/>
                  <a:lumOff val="80000"/>
                </a:schemeClr>
              </a:solidFill>
              <a:ln w="9525">
                <a:solidFill>
                  <a:schemeClr val="accent1"/>
                </a:solidFill>
              </a:ln>
              <a:effectLst/>
            </c:spPr>
          </c:marker>
          <c:dLbls>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B21-473B-B86C-AB6D8C7E4345}"/>
                </c:ext>
              </c:extLst>
            </c:dLbl>
            <c:dLbl>
              <c:idx val="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B21-473B-B86C-AB6D8C7E4345}"/>
                </c:ext>
              </c:extLst>
            </c:dLbl>
            <c:dLbl>
              <c:idx val="12"/>
              <c:layout>
                <c:manualLayout>
                  <c:x val="-4.8719716297232145E-2"/>
                  <c:y val="-3.45928360295966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B21-473B-B86C-AB6D8C7E434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'ІЦВ (Стрим Інфл)+'!$B$272:$C$319</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'ІЦВ (Стрим Інфл)+'!$D$272:$D$319</c:f>
              <c:numCache>
                <c:formatCode>0%</c:formatCode>
                <c:ptCount val="48"/>
                <c:pt idx="0" formatCode="0.0%">
                  <c:v>0.17599999999999999</c:v>
                </c:pt>
                <c:pt idx="1">
                  <c:v>0.26600000000000001</c:v>
                </c:pt>
                <c:pt idx="2">
                  <c:v>0.26300000000000001</c:v>
                </c:pt>
                <c:pt idx="3">
                  <c:v>0.27800000000000002</c:v>
                </c:pt>
                <c:pt idx="4">
                  <c:v>0.33100000000000002</c:v>
                </c:pt>
                <c:pt idx="5">
                  <c:v>0.39100000000000001</c:v>
                </c:pt>
                <c:pt idx="6">
                  <c:v>0.42199999999999988</c:v>
                </c:pt>
                <c:pt idx="7">
                  <c:v>0.46500000000000002</c:v>
                </c:pt>
                <c:pt idx="8">
                  <c:v>0.45100000000000001</c:v>
                </c:pt>
                <c:pt idx="9">
                  <c:v>0.57199999999999995</c:v>
                </c:pt>
                <c:pt idx="10">
                  <c:v>0.60699999999999998</c:v>
                </c:pt>
                <c:pt idx="11">
                  <c:v>0.622</c:v>
                </c:pt>
                <c:pt idx="12">
                  <c:v>0.69099999999999995</c:v>
                </c:pt>
                <c:pt idx="13">
                  <c:v>0.53500000000000003</c:v>
                </c:pt>
              </c:numCache>
            </c:numRef>
          </c:val>
          <c:smooth val="0"/>
          <c:extLst>
            <c:ext xmlns:c16="http://schemas.microsoft.com/office/drawing/2014/chart" uri="{C3380CC4-5D6E-409C-BE32-E72D297353CC}">
              <c16:uniqueId val="{00000000-0B21-473B-B86C-AB6D8C7E4345}"/>
            </c:ext>
          </c:extLst>
        </c:ser>
        <c:ser>
          <c:idx val="2"/>
          <c:order val="2"/>
          <c:tx>
            <c:strRef>
              <c:f>'ІЦВ (Стрим Інфл)+'!$F$270</c:f>
              <c:strCache>
                <c:ptCount val="1"/>
                <c:pt idx="0">
                  <c:v>ІЦВ-F</c:v>
                </c:pt>
              </c:strCache>
            </c:strRef>
          </c:tx>
          <c:spPr>
            <a:ln w="9525" cap="rnd">
              <a:solidFill>
                <a:schemeClr val="accent1"/>
              </a:solidFill>
              <a:prstDash val="dash"/>
              <a:round/>
            </a:ln>
            <a:effectLst/>
          </c:spPr>
          <c:marker>
            <c:symbol val="none"/>
          </c:marker>
          <c:dLbls>
            <c:dLbl>
              <c:idx val="1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B21-473B-B86C-AB6D8C7E4345}"/>
                </c:ext>
              </c:extLst>
            </c:dLbl>
            <c:dLbl>
              <c:idx val="19"/>
              <c:layout>
                <c:manualLayout>
                  <c:x val="-3.1672306674397785E-2"/>
                  <c:y val="-2.26509655363762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B21-473B-B86C-AB6D8C7E4345}"/>
                </c:ext>
              </c:extLst>
            </c:dLbl>
            <c:dLbl>
              <c:idx val="2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B21-473B-B86C-AB6D8C7E4345}"/>
                </c:ext>
              </c:extLst>
            </c:dLbl>
            <c:dLbl>
              <c:idx val="3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B21-473B-B86C-AB6D8C7E4345}"/>
                </c:ext>
              </c:extLst>
            </c:dLbl>
            <c:dLbl>
              <c:idx val="4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B21-473B-B86C-AB6D8C7E4345}"/>
                </c:ext>
              </c:extLst>
            </c:dLbl>
            <c:dLbl>
              <c:idx val="4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B21-473B-B86C-AB6D8C7E434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'ІЦВ (Стрим Інфл)+'!$B$272:$C$319</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'ІЦВ (Стрим Інфл)+'!$F$272:$F$319</c:f>
              <c:numCache>
                <c:formatCode>General</c:formatCode>
                <c:ptCount val="48"/>
                <c:pt idx="13" formatCode="0%">
                  <c:v>0.53500000000000003</c:v>
                </c:pt>
                <c:pt idx="14" formatCode="0%">
                  <c:v>0.57019138616037024</c:v>
                </c:pt>
                <c:pt idx="15" formatCode="0%">
                  <c:v>0.62967310526321851</c:v>
                </c:pt>
                <c:pt idx="16" formatCode="0%">
                  <c:v>0.62426841470854244</c:v>
                </c:pt>
                <c:pt idx="17" formatCode="0%">
                  <c:v>0.60520647012792284</c:v>
                </c:pt>
                <c:pt idx="18" formatCode="0%">
                  <c:v>0.70414817775523686</c:v>
                </c:pt>
                <c:pt idx="19" formatCode="0%">
                  <c:v>0.71958968373921817</c:v>
                </c:pt>
                <c:pt idx="20" formatCode="0%">
                  <c:v>0.68047585317584036</c:v>
                </c:pt>
                <c:pt idx="21" formatCode="0%">
                  <c:v>0.58804126527813017</c:v>
                </c:pt>
                <c:pt idx="22" formatCode="0%">
                  <c:v>0.52742962154455708</c:v>
                </c:pt>
                <c:pt idx="23" formatCode="0%">
                  <c:v>0.46338681153266803</c:v>
                </c:pt>
                <c:pt idx="24" formatCode="0%">
                  <c:v>0.34363129235076406</c:v>
                </c:pt>
                <c:pt idx="25" formatCode="0%">
                  <c:v>0.39166470562554023</c:v>
                </c:pt>
                <c:pt idx="26" formatCode="0%">
                  <c:v>0.36342039795414216</c:v>
                </c:pt>
                <c:pt idx="27" formatCode="0%">
                  <c:v>0.31382975952882086</c:v>
                </c:pt>
                <c:pt idx="28" formatCode="0%">
                  <c:v>0.28257441046457132</c:v>
                </c:pt>
                <c:pt idx="29" formatCode="0%">
                  <c:v>0.26886638827348186</c:v>
                </c:pt>
                <c:pt idx="30" formatCode="0.0%">
                  <c:v>0.1948085482192834</c:v>
                </c:pt>
                <c:pt idx="31" formatCode="0.0%">
                  <c:v>0.13053000167144946</c:v>
                </c:pt>
                <c:pt idx="32" formatCode="0.0%">
                  <c:v>0.16948041723356866</c:v>
                </c:pt>
                <c:pt idx="33" formatCode="0.0%">
                  <c:v>0.13352640883677336</c:v>
                </c:pt>
                <c:pt idx="34" formatCode="0.0%">
                  <c:v>0.15283281140564919</c:v>
                </c:pt>
                <c:pt idx="35" formatCode="0.0%">
                  <c:v>0.17265876144614034</c:v>
                </c:pt>
                <c:pt idx="36" formatCode="0.0%">
                  <c:v>0.155</c:v>
                </c:pt>
                <c:pt idx="37" formatCode="0.0%">
                  <c:v>0.14299999999999999</c:v>
                </c:pt>
                <c:pt idx="38" formatCode="0.0%">
                  <c:v>0.13</c:v>
                </c:pt>
                <c:pt idx="39" formatCode="0.0%">
                  <c:v>9.3001200095956651E-2</c:v>
                </c:pt>
                <c:pt idx="40" formatCode="0.0%">
                  <c:v>9.4972270262713834E-2</c:v>
                </c:pt>
                <c:pt idx="41" formatCode="0.0%">
                  <c:v>8.4970886117168187E-2</c:v>
                </c:pt>
                <c:pt idx="42" formatCode="0.0%">
                  <c:v>8.4379717478597419E-2</c:v>
                </c:pt>
                <c:pt idx="43" formatCode="0.0%">
                  <c:v>8.4379962065531805E-2</c:v>
                </c:pt>
                <c:pt idx="44" formatCode="0.0%">
                  <c:v>9.2275929259656553E-2</c:v>
                </c:pt>
                <c:pt idx="45" formatCode="0.0%">
                  <c:v>9.3232216386705771E-2</c:v>
                </c:pt>
                <c:pt idx="46" formatCode="0.0%">
                  <c:v>0.10245008391754613</c:v>
                </c:pt>
                <c:pt idx="47" formatCode="0.0%">
                  <c:v>0.13125428063831976</c:v>
                </c:pt>
              </c:numCache>
            </c:numRef>
          </c:val>
          <c:smooth val="0"/>
          <c:extLst>
            <c:ext xmlns:c16="http://schemas.microsoft.com/office/drawing/2014/chart" uri="{C3380CC4-5D6E-409C-BE32-E72D297353CC}">
              <c16:uniqueId val="{00000002-0B21-473B-B86C-AB6D8C7E4345}"/>
            </c:ext>
          </c:extLst>
        </c:ser>
        <c:dLbls>
          <c:showLegendKey val="0"/>
          <c:showVal val="0"/>
          <c:showCatName val="0"/>
          <c:showSerName val="0"/>
          <c:showPercent val="0"/>
          <c:showBubbleSize val="0"/>
        </c:dLbls>
        <c:marker val="1"/>
        <c:smooth val="0"/>
        <c:axId val="2145466127"/>
        <c:axId val="7505440"/>
      </c:lineChart>
      <c:lineChart>
        <c:grouping val="standard"/>
        <c:varyColors val="0"/>
        <c:ser>
          <c:idx val="1"/>
          <c:order val="1"/>
          <c:tx>
            <c:strRef>
              <c:f>'ІЦВ (Стрим Інфл)+'!$E$270</c:f>
              <c:strCache>
                <c:ptCount val="1"/>
                <c:pt idx="0">
                  <c:v>UA-CPI</c:v>
                </c:pt>
              </c:strCache>
            </c:strRef>
          </c:tx>
          <c:spPr>
            <a:ln w="9525" cap="rnd">
              <a:solidFill>
                <a:schemeClr val="accent3"/>
              </a:solidFill>
              <a:round/>
            </a:ln>
            <a:effectLst/>
          </c:spPr>
          <c:marker>
            <c:symbol val="circle"/>
            <c:size val="4"/>
            <c:spPr>
              <a:solidFill>
                <a:schemeClr val="accent3">
                  <a:lumMod val="40000"/>
                  <a:lumOff val="60000"/>
                </a:schemeClr>
              </a:solidFill>
              <a:ln w="9525">
                <a:solidFill>
                  <a:schemeClr val="accent3"/>
                </a:solidFill>
              </a:ln>
              <a:effectLst/>
            </c:spPr>
          </c:marker>
          <c:dLbls>
            <c:dLbl>
              <c:idx val="4"/>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21-473B-B86C-AB6D8C7E4345}"/>
                </c:ext>
              </c:extLst>
            </c:dLbl>
            <c:dLbl>
              <c:idx val="14"/>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21-473B-B86C-AB6D8C7E4345}"/>
                </c:ext>
              </c:extLst>
            </c:dLbl>
            <c:dLbl>
              <c:idx val="1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21-473B-B86C-AB6D8C7E4345}"/>
                </c:ext>
              </c:extLst>
            </c:dLbl>
            <c:dLbl>
              <c:idx val="23"/>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21-473B-B86C-AB6D8C7E4345}"/>
                </c:ext>
              </c:extLst>
            </c:dLbl>
            <c:dLbl>
              <c:idx val="2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B21-473B-B86C-AB6D8C7E434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3"/>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'ІЦВ (Стрим Інфл)+'!$B$272:$C$319</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'ІЦВ (Стрим Інфл)+'!$E$272:$E$319</c:f>
              <c:numCache>
                <c:formatCode>0</c:formatCode>
                <c:ptCount val="48"/>
                <c:pt idx="0">
                  <c:v>107.3942318607757</c:v>
                </c:pt>
                <c:pt idx="1">
                  <c:v>107.27689409677562</c:v>
                </c:pt>
                <c:pt idx="2">
                  <c:v>109.38117039790873</c:v>
                </c:pt>
                <c:pt idx="3">
                  <c:v>114.88689547968715</c:v>
                </c:pt>
                <c:pt idx="4">
                  <c:v>127.36303446213165</c:v>
                </c:pt>
                <c:pt idx="5">
                  <c:v>130.64615081746115</c:v>
                </c:pt>
                <c:pt idx="6">
                  <c:v>130.68952299701678</c:v>
                </c:pt>
                <c:pt idx="7">
                  <c:v>121.37686063335032</c:v>
                </c:pt>
                <c:pt idx="8">
                  <c:v>117.4428654492054</c:v>
                </c:pt>
                <c:pt idx="9">
                  <c:v>129.9378643666553</c:v>
                </c:pt>
                <c:pt idx="10">
                  <c:v>123.5061720626106</c:v>
                </c:pt>
                <c:pt idx="11">
                  <c:v>139.12591896129169</c:v>
                </c:pt>
                <c:pt idx="12">
                  <c:v>155.10996500177873</c:v>
                </c:pt>
                <c:pt idx="13">
                  <c:v>160.75564639999533</c:v>
                </c:pt>
                <c:pt idx="14">
                  <c:v>209.5082557254367</c:v>
                </c:pt>
                <c:pt idx="15">
                  <c:v>190.610414582011</c:v>
                </c:pt>
                <c:pt idx="16">
                  <c:v>183.00936410355791</c:v>
                </c:pt>
                <c:pt idx="17">
                  <c:v>186.75808375886092</c:v>
                </c:pt>
                <c:pt idx="18">
                  <c:v>205.13848403225657</c:v>
                </c:pt>
                <c:pt idx="19">
                  <c:v>230.60665470544814</c:v>
                </c:pt>
                <c:pt idx="20">
                  <c:v>210.54868377955887</c:v>
                </c:pt>
                <c:pt idx="21">
                  <c:v>178.69019960961467</c:v>
                </c:pt>
                <c:pt idx="22">
                  <c:v>164.50445003631515</c:v>
                </c:pt>
                <c:pt idx="23">
                  <c:v>161.90078935475867</c:v>
                </c:pt>
                <c:pt idx="24">
                  <c:v>146.68577622635451</c:v>
                </c:pt>
                <c:pt idx="25">
                  <c:v>138.74359824996117</c:v>
                </c:pt>
                <c:pt idx="26">
                  <c:v>126.90257301984613</c:v>
                </c:pt>
                <c:pt idx="27">
                  <c:v>126.90331385610364</c:v>
                </c:pt>
                <c:pt idx="28">
                  <c:v>111.52648750672626</c:v>
                </c:pt>
                <c:pt idx="29">
                  <c:v>111.55227321847254</c:v>
                </c:pt>
                <c:pt idx="30">
                  <c:v>109.38568070013625</c:v>
                </c:pt>
                <c:pt idx="31">
                  <c:v>109.34920390790697</c:v>
                </c:pt>
                <c:pt idx="32">
                  <c:v>114.50213310122605</c:v>
                </c:pt>
                <c:pt idx="33">
                  <c:v>121.49279304972606</c:v>
                </c:pt>
                <c:pt idx="34">
                  <c:v>110.31591659566976</c:v>
                </c:pt>
              </c:numCache>
            </c:numRef>
          </c:val>
          <c:smooth val="0"/>
          <c:extLst>
            <c:ext xmlns:c16="http://schemas.microsoft.com/office/drawing/2014/chart" uri="{C3380CC4-5D6E-409C-BE32-E72D297353CC}">
              <c16:uniqueId val="{00000001-0B21-473B-B86C-AB6D8C7E4345}"/>
            </c:ext>
          </c:extLst>
        </c:ser>
        <c:ser>
          <c:idx val="3"/>
          <c:order val="3"/>
          <c:tx>
            <c:strRef>
              <c:f>'ІЦВ (Стрим Інфл)+'!$G$270</c:f>
              <c:strCache>
                <c:ptCount val="1"/>
                <c:pt idx="0">
                  <c:v>UA-CPI- F</c:v>
                </c:pt>
              </c:strCache>
            </c:strRef>
          </c:tx>
          <c:spPr>
            <a:ln w="9525" cap="rnd">
              <a:solidFill>
                <a:schemeClr val="accent3"/>
              </a:solidFill>
              <a:prstDash val="dash"/>
              <a:round/>
            </a:ln>
            <a:effectLst/>
          </c:spPr>
          <c:marker>
            <c:symbol val="none"/>
          </c:marker>
          <c:dLbls>
            <c:dLbl>
              <c:idx val="33"/>
              <c:layout>
                <c:manualLayout>
                  <c:x val="-2.7621528785970441E-2"/>
                  <c:y val="-3.33773989835545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B21-473B-B86C-AB6D8C7E4345}"/>
                </c:ext>
              </c:extLst>
            </c:dLbl>
            <c:dLbl>
              <c:idx val="34"/>
              <c:layout>
                <c:manualLayout>
                  <c:x val="-1.91530448027992E-2"/>
                  <c:y val="-3.90695862577332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598-47D5-93A4-2E19CEACA3C3}"/>
                </c:ext>
              </c:extLst>
            </c:dLbl>
            <c:dLbl>
              <c:idx val="4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B21-473B-B86C-AB6D8C7E4345}"/>
                </c:ext>
              </c:extLst>
            </c:dLbl>
            <c:dLbl>
              <c:idx val="4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B21-473B-B86C-AB6D8C7E434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3"/>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'ІЦВ (Стрим Інфл)+'!$B$272:$C$319</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2021</c:v>
                  </c:pt>
                  <c:pt idx="12">
                    <c:v>2022</c:v>
                  </c:pt>
                  <c:pt idx="24">
                    <c:v>2023</c:v>
                  </c:pt>
                  <c:pt idx="36">
                    <c:v>2024</c:v>
                  </c:pt>
                </c:lvl>
              </c:multiLvlStrCache>
            </c:multiLvlStrRef>
          </c:cat>
          <c:val>
            <c:numRef>
              <c:f>'ІЦВ (Стрим Інфл)+'!$G$272:$G$319</c:f>
              <c:numCache>
                <c:formatCode>General</c:formatCode>
                <c:ptCount val="48"/>
                <c:pt idx="34" formatCode="0">
                  <c:v>110.31591659566976</c:v>
                </c:pt>
                <c:pt idx="35" formatCode="0">
                  <c:v>102.74267749941828</c:v>
                </c:pt>
                <c:pt idx="36" formatCode="0">
                  <c:v>101.93020878921494</c:v>
                </c:pt>
                <c:pt idx="37" formatCode="0">
                  <c:v>101.31443162196511</c:v>
                </c:pt>
                <c:pt idx="38" formatCode="0">
                  <c:v>100.53593474810968</c:v>
                </c:pt>
                <c:pt idx="39" formatCode="0">
                  <c:v>100.91179773295472</c:v>
                </c:pt>
                <c:pt idx="40" formatCode="0">
                  <c:v>101.17796298362366</c:v>
                </c:pt>
                <c:pt idx="41" formatCode="0">
                  <c:v>101.21153785639414</c:v>
                </c:pt>
                <c:pt idx="42" formatCode="0">
                  <c:v>101.82123928676134</c:v>
                </c:pt>
                <c:pt idx="43" formatCode="0">
                  <c:v>102.12258769870664</c:v>
                </c:pt>
                <c:pt idx="44" formatCode="0">
                  <c:v>102.5158661227303</c:v>
                </c:pt>
                <c:pt idx="45" formatCode="0">
                  <c:v>103.00714104124147</c:v>
                </c:pt>
                <c:pt idx="46" formatCode="0">
                  <c:v>105.29329300463289</c:v>
                </c:pt>
                <c:pt idx="47" formatCode="0">
                  <c:v>105.88194455336817</c:v>
                </c:pt>
              </c:numCache>
            </c:numRef>
          </c:val>
          <c:smooth val="0"/>
          <c:extLst>
            <c:ext xmlns:c16="http://schemas.microsoft.com/office/drawing/2014/chart" uri="{C3380CC4-5D6E-409C-BE32-E72D297353CC}">
              <c16:uniqueId val="{00000003-0B21-473B-B86C-AB6D8C7E4345}"/>
            </c:ext>
          </c:extLst>
        </c:ser>
        <c:dLbls>
          <c:showLegendKey val="0"/>
          <c:showVal val="0"/>
          <c:showCatName val="0"/>
          <c:showSerName val="0"/>
          <c:showPercent val="0"/>
          <c:showBubbleSize val="0"/>
        </c:dLbls>
        <c:marker val="1"/>
        <c:smooth val="0"/>
        <c:axId val="2145452207"/>
        <c:axId val="7481632"/>
      </c:lineChart>
      <c:catAx>
        <c:axId val="2145466127"/>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505440"/>
        <c:crosses val="autoZero"/>
        <c:auto val="1"/>
        <c:lblAlgn val="ctr"/>
        <c:lblOffset val="100"/>
        <c:noMultiLvlLbl val="0"/>
      </c:catAx>
      <c:valAx>
        <c:axId val="7505440"/>
        <c:scaling>
          <c:orientation val="minMax"/>
          <c:max val="1"/>
        </c:scaling>
        <c:delete val="0"/>
        <c:axPos val="l"/>
        <c:majorGridlines>
          <c:spPr>
            <a:ln w="9525" cap="flat" cmpd="sng" algn="ctr">
              <a:solidFill>
                <a:schemeClr val="tx1">
                  <a:lumMod val="15000"/>
                  <a:lumOff val="85000"/>
                </a:schemeClr>
              </a:solidFill>
              <a:round/>
            </a:ln>
            <a:effectLst/>
          </c:spPr>
        </c:majorGridlines>
        <c:title>
          <c:tx>
            <c:strRef>
              <c:f>'ІЦВ (Стрим Інфл)+'!$J$270</c:f>
              <c:strCache>
                <c:ptCount val="1"/>
                <c:pt idx="0">
                  <c:v>% р-р</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2145466127"/>
        <c:crosses val="autoZero"/>
        <c:crossBetween val="between"/>
      </c:valAx>
      <c:valAx>
        <c:axId val="748163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solidFill>
                <a:latin typeface="+mn-lt"/>
                <a:ea typeface="+mn-ea"/>
                <a:cs typeface="+mn-cs"/>
              </a:defRPr>
            </a:pPr>
            <a:endParaRPr lang="en-US"/>
          </a:p>
        </c:txPr>
        <c:crossAx val="2145452207"/>
        <c:crosses val="max"/>
        <c:crossBetween val="between"/>
      </c:valAx>
      <c:catAx>
        <c:axId val="2145452207"/>
        <c:scaling>
          <c:orientation val="minMax"/>
        </c:scaling>
        <c:delete val="1"/>
        <c:axPos val="b"/>
        <c:numFmt formatCode="General" sourceLinked="1"/>
        <c:majorTickMark val="out"/>
        <c:minorTickMark val="none"/>
        <c:tickLblPos val="nextTo"/>
        <c:crossAx val="7481632"/>
        <c:crosses val="autoZero"/>
        <c:auto val="1"/>
        <c:lblAlgn val="ctr"/>
        <c:lblOffset val="100"/>
        <c:noMultiLvlLbl val="0"/>
      </c:catAx>
      <c:spPr>
        <a:noFill/>
        <a:ln>
          <a:noFill/>
        </a:ln>
        <a:effectLst/>
      </c:spPr>
    </c:plotArea>
    <c:legend>
      <c:legendPos val="t"/>
      <c:legendEntry>
        <c:idx val="1"/>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uk-UA" sz="2400" b="1"/>
              <a:t>Прогноз индекса потребительских цен</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'Дефлятор модель (CPI-PPI) (С-1)'!$O$1</c:f>
              <c:strCache>
                <c:ptCount val="1"/>
                <c:pt idx="0">
                  <c:v>Исторические данные</c:v>
                </c:pt>
              </c:strCache>
            </c:strRef>
          </c:tx>
          <c:spPr>
            <a:ln w="28575" cap="rnd">
              <a:solidFill>
                <a:srgbClr val="002060"/>
              </a:solidFill>
              <a:round/>
            </a:ln>
            <a:effectLst/>
          </c:spPr>
          <c:marker>
            <c:symbol val="none"/>
          </c:marker>
          <c:dLbls>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(С-1)'!$O$34:$O$45</c:f>
              <c:numCache>
                <c:formatCode>0.0%</c:formatCode>
                <c:ptCount val="12"/>
                <c:pt idx="0">
                  <c:v>0.13766666666666663</c:v>
                </c:pt>
                <c:pt idx="1">
                  <c:v>0.1156666666666667</c:v>
                </c:pt>
                <c:pt idx="2">
                  <c:v>8.9333333333333376E-2</c:v>
                </c:pt>
                <c:pt idx="3">
                  <c:v>9.7666666666666679E-2</c:v>
                </c:pt>
                <c:pt idx="4">
                  <c:v>8.8666666666666671E-2</c:v>
                </c:pt>
                <c:pt idx="5">
                  <c:v>9.1333333333333336E-2</c:v>
                </c:pt>
                <c:pt idx="6">
                  <c:v>8.4666666666666668E-2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0-BB21-43CE-8C67-AA3FD7B14CB6}"/>
            </c:ext>
          </c:extLst>
        </c:ser>
        <c:ser>
          <c:idx val="2"/>
          <c:order val="1"/>
          <c:tx>
            <c:strRef>
              <c:f>'Дефлятор модель (CPI-PPI) (С-1)'!$P$1</c:f>
              <c:strCache>
                <c:ptCount val="1"/>
                <c:pt idx="0">
                  <c:v>Сценарий Б</c:v>
                </c:pt>
              </c:strCache>
            </c:strRef>
          </c:tx>
          <c:spPr>
            <a:ln w="28575" cap="rnd">
              <a:solidFill>
                <a:srgbClr val="00B0F0"/>
              </a:solidFill>
              <a:prstDash val="dash"/>
              <a:round/>
            </a:ln>
            <a:effectLst/>
          </c:spPr>
          <c:marker>
            <c:symbol val="none"/>
          </c:marker>
          <c:dLbls>
            <c:dLbl>
              <c:idx val="6"/>
              <c:delete val="1"/>
              <c:extLst>
                <c:ext xmlns:c15="http://schemas.microsoft.com/office/drawing/2012/chart" uri="{CE6537A1-D6FC-4f65-9D91-7224C49458BB}"/>
                <c:ext xmlns:c16="http://schemas.microsoft.com/office/drawing/2014/chart" uri="{C3380CC4-5D6E-409C-BE32-E72D297353CC}">
                  <c16:uniqueId val="{00000001-BB21-43CE-8C67-AA3FD7B14CB6}"/>
                </c:ext>
              </c:extLst>
            </c:dLbl>
            <c:dLbl>
              <c:idx val="7"/>
              <c:delete val="1"/>
              <c:extLst>
                <c:ext xmlns:c15="http://schemas.microsoft.com/office/drawing/2012/chart" uri="{CE6537A1-D6FC-4f65-9D91-7224C49458BB}"/>
                <c:ext xmlns:c16="http://schemas.microsoft.com/office/drawing/2014/chart" uri="{C3380CC4-5D6E-409C-BE32-E72D297353CC}">
                  <c16:uniqueId val="{00000002-BB21-43CE-8C67-AA3FD7B14CB6}"/>
                </c:ext>
              </c:extLst>
            </c:dLbl>
            <c:spPr>
              <a:no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(С-1)'!$P$34:$P$45</c:f>
              <c:numCache>
                <c:formatCode>#,##0</c:formatCode>
                <c:ptCount val="12"/>
                <c:pt idx="6" formatCode="0.0%">
                  <c:v>8.4666666666666668E-2</c:v>
                </c:pt>
                <c:pt idx="7" formatCode="0.0%">
                  <c:v>5.2333333333333322E-2</c:v>
                </c:pt>
                <c:pt idx="8" formatCode="0.0%">
                  <c:v>2.6333333333333334E-2</c:v>
                </c:pt>
                <c:pt idx="9" formatCode="0.0%">
                  <c:v>2.066666666666667E-2</c:v>
                </c:pt>
                <c:pt idx="10" formatCode="0.0%">
                  <c:v>2.4000000000000004E-2</c:v>
                </c:pt>
                <c:pt idx="11" formatCode="0.0%">
                  <c:v>3.7999999999999999E-2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3-BB21-43CE-8C67-AA3FD7B14CB6}"/>
            </c:ext>
          </c:extLst>
        </c:ser>
        <c:dLbls>
          <c:dLblPos val="t"/>
          <c:showLegendKey val="0"/>
          <c:showVal val="1"/>
          <c:showCatName val="0"/>
          <c:showSerName val="0"/>
          <c:showPercent val="0"/>
          <c:showBubbleSize val="0"/>
        </c:dLbls>
        <c:smooth val="0"/>
        <c:axId val="2093273312"/>
        <c:axId val="2093287456"/>
      </c:lineChart>
      <c:catAx>
        <c:axId val="2093273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87456"/>
        <c:crosses val="autoZero"/>
        <c:auto val="1"/>
        <c:lblAlgn val="ctr"/>
        <c:lblOffset val="100"/>
        <c:noMultiLvlLbl val="0"/>
      </c:catAx>
      <c:valAx>
        <c:axId val="2093287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7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0">
          <a:solidFill>
            <a:sysClr val="windowText" lastClr="000000"/>
          </a:solidFill>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uk-UA" sz="2400" b="1"/>
              <a:t>Прогноз индекса</a:t>
            </a:r>
            <a:r>
              <a:rPr lang="uk-UA" sz="2400" b="1" baseline="0"/>
              <a:t> </a:t>
            </a:r>
            <a:r>
              <a:rPr lang="uk-UA" sz="2400" b="1"/>
              <a:t>цен производителей</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'Дефлятор модель (CPI-PPI) (С-1)'!$R$1</c:f>
              <c:strCache>
                <c:ptCount val="1"/>
                <c:pt idx="0">
                  <c:v>Исторические данные</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(С-1)'!$R$34:$R$45</c:f>
              <c:numCache>
                <c:formatCode>0.0%</c:formatCode>
                <c:ptCount val="12"/>
                <c:pt idx="0">
                  <c:v>0.19166666666666665</c:v>
                </c:pt>
                <c:pt idx="1">
                  <c:v>0.16333333333333333</c:v>
                </c:pt>
                <c:pt idx="2">
                  <c:v>0.18766666666666665</c:v>
                </c:pt>
                <c:pt idx="3">
                  <c:v>0.15766666666666665</c:v>
                </c:pt>
                <c:pt idx="4">
                  <c:v>9.8333333333333328E-2</c:v>
                </c:pt>
                <c:pt idx="5">
                  <c:v>6.7666666666666667E-2</c:v>
                </c:pt>
                <c:pt idx="6">
                  <c:v>4.3000000000000003E-2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0-94DC-459D-B576-D89BF3F4ABDF}"/>
            </c:ext>
          </c:extLst>
        </c:ser>
        <c:ser>
          <c:idx val="2"/>
          <c:order val="1"/>
          <c:tx>
            <c:strRef>
              <c:f>'Дефлятор модель (CPI-PPI) (С-1)'!$S$1</c:f>
              <c:strCache>
                <c:ptCount val="1"/>
                <c:pt idx="0">
                  <c:v>Сценарий Б</c:v>
                </c:pt>
              </c:strCache>
            </c:strRef>
          </c:tx>
          <c:spPr>
            <a:ln w="28575" cap="rnd">
              <a:solidFill>
                <a:srgbClr val="00B0F0"/>
              </a:solidFill>
              <a:prstDash val="dash"/>
              <a:round/>
            </a:ln>
            <a:effectLst/>
          </c:spPr>
          <c:marker>
            <c:symbol val="none"/>
          </c:marker>
          <c:dLbls>
            <c:dLbl>
              <c:idx val="6"/>
              <c:delete val="1"/>
              <c:extLst>
                <c:ext xmlns:c15="http://schemas.microsoft.com/office/drawing/2012/chart" uri="{CE6537A1-D6FC-4f65-9D91-7224C49458BB}"/>
                <c:ext xmlns:c16="http://schemas.microsoft.com/office/drawing/2014/chart" uri="{C3380CC4-5D6E-409C-BE32-E72D297353CC}">
                  <c16:uniqueId val="{00000001-94DC-459D-B576-D89BF3F4ABDF}"/>
                </c:ext>
              </c:extLst>
            </c:dLbl>
            <c:dLbl>
              <c:idx val="7"/>
              <c:delete val="1"/>
              <c:extLst>
                <c:ext xmlns:c15="http://schemas.microsoft.com/office/drawing/2012/chart" uri="{CE6537A1-D6FC-4f65-9D91-7224C49458BB}"/>
                <c:ext xmlns:c16="http://schemas.microsoft.com/office/drawing/2014/chart" uri="{C3380CC4-5D6E-409C-BE32-E72D297353CC}">
                  <c16:uniqueId val="{00000002-94DC-459D-B576-D89BF3F4ABDF}"/>
                </c:ext>
              </c:extLst>
            </c:dLbl>
            <c:spPr>
              <a:no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(С-1)'!$S$34:$S$45</c:f>
              <c:numCache>
                <c:formatCode>#,##0</c:formatCode>
                <c:ptCount val="12"/>
                <c:pt idx="6" formatCode="0.0%">
                  <c:v>4.3000000000000003E-2</c:v>
                </c:pt>
                <c:pt idx="7" formatCode="0.0%">
                  <c:v>-3.9E-2</c:v>
                </c:pt>
                <c:pt idx="8" formatCode="0.0%">
                  <c:v>-5.6333333333333339E-2</c:v>
                </c:pt>
                <c:pt idx="9" formatCode="0.0%">
                  <c:v>-4.099999999999996E-2</c:v>
                </c:pt>
                <c:pt idx="10" formatCode="0.0%">
                  <c:v>-4.6333333333333337E-2</c:v>
                </c:pt>
                <c:pt idx="11" formatCode="0.0%">
                  <c:v>8.7666666666666671E-2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3-94DC-459D-B576-D89BF3F4ABDF}"/>
            </c:ext>
          </c:extLst>
        </c:ser>
        <c:dLbls>
          <c:dLblPos val="t"/>
          <c:showLegendKey val="0"/>
          <c:showVal val="1"/>
          <c:showCatName val="0"/>
          <c:showSerName val="0"/>
          <c:showPercent val="0"/>
          <c:showBubbleSize val="0"/>
        </c:dLbls>
        <c:smooth val="0"/>
        <c:axId val="2093273312"/>
        <c:axId val="2093287456"/>
      </c:lineChart>
      <c:catAx>
        <c:axId val="2093273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87456"/>
        <c:crosses val="autoZero"/>
        <c:auto val="1"/>
        <c:lblAlgn val="ctr"/>
        <c:lblOffset val="100"/>
        <c:noMultiLvlLbl val="0"/>
      </c:catAx>
      <c:valAx>
        <c:axId val="2093287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7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0">
          <a:solidFill>
            <a:sysClr val="windowText" lastClr="000000"/>
          </a:solidFill>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uk-UA" sz="2400" b="1"/>
              <a:t>Прогноз дефлятора ВВП</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'Дефлятор модель (CPI-PPI) (С-1)'!$U$1</c:f>
              <c:strCache>
                <c:ptCount val="1"/>
                <c:pt idx="0">
                  <c:v>Исторические данные</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(С-1)'!$U$34:$U$45</c:f>
              <c:numCache>
                <c:formatCode>0.0%</c:formatCode>
                <c:ptCount val="12"/>
                <c:pt idx="0">
                  <c:v>0.151</c:v>
                </c:pt>
                <c:pt idx="1">
                  <c:v>0.17399999999999999</c:v>
                </c:pt>
                <c:pt idx="2">
                  <c:v>0.16</c:v>
                </c:pt>
                <c:pt idx="3">
                  <c:v>0.13500000000000001</c:v>
                </c:pt>
                <c:pt idx="4">
                  <c:v>0.11700000000000001</c:v>
                </c:pt>
                <c:pt idx="5">
                  <c:v>9.4E-2</c:v>
                </c:pt>
                <c:pt idx="6">
                  <c:v>6.8000000000000005E-2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0-6180-4BB2-917B-1B32286A63AB}"/>
            </c:ext>
          </c:extLst>
        </c:ser>
        <c:ser>
          <c:idx val="2"/>
          <c:order val="1"/>
          <c:tx>
            <c:strRef>
              <c:f>'Дефлятор модель (CPI-PPI) (С-1)'!$V$1</c:f>
              <c:strCache>
                <c:ptCount val="1"/>
                <c:pt idx="0">
                  <c:v>Сценарий Б</c:v>
                </c:pt>
              </c:strCache>
            </c:strRef>
          </c:tx>
          <c:spPr>
            <a:ln w="28575" cap="rnd">
              <a:solidFill>
                <a:srgbClr val="00B0F0"/>
              </a:solidFill>
              <a:prstDash val="dash"/>
              <a:round/>
            </a:ln>
            <a:effectLst/>
          </c:spPr>
          <c:marker>
            <c:symbol val="none"/>
          </c:marker>
          <c:dLbls>
            <c:dLbl>
              <c:idx val="6"/>
              <c:delete val="1"/>
              <c:extLst>
                <c:ext xmlns:c15="http://schemas.microsoft.com/office/drawing/2012/chart" uri="{CE6537A1-D6FC-4f65-9D91-7224C49458BB}"/>
                <c:ext xmlns:c16="http://schemas.microsoft.com/office/drawing/2014/chart" uri="{C3380CC4-5D6E-409C-BE32-E72D297353CC}">
                  <c16:uniqueId val="{00000001-6180-4BB2-917B-1B32286A63AB}"/>
                </c:ext>
              </c:extLst>
            </c:dLbl>
            <c:dLbl>
              <c:idx val="7"/>
              <c:layout>
                <c:manualLayout>
                  <c:x val="-3.7365084704226996E-2"/>
                  <c:y val="-4.0833821092296788E-2"/>
                </c:manualLayout>
              </c:layout>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80-4BB2-917B-1B32286A63AB}"/>
                </c:ext>
              </c:extLst>
            </c:dLbl>
            <c:spPr>
              <a:no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'Дефлятор модель (CPI-PPI) (С-1)'!$V$34:$V$45</c:f>
              <c:numCache>
                <c:formatCode>#,##0</c:formatCode>
                <c:ptCount val="12"/>
                <c:pt idx="6" formatCode="0.0%">
                  <c:v>6.8000000000000005E-2</c:v>
                </c:pt>
                <c:pt idx="7" formatCode="0.0%">
                  <c:v>4.8000000000000001E-2</c:v>
                </c:pt>
                <c:pt idx="8" formatCode="0.0%">
                  <c:v>5.2999999999999999E-2</c:v>
                </c:pt>
                <c:pt idx="9" formatCode="0.0%">
                  <c:v>5.5999999999999994E-2</c:v>
                </c:pt>
                <c:pt idx="10" formatCode="0.0%">
                  <c:v>8.4000000000000005E-2</c:v>
                </c:pt>
                <c:pt idx="11" formatCode="0.0%">
                  <c:v>0.17499999999999999</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3-6180-4BB2-917B-1B32286A63AB}"/>
            </c:ext>
          </c:extLst>
        </c:ser>
        <c:dLbls>
          <c:dLblPos val="t"/>
          <c:showLegendKey val="0"/>
          <c:showVal val="1"/>
          <c:showCatName val="0"/>
          <c:showSerName val="0"/>
          <c:showPercent val="0"/>
          <c:showBubbleSize val="0"/>
        </c:dLbls>
        <c:smooth val="0"/>
        <c:axId val="2093273312"/>
        <c:axId val="2093287456"/>
      </c:lineChart>
      <c:catAx>
        <c:axId val="2093273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87456"/>
        <c:crosses val="autoZero"/>
        <c:auto val="1"/>
        <c:lblAlgn val="ctr"/>
        <c:lblOffset val="100"/>
        <c:noMultiLvlLbl val="0"/>
      </c:catAx>
      <c:valAx>
        <c:axId val="2093287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7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0">
          <a:solidFill>
            <a:sysClr val="windowText" lastClr="000000"/>
          </a:solidFill>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r>
              <a:rPr lang="ru-RU" sz="2400">
                <a:solidFill>
                  <a:schemeClr val="accent1"/>
                </a:solidFill>
              </a:rPr>
              <a:t>Прогноз уровня инфляции в 2020 - 2021 годах, г-г</a:t>
            </a:r>
            <a:r>
              <a:rPr lang="en-US" sz="2400">
                <a:solidFill>
                  <a:schemeClr val="accent1"/>
                </a:solidFill>
              </a:rPr>
              <a:t> % </a:t>
            </a:r>
            <a:endParaRPr lang="ru-RU" sz="2400">
              <a:solidFill>
                <a:schemeClr val="accent1"/>
              </a:solidFill>
            </a:endParaRPr>
          </a:p>
        </c:rich>
      </c:tx>
      <c:layout>
        <c:manualLayout>
          <c:xMode val="edge"/>
          <c:yMode val="edge"/>
          <c:x val="4.4379707583808249E-2"/>
          <c:y val="0"/>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endParaRPr lang="en-US"/>
        </a:p>
      </c:txPr>
    </c:title>
    <c:autoTitleDeleted val="0"/>
    <c:plotArea>
      <c:layout/>
      <c:areaChart>
        <c:grouping val="standard"/>
        <c:varyColors val="0"/>
        <c:ser>
          <c:idx val="2"/>
          <c:order val="2"/>
          <c:tx>
            <c:strRef>
              <c:f>'Дефлятор модель (CPI-PPI) (С-1)'!$G$1</c:f>
              <c:strCache>
                <c:ptCount val="1"/>
                <c:pt idx="0">
                  <c:v>Дефлятор</c:v>
                </c:pt>
              </c:strCache>
            </c:strRef>
          </c:tx>
          <c:spPr>
            <a:solidFill>
              <a:schemeClr val="accent1">
                <a:lumMod val="20000"/>
                <a:lumOff val="80000"/>
              </a:schemeClr>
            </a:solidFill>
            <a:ln>
              <a:noFill/>
            </a:ln>
            <a:effectLst/>
          </c:spPr>
          <c:dLbls>
            <c:dLbl>
              <c:idx val="0"/>
              <c:layout>
                <c:manualLayout>
                  <c:x val="2.7552276708744352E-2"/>
                  <c:y val="3.288208922956219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697-4871-B466-E411BEB20AD6}"/>
                </c:ext>
              </c:extLst>
            </c:dLbl>
            <c:dLbl>
              <c:idx val="1"/>
              <c:layout>
                <c:manualLayout>
                  <c:x val="3.2144322826868382E-2"/>
                  <c:y val="3.0141915127098767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97-4871-B466-E411BEB20AD6}"/>
                </c:ext>
              </c:extLst>
            </c:dLbl>
            <c:dLbl>
              <c:idx val="2"/>
              <c:layout>
                <c:manualLayout>
                  <c:x val="2.9082958748119038E-2"/>
                  <c:y val="2.740174102463524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697-4871-B466-E411BEB20AD6}"/>
                </c:ext>
              </c:extLst>
            </c:dLbl>
            <c:dLbl>
              <c:idx val="3"/>
              <c:layout>
                <c:manualLayout>
                  <c:x val="5.0948847743695685E-3"/>
                  <c:y val="-9.0564912847810083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97-4871-B466-E411BEB20AD6}"/>
                </c:ext>
              </c:extLst>
            </c:dLbl>
            <c:dLbl>
              <c:idx val="4"/>
              <c:layout>
                <c:manualLayout>
                  <c:x val="3.0660643710189329E-3"/>
                  <c:y val="6.14855736164751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697-4871-B466-E411BEB20AD6}"/>
                </c:ext>
              </c:extLst>
            </c:dLbl>
            <c:dLbl>
              <c:idx val="5"/>
              <c:layout>
                <c:manualLayout>
                  <c:x val="5.7882790894388404E-3"/>
                  <c:y val="5.81086944690573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697-4871-B466-E411BEB20AD6}"/>
                </c:ext>
              </c:extLst>
            </c:dLbl>
            <c:dLbl>
              <c:idx val="6"/>
              <c:layout>
                <c:manualLayout>
                  <c:x val="2.0262415309561933E-3"/>
                  <c:y val="6.59681842015394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697-4871-B466-E411BEB20AD6}"/>
                </c:ext>
              </c:extLst>
            </c:dLbl>
            <c:dLbl>
              <c:idx val="7"/>
              <c:layout>
                <c:manualLayout>
                  <c:x val="5.453885302286389E-3"/>
                  <c:y val="6.77098961894931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697-4871-B466-E411BEB20AD6}"/>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'Дефлятор модель (CPI-PPI) (С-1)'!$A$98:$B$105</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(С-1)'!$G$42:$G$49</c:f>
              <c:numCache>
                <c:formatCode>0.0%</c:formatCode>
                <c:ptCount val="8"/>
                <c:pt idx="0">
                  <c:v>5.2999999999999999E-2</c:v>
                </c:pt>
                <c:pt idx="1">
                  <c:v>5.5999999999999994E-2</c:v>
                </c:pt>
                <c:pt idx="2">
                  <c:v>8.4000000000000005E-2</c:v>
                </c:pt>
                <c:pt idx="3">
                  <c:v>0.17499999999999999</c:v>
                </c:pt>
                <c:pt idx="4">
                  <c:v>0.217</c:v>
                </c:pt>
                <c:pt idx="5">
                  <c:v>0.27300000000000002</c:v>
                </c:pt>
                <c:pt idx="6">
                  <c:v>0.26100000000000001</c:v>
                </c:pt>
                <c:pt idx="7">
                  <c:v>0.24399999999999999</c:v>
                </c:pt>
              </c:numCache>
            </c:numRef>
          </c:val>
          <c:extLst>
            <c:ext xmlns:c16="http://schemas.microsoft.com/office/drawing/2014/chart" uri="{C3380CC4-5D6E-409C-BE32-E72D297353CC}">
              <c16:uniqueId val="{00000008-7697-4871-B466-E411BEB20AD6}"/>
            </c:ext>
          </c:extLst>
        </c:ser>
        <c:dLbls>
          <c:showLegendKey val="0"/>
          <c:showVal val="0"/>
          <c:showCatName val="0"/>
          <c:showSerName val="0"/>
          <c:showPercent val="0"/>
          <c:showBubbleSize val="0"/>
        </c:dLbls>
        <c:axId val="720532336"/>
        <c:axId val="720530736"/>
      </c:areaChart>
      <c:barChart>
        <c:barDir val="col"/>
        <c:grouping val="clustered"/>
        <c:varyColors val="0"/>
        <c:ser>
          <c:idx val="0"/>
          <c:order val="0"/>
          <c:tx>
            <c:strRef>
              <c:f>'Дефлятор модель (CPI-PPI) (С-1)'!$E$1</c:f>
              <c:strCache>
                <c:ptCount val="1"/>
                <c:pt idx="0">
                  <c:v>CPI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(С-1)'!$A$98:$B$105</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(С-1)'!$E$42:$E$49</c:f>
              <c:numCache>
                <c:formatCode>0.0%</c:formatCode>
                <c:ptCount val="8"/>
                <c:pt idx="0">
                  <c:v>2.6333333333333334E-2</c:v>
                </c:pt>
                <c:pt idx="1">
                  <c:v>2.066666666666667E-2</c:v>
                </c:pt>
                <c:pt idx="2">
                  <c:v>2.4000000000000004E-2</c:v>
                </c:pt>
                <c:pt idx="3">
                  <c:v>3.7999999999999999E-2</c:v>
                </c:pt>
                <c:pt idx="4">
                  <c:v>7.3666666666666672E-2</c:v>
                </c:pt>
                <c:pt idx="5">
                  <c:v>9.1333333333333336E-2</c:v>
                </c:pt>
                <c:pt idx="6">
                  <c:v>0.10466666666666667</c:v>
                </c:pt>
                <c:pt idx="7">
                  <c:v>0.104</c:v>
                </c:pt>
              </c:numCache>
            </c:numRef>
          </c:val>
          <c:extLst>
            <c:ext xmlns:c16="http://schemas.microsoft.com/office/drawing/2014/chart" uri="{C3380CC4-5D6E-409C-BE32-E72D297353CC}">
              <c16:uniqueId val="{00000009-7697-4871-B466-E411BEB20AD6}"/>
            </c:ext>
          </c:extLst>
        </c:ser>
        <c:ser>
          <c:idx val="1"/>
          <c:order val="1"/>
          <c:tx>
            <c:strRef>
              <c:f>'Дефлятор модель (CPI-PPI) (С-1)'!$F$1</c:f>
              <c:strCache>
                <c:ptCount val="1"/>
                <c:pt idx="0">
                  <c:v>PPI</c:v>
                </c:pt>
              </c:strCache>
            </c:strRef>
          </c:tx>
          <c:spPr>
            <a:solidFill>
              <a:schemeClr val="accent1"/>
            </a:solidFill>
            <a:ln>
              <a:noFill/>
            </a:ln>
            <a:effectLst/>
          </c:spPr>
          <c:invertIfNegative val="0"/>
          <c:dLbls>
            <c:dLbl>
              <c:idx val="3"/>
              <c:layout>
                <c:manualLayout>
                  <c:x val="1.683750243312155E-2"/>
                  <c:y val="1.09606964098540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697-4871-B466-E411BEB20AD6}"/>
                </c:ext>
              </c:extLst>
            </c:dLbl>
            <c:dLbl>
              <c:idx val="4"/>
              <c:layout>
                <c:manualLayout>
                  <c:x val="1.0714774275622804E-2"/>
                  <c:y val="5.48034820492704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697-4871-B466-E411BEB20AD6}"/>
                </c:ext>
              </c:extLst>
            </c:dLbl>
            <c:dLbl>
              <c:idx val="6"/>
              <c:layout>
                <c:manualLayout>
                  <c:x val="6.122728157498745E-3"/>
                  <c:y val="-5.023594488190920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697-4871-B466-E411BEB20AD6}"/>
                </c:ext>
              </c:extLst>
            </c:dLbl>
            <c:dLbl>
              <c:idx val="7"/>
              <c:layout>
                <c:manualLayout>
                  <c:x val="1.071477427562280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697-4871-B466-E411BEB20AD6}"/>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429EBE"/>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(С-1)'!$A$98:$B$105</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(С-1)'!$F$42:$F$49</c:f>
              <c:numCache>
                <c:formatCode>0.0%</c:formatCode>
                <c:ptCount val="8"/>
                <c:pt idx="0">
                  <c:v>-5.6333333333333339E-2</c:v>
                </c:pt>
                <c:pt idx="1">
                  <c:v>-4.099999999999996E-2</c:v>
                </c:pt>
                <c:pt idx="2">
                  <c:v>-4.6333333333333337E-2</c:v>
                </c:pt>
                <c:pt idx="3">
                  <c:v>8.7666666666666671E-2</c:v>
                </c:pt>
                <c:pt idx="4">
                  <c:v>0.23500000000000001</c:v>
                </c:pt>
                <c:pt idx="5">
                  <c:v>0.33333333333333331</c:v>
                </c:pt>
                <c:pt idx="6">
                  <c:v>0.44599999999999995</c:v>
                </c:pt>
                <c:pt idx="7">
                  <c:v>0.60033333333333327</c:v>
                </c:pt>
              </c:numCache>
            </c:numRef>
          </c:val>
          <c:extLst>
            <c:ext xmlns:c16="http://schemas.microsoft.com/office/drawing/2014/chart" uri="{C3380CC4-5D6E-409C-BE32-E72D297353CC}">
              <c16:uniqueId val="{0000000E-7697-4871-B466-E411BEB20AD6}"/>
            </c:ext>
          </c:extLst>
        </c:ser>
        <c:dLbls>
          <c:showLegendKey val="0"/>
          <c:showVal val="0"/>
          <c:showCatName val="0"/>
          <c:showSerName val="0"/>
          <c:showPercent val="0"/>
          <c:showBubbleSize val="0"/>
        </c:dLbls>
        <c:gapWidth val="219"/>
        <c:axId val="720532336"/>
        <c:axId val="720530736"/>
      </c:barChart>
      <c:catAx>
        <c:axId val="7205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0736"/>
        <c:crosses val="autoZero"/>
        <c:auto val="1"/>
        <c:lblAlgn val="ctr"/>
        <c:lblOffset val="100"/>
        <c:noMultiLvlLbl val="0"/>
      </c:catAx>
      <c:valAx>
        <c:axId val="720530736"/>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2336"/>
        <c:crosses val="autoZero"/>
        <c:crossBetween val="between"/>
      </c:valAx>
      <c:spPr>
        <a:noFill/>
        <a:ln>
          <a:noFill/>
        </a:ln>
        <a:effectLst/>
      </c:spPr>
    </c:plotArea>
    <c:legend>
      <c:legendPos val="t"/>
      <c:layout>
        <c:manualLayout>
          <c:xMode val="edge"/>
          <c:yMode val="edge"/>
          <c:x val="1.091722647001905E-2"/>
          <c:y val="0.16181183426951926"/>
          <c:w val="0.92947106360111809"/>
          <c:h val="2.71208780231131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r>
              <a:rPr lang="ru-RU" sz="2400">
                <a:solidFill>
                  <a:schemeClr val="accent1"/>
                </a:solidFill>
              </a:rPr>
              <a:t>Прогноз уровня инфляции в 2020 - 2022 годах, г-г</a:t>
            </a:r>
            <a:r>
              <a:rPr lang="en-US" sz="2400">
                <a:solidFill>
                  <a:schemeClr val="accent1"/>
                </a:solidFill>
              </a:rPr>
              <a:t> % </a:t>
            </a:r>
            <a:endParaRPr lang="ru-RU" sz="2400">
              <a:solidFill>
                <a:schemeClr val="accent1"/>
              </a:solidFill>
            </a:endParaRPr>
          </a:p>
        </c:rich>
      </c:tx>
      <c:layout>
        <c:manualLayout>
          <c:xMode val="edge"/>
          <c:yMode val="edge"/>
          <c:x val="5.8026240671332059E-2"/>
          <c:y val="6.2644413047335005E-3"/>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endParaRPr lang="en-US"/>
        </a:p>
      </c:txPr>
    </c:title>
    <c:autoTitleDeleted val="0"/>
    <c:plotArea>
      <c:layout/>
      <c:areaChart>
        <c:grouping val="standard"/>
        <c:varyColors val="0"/>
        <c:ser>
          <c:idx val="2"/>
          <c:order val="2"/>
          <c:tx>
            <c:strRef>
              <c:f>'Дефлятор модель (CPI-PPI) (С-1)'!$G$1</c:f>
              <c:strCache>
                <c:ptCount val="1"/>
                <c:pt idx="0">
                  <c:v>Дефлятор</c:v>
                </c:pt>
              </c:strCache>
            </c:strRef>
          </c:tx>
          <c:spPr>
            <a:solidFill>
              <a:srgbClr val="BADBE8"/>
            </a:solidFill>
            <a:ln>
              <a:noFill/>
            </a:ln>
            <a:effectLst/>
          </c:spPr>
          <c:dLbls>
            <c:dLbl>
              <c:idx val="0"/>
              <c:layout>
                <c:manualLayout>
                  <c:x val="2.7552276708744352E-2"/>
                  <c:y val="3.288208922956219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31D-4DAD-9636-EA42138447E3}"/>
                </c:ext>
              </c:extLst>
            </c:dLbl>
            <c:dLbl>
              <c:idx val="1"/>
              <c:layout>
                <c:manualLayout>
                  <c:x val="3.2144322826868382E-2"/>
                  <c:y val="3.0141915127098767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1D-4DAD-9636-EA42138447E3}"/>
                </c:ext>
              </c:extLst>
            </c:dLbl>
            <c:dLbl>
              <c:idx val="2"/>
              <c:layout>
                <c:manualLayout>
                  <c:x val="2.9082958748119038E-2"/>
                  <c:y val="2.740174102463524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1D-4DAD-9636-EA42138447E3}"/>
                </c:ext>
              </c:extLst>
            </c:dLbl>
            <c:dLbl>
              <c:idx val="3"/>
              <c:layout>
                <c:manualLayout>
                  <c:x val="5.0948847743695685E-3"/>
                  <c:y val="-9.0564912847810083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1D-4DAD-9636-EA42138447E3}"/>
                </c:ext>
              </c:extLst>
            </c:dLbl>
            <c:dLbl>
              <c:idx val="4"/>
              <c:layout>
                <c:manualLayout>
                  <c:x val="1.1253984223533221E-2"/>
                  <c:y val="-5.12743698687278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1D-4DAD-9636-EA42138447E3}"/>
                </c:ext>
              </c:extLst>
            </c:dLbl>
            <c:dLbl>
              <c:idx val="5"/>
              <c:layout>
                <c:manualLayout>
                  <c:x val="1.3976198941953129E-2"/>
                  <c:y val="-5.25631019145678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1D-4DAD-9636-EA42138447E3}"/>
                </c:ext>
              </c:extLst>
            </c:dLbl>
            <c:dLbl>
              <c:idx val="6"/>
              <c:layout>
                <c:manualLayout>
                  <c:x val="6.1202014572132373E-3"/>
                  <c:y val="-5.93206418931306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31D-4DAD-9636-EA42138447E3}"/>
                </c:ext>
              </c:extLst>
            </c:dLbl>
            <c:dLbl>
              <c:idx val="7"/>
              <c:layout>
                <c:manualLayout>
                  <c:x val="1.773576508105762E-2"/>
                  <c:y val="-5.34026357020211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31D-4DAD-9636-EA42138447E3}"/>
                </c:ext>
              </c:extLst>
            </c:dLbl>
            <c:dLbl>
              <c:idx val="8"/>
              <c:layout>
                <c:manualLayout>
                  <c:x val="-2.7293066175048627E-3"/>
                  <c:y val="6.05562659457571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31D-4DAD-9636-EA42138447E3}"/>
                </c:ext>
              </c:extLst>
            </c:dLbl>
            <c:dLbl>
              <c:idx val="9"/>
              <c:layout>
                <c:manualLayout>
                  <c:x val="2.7293066175046623E-3"/>
                  <c:y val="6.05562659457570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31D-4DAD-9636-EA42138447E3}"/>
                </c:ext>
              </c:extLst>
            </c:dLbl>
            <c:dLbl>
              <c:idx val="10"/>
              <c:layout>
                <c:manualLayout>
                  <c:x val="5.4586132350094253E-3"/>
                  <c:y val="4.59392362347122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31D-4DAD-9636-EA42138447E3}"/>
                </c:ext>
              </c:extLst>
            </c:dLbl>
            <c:dLbl>
              <c:idx val="11"/>
              <c:layout>
                <c:manualLayout>
                  <c:x val="5.458613235009525E-3"/>
                  <c:y val="3.54985007268230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31D-4DAD-9636-EA42138447E3}"/>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'Дефлятор модель (CPI-PPI) (С-1)'!$A$98:$B$105</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(С-1)'!$G$42:$G$53</c:f>
              <c:numCache>
                <c:formatCode>0.0%</c:formatCode>
                <c:ptCount val="12"/>
                <c:pt idx="0">
                  <c:v>5.2999999999999999E-2</c:v>
                </c:pt>
                <c:pt idx="1">
                  <c:v>5.5999999999999994E-2</c:v>
                </c:pt>
                <c:pt idx="2">
                  <c:v>8.4000000000000005E-2</c:v>
                </c:pt>
                <c:pt idx="3">
                  <c:v>0.17499999999999999</c:v>
                </c:pt>
                <c:pt idx="4">
                  <c:v>0.217</c:v>
                </c:pt>
                <c:pt idx="5">
                  <c:v>0.27300000000000002</c:v>
                </c:pt>
                <c:pt idx="6">
                  <c:v>0.26100000000000001</c:v>
                </c:pt>
                <c:pt idx="7">
                  <c:v>0.24399999999999999</c:v>
                </c:pt>
                <c:pt idx="8">
                  <c:v>0.255</c:v>
                </c:pt>
                <c:pt idx="9">
                  <c:v>0.377</c:v>
                </c:pt>
                <c:pt idx="10">
                  <c:v>0.38100000000000001</c:v>
                </c:pt>
                <c:pt idx="11">
                  <c:v>0.36499999999999999</c:v>
                </c:pt>
              </c:numCache>
            </c:numRef>
          </c:val>
          <c:extLst>
            <c:ext xmlns:c16="http://schemas.microsoft.com/office/drawing/2014/chart" uri="{C3380CC4-5D6E-409C-BE32-E72D297353CC}">
              <c16:uniqueId val="{0000000C-831D-4DAD-9636-EA42138447E3}"/>
            </c:ext>
          </c:extLst>
        </c:ser>
        <c:dLbls>
          <c:showLegendKey val="0"/>
          <c:showVal val="0"/>
          <c:showCatName val="0"/>
          <c:showSerName val="0"/>
          <c:showPercent val="0"/>
          <c:showBubbleSize val="0"/>
        </c:dLbls>
        <c:axId val="720532336"/>
        <c:axId val="720530736"/>
      </c:areaChart>
      <c:barChart>
        <c:barDir val="col"/>
        <c:grouping val="clustered"/>
        <c:varyColors val="0"/>
        <c:ser>
          <c:idx val="0"/>
          <c:order val="0"/>
          <c:tx>
            <c:strRef>
              <c:f>'Дефлятор модель (CPI-PPI) (С-1)'!$E$1</c:f>
              <c:strCache>
                <c:ptCount val="1"/>
                <c:pt idx="0">
                  <c:v>CPI</c:v>
                </c:pt>
              </c:strCache>
            </c:strRef>
          </c:tx>
          <c:spPr>
            <a:solidFill>
              <a:schemeClr val="accent3"/>
            </a:solidFill>
            <a:ln>
              <a:noFill/>
            </a:ln>
            <a:effectLst/>
          </c:spPr>
          <c:invertIfNegative val="0"/>
          <c:dLbls>
            <c:dLbl>
              <c:idx val="9"/>
              <c:layout>
                <c:manualLayout>
                  <c:x val="-5.458613235009525E-3"/>
                  <c:y val="1.46170297110447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31D-4DAD-9636-EA42138447E3}"/>
                </c:ext>
              </c:extLst>
            </c:dLbl>
            <c:dLbl>
              <c:idx val="10"/>
              <c:layout>
                <c:manualLayout>
                  <c:x val="-1.3646533087524814E-3"/>
                  <c:y val="1.25288826094668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31D-4DAD-9636-EA42138447E3}"/>
                </c:ext>
              </c:extLst>
            </c:dLbl>
            <c:dLbl>
              <c:idx val="11"/>
              <c:layout>
                <c:manualLayout>
                  <c:x val="-6.8232665437619067E-3"/>
                  <c:y val="1.4617029711044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31D-4DAD-9636-EA42138447E3}"/>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(С-1)'!$A$98:$B$109</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2020</c:v>
                  </c:pt>
                  <c:pt idx="4">
                    <c:v>2021</c:v>
                  </c:pt>
                  <c:pt idx="8">
                    <c:v>2022</c:v>
                  </c:pt>
                </c:lvl>
              </c:multiLvlStrCache>
            </c:multiLvlStrRef>
          </c:cat>
          <c:val>
            <c:numRef>
              <c:f>'Дефлятор модель (CPI-PPI) (С-1)'!$E$42:$E$53</c:f>
              <c:numCache>
                <c:formatCode>0.0%</c:formatCode>
                <c:ptCount val="12"/>
                <c:pt idx="0">
                  <c:v>2.6333333333333334E-2</c:v>
                </c:pt>
                <c:pt idx="1">
                  <c:v>2.066666666666667E-2</c:v>
                </c:pt>
                <c:pt idx="2">
                  <c:v>2.4000000000000004E-2</c:v>
                </c:pt>
                <c:pt idx="3">
                  <c:v>3.7999999999999999E-2</c:v>
                </c:pt>
                <c:pt idx="4">
                  <c:v>7.3666666666666672E-2</c:v>
                </c:pt>
                <c:pt idx="5">
                  <c:v>9.1333333333333336E-2</c:v>
                </c:pt>
                <c:pt idx="6">
                  <c:v>0.10466666666666667</c:v>
                </c:pt>
                <c:pt idx="7">
                  <c:v>0.104</c:v>
                </c:pt>
                <c:pt idx="8">
                  <c:v>0.11466666666666669</c:v>
                </c:pt>
                <c:pt idx="9">
                  <c:v>0.18633333333333335</c:v>
                </c:pt>
                <c:pt idx="10">
                  <c:v>0.23533333333333331</c:v>
                </c:pt>
                <c:pt idx="11">
                  <c:v>0.26566666666666666</c:v>
                </c:pt>
              </c:numCache>
            </c:numRef>
          </c:val>
          <c:extLst>
            <c:ext xmlns:c16="http://schemas.microsoft.com/office/drawing/2014/chart" uri="{C3380CC4-5D6E-409C-BE32-E72D297353CC}">
              <c16:uniqueId val="{00000010-831D-4DAD-9636-EA42138447E3}"/>
            </c:ext>
          </c:extLst>
        </c:ser>
        <c:ser>
          <c:idx val="1"/>
          <c:order val="1"/>
          <c:tx>
            <c:strRef>
              <c:f>'Дефлятор модель (CPI-PPI) (С-1)'!$F$1</c:f>
              <c:strCache>
                <c:ptCount val="1"/>
                <c:pt idx="0">
                  <c:v>PPI</c:v>
                </c:pt>
              </c:strCache>
            </c:strRef>
          </c:tx>
          <c:spPr>
            <a:solidFill>
              <a:schemeClr val="accent1"/>
            </a:solidFill>
            <a:ln>
              <a:noFill/>
            </a:ln>
            <a:effectLst/>
          </c:spPr>
          <c:invertIfNegative val="0"/>
          <c:dLbls>
            <c:dLbl>
              <c:idx val="3"/>
              <c:layout>
                <c:manualLayout>
                  <c:x val="1.683750243312155E-2"/>
                  <c:y val="1.09606964098540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31D-4DAD-9636-EA42138447E3}"/>
                </c:ext>
              </c:extLst>
            </c:dLbl>
            <c:dLbl>
              <c:idx val="4"/>
              <c:layout>
                <c:manualLayout>
                  <c:x val="1.0714774275622804E-2"/>
                  <c:y val="5.48034820492704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831D-4DAD-9636-EA42138447E3}"/>
                </c:ext>
              </c:extLst>
            </c:dLbl>
            <c:dLbl>
              <c:idx val="6"/>
              <c:layout>
                <c:manualLayout>
                  <c:x val="6.122728157498745E-3"/>
                  <c:y val="-5.023594488190920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31D-4DAD-9636-EA42138447E3}"/>
                </c:ext>
              </c:extLst>
            </c:dLbl>
            <c:dLbl>
              <c:idx val="7"/>
              <c:layout>
                <c:manualLayout>
                  <c:x val="1.071477427562280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31D-4DAD-9636-EA42138447E3}"/>
                </c:ext>
              </c:extLst>
            </c:dLbl>
            <c:dLbl>
              <c:idx val="10"/>
              <c:layout>
                <c:manualLayout>
                  <c:x val="5.458613235009525E-3"/>
                  <c:y val="-1.87933239142005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831D-4DAD-9636-EA42138447E3}"/>
                </c:ext>
              </c:extLst>
            </c:dLbl>
            <c:dLbl>
              <c:idx val="11"/>
              <c:layout>
                <c:manualLayout>
                  <c:x val="2.7293066175047625E-3"/>
                  <c:y val="-1.2528882609467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831D-4DAD-9636-EA42138447E3}"/>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429EBE"/>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(С-1)'!$A$98:$B$109</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2020</c:v>
                  </c:pt>
                  <c:pt idx="4">
                    <c:v>2021</c:v>
                  </c:pt>
                  <c:pt idx="8">
                    <c:v>2022</c:v>
                  </c:pt>
                </c:lvl>
              </c:multiLvlStrCache>
            </c:multiLvlStrRef>
          </c:cat>
          <c:val>
            <c:numRef>
              <c:f>'Дефлятор модель (CPI-PPI) (С-1)'!$F$42:$F$53</c:f>
              <c:numCache>
                <c:formatCode>0.0%</c:formatCode>
                <c:ptCount val="12"/>
                <c:pt idx="0">
                  <c:v>-5.6333333333333339E-2</c:v>
                </c:pt>
                <c:pt idx="1">
                  <c:v>-4.099999999999996E-2</c:v>
                </c:pt>
                <c:pt idx="2">
                  <c:v>-4.6333333333333337E-2</c:v>
                </c:pt>
                <c:pt idx="3">
                  <c:v>8.7666666666666671E-2</c:v>
                </c:pt>
                <c:pt idx="4">
                  <c:v>0.23500000000000001</c:v>
                </c:pt>
                <c:pt idx="5">
                  <c:v>0.33333333333333331</c:v>
                </c:pt>
                <c:pt idx="6">
                  <c:v>0.44599999999999995</c:v>
                </c:pt>
                <c:pt idx="7">
                  <c:v>0.60033333333333327</c:v>
                </c:pt>
                <c:pt idx="8">
                  <c:v>0.5987304620534567</c:v>
                </c:pt>
                <c:pt idx="9">
                  <c:v>0.61971599669989452</c:v>
                </c:pt>
                <c:pt idx="10">
                  <c:v>0.70140457155676506</c:v>
                </c:pt>
                <c:pt idx="11">
                  <c:v>0.52628589945178506</c:v>
                </c:pt>
              </c:numCache>
            </c:numRef>
          </c:val>
          <c:extLst>
            <c:ext xmlns:c16="http://schemas.microsoft.com/office/drawing/2014/chart" uri="{C3380CC4-5D6E-409C-BE32-E72D297353CC}">
              <c16:uniqueId val="{00000017-831D-4DAD-9636-EA42138447E3}"/>
            </c:ext>
          </c:extLst>
        </c:ser>
        <c:dLbls>
          <c:showLegendKey val="0"/>
          <c:showVal val="0"/>
          <c:showCatName val="0"/>
          <c:showSerName val="0"/>
          <c:showPercent val="0"/>
          <c:showBubbleSize val="0"/>
        </c:dLbls>
        <c:gapWidth val="219"/>
        <c:axId val="720532336"/>
        <c:axId val="720530736"/>
      </c:barChart>
      <c:catAx>
        <c:axId val="7205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0736"/>
        <c:crosses val="autoZero"/>
        <c:auto val="1"/>
        <c:lblAlgn val="ctr"/>
        <c:lblOffset val="100"/>
        <c:noMultiLvlLbl val="0"/>
      </c:catAx>
      <c:valAx>
        <c:axId val="720530736"/>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2336"/>
        <c:crosses val="autoZero"/>
        <c:crossBetween val="between"/>
      </c:valAx>
      <c:spPr>
        <a:noFill/>
        <a:ln>
          <a:noFill/>
        </a:ln>
        <a:effectLst/>
      </c:spPr>
    </c:plotArea>
    <c:legend>
      <c:legendPos val="t"/>
      <c:layout>
        <c:manualLayout>
          <c:xMode val="edge"/>
          <c:yMode val="edge"/>
          <c:x val="1.091722647001905E-2"/>
          <c:y val="0.16181183426951926"/>
          <c:w val="0.92947106360111809"/>
          <c:h val="2.71208780231131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r>
              <a:rPr lang="ru-RU" sz="2400">
                <a:solidFill>
                  <a:schemeClr val="accent1"/>
                </a:solidFill>
              </a:rPr>
              <a:t>Прогноз </a:t>
            </a:r>
            <a:r>
              <a:rPr lang="uk-UA" sz="2400">
                <a:solidFill>
                  <a:schemeClr val="accent1"/>
                </a:solidFill>
              </a:rPr>
              <a:t>рівня</a:t>
            </a:r>
            <a:r>
              <a:rPr lang="ru-RU" sz="2400">
                <a:solidFill>
                  <a:schemeClr val="accent1"/>
                </a:solidFill>
              </a:rPr>
              <a:t> інфляції в 202</a:t>
            </a:r>
            <a:r>
              <a:rPr lang="en-US" sz="2400">
                <a:solidFill>
                  <a:schemeClr val="accent1"/>
                </a:solidFill>
              </a:rPr>
              <a:t>1</a:t>
            </a:r>
            <a:r>
              <a:rPr lang="ru-RU" sz="2400">
                <a:solidFill>
                  <a:schemeClr val="accent1"/>
                </a:solidFill>
              </a:rPr>
              <a:t> - 2022 роках, р-р</a:t>
            </a:r>
            <a:r>
              <a:rPr lang="en-US" sz="2400">
                <a:solidFill>
                  <a:schemeClr val="accent1"/>
                </a:solidFill>
              </a:rPr>
              <a:t> % </a:t>
            </a:r>
            <a:endParaRPr lang="ru-RU" sz="2400">
              <a:solidFill>
                <a:schemeClr val="accent1"/>
              </a:solidFill>
            </a:endParaRPr>
          </a:p>
        </c:rich>
      </c:tx>
      <c:layout>
        <c:manualLayout>
          <c:xMode val="edge"/>
          <c:yMode val="edge"/>
          <c:x val="5.8026240671332059E-2"/>
          <c:y val="6.2644413047335005E-3"/>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endParaRPr lang="en-US"/>
        </a:p>
      </c:txPr>
    </c:title>
    <c:autoTitleDeleted val="0"/>
    <c:plotArea>
      <c:layout/>
      <c:areaChart>
        <c:grouping val="standard"/>
        <c:varyColors val="0"/>
        <c:ser>
          <c:idx val="2"/>
          <c:order val="2"/>
          <c:tx>
            <c:strRef>
              <c:f>'Дефлятор модель (CPI-PPI) (С-1)'!$G$1</c:f>
              <c:strCache>
                <c:ptCount val="1"/>
                <c:pt idx="0">
                  <c:v>Дефлятор</c:v>
                </c:pt>
              </c:strCache>
            </c:strRef>
          </c:tx>
          <c:spPr>
            <a:solidFill>
              <a:srgbClr val="BADBE8"/>
            </a:solidFill>
            <a:ln>
              <a:noFill/>
            </a:ln>
            <a:effectLst/>
          </c:spPr>
          <c:dLbls>
            <c:dLbl>
              <c:idx val="0"/>
              <c:layout>
                <c:manualLayout>
                  <c:x val="3.9911703707333226E-2"/>
                  <c:y val="-5.12743698687278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601-4B1A-B120-F763BB944830}"/>
                </c:ext>
              </c:extLst>
            </c:dLbl>
            <c:dLbl>
              <c:idx val="1"/>
              <c:layout>
                <c:manualLayout>
                  <c:x val="2.2164118794467415E-2"/>
                  <c:y val="-5.4651249016145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01-4B1A-B120-F763BB944830}"/>
                </c:ext>
              </c:extLst>
            </c:dLbl>
            <c:dLbl>
              <c:idx val="2"/>
              <c:layout>
                <c:manualLayout>
                  <c:x val="1.9766734544737149E-2"/>
                  <c:y val="-6.55850831978641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01-4B1A-B120-F763BB944830}"/>
                </c:ext>
              </c:extLst>
            </c:dLbl>
            <c:dLbl>
              <c:idx val="3"/>
              <c:layout>
                <c:manualLayout>
                  <c:x val="3.0017644859829152E-2"/>
                  <c:y val="-5.96670770067546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01-4B1A-B120-F763BB944830}"/>
                </c:ext>
              </c:extLst>
            </c:dLbl>
            <c:dLbl>
              <c:idx val="4"/>
              <c:layout>
                <c:manualLayout>
                  <c:x val="0"/>
                  <c:y val="7.93495898599576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01-4B1A-B120-F763BB944830}"/>
                </c:ext>
              </c:extLst>
            </c:dLbl>
            <c:dLbl>
              <c:idx val="5"/>
              <c:layout>
                <c:manualLayout>
                  <c:x val="9.5525731612666684E-3"/>
                  <c:y val="6.47325601489129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01-4B1A-B120-F763BB944830}"/>
                </c:ext>
              </c:extLst>
            </c:dLbl>
            <c:dLbl>
              <c:idx val="6"/>
              <c:layout>
                <c:manualLayout>
                  <c:x val="1.0917226470018949E-2"/>
                  <c:y val="4.38510891331345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601-4B1A-B120-F763BB944830}"/>
                </c:ext>
              </c:extLst>
            </c:dLbl>
            <c:dLbl>
              <c:idx val="7"/>
              <c:layout>
                <c:manualLayout>
                  <c:x val="1.0917226470018851E-2"/>
                  <c:y val="2.29696181173560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01-4B1A-B120-F763BB944830}"/>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'Дефлятор модель (CPI-PPI) (С-1)'!$A$98:$B$105</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(С-1)'!$G$46:$G$53</c:f>
              <c:numCache>
                <c:formatCode>0.0%</c:formatCode>
                <c:ptCount val="8"/>
                <c:pt idx="0">
                  <c:v>0.217</c:v>
                </c:pt>
                <c:pt idx="1">
                  <c:v>0.27300000000000002</c:v>
                </c:pt>
                <c:pt idx="2">
                  <c:v>0.26100000000000001</c:v>
                </c:pt>
                <c:pt idx="3">
                  <c:v>0.24399999999999999</c:v>
                </c:pt>
                <c:pt idx="4">
                  <c:v>0.255</c:v>
                </c:pt>
                <c:pt idx="5">
                  <c:v>0.377</c:v>
                </c:pt>
                <c:pt idx="6">
                  <c:v>0.38100000000000001</c:v>
                </c:pt>
                <c:pt idx="7">
                  <c:v>0.36499999999999999</c:v>
                </c:pt>
              </c:numCache>
            </c:numRef>
          </c:val>
          <c:extLst>
            <c:ext xmlns:c16="http://schemas.microsoft.com/office/drawing/2014/chart" uri="{C3380CC4-5D6E-409C-BE32-E72D297353CC}">
              <c16:uniqueId val="{0000000C-2601-4B1A-B120-F763BB944830}"/>
            </c:ext>
          </c:extLst>
        </c:ser>
        <c:dLbls>
          <c:showLegendKey val="0"/>
          <c:showVal val="0"/>
          <c:showCatName val="0"/>
          <c:showSerName val="0"/>
          <c:showPercent val="0"/>
          <c:showBubbleSize val="0"/>
        </c:dLbls>
        <c:axId val="720532336"/>
        <c:axId val="720530736"/>
      </c:areaChart>
      <c:barChart>
        <c:barDir val="col"/>
        <c:grouping val="clustered"/>
        <c:varyColors val="0"/>
        <c:ser>
          <c:idx val="0"/>
          <c:order val="0"/>
          <c:tx>
            <c:strRef>
              <c:f>'Дефлятор модель (CPI-PPI) (С-1)'!$E$1</c:f>
              <c:strCache>
                <c:ptCount val="1"/>
                <c:pt idx="0">
                  <c:v>CPI</c:v>
                </c:pt>
              </c:strCache>
            </c:strRef>
          </c:tx>
          <c:spPr>
            <a:solidFill>
              <a:schemeClr val="accent3"/>
            </a:solidFill>
            <a:ln>
              <a:noFill/>
            </a:ln>
            <a:effectLst/>
          </c:spPr>
          <c:invertIfNegative val="0"/>
          <c:dLbls>
            <c:dLbl>
              <c:idx val="5"/>
              <c:layout>
                <c:manualLayout>
                  <c:x val="-5.458613235009525E-3"/>
                  <c:y val="1.46170297110447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11B-4C09-9BBB-45D98BE11632}"/>
                </c:ext>
              </c:extLst>
            </c:dLbl>
            <c:dLbl>
              <c:idx val="6"/>
              <c:layout>
                <c:manualLayout>
                  <c:x val="-1.3646533087524814E-3"/>
                  <c:y val="1.25288826094668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11B-4C09-9BBB-45D98BE11632}"/>
                </c:ext>
              </c:extLst>
            </c:dLbl>
            <c:dLbl>
              <c:idx val="7"/>
              <c:layout>
                <c:manualLayout>
                  <c:x val="-6.8232665437619067E-3"/>
                  <c:y val="1.4617029711044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11B-4C09-9BBB-45D98BE11632}"/>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(С-1)'!$A$102:$B$109</c:f>
              <c:multiLvlStrCache>
                <c:ptCount val="8"/>
                <c:lvl>
                  <c:pt idx="0">
                    <c:v>1Q</c:v>
                  </c:pt>
                  <c:pt idx="1">
                    <c:v>2Q</c:v>
                  </c:pt>
                  <c:pt idx="2">
                    <c:v>3Q</c:v>
                  </c:pt>
                  <c:pt idx="3">
                    <c:v>4Q</c:v>
                  </c:pt>
                  <c:pt idx="4">
                    <c:v>1Q</c:v>
                  </c:pt>
                  <c:pt idx="5">
                    <c:v>2Q</c:v>
                  </c:pt>
                  <c:pt idx="6">
                    <c:v>3Q</c:v>
                  </c:pt>
                  <c:pt idx="7">
                    <c:v>4Q</c:v>
                  </c:pt>
                </c:lvl>
                <c:lvl>
                  <c:pt idx="0">
                    <c:v>2021</c:v>
                  </c:pt>
                  <c:pt idx="4">
                    <c:v>2022</c:v>
                  </c:pt>
                </c:lvl>
              </c:multiLvlStrCache>
            </c:multiLvlStrRef>
          </c:cat>
          <c:val>
            <c:numRef>
              <c:f>'Дефлятор модель (CPI-PPI) (С-1)'!$E$46:$E$53</c:f>
              <c:numCache>
                <c:formatCode>0.0%</c:formatCode>
                <c:ptCount val="8"/>
                <c:pt idx="0">
                  <c:v>7.3666666666666672E-2</c:v>
                </c:pt>
                <c:pt idx="1">
                  <c:v>9.1333333333333336E-2</c:v>
                </c:pt>
                <c:pt idx="2">
                  <c:v>0.10466666666666667</c:v>
                </c:pt>
                <c:pt idx="3">
                  <c:v>0.104</c:v>
                </c:pt>
                <c:pt idx="4">
                  <c:v>0.11466666666666669</c:v>
                </c:pt>
                <c:pt idx="5">
                  <c:v>0.18633333333333335</c:v>
                </c:pt>
                <c:pt idx="6">
                  <c:v>0.23533333333333331</c:v>
                </c:pt>
                <c:pt idx="7">
                  <c:v>0.26566666666666666</c:v>
                </c:pt>
              </c:numCache>
            </c:numRef>
          </c:val>
          <c:extLst>
            <c:ext xmlns:c16="http://schemas.microsoft.com/office/drawing/2014/chart" uri="{C3380CC4-5D6E-409C-BE32-E72D297353CC}">
              <c16:uniqueId val="{00000010-2601-4B1A-B120-F763BB944830}"/>
            </c:ext>
          </c:extLst>
        </c:ser>
        <c:ser>
          <c:idx val="1"/>
          <c:order val="1"/>
          <c:tx>
            <c:strRef>
              <c:f>'Дефлятор модель (CPI-PPI) (С-1)'!$F$1</c:f>
              <c:strCache>
                <c:ptCount val="1"/>
                <c:pt idx="0">
                  <c:v>PPI</c:v>
                </c:pt>
              </c:strCache>
            </c:strRef>
          </c:tx>
          <c:spPr>
            <a:solidFill>
              <a:schemeClr val="accent1"/>
            </a:solidFill>
            <a:ln>
              <a:noFill/>
            </a:ln>
            <a:effectLst/>
          </c:spPr>
          <c:invertIfNegative val="0"/>
          <c:dLbls>
            <c:dLbl>
              <c:idx val="0"/>
              <c:layout>
                <c:manualLayout>
                  <c:x val="1.0714774275622804E-2"/>
                  <c:y val="5.48034820492704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11B-4C09-9BBB-45D98BE11632}"/>
                </c:ext>
              </c:extLst>
            </c:dLbl>
            <c:dLbl>
              <c:idx val="2"/>
              <c:layout>
                <c:manualLayout>
                  <c:x val="6.122728157498745E-3"/>
                  <c:y val="-5.023594488190920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11B-4C09-9BBB-45D98BE11632}"/>
                </c:ext>
              </c:extLst>
            </c:dLbl>
            <c:dLbl>
              <c:idx val="3"/>
              <c:layout>
                <c:manualLayout>
                  <c:x val="1.071477427562280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601-4B1A-B120-F763BB944830}"/>
                </c:ext>
              </c:extLst>
            </c:dLbl>
            <c:dLbl>
              <c:idx val="6"/>
              <c:layout>
                <c:manualLayout>
                  <c:x val="5.458613235009525E-3"/>
                  <c:y val="-1.87933239142005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601-4B1A-B120-F763BB944830}"/>
                </c:ext>
              </c:extLst>
            </c:dLbl>
            <c:dLbl>
              <c:idx val="7"/>
              <c:layout>
                <c:manualLayout>
                  <c:x val="2.7293066175047625E-3"/>
                  <c:y val="-1.2528882609467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2601-4B1A-B120-F763BB944830}"/>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429EBE"/>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(С-1)'!$A$102:$B$109</c:f>
              <c:multiLvlStrCache>
                <c:ptCount val="8"/>
                <c:lvl>
                  <c:pt idx="0">
                    <c:v>1Q</c:v>
                  </c:pt>
                  <c:pt idx="1">
                    <c:v>2Q</c:v>
                  </c:pt>
                  <c:pt idx="2">
                    <c:v>3Q</c:v>
                  </c:pt>
                  <c:pt idx="3">
                    <c:v>4Q</c:v>
                  </c:pt>
                  <c:pt idx="4">
                    <c:v>1Q</c:v>
                  </c:pt>
                  <c:pt idx="5">
                    <c:v>2Q</c:v>
                  </c:pt>
                  <c:pt idx="6">
                    <c:v>3Q</c:v>
                  </c:pt>
                  <c:pt idx="7">
                    <c:v>4Q</c:v>
                  </c:pt>
                </c:lvl>
                <c:lvl>
                  <c:pt idx="0">
                    <c:v>2021</c:v>
                  </c:pt>
                  <c:pt idx="4">
                    <c:v>2022</c:v>
                  </c:pt>
                </c:lvl>
              </c:multiLvlStrCache>
            </c:multiLvlStrRef>
          </c:cat>
          <c:val>
            <c:numRef>
              <c:f>'Дефлятор модель (CPI-PPI) (С-1)'!$F$46:$F$53</c:f>
              <c:numCache>
                <c:formatCode>0.0%</c:formatCode>
                <c:ptCount val="8"/>
                <c:pt idx="0">
                  <c:v>0.23500000000000001</c:v>
                </c:pt>
                <c:pt idx="1">
                  <c:v>0.33333333333333331</c:v>
                </c:pt>
                <c:pt idx="2">
                  <c:v>0.44599999999999995</c:v>
                </c:pt>
                <c:pt idx="3">
                  <c:v>0.60033333333333327</c:v>
                </c:pt>
                <c:pt idx="4">
                  <c:v>0.5987304620534567</c:v>
                </c:pt>
                <c:pt idx="5">
                  <c:v>0.61971599669989452</c:v>
                </c:pt>
                <c:pt idx="6">
                  <c:v>0.70140457155676506</c:v>
                </c:pt>
                <c:pt idx="7">
                  <c:v>0.52628589945178506</c:v>
                </c:pt>
              </c:numCache>
            </c:numRef>
          </c:val>
          <c:extLst>
            <c:ext xmlns:c16="http://schemas.microsoft.com/office/drawing/2014/chart" uri="{C3380CC4-5D6E-409C-BE32-E72D297353CC}">
              <c16:uniqueId val="{00000017-2601-4B1A-B120-F763BB944830}"/>
            </c:ext>
          </c:extLst>
        </c:ser>
        <c:dLbls>
          <c:showLegendKey val="0"/>
          <c:showVal val="0"/>
          <c:showCatName val="0"/>
          <c:showSerName val="0"/>
          <c:showPercent val="0"/>
          <c:showBubbleSize val="0"/>
        </c:dLbls>
        <c:gapWidth val="219"/>
        <c:axId val="720532336"/>
        <c:axId val="720530736"/>
      </c:barChart>
      <c:catAx>
        <c:axId val="7205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0736"/>
        <c:crosses val="autoZero"/>
        <c:auto val="1"/>
        <c:lblAlgn val="ctr"/>
        <c:lblOffset val="100"/>
        <c:noMultiLvlLbl val="0"/>
      </c:catAx>
      <c:valAx>
        <c:axId val="720530736"/>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2336"/>
        <c:crosses val="autoZero"/>
        <c:crossBetween val="between"/>
      </c:valAx>
      <c:spPr>
        <a:noFill/>
        <a:ln>
          <a:noFill/>
        </a:ln>
        <a:effectLst/>
      </c:spPr>
    </c:plotArea>
    <c:legend>
      <c:legendPos val="t"/>
      <c:layout>
        <c:manualLayout>
          <c:xMode val="edge"/>
          <c:yMode val="edge"/>
          <c:x val="1.091722647001905E-2"/>
          <c:y val="0.16181183426951926"/>
          <c:w val="0.92947106360111809"/>
          <c:h val="2.71208780231131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675885064234578E-2"/>
          <c:y val="0.23291592985558504"/>
          <c:w val="0.88607384524860255"/>
          <c:h val="0.62046750663129979"/>
        </c:manualLayout>
      </c:layout>
      <c:areaChart>
        <c:grouping val="standard"/>
        <c:varyColors val="0"/>
        <c:ser>
          <c:idx val="2"/>
          <c:order val="2"/>
          <c:tx>
            <c:strRef>
              <c:f>'Дефлятор модель (CPI-PPI) (С-1)'!$G$1</c:f>
              <c:strCache>
                <c:ptCount val="1"/>
                <c:pt idx="0">
                  <c:v>Дефлятор</c:v>
                </c:pt>
              </c:strCache>
            </c:strRef>
          </c:tx>
          <c:spPr>
            <a:solidFill>
              <a:srgbClr val="BADBE8"/>
            </a:solidFill>
            <a:ln>
              <a:noFill/>
            </a:ln>
            <a:effectLst/>
          </c:spPr>
          <c:dLbls>
            <c:dLbl>
              <c:idx val="0"/>
              <c:layout>
                <c:manualLayout>
                  <c:x val="0"/>
                  <c:y val="7.93495898599576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1FB-4B9A-A95B-FD96C13FA55E}"/>
                </c:ext>
              </c:extLst>
            </c:dLbl>
            <c:dLbl>
              <c:idx val="1"/>
              <c:layout>
                <c:manualLayout>
                  <c:x val="9.5525731612666684E-3"/>
                  <c:y val="6.47325601489129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FB-4B9A-A95B-FD96C13FA55E}"/>
                </c:ext>
              </c:extLst>
            </c:dLbl>
            <c:dLbl>
              <c:idx val="2"/>
              <c:layout>
                <c:manualLayout>
                  <c:x val="1.0917226470018949E-2"/>
                  <c:y val="4.38510891331345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1FB-4B9A-A95B-FD96C13FA55E}"/>
                </c:ext>
              </c:extLst>
            </c:dLbl>
            <c:dLbl>
              <c:idx val="3"/>
              <c:layout>
                <c:manualLayout>
                  <c:x val="1.0917226470018851E-2"/>
                  <c:y val="2.29696181173560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1FB-4B9A-A95B-FD96C13FA55E}"/>
                </c:ext>
              </c:extLst>
            </c:dLbl>
            <c:dLbl>
              <c:idx val="6"/>
              <c:layout>
                <c:manualLayout>
                  <c:x val="-4.0939599262571442E-3"/>
                  <c:y val="-1.2528882609467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1FB-4B9A-A95B-FD96C13FA55E}"/>
                </c:ext>
              </c:extLst>
            </c:dLbl>
            <c:dLbl>
              <c:idx val="7"/>
              <c:layout>
                <c:manualLayout>
                  <c:x val="-2.0469799631285819E-2"/>
                  <c:y val="2.08814710157783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1FB-4B9A-A95B-FD96C13FA55E}"/>
                </c:ext>
              </c:extLst>
            </c:dLbl>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extLst>
                <c:ext xmlns:c15="http://schemas.microsoft.com/office/drawing/2012/chart" uri="{02D57815-91ED-43cb-92C2-25804820EDAC}">
                  <c15:fullRef>
                    <c15:sqref>'Дефлятор модель (CPI-PPI) (С-1)'!$A$102:$B$117</c15:sqref>
                  </c15:fullRef>
                </c:ext>
              </c:extLst>
              <c:f>'Дефлятор модель (CPI-PPI) (С-1)'!$A$106:$B$117</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2022</c:v>
                  </c:pt>
                  <c:pt idx="4">
                    <c:v>2023</c:v>
                  </c:pt>
                  <c:pt idx="8">
                    <c:v>2024</c:v>
                  </c:pt>
                </c:lvl>
              </c:multiLvlStrCache>
            </c:multiLvlStrRef>
          </c:cat>
          <c:val>
            <c:numRef>
              <c:extLst>
                <c:ext xmlns:c15="http://schemas.microsoft.com/office/drawing/2012/chart" uri="{02D57815-91ED-43cb-92C2-25804820EDAC}">
                  <c15:fullRef>
                    <c15:sqref>'Дефлятор модель (CPI-PPI) (С-1)'!$G$46:$G$61</c15:sqref>
                  </c15:fullRef>
                </c:ext>
              </c:extLst>
              <c:f>'Дефлятор модель (CPI-PPI) (С-1)'!$G$50:$G$61</c:f>
              <c:numCache>
                <c:formatCode>0.0%</c:formatCode>
                <c:ptCount val="12"/>
                <c:pt idx="0">
                  <c:v>0.255</c:v>
                </c:pt>
                <c:pt idx="1">
                  <c:v>0.377</c:v>
                </c:pt>
                <c:pt idx="2">
                  <c:v>0.38100000000000001</c:v>
                </c:pt>
                <c:pt idx="3">
                  <c:v>0.36499999999999999</c:v>
                </c:pt>
                <c:pt idx="4">
                  <c:v>0.32352897978587086</c:v>
                </c:pt>
                <c:pt idx="5">
                  <c:v>0.24452071690527979</c:v>
                </c:pt>
                <c:pt idx="6">
                  <c:v>0.15986862682673927</c:v>
                </c:pt>
                <c:pt idx="7">
                  <c:v>0.13882334769167104</c:v>
                </c:pt>
                <c:pt idx="8">
                  <c:v>0.12278552200261865</c:v>
                </c:pt>
                <c:pt idx="9">
                  <c:v>9.659560064061079E-2</c:v>
                </c:pt>
                <c:pt idx="10">
                  <c:v>9.6103727543275508E-2</c:v>
                </c:pt>
                <c:pt idx="11">
                  <c:v>0.11054685467633842</c:v>
                </c:pt>
              </c:numCache>
            </c:numRef>
          </c:val>
          <c:extLst>
            <c:ext xmlns:c15="http://schemas.microsoft.com/office/drawing/2012/chart" uri="{02D57815-91ED-43cb-92C2-25804820EDAC}">
              <c15:categoryFilterExceptions>
                <c15:categoryFilterException>
                  <c15:sqref>'Дефлятор модель (CPI-PPI) (С-1)'!$G$46</c15:sqref>
                  <c15:dLbl>
                    <c:idx val="-1"/>
                    <c:layout>
                      <c:manualLayout>
                        <c:x val="3.9911703707333226E-2"/>
                        <c:y val="-5.1274369868727895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1-965D-40DE-A993-F78E2AFEA436}"/>
                      </c:ext>
                    </c:extLst>
                  </c15:dLbl>
                </c15:categoryFilterException>
                <c15:categoryFilterException>
                  <c15:sqref>'Дефлятор модель (CPI-PPI) (С-1)'!$G$47</c15:sqref>
                  <c15:dLbl>
                    <c:idx val="-1"/>
                    <c:layout>
                      <c:manualLayout>
                        <c:x val="2.2164118794467415E-2"/>
                        <c:y val="-5.465124901614573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2-965D-40DE-A993-F78E2AFEA436}"/>
                      </c:ext>
                    </c:extLst>
                  </c15:dLbl>
                </c15:categoryFilterException>
                <c15:categoryFilterException>
                  <c15:sqref>'Дефлятор модель (CPI-PPI) (С-1)'!$G$48</c15:sqref>
                  <c15:dLbl>
                    <c:idx val="-1"/>
                    <c:layout>
                      <c:manualLayout>
                        <c:x val="1.9766734544737149E-2"/>
                        <c:y val="-6.5585083197864186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3-965D-40DE-A993-F78E2AFEA436}"/>
                      </c:ext>
                    </c:extLst>
                  </c15:dLbl>
                </c15:categoryFilterException>
                <c15:categoryFilterException>
                  <c15:sqref>'Дефлятор модель (CPI-PPI) (С-1)'!$G$49</c15:sqref>
                  <c15:dLbl>
                    <c:idx val="-1"/>
                    <c:layout>
                      <c:manualLayout>
                        <c:x val="3.0017644859829152E-2"/>
                        <c:y val="-5.9667077006754658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4-965D-40DE-A993-F78E2AFEA436}"/>
                      </c:ext>
                    </c:extLst>
                  </c15:dLbl>
                </c15:categoryFilterException>
              </c15:categoryFilterExceptions>
            </c:ext>
            <c:ext xmlns:c16="http://schemas.microsoft.com/office/drawing/2014/chart" uri="{C3380CC4-5D6E-409C-BE32-E72D297353CC}">
              <c16:uniqueId val="{0000000A-61FB-4B9A-A95B-FD96C13FA55E}"/>
            </c:ext>
          </c:extLst>
        </c:ser>
        <c:dLbls>
          <c:showLegendKey val="0"/>
          <c:showVal val="0"/>
          <c:showCatName val="0"/>
          <c:showSerName val="0"/>
          <c:showPercent val="0"/>
          <c:showBubbleSize val="0"/>
        </c:dLbls>
        <c:axId val="720532336"/>
        <c:axId val="720530736"/>
      </c:areaChart>
      <c:barChart>
        <c:barDir val="col"/>
        <c:grouping val="clustered"/>
        <c:varyColors val="0"/>
        <c:ser>
          <c:idx val="0"/>
          <c:order val="0"/>
          <c:tx>
            <c:strRef>
              <c:f>'Дефлятор модель (CPI-PPI) (С-1)'!$E$1</c:f>
              <c:strCache>
                <c:ptCount val="1"/>
                <c:pt idx="0">
                  <c:v>CPI</c:v>
                </c:pt>
              </c:strCache>
            </c:strRef>
          </c:tx>
          <c:spPr>
            <a:solidFill>
              <a:schemeClr val="accent3"/>
            </a:solidFill>
            <a:ln>
              <a:noFill/>
            </a:ln>
            <a:effectLst/>
          </c:spPr>
          <c:invertIfNegative val="0"/>
          <c:dLbls>
            <c:dLbl>
              <c:idx val="1"/>
              <c:layout>
                <c:manualLayout>
                  <c:x val="-5.458613235009525E-3"/>
                  <c:y val="1.46170297110447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1FB-4B9A-A95B-FD96C13FA55E}"/>
                </c:ext>
              </c:extLst>
            </c:dLbl>
            <c:dLbl>
              <c:idx val="2"/>
              <c:layout>
                <c:manualLayout>
                  <c:x val="-1.3646533087524814E-3"/>
                  <c:y val="1.25288826094668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1FB-4B9A-A95B-FD96C13FA55E}"/>
                </c:ext>
              </c:extLst>
            </c:dLbl>
            <c:dLbl>
              <c:idx val="3"/>
              <c:layout>
                <c:manualLayout>
                  <c:x val="-6.8232665437619067E-3"/>
                  <c:y val="1.4617029711044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1FB-4B9A-A95B-FD96C13FA55E}"/>
                </c:ext>
              </c:extLst>
            </c:dLbl>
            <c:dLbl>
              <c:idx val="5"/>
              <c:layout>
                <c:manualLayout>
                  <c:x val="-1.2281879778771432E-2"/>
                  <c:y val="8.35258840631133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1FB-4B9A-A95B-FD96C13FA55E}"/>
                </c:ext>
              </c:extLst>
            </c:dLbl>
            <c:dLbl>
              <c:idx val="6"/>
              <c:layout>
                <c:manualLayout>
                  <c:x val="-2.7292340884575036E-3"/>
                  <c:y val="1.55437665782493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1FB-4B9A-A95B-FD96C13FA55E}"/>
                </c:ext>
              </c:extLst>
            </c:dLbl>
            <c:dLbl>
              <c:idx val="7"/>
              <c:layout>
                <c:manualLayout>
                  <c:x val="-1.5374619986270471E-3"/>
                  <c:y val="2.0803124078986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1FB-4B9A-A95B-FD96C13FA55E}"/>
                </c:ext>
              </c:extLst>
            </c:dLbl>
            <c:spPr>
              <a:noFill/>
              <a:ln>
                <a:noFill/>
              </a:ln>
              <a:effectLst/>
            </c:spPr>
            <c:txPr>
              <a:bodyPr rot="0" spcFirstLastPara="1" vertOverflow="ellipsis" vert="horz" wrap="square" anchor="ctr" anchorCtr="1"/>
              <a:lstStyle/>
              <a:p>
                <a:pPr>
                  <a:defRPr sz="600" b="1" i="0" u="none" strike="noStrike" kern="1200" baseline="0">
                    <a:solidFill>
                      <a:schemeClr val="accent3"/>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'Дефлятор модель (CPI-PPI) (С-1)'!$A$102:$B$117</c15:sqref>
                  </c15:fullRef>
                </c:ext>
              </c:extLst>
              <c:f>'Дефлятор модель (CPI-PPI) (С-1)'!$A$106:$B$117</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2022</c:v>
                  </c:pt>
                  <c:pt idx="4">
                    <c:v>2023</c:v>
                  </c:pt>
                  <c:pt idx="8">
                    <c:v>2024</c:v>
                  </c:pt>
                </c:lvl>
              </c:multiLvlStrCache>
            </c:multiLvlStrRef>
          </c:cat>
          <c:val>
            <c:numRef>
              <c:extLst>
                <c:ext xmlns:c15="http://schemas.microsoft.com/office/drawing/2012/chart" uri="{02D57815-91ED-43cb-92C2-25804820EDAC}">
                  <c15:fullRef>
                    <c15:sqref>'Дефлятор модель (CPI-PPI) (С-1)'!$E$46:$E$61</c15:sqref>
                  </c15:fullRef>
                </c:ext>
              </c:extLst>
              <c:f>'Дефлятор модель (CPI-PPI) (С-1)'!$E$50:$E$61</c:f>
              <c:numCache>
                <c:formatCode>0.0%</c:formatCode>
                <c:ptCount val="12"/>
                <c:pt idx="0">
                  <c:v>0.11466666666666669</c:v>
                </c:pt>
                <c:pt idx="1">
                  <c:v>0.18633333333333335</c:v>
                </c:pt>
                <c:pt idx="2">
                  <c:v>0.23533333333333331</c:v>
                </c:pt>
                <c:pt idx="3">
                  <c:v>0.26566666666666666</c:v>
                </c:pt>
                <c:pt idx="4">
                  <c:v>0.24066666666666667</c:v>
                </c:pt>
                <c:pt idx="5">
                  <c:v>0.15333333333333332</c:v>
                </c:pt>
                <c:pt idx="6">
                  <c:v>9.0000000000000011E-2</c:v>
                </c:pt>
                <c:pt idx="7">
                  <c:v>5.1666666666666666E-2</c:v>
                </c:pt>
                <c:pt idx="8">
                  <c:v>7.5344806299750808E-2</c:v>
                </c:pt>
                <c:pt idx="9">
                  <c:v>5.8349286013724827E-2</c:v>
                </c:pt>
                <c:pt idx="10">
                  <c:v>6.1424262647632934E-2</c:v>
                </c:pt>
                <c:pt idx="11">
                  <c:v>7.8194631643714083E-2</c:v>
                </c:pt>
              </c:numCache>
            </c:numRef>
          </c:val>
          <c:extLst>
            <c:ext xmlns:c16="http://schemas.microsoft.com/office/drawing/2014/chart" uri="{C3380CC4-5D6E-409C-BE32-E72D297353CC}">
              <c16:uniqueId val="{00000011-61FB-4B9A-A95B-FD96C13FA55E}"/>
            </c:ext>
          </c:extLst>
        </c:ser>
        <c:ser>
          <c:idx val="1"/>
          <c:order val="1"/>
          <c:tx>
            <c:strRef>
              <c:f>'Дефлятор модель (CPI-PPI) (С-1)'!$F$1</c:f>
              <c:strCache>
                <c:ptCount val="1"/>
                <c:pt idx="0">
                  <c:v>PPI</c:v>
                </c:pt>
              </c:strCache>
            </c:strRef>
          </c:tx>
          <c:spPr>
            <a:solidFill>
              <a:schemeClr val="accent1"/>
            </a:solidFill>
            <a:ln>
              <a:noFill/>
            </a:ln>
            <a:effectLst/>
          </c:spPr>
          <c:invertIfNegative val="0"/>
          <c:dLbls>
            <c:dLbl>
              <c:idx val="0"/>
              <c:layout>
                <c:manualLayout>
                  <c:x val="3.1136608806511721E-3"/>
                  <c:y val="9.357500736811082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1FB-4B9A-A95B-FD96C13FA55E}"/>
                </c:ext>
              </c:extLst>
            </c:dLbl>
            <c:dLbl>
              <c:idx val="1"/>
              <c:layout>
                <c:manualLayout>
                  <c:x val="3.1136608806511721E-3"/>
                  <c:y val="2.3393751842027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1FB-4B9A-A95B-FD96C13FA55E}"/>
                </c:ext>
              </c:extLst>
            </c:dLbl>
            <c:dLbl>
              <c:idx val="2"/>
              <c:layout>
                <c:manualLayout>
                  <c:x val="6.2273217613023442E-3"/>
                  <c:y val="2.3393751842027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1FB-4B9A-A95B-FD96C13FA55E}"/>
                </c:ext>
              </c:extLst>
            </c:dLbl>
            <c:dLbl>
              <c:idx val="3"/>
              <c:layout>
                <c:manualLayout>
                  <c:x val="3.1136608806511721E-3"/>
                  <c:y val="1.87150014736221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1FB-4B9A-A95B-FD96C13FA55E}"/>
                </c:ext>
              </c:extLst>
            </c:dLbl>
            <c:dLbl>
              <c:idx val="7"/>
              <c:layout>
                <c:manualLayout>
                  <c:x val="6.2273217613022297E-3"/>
                  <c:y val="-4.678750368405626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61FB-4B9A-A95B-FD96C13FA55E}"/>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'Дефлятор модель (CPI-PPI) (С-1)'!$A$102:$B$117</c15:sqref>
                  </c15:fullRef>
                </c:ext>
              </c:extLst>
              <c:f>'Дефлятор модель (CPI-PPI) (С-1)'!$A$106:$B$117</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2022</c:v>
                  </c:pt>
                  <c:pt idx="4">
                    <c:v>2023</c:v>
                  </c:pt>
                  <c:pt idx="8">
                    <c:v>2024</c:v>
                  </c:pt>
                </c:lvl>
              </c:multiLvlStrCache>
            </c:multiLvlStrRef>
          </c:cat>
          <c:val>
            <c:numRef>
              <c:extLst>
                <c:ext xmlns:c15="http://schemas.microsoft.com/office/drawing/2012/chart" uri="{02D57815-91ED-43cb-92C2-25804820EDAC}">
                  <c15:fullRef>
                    <c15:sqref>'Дефлятор модель (CPI-PPI) (С-1)'!$F$46:$F$61</c15:sqref>
                  </c15:fullRef>
                </c:ext>
              </c:extLst>
              <c:f>'Дефлятор модель (CPI-PPI) (С-1)'!$F$50:$F$61</c:f>
              <c:numCache>
                <c:formatCode>0.0%</c:formatCode>
                <c:ptCount val="12"/>
                <c:pt idx="0">
                  <c:v>0.5987304620534567</c:v>
                </c:pt>
                <c:pt idx="1">
                  <c:v>0.61971599669989452</c:v>
                </c:pt>
                <c:pt idx="2">
                  <c:v>0.70140457155676506</c:v>
                </c:pt>
                <c:pt idx="3">
                  <c:v>0.52628589945178506</c:v>
                </c:pt>
                <c:pt idx="4">
                  <c:v>0.36623879864348213</c:v>
                </c:pt>
                <c:pt idx="5">
                  <c:v>0.28842351942229133</c:v>
                </c:pt>
                <c:pt idx="6">
                  <c:v>0.16493965570810051</c:v>
                </c:pt>
                <c:pt idx="7">
                  <c:v>0.15300599389618763</c:v>
                </c:pt>
                <c:pt idx="8">
                  <c:v>0.14266666666666666</c:v>
                </c:pt>
                <c:pt idx="9">
                  <c:v>9.0981452158612905E-2</c:v>
                </c:pt>
                <c:pt idx="10">
                  <c:v>8.7011869601261935E-2</c:v>
                </c:pt>
                <c:pt idx="11">
                  <c:v>0.10897886031419056</c:v>
                </c:pt>
              </c:numCache>
            </c:numRef>
          </c:val>
          <c:extLst>
            <c:ext xmlns:c15="http://schemas.microsoft.com/office/drawing/2012/chart" uri="{02D57815-91ED-43cb-92C2-25804820EDAC}">
              <c15:categoryFilterExceptions>
                <c15:categoryFilterException>
                  <c15:sqref>'Дефлятор модель (CPI-PPI) (С-1)'!$F$49</c15:sqref>
                  <c15:dLbl>
                    <c:idx val="-1"/>
                    <c:layout>
                      <c:manualLayout>
                        <c:x val="0"/>
                        <c:y val="1.4036251105216623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0-965D-40DE-A993-F78E2AFEA436}"/>
                      </c:ext>
                    </c:extLst>
                  </c15:dLbl>
                </c15:categoryFilterException>
              </c15:categoryFilterExceptions>
            </c:ext>
            <c:ext xmlns:c16="http://schemas.microsoft.com/office/drawing/2014/chart" uri="{C3380CC4-5D6E-409C-BE32-E72D297353CC}">
              <c16:uniqueId val="{00000018-61FB-4B9A-A95B-FD96C13FA55E}"/>
            </c:ext>
          </c:extLst>
        </c:ser>
        <c:dLbls>
          <c:showLegendKey val="0"/>
          <c:showVal val="0"/>
          <c:showCatName val="0"/>
          <c:showSerName val="0"/>
          <c:showPercent val="0"/>
          <c:showBubbleSize val="0"/>
        </c:dLbls>
        <c:gapWidth val="219"/>
        <c:axId val="720532336"/>
        <c:axId val="720530736"/>
      </c:barChart>
      <c:catAx>
        <c:axId val="7205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720530736"/>
        <c:crosses val="autoZero"/>
        <c:auto val="1"/>
        <c:lblAlgn val="ctr"/>
        <c:lblOffset val="100"/>
        <c:noMultiLvlLbl val="0"/>
      </c:catAx>
      <c:valAx>
        <c:axId val="720530736"/>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720532336"/>
        <c:crosses val="autoZero"/>
        <c:crossBetween val="between"/>
      </c:valAx>
      <c:spPr>
        <a:noFill/>
        <a:ln>
          <a:noFill/>
        </a:ln>
        <a:effectLst/>
      </c:spPr>
    </c:plotArea>
    <c:legend>
      <c:legendPos val="t"/>
      <c:layout>
        <c:manualLayout>
          <c:xMode val="edge"/>
          <c:yMode val="edge"/>
          <c:x val="0"/>
          <c:y val="0.16757368110816387"/>
          <c:w val="1"/>
          <c:h val="5.4266832644217396E-2"/>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600" b="1">
          <a:solidFill>
            <a:sysClr val="windowText" lastClr="000000"/>
          </a:solidFill>
        </a:defRPr>
      </a:pPr>
      <a:endParaRPr lang="en-US"/>
    </a:p>
  </c:txPr>
  <c:printSettings>
    <c:headerFooter/>
    <c:pageMargins b="0.75" l="0.7" r="0.7" t="0.75"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uk-UA" sz="2400" b="1"/>
              <a:t>Прогноз индекса потребительских цен</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'Дефлятор модель (CPI-PPI) (С-2)'!$K$1</c:f>
              <c:strCache>
                <c:ptCount val="1"/>
                <c:pt idx="0">
                  <c:v>Исторические данные</c:v>
                </c:pt>
              </c:strCache>
            </c:strRef>
          </c:tx>
          <c:spPr>
            <a:ln w="28575" cap="rnd">
              <a:solidFill>
                <a:srgbClr val="002060"/>
              </a:solidFill>
              <a:round/>
            </a:ln>
            <a:effectLst/>
          </c:spPr>
          <c:marker>
            <c:symbol val="none"/>
          </c:marker>
          <c:dLbls>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(С-2)'!$K$34:$K$45</c:f>
              <c:numCache>
                <c:formatCode>0.0%</c:formatCode>
                <c:ptCount val="12"/>
                <c:pt idx="0">
                  <c:v>0.13766666666666663</c:v>
                </c:pt>
                <c:pt idx="1">
                  <c:v>0.1156666666666667</c:v>
                </c:pt>
                <c:pt idx="2">
                  <c:v>8.9333333333333376E-2</c:v>
                </c:pt>
                <c:pt idx="3">
                  <c:v>9.7666666666666679E-2</c:v>
                </c:pt>
                <c:pt idx="4">
                  <c:v>8.8666666666666671E-2</c:v>
                </c:pt>
                <c:pt idx="5">
                  <c:v>9.1333333333333336E-2</c:v>
                </c:pt>
                <c:pt idx="6">
                  <c:v>8.4666666666666668E-2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0-C2BC-469B-BBDB-3FB73B2E57BD}"/>
            </c:ext>
          </c:extLst>
        </c:ser>
        <c:ser>
          <c:idx val="2"/>
          <c:order val="1"/>
          <c:tx>
            <c:strRef>
              <c:f>'Дефлятор модель (CPI-PPI) (С-2)'!$L$1</c:f>
              <c:strCache>
                <c:ptCount val="1"/>
                <c:pt idx="0">
                  <c:v>Сценарий Б</c:v>
                </c:pt>
              </c:strCache>
            </c:strRef>
          </c:tx>
          <c:spPr>
            <a:ln w="28575" cap="rnd">
              <a:solidFill>
                <a:srgbClr val="00B0F0"/>
              </a:solidFill>
              <a:prstDash val="dash"/>
              <a:round/>
            </a:ln>
            <a:effectLst/>
          </c:spPr>
          <c:marker>
            <c:symbol val="none"/>
          </c:marker>
          <c:dLbls>
            <c:dLbl>
              <c:idx val="6"/>
              <c:delete val="1"/>
              <c:extLst>
                <c:ext xmlns:c15="http://schemas.microsoft.com/office/drawing/2012/chart" uri="{CE6537A1-D6FC-4f65-9D91-7224C49458BB}"/>
                <c:ext xmlns:c16="http://schemas.microsoft.com/office/drawing/2014/chart" uri="{C3380CC4-5D6E-409C-BE32-E72D297353CC}">
                  <c16:uniqueId val="{00000001-C2BC-469B-BBDB-3FB73B2E57BD}"/>
                </c:ext>
              </c:extLst>
            </c:dLbl>
            <c:dLbl>
              <c:idx val="7"/>
              <c:delete val="1"/>
              <c:extLst>
                <c:ext xmlns:c15="http://schemas.microsoft.com/office/drawing/2012/chart" uri="{CE6537A1-D6FC-4f65-9D91-7224C49458BB}"/>
                <c:ext xmlns:c16="http://schemas.microsoft.com/office/drawing/2014/chart" uri="{C3380CC4-5D6E-409C-BE32-E72D297353CC}">
                  <c16:uniqueId val="{00000002-C2BC-469B-BBDB-3FB73B2E57BD}"/>
                </c:ext>
              </c:extLst>
            </c:dLbl>
            <c:spPr>
              <a:no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(С-2)'!$L$34:$L$45</c:f>
              <c:numCache>
                <c:formatCode>#,##0</c:formatCode>
                <c:ptCount val="12"/>
                <c:pt idx="6" formatCode="0.0%">
                  <c:v>8.4666666666666668E-2</c:v>
                </c:pt>
                <c:pt idx="7" formatCode="0.0%">
                  <c:v>5.2333333333333322E-2</c:v>
                </c:pt>
                <c:pt idx="8" formatCode="0.0%">
                  <c:v>2.6333333333333334E-2</c:v>
                </c:pt>
                <c:pt idx="9" formatCode="0.0%">
                  <c:v>2.066666666666667E-2</c:v>
                </c:pt>
                <c:pt idx="10" formatCode="0.0%">
                  <c:v>2.4000000000000004E-2</c:v>
                </c:pt>
                <c:pt idx="11" formatCode="0.0%">
                  <c:v>3.7999999999999999E-2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3-C2BC-469B-BBDB-3FB73B2E57BD}"/>
            </c:ext>
          </c:extLst>
        </c:ser>
        <c:dLbls>
          <c:dLblPos val="t"/>
          <c:showLegendKey val="0"/>
          <c:showVal val="1"/>
          <c:showCatName val="0"/>
          <c:showSerName val="0"/>
          <c:showPercent val="0"/>
          <c:showBubbleSize val="0"/>
        </c:dLbls>
        <c:smooth val="0"/>
        <c:axId val="2093273312"/>
        <c:axId val="2093287456"/>
      </c:lineChart>
      <c:catAx>
        <c:axId val="2093273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87456"/>
        <c:crosses val="autoZero"/>
        <c:auto val="1"/>
        <c:lblAlgn val="ctr"/>
        <c:lblOffset val="100"/>
        <c:noMultiLvlLbl val="0"/>
      </c:catAx>
      <c:valAx>
        <c:axId val="2093287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7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0">
          <a:solidFill>
            <a:sysClr val="windowText" lastClr="000000"/>
          </a:solidFill>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uk-UA" sz="2400" b="1"/>
              <a:t>Прогноз индекса</a:t>
            </a:r>
            <a:r>
              <a:rPr lang="uk-UA" sz="2400" b="1" baseline="0"/>
              <a:t> </a:t>
            </a:r>
            <a:r>
              <a:rPr lang="uk-UA" sz="2400" b="1"/>
              <a:t>цен производителей</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'Дефлятор модель (CPI-PPI) (С-2)'!$N$1</c:f>
              <c:strCache>
                <c:ptCount val="1"/>
                <c:pt idx="0">
                  <c:v>Исторические данные</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(С-2)'!$N$34:$N$45</c:f>
              <c:numCache>
                <c:formatCode>0.0%</c:formatCode>
                <c:ptCount val="12"/>
                <c:pt idx="0">
                  <c:v>0.19166666666666665</c:v>
                </c:pt>
                <c:pt idx="1">
                  <c:v>0.16333333333333333</c:v>
                </c:pt>
                <c:pt idx="2">
                  <c:v>0.18766666666666665</c:v>
                </c:pt>
                <c:pt idx="3">
                  <c:v>0.15766666666666665</c:v>
                </c:pt>
                <c:pt idx="4">
                  <c:v>9.8333333333333328E-2</c:v>
                </c:pt>
                <c:pt idx="5">
                  <c:v>6.7666666666666667E-2</c:v>
                </c:pt>
                <c:pt idx="6">
                  <c:v>4.3000000000000003E-2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0-805F-4BBA-BB2A-4E87053F88AD}"/>
            </c:ext>
          </c:extLst>
        </c:ser>
        <c:ser>
          <c:idx val="2"/>
          <c:order val="1"/>
          <c:tx>
            <c:strRef>
              <c:f>'Дефлятор модель (CPI-PPI) (С-2)'!$O$1</c:f>
              <c:strCache>
                <c:ptCount val="1"/>
                <c:pt idx="0">
                  <c:v>Сценарий Б</c:v>
                </c:pt>
              </c:strCache>
            </c:strRef>
          </c:tx>
          <c:spPr>
            <a:ln w="28575" cap="rnd">
              <a:solidFill>
                <a:srgbClr val="00B0F0"/>
              </a:solidFill>
              <a:prstDash val="dash"/>
              <a:round/>
            </a:ln>
            <a:effectLst/>
          </c:spPr>
          <c:marker>
            <c:symbol val="none"/>
          </c:marker>
          <c:dLbls>
            <c:dLbl>
              <c:idx val="6"/>
              <c:delete val="1"/>
              <c:extLst>
                <c:ext xmlns:c15="http://schemas.microsoft.com/office/drawing/2012/chart" uri="{CE6537A1-D6FC-4f65-9D91-7224C49458BB}"/>
                <c:ext xmlns:c16="http://schemas.microsoft.com/office/drawing/2014/chart" uri="{C3380CC4-5D6E-409C-BE32-E72D297353CC}">
                  <c16:uniqueId val="{00000001-805F-4BBA-BB2A-4E87053F88AD}"/>
                </c:ext>
              </c:extLst>
            </c:dLbl>
            <c:dLbl>
              <c:idx val="7"/>
              <c:delete val="1"/>
              <c:extLst>
                <c:ext xmlns:c15="http://schemas.microsoft.com/office/drawing/2012/chart" uri="{CE6537A1-D6FC-4f65-9D91-7224C49458BB}"/>
                <c:ext xmlns:c16="http://schemas.microsoft.com/office/drawing/2014/chart" uri="{C3380CC4-5D6E-409C-BE32-E72D297353CC}">
                  <c16:uniqueId val="{00000002-805F-4BBA-BB2A-4E87053F88AD}"/>
                </c:ext>
              </c:extLst>
            </c:dLbl>
            <c:spPr>
              <a:no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(С-2)'!$O$34:$O$45</c:f>
              <c:numCache>
                <c:formatCode>#,##0</c:formatCode>
                <c:ptCount val="12"/>
                <c:pt idx="6" formatCode="0.0%">
                  <c:v>4.3000000000000003E-2</c:v>
                </c:pt>
                <c:pt idx="7" formatCode="0.0%">
                  <c:v>-3.9E-2</c:v>
                </c:pt>
                <c:pt idx="8" formatCode="0.0%">
                  <c:v>-5.6333333333333339E-2</c:v>
                </c:pt>
                <c:pt idx="9" formatCode="0.0%">
                  <c:v>-4.099999999999996E-2</c:v>
                </c:pt>
                <c:pt idx="10" formatCode="0.0%">
                  <c:v>-4.6333333333333337E-2</c:v>
                </c:pt>
                <c:pt idx="11" formatCode="0.0%">
                  <c:v>8.7666666666666671E-2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3-805F-4BBA-BB2A-4E87053F88AD}"/>
            </c:ext>
          </c:extLst>
        </c:ser>
        <c:dLbls>
          <c:dLblPos val="t"/>
          <c:showLegendKey val="0"/>
          <c:showVal val="1"/>
          <c:showCatName val="0"/>
          <c:showSerName val="0"/>
          <c:showPercent val="0"/>
          <c:showBubbleSize val="0"/>
        </c:dLbls>
        <c:smooth val="0"/>
        <c:axId val="2093273312"/>
        <c:axId val="2093287456"/>
      </c:lineChart>
      <c:catAx>
        <c:axId val="2093273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87456"/>
        <c:crosses val="autoZero"/>
        <c:auto val="1"/>
        <c:lblAlgn val="ctr"/>
        <c:lblOffset val="100"/>
        <c:noMultiLvlLbl val="0"/>
      </c:catAx>
      <c:valAx>
        <c:axId val="2093287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7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0">
          <a:solidFill>
            <a:sysClr val="windowText" lastClr="000000"/>
          </a:solidFill>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uk-UA" sz="2400" b="1"/>
              <a:t>Прогноз дефлятора ВВП</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'Дефлятор модель (CPI-PPI) (С-2)'!$Q$1</c:f>
              <c:strCache>
                <c:ptCount val="1"/>
                <c:pt idx="0">
                  <c:v>Исторические данные</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(С-2)'!$Q$34:$Q$45</c:f>
              <c:numCache>
                <c:formatCode>0.0%</c:formatCode>
                <c:ptCount val="12"/>
                <c:pt idx="0">
                  <c:v>0.151</c:v>
                </c:pt>
                <c:pt idx="1">
                  <c:v>0.17399999999999999</c:v>
                </c:pt>
                <c:pt idx="2">
                  <c:v>0.16</c:v>
                </c:pt>
                <c:pt idx="3">
                  <c:v>0.13500000000000001</c:v>
                </c:pt>
                <c:pt idx="4">
                  <c:v>0.11700000000000001</c:v>
                </c:pt>
                <c:pt idx="5">
                  <c:v>9.4E-2</c:v>
                </c:pt>
                <c:pt idx="6">
                  <c:v>6.8000000000000005E-2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0-DBA9-4691-9243-0DB783AF414F}"/>
            </c:ext>
          </c:extLst>
        </c:ser>
        <c:ser>
          <c:idx val="2"/>
          <c:order val="1"/>
          <c:tx>
            <c:strRef>
              <c:f>'Дефлятор модель (CPI-PPI) (С-2)'!$R$1</c:f>
              <c:strCache>
                <c:ptCount val="1"/>
                <c:pt idx="0">
                  <c:v>Сценарий Б</c:v>
                </c:pt>
              </c:strCache>
            </c:strRef>
          </c:tx>
          <c:spPr>
            <a:ln w="28575" cap="rnd">
              <a:solidFill>
                <a:srgbClr val="00B0F0"/>
              </a:solidFill>
              <a:prstDash val="dash"/>
              <a:round/>
            </a:ln>
            <a:effectLst/>
          </c:spPr>
          <c:marker>
            <c:symbol val="none"/>
          </c:marker>
          <c:dLbls>
            <c:dLbl>
              <c:idx val="6"/>
              <c:delete val="1"/>
              <c:extLst>
                <c:ext xmlns:c15="http://schemas.microsoft.com/office/drawing/2012/chart" uri="{CE6537A1-D6FC-4f65-9D91-7224C49458BB}"/>
                <c:ext xmlns:c16="http://schemas.microsoft.com/office/drawing/2014/chart" uri="{C3380CC4-5D6E-409C-BE32-E72D297353CC}">
                  <c16:uniqueId val="{00000001-DBA9-4691-9243-0DB783AF414F}"/>
                </c:ext>
              </c:extLst>
            </c:dLbl>
            <c:dLbl>
              <c:idx val="7"/>
              <c:layout>
                <c:manualLayout>
                  <c:x val="-3.7365084704226996E-2"/>
                  <c:y val="-4.0833821092296788E-2"/>
                </c:manualLayout>
              </c:layout>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A9-4691-9243-0DB783AF414F}"/>
                </c:ext>
              </c:extLst>
            </c:dLbl>
            <c:spPr>
              <a:no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'Дефлятор модель (CPI-PPI) (С-2)'!$R$34:$R$45</c:f>
              <c:numCache>
                <c:formatCode>#,##0</c:formatCode>
                <c:ptCount val="12"/>
                <c:pt idx="6" formatCode="0.0%">
                  <c:v>6.8000000000000005E-2</c:v>
                </c:pt>
                <c:pt idx="7" formatCode="0.0%">
                  <c:v>4.8000000000000001E-2</c:v>
                </c:pt>
                <c:pt idx="8" formatCode="0.0%">
                  <c:v>5.2999999999999999E-2</c:v>
                </c:pt>
                <c:pt idx="9" formatCode="0.0%">
                  <c:v>5.5999999999999994E-2</c:v>
                </c:pt>
                <c:pt idx="10" formatCode="0.0%">
                  <c:v>8.4000000000000005E-2</c:v>
                </c:pt>
                <c:pt idx="11" formatCode="0.0%">
                  <c:v>0.17499999999999999</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3-DBA9-4691-9243-0DB783AF414F}"/>
            </c:ext>
          </c:extLst>
        </c:ser>
        <c:dLbls>
          <c:dLblPos val="t"/>
          <c:showLegendKey val="0"/>
          <c:showVal val="1"/>
          <c:showCatName val="0"/>
          <c:showSerName val="0"/>
          <c:showPercent val="0"/>
          <c:showBubbleSize val="0"/>
        </c:dLbls>
        <c:smooth val="0"/>
        <c:axId val="2093273312"/>
        <c:axId val="2093287456"/>
      </c:lineChart>
      <c:catAx>
        <c:axId val="2093273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87456"/>
        <c:crosses val="autoZero"/>
        <c:auto val="1"/>
        <c:lblAlgn val="ctr"/>
        <c:lblOffset val="100"/>
        <c:noMultiLvlLbl val="0"/>
      </c:catAx>
      <c:valAx>
        <c:axId val="2093287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7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0">
          <a:solidFill>
            <a:sysClr val="windowText" lastClr="000000"/>
          </a:solidFill>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r>
              <a:rPr lang="ru-RU" sz="2400">
                <a:solidFill>
                  <a:schemeClr val="accent1"/>
                </a:solidFill>
              </a:rPr>
              <a:t>Прогноз уровня инфляции в 2020 - 2021 годах, г-г</a:t>
            </a:r>
            <a:r>
              <a:rPr lang="en-US" sz="2400">
                <a:solidFill>
                  <a:schemeClr val="accent1"/>
                </a:solidFill>
              </a:rPr>
              <a:t> % </a:t>
            </a:r>
            <a:endParaRPr lang="ru-RU" sz="2400">
              <a:solidFill>
                <a:schemeClr val="accent1"/>
              </a:solidFill>
            </a:endParaRPr>
          </a:p>
        </c:rich>
      </c:tx>
      <c:layout>
        <c:manualLayout>
          <c:xMode val="edge"/>
          <c:yMode val="edge"/>
          <c:x val="4.4379707583808249E-2"/>
          <c:y val="0"/>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endParaRPr lang="en-US"/>
        </a:p>
      </c:txPr>
    </c:title>
    <c:autoTitleDeleted val="0"/>
    <c:plotArea>
      <c:layout/>
      <c:areaChart>
        <c:grouping val="standard"/>
        <c:varyColors val="0"/>
        <c:ser>
          <c:idx val="2"/>
          <c:order val="2"/>
          <c:tx>
            <c:strRef>
              <c:f>'Дефлятор модель (CPI-PPI) (С-2)'!$G$1</c:f>
              <c:strCache>
                <c:ptCount val="1"/>
                <c:pt idx="0">
                  <c:v>Дефлятор</c:v>
                </c:pt>
              </c:strCache>
            </c:strRef>
          </c:tx>
          <c:spPr>
            <a:solidFill>
              <a:schemeClr val="accent1">
                <a:lumMod val="20000"/>
                <a:lumOff val="80000"/>
              </a:schemeClr>
            </a:solidFill>
            <a:ln>
              <a:noFill/>
            </a:ln>
            <a:effectLst/>
          </c:spPr>
          <c:dLbls>
            <c:dLbl>
              <c:idx val="0"/>
              <c:layout>
                <c:manualLayout>
                  <c:x val="2.7552276708744352E-2"/>
                  <c:y val="3.288208922956219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C9F-494A-A9C6-C60B18800732}"/>
                </c:ext>
              </c:extLst>
            </c:dLbl>
            <c:dLbl>
              <c:idx val="1"/>
              <c:layout>
                <c:manualLayout>
                  <c:x val="3.2144322826868382E-2"/>
                  <c:y val="3.0141915127098767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C9F-494A-A9C6-C60B18800732}"/>
                </c:ext>
              </c:extLst>
            </c:dLbl>
            <c:dLbl>
              <c:idx val="2"/>
              <c:layout>
                <c:manualLayout>
                  <c:x val="2.9082958748119038E-2"/>
                  <c:y val="2.740174102463524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C9F-494A-A9C6-C60B18800732}"/>
                </c:ext>
              </c:extLst>
            </c:dLbl>
            <c:dLbl>
              <c:idx val="3"/>
              <c:layout>
                <c:manualLayout>
                  <c:x val="5.0948847743695685E-3"/>
                  <c:y val="-9.0564912847810083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9F-494A-A9C6-C60B18800732}"/>
                </c:ext>
              </c:extLst>
            </c:dLbl>
            <c:dLbl>
              <c:idx val="4"/>
              <c:layout>
                <c:manualLayout>
                  <c:x val="3.0660643710189329E-3"/>
                  <c:y val="6.14855736164751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C9F-494A-A9C6-C60B18800732}"/>
                </c:ext>
              </c:extLst>
            </c:dLbl>
            <c:dLbl>
              <c:idx val="5"/>
              <c:layout>
                <c:manualLayout>
                  <c:x val="5.7882790894388404E-3"/>
                  <c:y val="5.81086944690573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9F-494A-A9C6-C60B18800732}"/>
                </c:ext>
              </c:extLst>
            </c:dLbl>
            <c:dLbl>
              <c:idx val="6"/>
              <c:layout>
                <c:manualLayout>
                  <c:x val="2.0262415309561933E-3"/>
                  <c:y val="6.59681842015394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C9F-494A-A9C6-C60B18800732}"/>
                </c:ext>
              </c:extLst>
            </c:dLbl>
            <c:dLbl>
              <c:idx val="7"/>
              <c:layout>
                <c:manualLayout>
                  <c:x val="5.453885302286389E-3"/>
                  <c:y val="6.77098961894931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C9F-494A-A9C6-C60B18800732}"/>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'Дефлятор модель (CPI-PPI) (С-2)'!$A$92:$B$99</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(С-2)'!$G$42:$G$49</c:f>
              <c:numCache>
                <c:formatCode>0.0%</c:formatCode>
                <c:ptCount val="8"/>
                <c:pt idx="0">
                  <c:v>5.2999999999999999E-2</c:v>
                </c:pt>
                <c:pt idx="1">
                  <c:v>5.5999999999999994E-2</c:v>
                </c:pt>
                <c:pt idx="2">
                  <c:v>8.4000000000000005E-2</c:v>
                </c:pt>
                <c:pt idx="3">
                  <c:v>0.17499999999999999</c:v>
                </c:pt>
                <c:pt idx="4">
                  <c:v>0.217</c:v>
                </c:pt>
                <c:pt idx="5">
                  <c:v>0.27300000000000002</c:v>
                </c:pt>
                <c:pt idx="6">
                  <c:v>0.26100000000000001</c:v>
                </c:pt>
                <c:pt idx="7">
                  <c:v>0.24399999999999999</c:v>
                </c:pt>
              </c:numCache>
            </c:numRef>
          </c:val>
          <c:extLst>
            <c:ext xmlns:c16="http://schemas.microsoft.com/office/drawing/2014/chart" uri="{C3380CC4-5D6E-409C-BE32-E72D297353CC}">
              <c16:uniqueId val="{00000008-AC9F-494A-A9C6-C60B18800732}"/>
            </c:ext>
          </c:extLst>
        </c:ser>
        <c:dLbls>
          <c:showLegendKey val="0"/>
          <c:showVal val="0"/>
          <c:showCatName val="0"/>
          <c:showSerName val="0"/>
          <c:showPercent val="0"/>
          <c:showBubbleSize val="0"/>
        </c:dLbls>
        <c:axId val="720532336"/>
        <c:axId val="720530736"/>
      </c:areaChart>
      <c:barChart>
        <c:barDir val="col"/>
        <c:grouping val="clustered"/>
        <c:varyColors val="0"/>
        <c:ser>
          <c:idx val="0"/>
          <c:order val="0"/>
          <c:tx>
            <c:strRef>
              <c:f>'Дефлятор модель (CPI-PPI) (С-2)'!$E$1</c:f>
              <c:strCache>
                <c:ptCount val="1"/>
                <c:pt idx="0">
                  <c:v>CPI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(С-2)'!$A$92:$B$99</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(С-2)'!$E$42:$E$49</c:f>
              <c:numCache>
                <c:formatCode>0.0%</c:formatCode>
                <c:ptCount val="8"/>
                <c:pt idx="0">
                  <c:v>2.6333333333333334E-2</c:v>
                </c:pt>
                <c:pt idx="1">
                  <c:v>2.066666666666667E-2</c:v>
                </c:pt>
                <c:pt idx="2">
                  <c:v>2.4000000000000004E-2</c:v>
                </c:pt>
                <c:pt idx="3">
                  <c:v>3.7999999999999999E-2</c:v>
                </c:pt>
                <c:pt idx="4">
                  <c:v>7.3666666666666672E-2</c:v>
                </c:pt>
                <c:pt idx="5">
                  <c:v>9.1333333333333336E-2</c:v>
                </c:pt>
                <c:pt idx="6">
                  <c:v>0.10466666666666667</c:v>
                </c:pt>
                <c:pt idx="7">
                  <c:v>0.104</c:v>
                </c:pt>
              </c:numCache>
            </c:numRef>
          </c:val>
          <c:extLst>
            <c:ext xmlns:c16="http://schemas.microsoft.com/office/drawing/2014/chart" uri="{C3380CC4-5D6E-409C-BE32-E72D297353CC}">
              <c16:uniqueId val="{00000009-AC9F-494A-A9C6-C60B18800732}"/>
            </c:ext>
          </c:extLst>
        </c:ser>
        <c:ser>
          <c:idx val="1"/>
          <c:order val="1"/>
          <c:tx>
            <c:strRef>
              <c:f>'Дефлятор модель (CPI-PPI) (С-2)'!$F$1</c:f>
              <c:strCache>
                <c:ptCount val="1"/>
                <c:pt idx="0">
                  <c:v>PPI</c:v>
                </c:pt>
              </c:strCache>
            </c:strRef>
          </c:tx>
          <c:spPr>
            <a:solidFill>
              <a:schemeClr val="accent1"/>
            </a:solidFill>
            <a:ln>
              <a:noFill/>
            </a:ln>
            <a:effectLst/>
          </c:spPr>
          <c:invertIfNegative val="0"/>
          <c:dLbls>
            <c:dLbl>
              <c:idx val="3"/>
              <c:layout>
                <c:manualLayout>
                  <c:x val="1.683750243312155E-2"/>
                  <c:y val="1.09606964098540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C9F-494A-A9C6-C60B18800732}"/>
                </c:ext>
              </c:extLst>
            </c:dLbl>
            <c:dLbl>
              <c:idx val="4"/>
              <c:layout>
                <c:manualLayout>
                  <c:x val="1.0714774275622804E-2"/>
                  <c:y val="5.48034820492704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C9F-494A-A9C6-C60B18800732}"/>
                </c:ext>
              </c:extLst>
            </c:dLbl>
            <c:dLbl>
              <c:idx val="6"/>
              <c:layout>
                <c:manualLayout>
                  <c:x val="6.122728157498745E-3"/>
                  <c:y val="-5.023594488190920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C9F-494A-A9C6-C60B18800732}"/>
                </c:ext>
              </c:extLst>
            </c:dLbl>
            <c:dLbl>
              <c:idx val="7"/>
              <c:layout>
                <c:manualLayout>
                  <c:x val="1.071477427562280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C9F-494A-A9C6-C60B18800732}"/>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429EBE"/>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(С-2)'!$A$92:$B$99</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(С-2)'!$F$42:$F$49</c:f>
              <c:numCache>
                <c:formatCode>0.0%</c:formatCode>
                <c:ptCount val="8"/>
                <c:pt idx="0">
                  <c:v>-5.6333333333333339E-2</c:v>
                </c:pt>
                <c:pt idx="1">
                  <c:v>-4.099999999999996E-2</c:v>
                </c:pt>
                <c:pt idx="2">
                  <c:v>-4.6333333333333337E-2</c:v>
                </c:pt>
                <c:pt idx="3">
                  <c:v>8.7666666666666671E-2</c:v>
                </c:pt>
                <c:pt idx="4">
                  <c:v>0.23500000000000001</c:v>
                </c:pt>
                <c:pt idx="5">
                  <c:v>0.33333333333333331</c:v>
                </c:pt>
                <c:pt idx="6">
                  <c:v>0.44599999999999995</c:v>
                </c:pt>
                <c:pt idx="7">
                  <c:v>0.60033333333333327</c:v>
                </c:pt>
              </c:numCache>
            </c:numRef>
          </c:val>
          <c:extLst>
            <c:ext xmlns:c16="http://schemas.microsoft.com/office/drawing/2014/chart" uri="{C3380CC4-5D6E-409C-BE32-E72D297353CC}">
              <c16:uniqueId val="{0000000E-AC9F-494A-A9C6-C60B18800732}"/>
            </c:ext>
          </c:extLst>
        </c:ser>
        <c:dLbls>
          <c:showLegendKey val="0"/>
          <c:showVal val="0"/>
          <c:showCatName val="0"/>
          <c:showSerName val="0"/>
          <c:showPercent val="0"/>
          <c:showBubbleSize val="0"/>
        </c:dLbls>
        <c:gapWidth val="219"/>
        <c:axId val="720532336"/>
        <c:axId val="720530736"/>
      </c:barChart>
      <c:catAx>
        <c:axId val="7205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0736"/>
        <c:crosses val="autoZero"/>
        <c:auto val="1"/>
        <c:lblAlgn val="ctr"/>
        <c:lblOffset val="100"/>
        <c:noMultiLvlLbl val="0"/>
      </c:catAx>
      <c:valAx>
        <c:axId val="720530736"/>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2336"/>
        <c:crosses val="autoZero"/>
        <c:crossBetween val="between"/>
      </c:valAx>
      <c:spPr>
        <a:noFill/>
        <a:ln>
          <a:noFill/>
        </a:ln>
        <a:effectLst/>
      </c:spPr>
    </c:plotArea>
    <c:legend>
      <c:legendPos val="t"/>
      <c:layout>
        <c:manualLayout>
          <c:xMode val="edge"/>
          <c:yMode val="edge"/>
          <c:x val="1.091722647001905E-2"/>
          <c:y val="0.16181183426951926"/>
          <c:w val="0.92947106360111809"/>
          <c:h val="2.71208780231131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r>
              <a:rPr lang="ru-RU" sz="2400">
                <a:solidFill>
                  <a:schemeClr val="accent1"/>
                </a:solidFill>
              </a:rPr>
              <a:t>Прогноз уровня инфляции в 2020 - 2022 годах, г-г</a:t>
            </a:r>
            <a:r>
              <a:rPr lang="en-US" sz="2400">
                <a:solidFill>
                  <a:schemeClr val="accent1"/>
                </a:solidFill>
              </a:rPr>
              <a:t> % </a:t>
            </a:r>
            <a:endParaRPr lang="ru-RU" sz="2400">
              <a:solidFill>
                <a:schemeClr val="accent1"/>
              </a:solidFill>
            </a:endParaRPr>
          </a:p>
        </c:rich>
      </c:tx>
      <c:layout>
        <c:manualLayout>
          <c:xMode val="edge"/>
          <c:yMode val="edge"/>
          <c:x val="5.8026240671332059E-2"/>
          <c:y val="6.2644413047335005E-3"/>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endParaRPr lang="en-US"/>
        </a:p>
      </c:txPr>
    </c:title>
    <c:autoTitleDeleted val="0"/>
    <c:plotArea>
      <c:layout/>
      <c:areaChart>
        <c:grouping val="standard"/>
        <c:varyColors val="0"/>
        <c:ser>
          <c:idx val="2"/>
          <c:order val="2"/>
          <c:tx>
            <c:strRef>
              <c:f>'Дефлятор модель (CPI-PPI) (С-2)'!$G$1</c:f>
              <c:strCache>
                <c:ptCount val="1"/>
                <c:pt idx="0">
                  <c:v>Дефлятор</c:v>
                </c:pt>
              </c:strCache>
            </c:strRef>
          </c:tx>
          <c:spPr>
            <a:solidFill>
              <a:srgbClr val="BADBE8"/>
            </a:solidFill>
            <a:ln>
              <a:noFill/>
            </a:ln>
            <a:effectLst/>
          </c:spPr>
          <c:dLbls>
            <c:dLbl>
              <c:idx val="0"/>
              <c:layout>
                <c:manualLayout>
                  <c:x val="2.7552276708744352E-2"/>
                  <c:y val="3.288208922956219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959-423F-B4E6-9C3812446CD7}"/>
                </c:ext>
              </c:extLst>
            </c:dLbl>
            <c:dLbl>
              <c:idx val="1"/>
              <c:layout>
                <c:manualLayout>
                  <c:x val="3.2144322826868382E-2"/>
                  <c:y val="3.0141915127098767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59-423F-B4E6-9C3812446CD7}"/>
                </c:ext>
              </c:extLst>
            </c:dLbl>
            <c:dLbl>
              <c:idx val="2"/>
              <c:layout>
                <c:manualLayout>
                  <c:x val="2.9082958748119038E-2"/>
                  <c:y val="2.740174102463524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959-423F-B4E6-9C3812446CD7}"/>
                </c:ext>
              </c:extLst>
            </c:dLbl>
            <c:dLbl>
              <c:idx val="3"/>
              <c:layout>
                <c:manualLayout>
                  <c:x val="5.0948847743695685E-3"/>
                  <c:y val="-9.0564912847810083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59-423F-B4E6-9C3812446CD7}"/>
                </c:ext>
              </c:extLst>
            </c:dLbl>
            <c:dLbl>
              <c:idx val="4"/>
              <c:layout>
                <c:manualLayout>
                  <c:x val="1.1253984223533221E-2"/>
                  <c:y val="-5.12743698687278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959-423F-B4E6-9C3812446CD7}"/>
                </c:ext>
              </c:extLst>
            </c:dLbl>
            <c:dLbl>
              <c:idx val="5"/>
              <c:layout>
                <c:manualLayout>
                  <c:x val="1.3976198941953129E-2"/>
                  <c:y val="-5.25631019145678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59-423F-B4E6-9C3812446CD7}"/>
                </c:ext>
              </c:extLst>
            </c:dLbl>
            <c:dLbl>
              <c:idx val="6"/>
              <c:layout>
                <c:manualLayout>
                  <c:x val="6.1202014572132373E-3"/>
                  <c:y val="-5.93206418931306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959-423F-B4E6-9C3812446CD7}"/>
                </c:ext>
              </c:extLst>
            </c:dLbl>
            <c:dLbl>
              <c:idx val="7"/>
              <c:layout>
                <c:manualLayout>
                  <c:x val="1.773576508105762E-2"/>
                  <c:y val="-5.34026357020211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959-423F-B4E6-9C3812446CD7}"/>
                </c:ext>
              </c:extLst>
            </c:dLbl>
            <c:dLbl>
              <c:idx val="8"/>
              <c:layout>
                <c:manualLayout>
                  <c:x val="-2.7293066175048627E-3"/>
                  <c:y val="6.05562659457571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959-423F-B4E6-9C3812446CD7}"/>
                </c:ext>
              </c:extLst>
            </c:dLbl>
            <c:dLbl>
              <c:idx val="9"/>
              <c:layout>
                <c:manualLayout>
                  <c:x val="2.7293066175046623E-3"/>
                  <c:y val="6.05562659457570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959-423F-B4E6-9C3812446CD7}"/>
                </c:ext>
              </c:extLst>
            </c:dLbl>
            <c:dLbl>
              <c:idx val="10"/>
              <c:layout>
                <c:manualLayout>
                  <c:x val="5.4586132350094253E-3"/>
                  <c:y val="4.59392362347122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959-423F-B4E6-9C3812446CD7}"/>
                </c:ext>
              </c:extLst>
            </c:dLbl>
            <c:dLbl>
              <c:idx val="11"/>
              <c:layout>
                <c:manualLayout>
                  <c:x val="5.458613235009525E-3"/>
                  <c:y val="3.54985007268230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959-423F-B4E6-9C3812446CD7}"/>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'Дефлятор модель (CPI-PPI) (С-2)'!$A$92:$B$99</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(С-2)'!$G$42:$G$53</c:f>
              <c:numCache>
                <c:formatCode>0.0%</c:formatCode>
                <c:ptCount val="12"/>
                <c:pt idx="0">
                  <c:v>5.2999999999999999E-2</c:v>
                </c:pt>
                <c:pt idx="1">
                  <c:v>5.5999999999999994E-2</c:v>
                </c:pt>
                <c:pt idx="2">
                  <c:v>8.4000000000000005E-2</c:v>
                </c:pt>
                <c:pt idx="3">
                  <c:v>0.17499999999999999</c:v>
                </c:pt>
                <c:pt idx="4">
                  <c:v>0.217</c:v>
                </c:pt>
                <c:pt idx="5">
                  <c:v>0.27300000000000002</c:v>
                </c:pt>
                <c:pt idx="6">
                  <c:v>0.26100000000000001</c:v>
                </c:pt>
                <c:pt idx="7">
                  <c:v>0.24399999999999999</c:v>
                </c:pt>
                <c:pt idx="8">
                  <c:v>0.33563583721439888</c:v>
                </c:pt>
                <c:pt idx="9">
                  <c:v>0.37085093860885787</c:v>
                </c:pt>
                <c:pt idx="10">
                  <c:v>0.42305673220230922</c:v>
                </c:pt>
                <c:pt idx="11">
                  <c:v>0.36110334762602375</c:v>
                </c:pt>
              </c:numCache>
            </c:numRef>
          </c:val>
          <c:extLst>
            <c:ext xmlns:c16="http://schemas.microsoft.com/office/drawing/2014/chart" uri="{C3380CC4-5D6E-409C-BE32-E72D297353CC}">
              <c16:uniqueId val="{0000000C-7959-423F-B4E6-9C3812446CD7}"/>
            </c:ext>
          </c:extLst>
        </c:ser>
        <c:dLbls>
          <c:showLegendKey val="0"/>
          <c:showVal val="0"/>
          <c:showCatName val="0"/>
          <c:showSerName val="0"/>
          <c:showPercent val="0"/>
          <c:showBubbleSize val="0"/>
        </c:dLbls>
        <c:axId val="720532336"/>
        <c:axId val="720530736"/>
      </c:areaChart>
      <c:barChart>
        <c:barDir val="col"/>
        <c:grouping val="clustered"/>
        <c:varyColors val="0"/>
        <c:ser>
          <c:idx val="0"/>
          <c:order val="0"/>
          <c:tx>
            <c:strRef>
              <c:f>'Дефлятор модель (CPI-PPI) (С-2)'!$E$1</c:f>
              <c:strCache>
                <c:ptCount val="1"/>
                <c:pt idx="0">
                  <c:v>CPI</c:v>
                </c:pt>
              </c:strCache>
            </c:strRef>
          </c:tx>
          <c:spPr>
            <a:solidFill>
              <a:schemeClr val="accent3"/>
            </a:solidFill>
            <a:ln>
              <a:noFill/>
            </a:ln>
            <a:effectLst/>
          </c:spPr>
          <c:invertIfNegative val="0"/>
          <c:dLbls>
            <c:dLbl>
              <c:idx val="9"/>
              <c:layout>
                <c:manualLayout>
                  <c:x val="-5.458613235009525E-3"/>
                  <c:y val="1.46170297110447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959-423F-B4E6-9C3812446CD7}"/>
                </c:ext>
              </c:extLst>
            </c:dLbl>
            <c:dLbl>
              <c:idx val="10"/>
              <c:layout>
                <c:manualLayout>
                  <c:x val="-1.3646533087524814E-3"/>
                  <c:y val="1.25288826094668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959-423F-B4E6-9C3812446CD7}"/>
                </c:ext>
              </c:extLst>
            </c:dLbl>
            <c:dLbl>
              <c:idx val="11"/>
              <c:layout>
                <c:manualLayout>
                  <c:x val="-6.8232665437619067E-3"/>
                  <c:y val="1.4617029711044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959-423F-B4E6-9C3812446CD7}"/>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(С-2)'!$A$92:$B$103</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2020</c:v>
                  </c:pt>
                  <c:pt idx="4">
                    <c:v>2021</c:v>
                  </c:pt>
                  <c:pt idx="8">
                    <c:v>2022</c:v>
                  </c:pt>
                </c:lvl>
              </c:multiLvlStrCache>
            </c:multiLvlStrRef>
          </c:cat>
          <c:val>
            <c:numRef>
              <c:f>'Дефлятор модель (CPI-PPI) (С-2)'!$E$42:$E$53</c:f>
              <c:numCache>
                <c:formatCode>0.0%</c:formatCode>
                <c:ptCount val="12"/>
                <c:pt idx="0">
                  <c:v>2.6333333333333334E-2</c:v>
                </c:pt>
                <c:pt idx="1">
                  <c:v>2.066666666666667E-2</c:v>
                </c:pt>
                <c:pt idx="2">
                  <c:v>2.4000000000000004E-2</c:v>
                </c:pt>
                <c:pt idx="3">
                  <c:v>3.7999999999999999E-2</c:v>
                </c:pt>
                <c:pt idx="4">
                  <c:v>7.3666666666666672E-2</c:v>
                </c:pt>
                <c:pt idx="5">
                  <c:v>9.1333333333333336E-2</c:v>
                </c:pt>
                <c:pt idx="6">
                  <c:v>0.10466666666666667</c:v>
                </c:pt>
                <c:pt idx="7">
                  <c:v>0.104</c:v>
                </c:pt>
                <c:pt idx="8">
                  <c:v>0.11466666666666669</c:v>
                </c:pt>
                <c:pt idx="9">
                  <c:v>0.18633333333333335</c:v>
                </c:pt>
                <c:pt idx="10">
                  <c:v>0.23533333333333331</c:v>
                </c:pt>
                <c:pt idx="11">
                  <c:v>0.26566666666666666</c:v>
                </c:pt>
              </c:numCache>
            </c:numRef>
          </c:val>
          <c:extLst>
            <c:ext xmlns:c16="http://schemas.microsoft.com/office/drawing/2014/chart" uri="{C3380CC4-5D6E-409C-BE32-E72D297353CC}">
              <c16:uniqueId val="{00000010-7959-423F-B4E6-9C3812446CD7}"/>
            </c:ext>
          </c:extLst>
        </c:ser>
        <c:ser>
          <c:idx val="1"/>
          <c:order val="1"/>
          <c:tx>
            <c:strRef>
              <c:f>'Дефлятор модель (CPI-PPI) (С-2)'!$F$1</c:f>
              <c:strCache>
                <c:ptCount val="1"/>
                <c:pt idx="0">
                  <c:v>PPI</c:v>
                </c:pt>
              </c:strCache>
            </c:strRef>
          </c:tx>
          <c:spPr>
            <a:solidFill>
              <a:schemeClr val="accent1"/>
            </a:solidFill>
            <a:ln>
              <a:noFill/>
            </a:ln>
            <a:effectLst/>
          </c:spPr>
          <c:invertIfNegative val="0"/>
          <c:dLbls>
            <c:dLbl>
              <c:idx val="3"/>
              <c:layout>
                <c:manualLayout>
                  <c:x val="1.683750243312155E-2"/>
                  <c:y val="1.09606964098540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959-423F-B4E6-9C3812446CD7}"/>
                </c:ext>
              </c:extLst>
            </c:dLbl>
            <c:dLbl>
              <c:idx val="4"/>
              <c:layout>
                <c:manualLayout>
                  <c:x val="1.0714774275622804E-2"/>
                  <c:y val="5.48034820492704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959-423F-B4E6-9C3812446CD7}"/>
                </c:ext>
              </c:extLst>
            </c:dLbl>
            <c:dLbl>
              <c:idx val="6"/>
              <c:layout>
                <c:manualLayout>
                  <c:x val="6.122728157498745E-3"/>
                  <c:y val="-5.023594488190920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959-423F-B4E6-9C3812446CD7}"/>
                </c:ext>
              </c:extLst>
            </c:dLbl>
            <c:dLbl>
              <c:idx val="7"/>
              <c:layout>
                <c:manualLayout>
                  <c:x val="1.071477427562280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959-423F-B4E6-9C3812446CD7}"/>
                </c:ext>
              </c:extLst>
            </c:dLbl>
            <c:dLbl>
              <c:idx val="10"/>
              <c:layout>
                <c:manualLayout>
                  <c:x val="5.458613235009525E-3"/>
                  <c:y val="-1.87933239142005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959-423F-B4E6-9C3812446CD7}"/>
                </c:ext>
              </c:extLst>
            </c:dLbl>
            <c:dLbl>
              <c:idx val="11"/>
              <c:layout>
                <c:manualLayout>
                  <c:x val="2.7293066175047625E-3"/>
                  <c:y val="-1.2528882609467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959-423F-B4E6-9C3812446CD7}"/>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429EBE"/>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(С-2)'!$A$92:$B$103</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2020</c:v>
                  </c:pt>
                  <c:pt idx="4">
                    <c:v>2021</c:v>
                  </c:pt>
                  <c:pt idx="8">
                    <c:v>2022</c:v>
                  </c:pt>
                </c:lvl>
              </c:multiLvlStrCache>
            </c:multiLvlStrRef>
          </c:cat>
          <c:val>
            <c:numRef>
              <c:f>'Дефлятор модель (CPI-PPI) (С-2)'!$F$42:$F$53</c:f>
              <c:numCache>
                <c:formatCode>0.0%</c:formatCode>
                <c:ptCount val="12"/>
                <c:pt idx="0">
                  <c:v>-5.6333333333333339E-2</c:v>
                </c:pt>
                <c:pt idx="1">
                  <c:v>-4.099999999999996E-2</c:v>
                </c:pt>
                <c:pt idx="2">
                  <c:v>-4.6333333333333337E-2</c:v>
                </c:pt>
                <c:pt idx="3">
                  <c:v>8.7666666666666671E-2</c:v>
                </c:pt>
                <c:pt idx="4">
                  <c:v>0.23500000000000001</c:v>
                </c:pt>
                <c:pt idx="5">
                  <c:v>0.33333333333333331</c:v>
                </c:pt>
                <c:pt idx="6">
                  <c:v>0.44599999999999995</c:v>
                </c:pt>
                <c:pt idx="7">
                  <c:v>0.60033333333333327</c:v>
                </c:pt>
                <c:pt idx="8">
                  <c:v>0.5987304620534567</c:v>
                </c:pt>
                <c:pt idx="9">
                  <c:v>0.61971599669989452</c:v>
                </c:pt>
                <c:pt idx="10">
                  <c:v>0.70140457155676506</c:v>
                </c:pt>
                <c:pt idx="11">
                  <c:v>0.52628589945178506</c:v>
                </c:pt>
              </c:numCache>
            </c:numRef>
          </c:val>
          <c:extLst>
            <c:ext xmlns:c16="http://schemas.microsoft.com/office/drawing/2014/chart" uri="{C3380CC4-5D6E-409C-BE32-E72D297353CC}">
              <c16:uniqueId val="{00000017-7959-423F-B4E6-9C3812446CD7}"/>
            </c:ext>
          </c:extLst>
        </c:ser>
        <c:dLbls>
          <c:showLegendKey val="0"/>
          <c:showVal val="0"/>
          <c:showCatName val="0"/>
          <c:showSerName val="0"/>
          <c:showPercent val="0"/>
          <c:showBubbleSize val="0"/>
        </c:dLbls>
        <c:gapWidth val="219"/>
        <c:axId val="720532336"/>
        <c:axId val="720530736"/>
      </c:barChart>
      <c:catAx>
        <c:axId val="7205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0736"/>
        <c:crosses val="autoZero"/>
        <c:auto val="1"/>
        <c:lblAlgn val="ctr"/>
        <c:lblOffset val="100"/>
        <c:noMultiLvlLbl val="0"/>
      </c:catAx>
      <c:valAx>
        <c:axId val="720530736"/>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2336"/>
        <c:crosses val="autoZero"/>
        <c:crossBetween val="between"/>
      </c:valAx>
      <c:spPr>
        <a:noFill/>
        <a:ln>
          <a:noFill/>
        </a:ln>
        <a:effectLst/>
      </c:spPr>
    </c:plotArea>
    <c:legend>
      <c:legendPos val="t"/>
      <c:layout>
        <c:manualLayout>
          <c:xMode val="edge"/>
          <c:yMode val="edge"/>
          <c:x val="1.091722647001905E-2"/>
          <c:y val="0.16181183426951926"/>
          <c:w val="0.92947106360111809"/>
          <c:h val="2.71208780231131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r>
              <a:rPr lang="ru-RU" sz="2400">
                <a:solidFill>
                  <a:schemeClr val="accent1"/>
                </a:solidFill>
              </a:rPr>
              <a:t>Прогноз </a:t>
            </a:r>
            <a:r>
              <a:rPr lang="uk-UA" sz="2400">
                <a:solidFill>
                  <a:schemeClr val="accent1"/>
                </a:solidFill>
              </a:rPr>
              <a:t>рівня</a:t>
            </a:r>
            <a:r>
              <a:rPr lang="ru-RU" sz="2400">
                <a:solidFill>
                  <a:schemeClr val="accent1"/>
                </a:solidFill>
              </a:rPr>
              <a:t> інфляції в 202</a:t>
            </a:r>
            <a:r>
              <a:rPr lang="en-US" sz="2400">
                <a:solidFill>
                  <a:schemeClr val="accent1"/>
                </a:solidFill>
              </a:rPr>
              <a:t>1</a:t>
            </a:r>
            <a:r>
              <a:rPr lang="ru-RU" sz="2400">
                <a:solidFill>
                  <a:schemeClr val="accent1"/>
                </a:solidFill>
              </a:rPr>
              <a:t> - 2022 роках, р-р</a:t>
            </a:r>
            <a:r>
              <a:rPr lang="en-US" sz="2400">
                <a:solidFill>
                  <a:schemeClr val="accent1"/>
                </a:solidFill>
              </a:rPr>
              <a:t> % </a:t>
            </a:r>
            <a:endParaRPr lang="ru-RU" sz="2400">
              <a:solidFill>
                <a:schemeClr val="accent1"/>
              </a:solidFill>
            </a:endParaRPr>
          </a:p>
        </c:rich>
      </c:tx>
      <c:layout>
        <c:manualLayout>
          <c:xMode val="edge"/>
          <c:yMode val="edge"/>
          <c:x val="5.8026240671332059E-2"/>
          <c:y val="6.2644413047335005E-3"/>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endParaRPr lang="en-US"/>
        </a:p>
      </c:txPr>
    </c:title>
    <c:autoTitleDeleted val="0"/>
    <c:plotArea>
      <c:layout/>
      <c:areaChart>
        <c:grouping val="standard"/>
        <c:varyColors val="0"/>
        <c:ser>
          <c:idx val="2"/>
          <c:order val="2"/>
          <c:tx>
            <c:strRef>
              <c:f>'Дефлятор модель (CPI-PPI) (С-2)'!$G$1</c:f>
              <c:strCache>
                <c:ptCount val="1"/>
                <c:pt idx="0">
                  <c:v>Дефлятор</c:v>
                </c:pt>
              </c:strCache>
            </c:strRef>
          </c:tx>
          <c:spPr>
            <a:solidFill>
              <a:srgbClr val="BADBE8"/>
            </a:solidFill>
            <a:ln>
              <a:noFill/>
            </a:ln>
            <a:effectLst/>
          </c:spPr>
          <c:dLbls>
            <c:dLbl>
              <c:idx val="0"/>
              <c:layout>
                <c:manualLayout>
                  <c:x val="3.9911703707333226E-2"/>
                  <c:y val="-5.12743698687278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C05-40E0-A994-6425F5CB3A44}"/>
                </c:ext>
              </c:extLst>
            </c:dLbl>
            <c:dLbl>
              <c:idx val="1"/>
              <c:layout>
                <c:manualLayout>
                  <c:x val="2.2164118794467415E-2"/>
                  <c:y val="-5.4651249016145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05-40E0-A994-6425F5CB3A44}"/>
                </c:ext>
              </c:extLst>
            </c:dLbl>
            <c:dLbl>
              <c:idx val="2"/>
              <c:layout>
                <c:manualLayout>
                  <c:x val="1.9766734544737149E-2"/>
                  <c:y val="-6.55850831978641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05-40E0-A994-6425F5CB3A44}"/>
                </c:ext>
              </c:extLst>
            </c:dLbl>
            <c:dLbl>
              <c:idx val="3"/>
              <c:layout>
                <c:manualLayout>
                  <c:x val="3.0017644859829152E-2"/>
                  <c:y val="-5.96670770067546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05-40E0-A994-6425F5CB3A44}"/>
                </c:ext>
              </c:extLst>
            </c:dLbl>
            <c:dLbl>
              <c:idx val="4"/>
              <c:layout>
                <c:manualLayout>
                  <c:x val="0"/>
                  <c:y val="7.93495898599576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C05-40E0-A994-6425F5CB3A44}"/>
                </c:ext>
              </c:extLst>
            </c:dLbl>
            <c:dLbl>
              <c:idx val="5"/>
              <c:layout>
                <c:manualLayout>
                  <c:x val="9.5525731612666684E-3"/>
                  <c:y val="6.47325601489129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05-40E0-A994-6425F5CB3A44}"/>
                </c:ext>
              </c:extLst>
            </c:dLbl>
            <c:dLbl>
              <c:idx val="6"/>
              <c:layout>
                <c:manualLayout>
                  <c:x val="1.0917226470018949E-2"/>
                  <c:y val="4.38510891331345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C05-40E0-A994-6425F5CB3A44}"/>
                </c:ext>
              </c:extLst>
            </c:dLbl>
            <c:dLbl>
              <c:idx val="7"/>
              <c:layout>
                <c:manualLayout>
                  <c:x val="1.0917226470018851E-2"/>
                  <c:y val="2.29696181173560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C05-40E0-A994-6425F5CB3A44}"/>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'Дефлятор модель (CPI-PPI) (С-2)'!$A$92:$B$99</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(С-2)'!$G$46:$G$53</c:f>
              <c:numCache>
                <c:formatCode>0.0%</c:formatCode>
                <c:ptCount val="8"/>
                <c:pt idx="0">
                  <c:v>0.217</c:v>
                </c:pt>
                <c:pt idx="1">
                  <c:v>0.27300000000000002</c:v>
                </c:pt>
                <c:pt idx="2">
                  <c:v>0.26100000000000001</c:v>
                </c:pt>
                <c:pt idx="3">
                  <c:v>0.24399999999999999</c:v>
                </c:pt>
                <c:pt idx="4">
                  <c:v>0.33563583721439888</c:v>
                </c:pt>
                <c:pt idx="5">
                  <c:v>0.37085093860885787</c:v>
                </c:pt>
                <c:pt idx="6">
                  <c:v>0.42305673220230922</c:v>
                </c:pt>
                <c:pt idx="7">
                  <c:v>0.36110334762602375</c:v>
                </c:pt>
              </c:numCache>
            </c:numRef>
          </c:val>
          <c:extLst>
            <c:ext xmlns:c16="http://schemas.microsoft.com/office/drawing/2014/chart" uri="{C3380CC4-5D6E-409C-BE32-E72D297353CC}">
              <c16:uniqueId val="{00000008-9C05-40E0-A994-6425F5CB3A44}"/>
            </c:ext>
          </c:extLst>
        </c:ser>
        <c:dLbls>
          <c:showLegendKey val="0"/>
          <c:showVal val="0"/>
          <c:showCatName val="0"/>
          <c:showSerName val="0"/>
          <c:showPercent val="0"/>
          <c:showBubbleSize val="0"/>
        </c:dLbls>
        <c:axId val="720532336"/>
        <c:axId val="720530736"/>
      </c:areaChart>
      <c:barChart>
        <c:barDir val="col"/>
        <c:grouping val="clustered"/>
        <c:varyColors val="0"/>
        <c:ser>
          <c:idx val="0"/>
          <c:order val="0"/>
          <c:tx>
            <c:strRef>
              <c:f>'Дефлятор модель (CPI-PPI) (С-2)'!$E$1</c:f>
              <c:strCache>
                <c:ptCount val="1"/>
                <c:pt idx="0">
                  <c:v>CPI</c:v>
                </c:pt>
              </c:strCache>
            </c:strRef>
          </c:tx>
          <c:spPr>
            <a:solidFill>
              <a:schemeClr val="accent3"/>
            </a:solidFill>
            <a:ln>
              <a:noFill/>
            </a:ln>
            <a:effectLst/>
          </c:spPr>
          <c:invertIfNegative val="0"/>
          <c:dLbls>
            <c:dLbl>
              <c:idx val="5"/>
              <c:layout>
                <c:manualLayout>
                  <c:x val="-5.458613235009525E-3"/>
                  <c:y val="1.46170297110447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C05-40E0-A994-6425F5CB3A44}"/>
                </c:ext>
              </c:extLst>
            </c:dLbl>
            <c:dLbl>
              <c:idx val="6"/>
              <c:layout>
                <c:manualLayout>
                  <c:x val="-1.3646533087524814E-3"/>
                  <c:y val="1.25288826094668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C05-40E0-A994-6425F5CB3A44}"/>
                </c:ext>
              </c:extLst>
            </c:dLbl>
            <c:dLbl>
              <c:idx val="7"/>
              <c:layout>
                <c:manualLayout>
                  <c:x val="-6.8232665437619067E-3"/>
                  <c:y val="1.4617029711044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C05-40E0-A994-6425F5CB3A44}"/>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(С-2)'!$A$96:$B$103</c:f>
              <c:multiLvlStrCache>
                <c:ptCount val="8"/>
                <c:lvl>
                  <c:pt idx="0">
                    <c:v>1Q</c:v>
                  </c:pt>
                  <c:pt idx="1">
                    <c:v>2Q</c:v>
                  </c:pt>
                  <c:pt idx="2">
                    <c:v>3Q</c:v>
                  </c:pt>
                  <c:pt idx="3">
                    <c:v>4Q</c:v>
                  </c:pt>
                  <c:pt idx="4">
                    <c:v>1Q</c:v>
                  </c:pt>
                  <c:pt idx="5">
                    <c:v>2Q</c:v>
                  </c:pt>
                  <c:pt idx="6">
                    <c:v>3Q</c:v>
                  </c:pt>
                  <c:pt idx="7">
                    <c:v>4Q</c:v>
                  </c:pt>
                </c:lvl>
                <c:lvl>
                  <c:pt idx="0">
                    <c:v>2021</c:v>
                  </c:pt>
                  <c:pt idx="4">
                    <c:v>2022</c:v>
                  </c:pt>
                </c:lvl>
              </c:multiLvlStrCache>
            </c:multiLvlStrRef>
          </c:cat>
          <c:val>
            <c:numRef>
              <c:f>'Дефлятор модель (CPI-PPI) (С-2)'!$E$46:$E$53</c:f>
              <c:numCache>
                <c:formatCode>0.0%</c:formatCode>
                <c:ptCount val="8"/>
                <c:pt idx="0">
                  <c:v>7.3666666666666672E-2</c:v>
                </c:pt>
                <c:pt idx="1">
                  <c:v>9.1333333333333336E-2</c:v>
                </c:pt>
                <c:pt idx="2">
                  <c:v>0.10466666666666667</c:v>
                </c:pt>
                <c:pt idx="3">
                  <c:v>0.104</c:v>
                </c:pt>
                <c:pt idx="4">
                  <c:v>0.11466666666666669</c:v>
                </c:pt>
                <c:pt idx="5">
                  <c:v>0.18633333333333335</c:v>
                </c:pt>
                <c:pt idx="6">
                  <c:v>0.23533333333333331</c:v>
                </c:pt>
                <c:pt idx="7">
                  <c:v>0.26566666666666666</c:v>
                </c:pt>
              </c:numCache>
            </c:numRef>
          </c:val>
          <c:extLst>
            <c:ext xmlns:c16="http://schemas.microsoft.com/office/drawing/2014/chart" uri="{C3380CC4-5D6E-409C-BE32-E72D297353CC}">
              <c16:uniqueId val="{0000000C-9C05-40E0-A994-6425F5CB3A44}"/>
            </c:ext>
          </c:extLst>
        </c:ser>
        <c:ser>
          <c:idx val="1"/>
          <c:order val="1"/>
          <c:tx>
            <c:strRef>
              <c:f>'Дефлятор модель (CPI-PPI) (С-2)'!$F$1</c:f>
              <c:strCache>
                <c:ptCount val="1"/>
                <c:pt idx="0">
                  <c:v>PPI</c:v>
                </c:pt>
              </c:strCache>
            </c:strRef>
          </c:tx>
          <c:spPr>
            <a:solidFill>
              <a:schemeClr val="accent1"/>
            </a:solidFill>
            <a:ln>
              <a:noFill/>
            </a:ln>
            <a:effectLst/>
          </c:spPr>
          <c:invertIfNegative val="0"/>
          <c:dLbls>
            <c:dLbl>
              <c:idx val="0"/>
              <c:layout>
                <c:manualLayout>
                  <c:x val="1.0714774275622804E-2"/>
                  <c:y val="5.48034820492704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C05-40E0-A994-6425F5CB3A44}"/>
                </c:ext>
              </c:extLst>
            </c:dLbl>
            <c:dLbl>
              <c:idx val="2"/>
              <c:layout>
                <c:manualLayout>
                  <c:x val="6.122728157498745E-3"/>
                  <c:y val="-5.023594488190920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C05-40E0-A994-6425F5CB3A44}"/>
                </c:ext>
              </c:extLst>
            </c:dLbl>
            <c:dLbl>
              <c:idx val="3"/>
              <c:layout>
                <c:manualLayout>
                  <c:x val="1.071477427562280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C05-40E0-A994-6425F5CB3A44}"/>
                </c:ext>
              </c:extLst>
            </c:dLbl>
            <c:dLbl>
              <c:idx val="6"/>
              <c:layout>
                <c:manualLayout>
                  <c:x val="5.458613235009525E-3"/>
                  <c:y val="-1.87933239142005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C05-40E0-A994-6425F5CB3A44}"/>
                </c:ext>
              </c:extLst>
            </c:dLbl>
            <c:dLbl>
              <c:idx val="7"/>
              <c:layout>
                <c:manualLayout>
                  <c:x val="2.7293066175047625E-3"/>
                  <c:y val="-1.2528882609467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C05-40E0-A994-6425F5CB3A44}"/>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429EBE"/>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(С-2)'!$A$96:$B$103</c:f>
              <c:multiLvlStrCache>
                <c:ptCount val="8"/>
                <c:lvl>
                  <c:pt idx="0">
                    <c:v>1Q</c:v>
                  </c:pt>
                  <c:pt idx="1">
                    <c:v>2Q</c:v>
                  </c:pt>
                  <c:pt idx="2">
                    <c:v>3Q</c:v>
                  </c:pt>
                  <c:pt idx="3">
                    <c:v>4Q</c:v>
                  </c:pt>
                  <c:pt idx="4">
                    <c:v>1Q</c:v>
                  </c:pt>
                  <c:pt idx="5">
                    <c:v>2Q</c:v>
                  </c:pt>
                  <c:pt idx="6">
                    <c:v>3Q</c:v>
                  </c:pt>
                  <c:pt idx="7">
                    <c:v>4Q</c:v>
                  </c:pt>
                </c:lvl>
                <c:lvl>
                  <c:pt idx="0">
                    <c:v>2021</c:v>
                  </c:pt>
                  <c:pt idx="4">
                    <c:v>2022</c:v>
                  </c:pt>
                </c:lvl>
              </c:multiLvlStrCache>
            </c:multiLvlStrRef>
          </c:cat>
          <c:val>
            <c:numRef>
              <c:f>'Дефлятор модель (CPI-PPI) (С-2)'!$F$46:$F$53</c:f>
              <c:numCache>
                <c:formatCode>0.0%</c:formatCode>
                <c:ptCount val="8"/>
                <c:pt idx="0">
                  <c:v>0.23500000000000001</c:v>
                </c:pt>
                <c:pt idx="1">
                  <c:v>0.33333333333333331</c:v>
                </c:pt>
                <c:pt idx="2">
                  <c:v>0.44599999999999995</c:v>
                </c:pt>
                <c:pt idx="3">
                  <c:v>0.60033333333333327</c:v>
                </c:pt>
                <c:pt idx="4">
                  <c:v>0.5987304620534567</c:v>
                </c:pt>
                <c:pt idx="5">
                  <c:v>0.61971599669989452</c:v>
                </c:pt>
                <c:pt idx="6">
                  <c:v>0.70140457155676506</c:v>
                </c:pt>
                <c:pt idx="7">
                  <c:v>0.52628589945178506</c:v>
                </c:pt>
              </c:numCache>
            </c:numRef>
          </c:val>
          <c:extLst>
            <c:ext xmlns:c16="http://schemas.microsoft.com/office/drawing/2014/chart" uri="{C3380CC4-5D6E-409C-BE32-E72D297353CC}">
              <c16:uniqueId val="{00000012-9C05-40E0-A994-6425F5CB3A44}"/>
            </c:ext>
          </c:extLst>
        </c:ser>
        <c:dLbls>
          <c:showLegendKey val="0"/>
          <c:showVal val="0"/>
          <c:showCatName val="0"/>
          <c:showSerName val="0"/>
          <c:showPercent val="0"/>
          <c:showBubbleSize val="0"/>
        </c:dLbls>
        <c:gapWidth val="219"/>
        <c:axId val="720532336"/>
        <c:axId val="720530736"/>
      </c:barChart>
      <c:catAx>
        <c:axId val="7205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0736"/>
        <c:crosses val="autoZero"/>
        <c:auto val="1"/>
        <c:lblAlgn val="ctr"/>
        <c:lblOffset val="100"/>
        <c:noMultiLvlLbl val="0"/>
      </c:catAx>
      <c:valAx>
        <c:axId val="720530736"/>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2336"/>
        <c:crosses val="autoZero"/>
        <c:crossBetween val="between"/>
      </c:valAx>
      <c:spPr>
        <a:noFill/>
        <a:ln>
          <a:noFill/>
        </a:ln>
        <a:effectLst/>
      </c:spPr>
    </c:plotArea>
    <c:legend>
      <c:legendPos val="t"/>
      <c:layout>
        <c:manualLayout>
          <c:xMode val="edge"/>
          <c:yMode val="edge"/>
          <c:x val="1.091722647001905E-2"/>
          <c:y val="0.16181183426951926"/>
          <c:w val="0.92947106360111809"/>
          <c:h val="2.71208780231131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3552165014792289"/>
                  <c:y val="2.7886463568994307E-2"/>
                </c:manualLayout>
              </c:layout>
              <c:numFmt formatCode="General" sourceLinked="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trendlineLbl>
          </c:trendline>
          <c:xVal>
            <c:numRef>
              <c:f>'Прогноз Зарплати 2021'!$D$19:$V$19</c:f>
              <c:numCache>
                <c:formatCode>General</c:formatCode>
                <c:ptCount val="19"/>
                <c:pt idx="0">
                  <c:v>152.5</c:v>
                </c:pt>
                <c:pt idx="1">
                  <c:v>195</c:v>
                </c:pt>
                <c:pt idx="2">
                  <c:v>237</c:v>
                </c:pt>
                <c:pt idx="3">
                  <c:v>298.5</c:v>
                </c:pt>
                <c:pt idx="4">
                  <c:v>375</c:v>
                </c:pt>
                <c:pt idx="5">
                  <c:v>440</c:v>
                </c:pt>
                <c:pt idx="6">
                  <c:v>547.5</c:v>
                </c:pt>
                <c:pt idx="7">
                  <c:v>662.25</c:v>
                </c:pt>
                <c:pt idx="8">
                  <c:v>894</c:v>
                </c:pt>
                <c:pt idx="9">
                  <c:v>972.5</c:v>
                </c:pt>
                <c:pt idx="10">
                  <c:v>1104.2</c:v>
                </c:pt>
                <c:pt idx="11">
                  <c:v>1182.5</c:v>
                </c:pt>
                <c:pt idx="12">
                  <c:v>1218</c:v>
                </c:pt>
                <c:pt idx="13">
                  <c:v>1298</c:v>
                </c:pt>
                <c:pt idx="14">
                  <c:v>1476</c:v>
                </c:pt>
                <c:pt idx="15">
                  <c:v>3200</c:v>
                </c:pt>
                <c:pt idx="16">
                  <c:v>3723</c:v>
                </c:pt>
                <c:pt idx="17">
                  <c:v>4173</c:v>
                </c:pt>
                <c:pt idx="18" formatCode="_(* #\ ##0_);_(* \(#\ ##0\);_(* &quot;-&quot;??_);_(@_)">
                  <c:v>4815.333333333333</c:v>
                </c:pt>
              </c:numCache>
            </c:numRef>
          </c:xVal>
          <c:yVal>
            <c:numRef>
              <c:f>'Прогноз Зарплати 2021'!$D$10:$V$10</c:f>
              <c:numCache>
                <c:formatCode>_-* #\ ##0.0_-;\-* #\ ##0.0_-;_-* "-"??_-;_-@_-</c:formatCode>
                <c:ptCount val="19"/>
                <c:pt idx="0">
                  <c:v>375.97916666666657</c:v>
                </c:pt>
                <c:pt idx="1">
                  <c:v>462.58249999999998</c:v>
                </c:pt>
                <c:pt idx="2">
                  <c:v>590.52750000000003</c:v>
                </c:pt>
                <c:pt idx="3">
                  <c:v>806.13916666666682</c:v>
                </c:pt>
                <c:pt idx="4">
                  <c:v>1042.8758333333333</c:v>
                </c:pt>
                <c:pt idx="5">
                  <c:v>1352.75</c:v>
                </c:pt>
                <c:pt idx="6">
                  <c:v>1808.9166666666667</c:v>
                </c:pt>
                <c:pt idx="7">
                  <c:v>1909.25</c:v>
                </c:pt>
                <c:pt idx="8">
                  <c:v>2246.75</c:v>
                </c:pt>
                <c:pt idx="9">
                  <c:v>2639.1666666666665</c:v>
                </c:pt>
                <c:pt idx="10">
                  <c:v>3031.9166666666665</c:v>
                </c:pt>
                <c:pt idx="11">
                  <c:v>3273.8333333333335</c:v>
                </c:pt>
                <c:pt idx="12">
                  <c:v>3474.75</c:v>
                </c:pt>
                <c:pt idx="13">
                  <c:v>4207.333333333333</c:v>
                </c:pt>
                <c:pt idx="14">
                  <c:v>5187.333333333333</c:v>
                </c:pt>
                <c:pt idx="15">
                  <c:v>7105.416666666667</c:v>
                </c:pt>
                <c:pt idx="16">
                  <c:v>8867.4408333333322</c:v>
                </c:pt>
                <c:pt idx="17">
                  <c:v>11595.784174999999</c:v>
                </c:pt>
                <c:pt idx="18">
                  <c:v>10629.095833333333</c:v>
                </c:pt>
              </c:numCache>
            </c:numRef>
          </c:yVal>
          <c:smooth val="0"/>
          <c:extLst>
            <c:ext xmlns:c16="http://schemas.microsoft.com/office/drawing/2014/chart" uri="{C3380CC4-5D6E-409C-BE32-E72D297353CC}">
              <c16:uniqueId val="{00000002-0582-4196-ADD2-2FD982463568}"/>
            </c:ext>
          </c:extLst>
        </c:ser>
        <c:dLbls>
          <c:showLegendKey val="0"/>
          <c:showVal val="0"/>
          <c:showCatName val="0"/>
          <c:showSerName val="0"/>
          <c:showPercent val="0"/>
          <c:showBubbleSize val="0"/>
        </c:dLbls>
        <c:axId val="924054416"/>
        <c:axId val="924046096"/>
      </c:scatterChart>
      <c:valAx>
        <c:axId val="924054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46096"/>
        <c:crosses val="autoZero"/>
        <c:crossBetween val="midCat"/>
      </c:valAx>
      <c:valAx>
        <c:axId val="924046096"/>
        <c:scaling>
          <c:orientation val="minMax"/>
        </c:scaling>
        <c:delete val="0"/>
        <c:axPos val="l"/>
        <c:majorGridlines>
          <c:spPr>
            <a:ln w="9525" cap="flat" cmpd="sng" algn="ctr">
              <a:solidFill>
                <a:schemeClr val="tx1">
                  <a:lumMod val="15000"/>
                  <a:lumOff val="85000"/>
                </a:schemeClr>
              </a:solidFill>
              <a:round/>
            </a:ln>
            <a:effectLst/>
          </c:spPr>
        </c:majorGridlines>
        <c:numFmt formatCode="_-* #\ ##0.0_-;\-* #\ ##0.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544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'Прогноз Зарплати 2021'!$A$33</c:f>
              <c:strCache>
                <c:ptCount val="1"/>
                <c:pt idx="0">
                  <c:v>% м-м</c:v>
                </c:pt>
              </c:strCache>
            </c:strRef>
          </c:tx>
          <c:spPr>
            <a:ln w="28575" cap="rnd">
              <a:solidFill>
                <a:schemeClr val="accent1"/>
              </a:solidFill>
              <a:round/>
            </a:ln>
            <a:effectLst/>
          </c:spPr>
          <c:marker>
            <c:symbol val="none"/>
          </c:marker>
          <c:cat>
            <c:multiLvlStrRef>
              <c:f>'Прогноз Зарплати 2021'!$B$27:$AW$28</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2017</c:v>
                  </c:pt>
                  <c:pt idx="12">
                    <c:v>2018</c:v>
                  </c:pt>
                  <c:pt idx="24">
                    <c:v>2019</c:v>
                  </c:pt>
                  <c:pt idx="36">
                    <c:v>2020</c:v>
                  </c:pt>
                </c:lvl>
              </c:multiLvlStrCache>
            </c:multiLvlStrRef>
          </c:cat>
          <c:val>
            <c:numRef>
              <c:f>'Прогноз Зарплати 2021'!$B$33:$AW$33</c:f>
              <c:numCache>
                <c:formatCode>0.0%</c:formatCode>
                <c:ptCount val="48"/>
                <c:pt idx="0">
                  <c:v>-7.2123552123552148E-2</c:v>
                </c:pt>
                <c:pt idx="1">
                  <c:v>3.3455392809587314E-2</c:v>
                </c:pt>
                <c:pt idx="2">
                  <c:v>8.7453696247382862E-2</c:v>
                </c:pt>
                <c:pt idx="3">
                  <c:v>-1.377369668246442E-2</c:v>
                </c:pt>
                <c:pt idx="4">
                  <c:v>2.7181258447214196E-2</c:v>
                </c:pt>
                <c:pt idx="5">
                  <c:v>7.6023391812865437E-2</c:v>
                </c:pt>
                <c:pt idx="6">
                  <c:v>-2.8532608695651662E-3</c:v>
                </c:pt>
                <c:pt idx="7">
                  <c:v>-3.0658127810328395E-2</c:v>
                </c:pt>
                <c:pt idx="8">
                  <c:v>3.3314590947427503E-2</c:v>
                </c:pt>
                <c:pt idx="9">
                  <c:v>3.5369337505102294E-3</c:v>
                </c:pt>
                <c:pt idx="10">
                  <c:v>1.3826758845058906E-2</c:v>
                </c:pt>
                <c:pt idx="11">
                  <c:v>0.173552613985827</c:v>
                </c:pt>
                <c:pt idx="12">
                  <c:v>-0.12140025065512128</c:v>
                </c:pt>
                <c:pt idx="13">
                  <c:v>1.513200466318354E-2</c:v>
                </c:pt>
                <c:pt idx="14">
                  <c:v>7.0742038997670065E-2</c:v>
                </c:pt>
                <c:pt idx="15">
                  <c:v>1.1727595282237768E-2</c:v>
                </c:pt>
                <c:pt idx="16">
                  <c:v>2.8832910389328559E-2</c:v>
                </c:pt>
                <c:pt idx="17">
                  <c:v>4.7728588211696676E-2</c:v>
                </c:pt>
                <c:pt idx="18">
                  <c:v>3.1844938886378404E-3</c:v>
                </c:pt>
                <c:pt idx="19">
                  <c:v>-2.1046249405688777E-2</c:v>
                </c:pt>
                <c:pt idx="20">
                  <c:v>7.2093106152419928E-3</c:v>
                </c:pt>
                <c:pt idx="21">
                  <c:v>1.9464720194647178E-2</c:v>
                </c:pt>
                <c:pt idx="22">
                  <c:v>-6.1835539162508057E-3</c:v>
                </c:pt>
                <c:pt idx="23">
                  <c:v>0.15413164501691945</c:v>
                </c:pt>
                <c:pt idx="24">
                  <c:v>-0.12768372268987038</c:v>
                </c:pt>
                <c:pt idx="25">
                  <c:v>2.2335465683616995E-2</c:v>
                </c:pt>
                <c:pt idx="26">
                  <c:v>8.5693074557217086E-2</c:v>
                </c:pt>
                <c:pt idx="27">
                  <c:v>3.1259157956433636E-3</c:v>
                </c:pt>
                <c:pt idx="28">
                  <c:v>-2.9214139643587433E-3</c:v>
                </c:pt>
                <c:pt idx="29">
                  <c:v>5.3130188494970199E-2</c:v>
                </c:pt>
                <c:pt idx="30">
                  <c:v>1.7434851154595199E-2</c:v>
                </c:pt>
                <c:pt idx="31">
                  <c:v>-3.9558836933734409E-2</c:v>
                </c:pt>
                <c:pt idx="32">
                  <c:v>1.4241245136186631E-2</c:v>
                </c:pt>
                <c:pt idx="33">
                  <c:v>3.7690440588900032E-3</c:v>
                </c:pt>
                <c:pt idx="34">
                  <c:v>-4.4931921613373671E-3</c:v>
                </c:pt>
                <c:pt idx="35">
                  <c:v>0.14837056167444196</c:v>
                </c:pt>
                <c:pt idx="36">
                  <c:v>-0.1252983420053313</c:v>
                </c:pt>
                <c:pt idx="37">
                  <c:v>1.1186725086230975E-2</c:v>
                </c:pt>
                <c:pt idx="38">
                  <c:v>5.5222642205217998E-2</c:v>
                </c:pt>
                <c:pt idx="39">
                  <c:v>-8.8764633933251846E-2</c:v>
                </c:pt>
                <c:pt idx="40">
                  <c:v>1.0738255033557076E-2</c:v>
                </c:pt>
                <c:pt idx="41">
                  <c:v>9.8368431037753723E-2</c:v>
                </c:pt>
                <c:pt idx="42">
                  <c:v>1.943172985577335E-2</c:v>
                </c:pt>
                <c:pt idx="43">
                  <c:v>-3.032870213486949E-2</c:v>
                </c:pt>
                <c:pt idx="44">
                  <c:v>4.7352786999825369E-2</c:v>
                </c:pt>
                <c:pt idx="45">
                  <c:v>1.5515515515515554E-2</c:v>
                </c:pt>
                <c:pt idx="46">
                  <c:v>-1.5326918022014246E-2</c:v>
                </c:pt>
                <c:pt idx="47">
                  <c:v>0.18282430330801813</c:v>
                </c:pt>
              </c:numCache>
            </c:numRef>
          </c:val>
          <c:smooth val="0"/>
          <c:extLst>
            <c:ext xmlns:c16="http://schemas.microsoft.com/office/drawing/2014/chart" uri="{C3380CC4-5D6E-409C-BE32-E72D297353CC}">
              <c16:uniqueId val="{00000000-4019-41E7-82B4-B0A5FCC51CB2}"/>
            </c:ext>
          </c:extLst>
        </c:ser>
        <c:dLbls>
          <c:showLegendKey val="0"/>
          <c:showVal val="0"/>
          <c:showCatName val="0"/>
          <c:showSerName val="0"/>
          <c:showPercent val="0"/>
          <c:showBubbleSize val="0"/>
        </c:dLbls>
        <c:smooth val="0"/>
        <c:axId val="548123280"/>
        <c:axId val="548122000"/>
      </c:lineChart>
      <c:catAx>
        <c:axId val="548123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548122000"/>
        <c:crosses val="autoZero"/>
        <c:auto val="1"/>
        <c:lblAlgn val="ctr"/>
        <c:lblOffset val="100"/>
        <c:noMultiLvlLbl val="0"/>
      </c:catAx>
      <c:valAx>
        <c:axId val="5481220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54812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a:solidFill>
            <a:sysClr val="windowText" lastClr="000000"/>
          </a:solidFill>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rgbClr val="4CA2C1"/>
                </a:solidFill>
                <a:latin typeface="+mn-lt"/>
                <a:ea typeface="+mn-ea"/>
                <a:cs typeface="+mn-cs"/>
              </a:defRPr>
            </a:pPr>
            <a:r>
              <a:rPr lang="ru-RU" sz="2000">
                <a:solidFill>
                  <a:srgbClr val="4CA2C1"/>
                </a:solidFill>
              </a:rPr>
              <a:t>Прогноз середньої зарплати в Україні в 2021 році</a:t>
            </a: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4CA2C1"/>
              </a:solidFill>
              <a:latin typeface="+mn-lt"/>
              <a:ea typeface="+mn-ea"/>
              <a:cs typeface="+mn-cs"/>
            </a:defRPr>
          </a:pPr>
          <a:endParaRPr lang="en-US"/>
        </a:p>
      </c:txPr>
    </c:title>
    <c:autoTitleDeleted val="0"/>
    <c:plotArea>
      <c:layout/>
      <c:barChart>
        <c:barDir val="col"/>
        <c:grouping val="clustered"/>
        <c:varyColors val="0"/>
        <c:ser>
          <c:idx val="1"/>
          <c:order val="1"/>
          <c:tx>
            <c:strRef>
              <c:f>'Прогноз Зарплати 2021'!$A$120</c:f>
              <c:strCache>
                <c:ptCount val="1"/>
                <c:pt idx="0">
                  <c:v>USD</c:v>
                </c:pt>
              </c:strCache>
            </c:strRef>
          </c:tx>
          <c:spPr>
            <a:solidFill>
              <a:schemeClr val="accent1">
                <a:lumMod val="75000"/>
              </a:schemeClr>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3-44BF-46F8-AC0D-9C011D40D42E}"/>
                </c:ext>
              </c:extLst>
            </c:dLbl>
            <c:dLbl>
              <c:idx val="3"/>
              <c:delete val="1"/>
              <c:extLst>
                <c:ext xmlns:c15="http://schemas.microsoft.com/office/drawing/2012/chart" uri="{CE6537A1-D6FC-4f65-9D91-7224C49458BB}"/>
                <c:ext xmlns:c16="http://schemas.microsoft.com/office/drawing/2014/chart" uri="{C3380CC4-5D6E-409C-BE32-E72D297353CC}">
                  <c16:uniqueId val="{00000004-44BF-46F8-AC0D-9C011D40D42E}"/>
                </c:ext>
              </c:extLst>
            </c:dLbl>
            <c:dLbl>
              <c:idx val="5"/>
              <c:delete val="1"/>
              <c:extLst>
                <c:ext xmlns:c15="http://schemas.microsoft.com/office/drawing/2012/chart" uri="{CE6537A1-D6FC-4f65-9D91-7224C49458BB}"/>
                <c:ext xmlns:c16="http://schemas.microsoft.com/office/drawing/2014/chart" uri="{C3380CC4-5D6E-409C-BE32-E72D297353CC}">
                  <c16:uniqueId val="{00000005-44BF-46F8-AC0D-9C011D40D42E}"/>
                </c:ext>
              </c:extLst>
            </c:dLbl>
            <c:dLbl>
              <c:idx val="7"/>
              <c:delete val="1"/>
              <c:extLst>
                <c:ext xmlns:c15="http://schemas.microsoft.com/office/drawing/2012/chart" uri="{CE6537A1-D6FC-4f65-9D91-7224C49458BB}"/>
                <c:ext xmlns:c16="http://schemas.microsoft.com/office/drawing/2014/chart" uri="{C3380CC4-5D6E-409C-BE32-E72D297353CC}">
                  <c16:uniqueId val="{00000006-44BF-46F8-AC0D-9C011D40D42E}"/>
                </c:ext>
              </c:extLst>
            </c:dLbl>
            <c:dLbl>
              <c:idx val="9"/>
              <c:delete val="1"/>
              <c:extLst>
                <c:ext xmlns:c15="http://schemas.microsoft.com/office/drawing/2012/chart" uri="{CE6537A1-D6FC-4f65-9D91-7224C49458BB}"/>
                <c:ext xmlns:c16="http://schemas.microsoft.com/office/drawing/2014/chart" uri="{C3380CC4-5D6E-409C-BE32-E72D297353CC}">
                  <c16:uniqueId val="{00000007-44BF-46F8-AC0D-9C011D40D42E}"/>
                </c:ext>
              </c:extLst>
            </c:dLbl>
            <c:dLbl>
              <c:idx val="11"/>
              <c:delete val="1"/>
              <c:extLst>
                <c:ext xmlns:c15="http://schemas.microsoft.com/office/drawing/2012/chart" uri="{CE6537A1-D6FC-4f65-9D91-7224C49458BB}"/>
                <c:ext xmlns:c16="http://schemas.microsoft.com/office/drawing/2014/chart" uri="{C3380CC4-5D6E-409C-BE32-E72D297353CC}">
                  <c16:uniqueId val="{00000008-44BF-46F8-AC0D-9C011D40D42E}"/>
                </c:ext>
              </c:extLst>
            </c:dLbl>
            <c:dLbl>
              <c:idx val="13"/>
              <c:delete val="1"/>
              <c:extLst>
                <c:ext xmlns:c15="http://schemas.microsoft.com/office/drawing/2012/chart" uri="{CE6537A1-D6FC-4f65-9D91-7224C49458BB}"/>
                <c:ext xmlns:c16="http://schemas.microsoft.com/office/drawing/2014/chart" uri="{C3380CC4-5D6E-409C-BE32-E72D297353CC}">
                  <c16:uniqueId val="{00000009-44BF-46F8-AC0D-9C011D40D42E}"/>
                </c:ext>
              </c:extLst>
            </c:dLbl>
            <c:dLbl>
              <c:idx val="15"/>
              <c:delete val="1"/>
              <c:extLst>
                <c:ext xmlns:c15="http://schemas.microsoft.com/office/drawing/2012/chart" uri="{CE6537A1-D6FC-4f65-9D91-7224C49458BB}"/>
                <c:ext xmlns:c16="http://schemas.microsoft.com/office/drawing/2014/chart" uri="{C3380CC4-5D6E-409C-BE32-E72D297353CC}">
                  <c16:uniqueId val="{0000000A-44BF-46F8-AC0D-9C011D40D42E}"/>
                </c:ext>
              </c:extLst>
            </c:dLbl>
            <c:dLbl>
              <c:idx val="17"/>
              <c:delete val="1"/>
              <c:extLst>
                <c:ext xmlns:c15="http://schemas.microsoft.com/office/drawing/2012/chart" uri="{CE6537A1-D6FC-4f65-9D91-7224C49458BB}"/>
                <c:ext xmlns:c16="http://schemas.microsoft.com/office/drawing/2014/chart" uri="{C3380CC4-5D6E-409C-BE32-E72D297353CC}">
                  <c16:uniqueId val="{0000000B-44BF-46F8-AC0D-9C011D40D42E}"/>
                </c:ext>
              </c:extLst>
            </c:dLbl>
            <c:dLbl>
              <c:idx val="19"/>
              <c:delete val="1"/>
              <c:extLst>
                <c:ext xmlns:c15="http://schemas.microsoft.com/office/drawing/2012/chart" uri="{CE6537A1-D6FC-4f65-9D91-7224C49458BB}"/>
                <c:ext xmlns:c16="http://schemas.microsoft.com/office/drawing/2014/chart" uri="{C3380CC4-5D6E-409C-BE32-E72D297353CC}">
                  <c16:uniqueId val="{0000000C-44BF-46F8-AC0D-9C011D40D42E}"/>
                </c:ext>
              </c:extLst>
            </c:dLbl>
            <c:dLbl>
              <c:idx val="21"/>
              <c:delete val="1"/>
              <c:extLst>
                <c:ext xmlns:c15="http://schemas.microsoft.com/office/drawing/2012/chart" uri="{CE6537A1-D6FC-4f65-9D91-7224C49458BB}"/>
                <c:ext xmlns:c16="http://schemas.microsoft.com/office/drawing/2014/chart" uri="{C3380CC4-5D6E-409C-BE32-E72D297353CC}">
                  <c16:uniqueId val="{0000000D-44BF-46F8-AC0D-9C011D40D42E}"/>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2021'!$B$108:$M$109</c:f>
              <c:multiLvlStrCache>
                <c:ptCount val="12"/>
                <c:lvl>
                  <c:pt idx="0">
                    <c:v>1</c:v>
                  </c:pt>
                  <c:pt idx="1">
                    <c:v>2</c:v>
                  </c:pt>
                  <c:pt idx="2">
                    <c:v>3</c:v>
                  </c:pt>
                  <c:pt idx="3">
                    <c:v>4</c:v>
                  </c:pt>
                  <c:pt idx="4">
                    <c:v>5</c:v>
                  </c:pt>
                  <c:pt idx="5">
                    <c:v>6</c:v>
                  </c:pt>
                  <c:pt idx="6">
                    <c:v>7</c:v>
                  </c:pt>
                  <c:pt idx="7">
                    <c:v>8</c:v>
                  </c:pt>
                  <c:pt idx="8">
                    <c:v>9</c:v>
                  </c:pt>
                  <c:pt idx="9">
                    <c:v>10</c:v>
                  </c:pt>
                  <c:pt idx="10">
                    <c:v>11</c:v>
                  </c:pt>
                  <c:pt idx="11">
                    <c:v>12</c:v>
                  </c:pt>
                </c:lvl>
                <c:lvl>
                  <c:pt idx="0">
                    <c:v>2020</c:v>
                  </c:pt>
                </c:lvl>
              </c:multiLvlStrCache>
            </c:multiLvlStrRef>
          </c:cat>
          <c:val>
            <c:numRef>
              <c:f>'Прогноз Зарплати 2021'!$B$111:$Y$111</c:f>
              <c:numCache>
                <c:formatCode>_(* #\ ##0_);_(* \(#\ ##0\);_(* "-"??_);_(@_)</c:formatCode>
                <c:ptCount val="24"/>
                <c:pt idx="0">
                  <c:v>444.74661558734994</c:v>
                </c:pt>
                <c:pt idx="1">
                  <c:v>440.99727014974906</c:v>
                </c:pt>
                <c:pt idx="2">
                  <c:v>433.35880615710346</c:v>
                </c:pt>
                <c:pt idx="3">
                  <c:v>383.10864319545681</c:v>
                </c:pt>
                <c:pt idx="4">
                  <c:v>393.14800632593904</c:v>
                </c:pt>
                <c:pt idx="5">
                  <c:v>433.55117188119181</c:v>
                </c:pt>
                <c:pt idx="6">
                  <c:v>432.17770680927566</c:v>
                </c:pt>
                <c:pt idx="7">
                  <c:v>415.8942477647908</c:v>
                </c:pt>
                <c:pt idx="8">
                  <c:v>428.70052507589355</c:v>
                </c:pt>
                <c:pt idx="9">
                  <c:v>433.23843416370107</c:v>
                </c:pt>
                <c:pt idx="10">
                  <c:v>426.59822419928821</c:v>
                </c:pt>
                <c:pt idx="11">
                  <c:v>502.80141843971631</c:v>
                </c:pt>
                <c:pt idx="12">
                  <c:v>437.17576638387527</c:v>
                </c:pt>
                <c:pt idx="13">
                  <c:v>450.03237186855824</c:v>
                </c:pt>
                <c:pt idx="14">
                  <c:v>489.71853590437973</c:v>
                </c:pt>
                <c:pt idx="15">
                  <c:v>484.89079842463303</c:v>
                </c:pt>
                <c:pt idx="16">
                  <c:v>489.09420289855069</c:v>
                </c:pt>
                <c:pt idx="17">
                  <c:v>525.44297195704064</c:v>
                </c:pt>
                <c:pt idx="18">
                  <c:v>527.10777323798527</c:v>
                </c:pt>
                <c:pt idx="19">
                  <c:v>523.05680119581461</c:v>
                </c:pt>
                <c:pt idx="20">
                  <c:v>532.69734380845489</c:v>
                </c:pt>
                <c:pt idx="21">
                  <c:v>532.61281759575274</c:v>
                </c:pt>
                <c:pt idx="22">
                  <c:v>540.64877401105082</c:v>
                </c:pt>
                <c:pt idx="23">
                  <c:v>641.41859610437336</c:v>
                </c:pt>
              </c:numCache>
            </c:numRef>
          </c:val>
          <c:extLst>
            <c:ext xmlns:c16="http://schemas.microsoft.com/office/drawing/2014/chart" uri="{C3380CC4-5D6E-409C-BE32-E72D297353CC}">
              <c16:uniqueId val="{00000001-44BF-46F8-AC0D-9C011D40D42E}"/>
            </c:ext>
          </c:extLst>
        </c:ser>
        <c:dLbls>
          <c:showLegendKey val="0"/>
          <c:showVal val="0"/>
          <c:showCatName val="0"/>
          <c:showSerName val="0"/>
          <c:showPercent val="0"/>
          <c:showBubbleSize val="0"/>
        </c:dLbls>
        <c:gapWidth val="219"/>
        <c:axId val="554919048"/>
        <c:axId val="554922248"/>
      </c:barChart>
      <c:lineChart>
        <c:grouping val="standard"/>
        <c:varyColors val="0"/>
        <c:ser>
          <c:idx val="0"/>
          <c:order val="0"/>
          <c:tx>
            <c:strRef>
              <c:f>'Прогноз Зарплати 2021'!$A$119</c:f>
              <c:strCache>
                <c:ptCount val="1"/>
                <c:pt idx="0">
                  <c:v>UAH</c:v>
                </c:pt>
              </c:strCache>
            </c:strRef>
          </c:tx>
          <c:spPr>
            <a:ln w="28575" cap="rnd">
              <a:solidFill>
                <a:schemeClr val="accent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E-44BF-46F8-AC0D-9C011D40D42E}"/>
                </c:ext>
              </c:extLst>
            </c:dLbl>
            <c:dLbl>
              <c:idx val="3"/>
              <c:delete val="1"/>
              <c:extLst>
                <c:ext xmlns:c15="http://schemas.microsoft.com/office/drawing/2012/chart" uri="{CE6537A1-D6FC-4f65-9D91-7224C49458BB}"/>
                <c:ext xmlns:c16="http://schemas.microsoft.com/office/drawing/2014/chart" uri="{C3380CC4-5D6E-409C-BE32-E72D297353CC}">
                  <c16:uniqueId val="{0000000F-44BF-46F8-AC0D-9C011D40D42E}"/>
                </c:ext>
              </c:extLst>
            </c:dLbl>
            <c:dLbl>
              <c:idx val="4"/>
              <c:delete val="1"/>
              <c:extLst>
                <c:ext xmlns:c15="http://schemas.microsoft.com/office/drawing/2012/chart" uri="{CE6537A1-D6FC-4f65-9D91-7224C49458BB}"/>
                <c:ext xmlns:c16="http://schemas.microsoft.com/office/drawing/2014/chart" uri="{C3380CC4-5D6E-409C-BE32-E72D297353CC}">
                  <c16:uniqueId val="{00000013-44BF-46F8-AC0D-9C011D40D42E}"/>
                </c:ext>
              </c:extLst>
            </c:dLbl>
            <c:dLbl>
              <c:idx val="5"/>
              <c:delete val="1"/>
              <c:extLst>
                <c:ext xmlns:c15="http://schemas.microsoft.com/office/drawing/2012/chart" uri="{CE6537A1-D6FC-4f65-9D91-7224C49458BB}"/>
                <c:ext xmlns:c16="http://schemas.microsoft.com/office/drawing/2014/chart" uri="{C3380CC4-5D6E-409C-BE32-E72D297353CC}">
                  <c16:uniqueId val="{00000010-44BF-46F8-AC0D-9C011D40D42E}"/>
                </c:ext>
              </c:extLst>
            </c:dLbl>
            <c:dLbl>
              <c:idx val="7"/>
              <c:delete val="1"/>
              <c:extLst>
                <c:ext xmlns:c15="http://schemas.microsoft.com/office/drawing/2012/chart" uri="{CE6537A1-D6FC-4f65-9D91-7224C49458BB}"/>
                <c:ext xmlns:c16="http://schemas.microsoft.com/office/drawing/2014/chart" uri="{C3380CC4-5D6E-409C-BE32-E72D297353CC}">
                  <c16:uniqueId val="{00000011-44BF-46F8-AC0D-9C011D40D42E}"/>
                </c:ext>
              </c:extLst>
            </c:dLbl>
            <c:dLbl>
              <c:idx val="8"/>
              <c:delete val="1"/>
              <c:extLst>
                <c:ext xmlns:c15="http://schemas.microsoft.com/office/drawing/2012/chart" uri="{CE6537A1-D6FC-4f65-9D91-7224C49458BB}"/>
                <c:ext xmlns:c16="http://schemas.microsoft.com/office/drawing/2014/chart" uri="{C3380CC4-5D6E-409C-BE32-E72D297353CC}">
                  <c16:uniqueId val="{00000014-44BF-46F8-AC0D-9C011D40D42E}"/>
                </c:ext>
              </c:extLst>
            </c:dLbl>
            <c:dLbl>
              <c:idx val="9"/>
              <c:delete val="1"/>
              <c:extLst>
                <c:ext xmlns:c15="http://schemas.microsoft.com/office/drawing/2012/chart" uri="{CE6537A1-D6FC-4f65-9D91-7224C49458BB}"/>
                <c:ext xmlns:c16="http://schemas.microsoft.com/office/drawing/2014/chart" uri="{C3380CC4-5D6E-409C-BE32-E72D297353CC}">
                  <c16:uniqueId val="{00000012-44BF-46F8-AC0D-9C011D40D42E}"/>
                </c:ext>
              </c:extLst>
            </c:dLbl>
            <c:dLbl>
              <c:idx val="10"/>
              <c:layout>
                <c:manualLayout>
                  <c:x val="-7.4790963219073039E-2"/>
                  <c:y val="-4.9414226052769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4BF-46F8-AC0D-9C011D40D42E}"/>
                </c:ext>
              </c:extLst>
            </c:dLbl>
            <c:dLbl>
              <c:idx val="12"/>
              <c:delete val="1"/>
              <c:extLst>
                <c:ext xmlns:c15="http://schemas.microsoft.com/office/drawing/2012/chart" uri="{CE6537A1-D6FC-4f65-9D91-7224C49458BB}"/>
                <c:ext xmlns:c16="http://schemas.microsoft.com/office/drawing/2014/chart" uri="{C3380CC4-5D6E-409C-BE32-E72D297353CC}">
                  <c16:uniqueId val="{00000017-44BF-46F8-AC0D-9C011D40D42E}"/>
                </c:ext>
              </c:extLst>
            </c:dLbl>
            <c:dLbl>
              <c:idx val="13"/>
              <c:delete val="1"/>
              <c:extLst>
                <c:ext xmlns:c15="http://schemas.microsoft.com/office/drawing/2012/chart" uri="{CE6537A1-D6FC-4f65-9D91-7224C49458BB}"/>
                <c:ext xmlns:c16="http://schemas.microsoft.com/office/drawing/2014/chart" uri="{C3380CC4-5D6E-409C-BE32-E72D297353CC}">
                  <c16:uniqueId val="{00000016-44BF-46F8-AC0D-9C011D40D42E}"/>
                </c:ext>
              </c:extLst>
            </c:dLbl>
            <c:dLbl>
              <c:idx val="15"/>
              <c:delete val="1"/>
              <c:extLst>
                <c:ext xmlns:c15="http://schemas.microsoft.com/office/drawing/2012/chart" uri="{CE6537A1-D6FC-4f65-9D91-7224C49458BB}"/>
                <c:ext xmlns:c16="http://schemas.microsoft.com/office/drawing/2014/chart" uri="{C3380CC4-5D6E-409C-BE32-E72D297353CC}">
                  <c16:uniqueId val="{00000019-44BF-46F8-AC0D-9C011D40D42E}"/>
                </c:ext>
              </c:extLst>
            </c:dLbl>
            <c:dLbl>
              <c:idx val="16"/>
              <c:delete val="1"/>
              <c:extLst>
                <c:ext xmlns:c15="http://schemas.microsoft.com/office/drawing/2012/chart" uri="{CE6537A1-D6FC-4f65-9D91-7224C49458BB}"/>
                <c:ext xmlns:c16="http://schemas.microsoft.com/office/drawing/2014/chart" uri="{C3380CC4-5D6E-409C-BE32-E72D297353CC}">
                  <c16:uniqueId val="{00000018-44BF-46F8-AC0D-9C011D40D42E}"/>
                </c:ext>
              </c:extLst>
            </c:dLbl>
            <c:dLbl>
              <c:idx val="18"/>
              <c:delete val="1"/>
              <c:extLst>
                <c:ext xmlns:c15="http://schemas.microsoft.com/office/drawing/2012/chart" uri="{CE6537A1-D6FC-4f65-9D91-7224C49458BB}"/>
                <c:ext xmlns:c16="http://schemas.microsoft.com/office/drawing/2014/chart" uri="{C3380CC4-5D6E-409C-BE32-E72D297353CC}">
                  <c16:uniqueId val="{0000001B-44BF-46F8-AC0D-9C011D40D42E}"/>
                </c:ext>
              </c:extLst>
            </c:dLbl>
            <c:dLbl>
              <c:idx val="19"/>
              <c:delete val="1"/>
              <c:extLst>
                <c:ext xmlns:c15="http://schemas.microsoft.com/office/drawing/2012/chart" uri="{CE6537A1-D6FC-4f65-9D91-7224C49458BB}"/>
                <c:ext xmlns:c16="http://schemas.microsoft.com/office/drawing/2014/chart" uri="{C3380CC4-5D6E-409C-BE32-E72D297353CC}">
                  <c16:uniqueId val="{0000001A-44BF-46F8-AC0D-9C011D40D42E}"/>
                </c:ext>
              </c:extLst>
            </c:dLbl>
            <c:dLbl>
              <c:idx val="21"/>
              <c:delete val="1"/>
              <c:extLst>
                <c:ext xmlns:c15="http://schemas.microsoft.com/office/drawing/2012/chart" uri="{CE6537A1-D6FC-4f65-9D91-7224C49458BB}"/>
                <c:ext xmlns:c16="http://schemas.microsoft.com/office/drawing/2014/chart" uri="{C3380CC4-5D6E-409C-BE32-E72D297353CC}">
                  <c16:uniqueId val="{0000001D-44BF-46F8-AC0D-9C011D40D42E}"/>
                </c:ext>
              </c:extLst>
            </c:dLbl>
            <c:dLbl>
              <c:idx val="22"/>
              <c:delete val="1"/>
              <c:extLst>
                <c:ext xmlns:c15="http://schemas.microsoft.com/office/drawing/2012/chart" uri="{CE6537A1-D6FC-4f65-9D91-7224C49458BB}"/>
                <c:ext xmlns:c16="http://schemas.microsoft.com/office/drawing/2014/chart" uri="{C3380CC4-5D6E-409C-BE32-E72D297353CC}">
                  <c16:uniqueId val="{0000001C-44BF-46F8-AC0D-9C011D40D42E}"/>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4CA2C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2021'!$B$108:$Y$109</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2020</c:v>
                  </c:pt>
                  <c:pt idx="12">
                    <c:v>2021</c:v>
                  </c:pt>
                </c:lvl>
              </c:multiLvlStrCache>
            </c:multiLvlStrRef>
          </c:cat>
          <c:val>
            <c:numRef>
              <c:f>'Прогноз Зарплати 2021'!$B$110:$Y$110</c:f>
              <c:numCache>
                <c:formatCode>_(* #\ ##0_);_(* \(#\ ##0\);_(* "-"??_);_(@_)</c:formatCode>
                <c:ptCount val="24"/>
                <c:pt idx="0">
                  <c:v>10727</c:v>
                </c:pt>
                <c:pt idx="1">
                  <c:v>10847</c:v>
                </c:pt>
                <c:pt idx="2">
                  <c:v>11446</c:v>
                </c:pt>
                <c:pt idx="3">
                  <c:v>10430</c:v>
                </c:pt>
                <c:pt idx="4">
                  <c:v>10542</c:v>
                </c:pt>
                <c:pt idx="5">
                  <c:v>11579</c:v>
                </c:pt>
                <c:pt idx="6">
                  <c:v>11804</c:v>
                </c:pt>
                <c:pt idx="7">
                  <c:v>11446</c:v>
                </c:pt>
                <c:pt idx="8">
                  <c:v>11988</c:v>
                </c:pt>
                <c:pt idx="9">
                  <c:v>12174</c:v>
                </c:pt>
                <c:pt idx="10">
                  <c:v>11987.410099999999</c:v>
                </c:pt>
                <c:pt idx="11">
                  <c:v>14179</c:v>
                </c:pt>
                <c:pt idx="12">
                  <c:v>12337</c:v>
                </c:pt>
                <c:pt idx="13">
                  <c:v>12549</c:v>
                </c:pt>
                <c:pt idx="14">
                  <c:v>13612</c:v>
                </c:pt>
                <c:pt idx="15">
                  <c:v>13543</c:v>
                </c:pt>
                <c:pt idx="16">
                  <c:v>13499</c:v>
                </c:pt>
                <c:pt idx="17">
                  <c:v>14313</c:v>
                </c:pt>
                <c:pt idx="18">
                  <c:v>14345</c:v>
                </c:pt>
                <c:pt idx="19">
                  <c:v>13997</c:v>
                </c:pt>
                <c:pt idx="20">
                  <c:v>14239</c:v>
                </c:pt>
                <c:pt idx="21">
                  <c:v>14045</c:v>
                </c:pt>
                <c:pt idx="22">
                  <c:v>14300.160072592294</c:v>
                </c:pt>
                <c:pt idx="23">
                  <c:v>17453</c:v>
                </c:pt>
              </c:numCache>
            </c:numRef>
          </c:val>
          <c:smooth val="0"/>
          <c:extLst>
            <c:ext xmlns:c16="http://schemas.microsoft.com/office/drawing/2014/chart" uri="{C3380CC4-5D6E-409C-BE32-E72D297353CC}">
              <c16:uniqueId val="{00000000-44BF-46F8-AC0D-9C011D40D42E}"/>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17000"/>
          <c:min val="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rgbClr val="4CA2C1"/>
                </a:solidFill>
                <a:latin typeface="+mn-lt"/>
                <a:ea typeface="+mn-ea"/>
                <a:cs typeface="+mn-cs"/>
              </a:defRPr>
            </a:pPr>
            <a:endParaRPr lang="en-US"/>
          </a:p>
        </c:txPr>
        <c:crossAx val="554934728"/>
        <c:crosses val="autoZero"/>
        <c:crossBetween val="between"/>
      </c:valAx>
      <c:valAx>
        <c:axId val="554922248"/>
        <c:scaling>
          <c:orientation val="minMax"/>
          <c:max val="1200"/>
        </c:scaling>
        <c:delete val="0"/>
        <c:axPos val="r"/>
        <c:numFmt formatCode="_(* #\ ##0_);_(* \(#\ ##0\);_(* &quot;-&quot;??_);_(@_)"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rgbClr val="4CA2C1"/>
                </a:solidFill>
                <a:latin typeface="+mn-lt"/>
                <a:ea typeface="+mn-ea"/>
                <a:cs typeface="+mn-cs"/>
              </a:defRPr>
            </a:pPr>
            <a:r>
              <a:rPr lang="ru-RU" sz="2000">
                <a:solidFill>
                  <a:srgbClr val="4CA2C1"/>
                </a:solidFill>
              </a:rPr>
              <a:t>Прогноз</a:t>
            </a:r>
            <a:r>
              <a:rPr lang="ru-RU" sz="2000" baseline="0">
                <a:solidFill>
                  <a:srgbClr val="4CA2C1"/>
                </a:solidFill>
              </a:rPr>
              <a:t> реальной зарплаты в Украине в 2021 году</a:t>
            </a:r>
            <a:endParaRPr lang="ru-RU" sz="2000">
              <a:solidFill>
                <a:srgbClr val="4CA2C1"/>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4CA2C1"/>
              </a:solidFill>
              <a:latin typeface="+mn-lt"/>
              <a:ea typeface="+mn-ea"/>
              <a:cs typeface="+mn-cs"/>
            </a:defRPr>
          </a:pPr>
          <a:endParaRPr lang="en-US"/>
        </a:p>
      </c:txPr>
    </c:title>
    <c:autoTitleDeleted val="0"/>
    <c:plotArea>
      <c:layout/>
      <c:barChart>
        <c:barDir val="col"/>
        <c:grouping val="clustered"/>
        <c:varyColors val="0"/>
        <c:ser>
          <c:idx val="1"/>
          <c:order val="1"/>
          <c:tx>
            <c:strRef>
              <c:f>'Прогноз Зарплати 2021'!$A$120</c:f>
              <c:strCache>
                <c:ptCount val="1"/>
                <c:pt idx="0">
                  <c:v>USD</c:v>
                </c:pt>
              </c:strCache>
            </c:strRef>
          </c:tx>
          <c:spPr>
            <a:solidFill>
              <a:schemeClr val="accent1">
                <a:lumMod val="75000"/>
              </a:schemeClr>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3-8F5A-45E0-8E59-E8CE1A7574E1}"/>
                </c:ext>
              </c:extLst>
            </c:dLbl>
            <c:dLbl>
              <c:idx val="3"/>
              <c:delete val="1"/>
              <c:extLst>
                <c:ext xmlns:c15="http://schemas.microsoft.com/office/drawing/2012/chart" uri="{CE6537A1-D6FC-4f65-9D91-7224C49458BB}"/>
                <c:ext xmlns:c16="http://schemas.microsoft.com/office/drawing/2014/chart" uri="{C3380CC4-5D6E-409C-BE32-E72D297353CC}">
                  <c16:uniqueId val="{00000004-8F5A-45E0-8E59-E8CE1A7574E1}"/>
                </c:ext>
              </c:extLst>
            </c:dLbl>
            <c:dLbl>
              <c:idx val="6"/>
              <c:delete val="1"/>
              <c:extLst>
                <c:ext xmlns:c15="http://schemas.microsoft.com/office/drawing/2012/chart" uri="{CE6537A1-D6FC-4f65-9D91-7224C49458BB}"/>
                <c:ext xmlns:c16="http://schemas.microsoft.com/office/drawing/2014/chart" uri="{C3380CC4-5D6E-409C-BE32-E72D297353CC}">
                  <c16:uniqueId val="{00000005-8F5A-45E0-8E59-E8CE1A7574E1}"/>
                </c:ext>
              </c:extLst>
            </c:dLbl>
            <c:dLbl>
              <c:idx val="8"/>
              <c:delete val="1"/>
              <c:extLst>
                <c:ext xmlns:c15="http://schemas.microsoft.com/office/drawing/2012/chart" uri="{CE6537A1-D6FC-4f65-9D91-7224C49458BB}"/>
                <c:ext xmlns:c16="http://schemas.microsoft.com/office/drawing/2014/chart" uri="{C3380CC4-5D6E-409C-BE32-E72D297353CC}">
                  <c16:uniqueId val="{00000006-8F5A-45E0-8E59-E8CE1A7574E1}"/>
                </c:ext>
              </c:extLst>
            </c:dLbl>
            <c:dLbl>
              <c:idx val="10"/>
              <c:delete val="1"/>
              <c:extLst>
                <c:ext xmlns:c15="http://schemas.microsoft.com/office/drawing/2012/chart" uri="{CE6537A1-D6FC-4f65-9D91-7224C49458BB}"/>
                <c:ext xmlns:c16="http://schemas.microsoft.com/office/drawing/2014/chart" uri="{C3380CC4-5D6E-409C-BE32-E72D297353CC}">
                  <c16:uniqueId val="{00000007-8F5A-45E0-8E59-E8CE1A7574E1}"/>
                </c:ext>
              </c:extLst>
            </c:dLbl>
            <c:dLbl>
              <c:idx val="12"/>
              <c:delete val="1"/>
              <c:extLst>
                <c:ext xmlns:c15="http://schemas.microsoft.com/office/drawing/2012/chart" uri="{CE6537A1-D6FC-4f65-9D91-7224C49458BB}"/>
                <c:ext xmlns:c16="http://schemas.microsoft.com/office/drawing/2014/chart" uri="{C3380CC4-5D6E-409C-BE32-E72D297353CC}">
                  <c16:uniqueId val="{00000008-8F5A-45E0-8E59-E8CE1A7574E1}"/>
                </c:ext>
              </c:extLst>
            </c:dLbl>
            <c:dLbl>
              <c:idx val="15"/>
              <c:delete val="1"/>
              <c:extLst>
                <c:ext xmlns:c15="http://schemas.microsoft.com/office/drawing/2012/chart" uri="{CE6537A1-D6FC-4f65-9D91-7224C49458BB}"/>
                <c:ext xmlns:c16="http://schemas.microsoft.com/office/drawing/2014/chart" uri="{C3380CC4-5D6E-409C-BE32-E72D297353CC}">
                  <c16:uniqueId val="{00000009-8F5A-45E0-8E59-E8CE1A7574E1}"/>
                </c:ext>
              </c:extLst>
            </c:dLbl>
            <c:dLbl>
              <c:idx val="17"/>
              <c:delete val="1"/>
              <c:extLst>
                <c:ext xmlns:c15="http://schemas.microsoft.com/office/drawing/2012/chart" uri="{CE6537A1-D6FC-4f65-9D91-7224C49458BB}"/>
                <c:ext xmlns:c16="http://schemas.microsoft.com/office/drawing/2014/chart" uri="{C3380CC4-5D6E-409C-BE32-E72D297353CC}">
                  <c16:uniqueId val="{0000000B-8F5A-45E0-8E59-E8CE1A7574E1}"/>
                </c:ext>
              </c:extLst>
            </c:dLbl>
            <c:dLbl>
              <c:idx val="19"/>
              <c:delete val="1"/>
              <c:extLst>
                <c:ext xmlns:c15="http://schemas.microsoft.com/office/drawing/2012/chart" uri="{CE6537A1-D6FC-4f65-9D91-7224C49458BB}"/>
                <c:ext xmlns:c16="http://schemas.microsoft.com/office/drawing/2014/chart" uri="{C3380CC4-5D6E-409C-BE32-E72D297353CC}">
                  <c16:uniqueId val="{0000000C-8F5A-45E0-8E59-E8CE1A7574E1}"/>
                </c:ext>
              </c:extLst>
            </c:dLbl>
            <c:dLbl>
              <c:idx val="21"/>
              <c:delete val="1"/>
              <c:extLst>
                <c:ext xmlns:c15="http://schemas.microsoft.com/office/drawing/2012/chart" uri="{CE6537A1-D6FC-4f65-9D91-7224C49458BB}"/>
                <c:ext xmlns:c16="http://schemas.microsoft.com/office/drawing/2014/chart" uri="{C3380CC4-5D6E-409C-BE32-E72D297353CC}">
                  <c16:uniqueId val="{0000000D-8F5A-45E0-8E59-E8CE1A7574E1}"/>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2021'!$B$108:$M$109</c:f>
              <c:multiLvlStrCache>
                <c:ptCount val="12"/>
                <c:lvl>
                  <c:pt idx="0">
                    <c:v>1</c:v>
                  </c:pt>
                  <c:pt idx="1">
                    <c:v>2</c:v>
                  </c:pt>
                  <c:pt idx="2">
                    <c:v>3</c:v>
                  </c:pt>
                  <c:pt idx="3">
                    <c:v>4</c:v>
                  </c:pt>
                  <c:pt idx="4">
                    <c:v>5</c:v>
                  </c:pt>
                  <c:pt idx="5">
                    <c:v>6</c:v>
                  </c:pt>
                  <c:pt idx="6">
                    <c:v>7</c:v>
                  </c:pt>
                  <c:pt idx="7">
                    <c:v>8</c:v>
                  </c:pt>
                  <c:pt idx="8">
                    <c:v>9</c:v>
                  </c:pt>
                  <c:pt idx="9">
                    <c:v>10</c:v>
                  </c:pt>
                  <c:pt idx="10">
                    <c:v>11</c:v>
                  </c:pt>
                  <c:pt idx="11">
                    <c:v>12</c:v>
                  </c:pt>
                </c:lvl>
                <c:lvl>
                  <c:pt idx="0">
                    <c:v>2020</c:v>
                  </c:pt>
                </c:lvl>
              </c:multiLvlStrCache>
            </c:multiLvlStrRef>
          </c:cat>
          <c:val>
            <c:numRef>
              <c:f>'Прогноз Зарплати 2021'!$B$117:$Y$117</c:f>
              <c:numCache>
                <c:formatCode>_-* #\ ##0\ _₴_-;\-* #\ ##0\ _₴_-;_-* "-"?\ _₴_-;_-@_-</c:formatCode>
                <c:ptCount val="24"/>
                <c:pt idx="0">
                  <c:v>430.51472388855467</c:v>
                </c:pt>
                <c:pt idx="1">
                  <c:v>430.41333566615509</c:v>
                </c:pt>
                <c:pt idx="2">
                  <c:v>423.39155361549007</c:v>
                </c:pt>
                <c:pt idx="3">
                  <c:v>375.06336168835219</c:v>
                </c:pt>
                <c:pt idx="4">
                  <c:v>386.46449021839805</c:v>
                </c:pt>
                <c:pt idx="5">
                  <c:v>423.14594375604321</c:v>
                </c:pt>
                <c:pt idx="6">
                  <c:v>421.80544184585301</c:v>
                </c:pt>
                <c:pt idx="7">
                  <c:v>405.4968915706711</c:v>
                </c:pt>
                <c:pt idx="8">
                  <c:v>418.81556320094364</c:v>
                </c:pt>
                <c:pt idx="9">
                  <c:v>422.29647417012319</c:v>
                </c:pt>
                <c:pt idx="10">
                  <c:v>406.53945472173808</c:v>
                </c:pt>
                <c:pt idx="11">
                  <c:v>484.80236095368065</c:v>
                </c:pt>
                <c:pt idx="12">
                  <c:v>410.5047129695252</c:v>
                </c:pt>
                <c:pt idx="13">
                  <c:v>416.34953371592542</c:v>
                </c:pt>
                <c:pt idx="14">
                  <c:v>445.21442039947271</c:v>
                </c:pt>
                <c:pt idx="15">
                  <c:v>445.45212573977312</c:v>
                </c:pt>
                <c:pt idx="16">
                  <c:v>440.16056278695811</c:v>
                </c:pt>
                <c:pt idx="17">
                  <c:v>469.63644841624193</c:v>
                </c:pt>
                <c:pt idx="18">
                  <c:v>467.66405136267679</c:v>
                </c:pt>
                <c:pt idx="19">
                  <c:v>459.78102899210938</c:v>
                </c:pt>
                <c:pt idx="20">
                  <c:v>465.55466260694402</c:v>
                </c:pt>
                <c:pt idx="21">
                  <c:v>460.80184398964815</c:v>
                </c:pt>
                <c:pt idx="22">
                  <c:v>472.96694737840943</c:v>
                </c:pt>
                <c:pt idx="23">
                  <c:v>576.92276863735515</c:v>
                </c:pt>
              </c:numCache>
            </c:numRef>
          </c:val>
          <c:extLst>
            <c:ext xmlns:c16="http://schemas.microsoft.com/office/drawing/2014/chart" uri="{C3380CC4-5D6E-409C-BE32-E72D297353CC}">
              <c16:uniqueId val="{00000000-8F5A-45E0-8E59-E8CE1A7574E1}"/>
            </c:ext>
          </c:extLst>
        </c:ser>
        <c:dLbls>
          <c:showLegendKey val="0"/>
          <c:showVal val="0"/>
          <c:showCatName val="0"/>
          <c:showSerName val="0"/>
          <c:showPercent val="0"/>
          <c:showBubbleSize val="0"/>
        </c:dLbls>
        <c:gapWidth val="219"/>
        <c:axId val="554919048"/>
        <c:axId val="554922248"/>
      </c:barChart>
      <c:lineChart>
        <c:grouping val="standard"/>
        <c:varyColors val="0"/>
        <c:ser>
          <c:idx val="0"/>
          <c:order val="0"/>
          <c:tx>
            <c:strRef>
              <c:f>'Прогноз Зарплати 2021'!$A$119</c:f>
              <c:strCache>
                <c:ptCount val="1"/>
                <c:pt idx="0">
                  <c:v>UAH</c:v>
                </c:pt>
              </c:strCache>
            </c:strRef>
          </c:tx>
          <c:spPr>
            <a:ln w="28575" cap="rnd">
              <a:solidFill>
                <a:schemeClr val="accent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E-8F5A-45E0-8E59-E8CE1A7574E1}"/>
                </c:ext>
              </c:extLst>
            </c:dLbl>
            <c:dLbl>
              <c:idx val="3"/>
              <c:delete val="1"/>
              <c:extLst>
                <c:ext xmlns:c15="http://schemas.microsoft.com/office/drawing/2012/chart" uri="{CE6537A1-D6FC-4f65-9D91-7224C49458BB}"/>
                <c:ext xmlns:c16="http://schemas.microsoft.com/office/drawing/2014/chart" uri="{C3380CC4-5D6E-409C-BE32-E72D297353CC}">
                  <c16:uniqueId val="{0000000F-8F5A-45E0-8E59-E8CE1A7574E1}"/>
                </c:ext>
              </c:extLst>
            </c:dLbl>
            <c:dLbl>
              <c:idx val="4"/>
              <c:delete val="1"/>
              <c:extLst>
                <c:ext xmlns:c15="http://schemas.microsoft.com/office/drawing/2012/chart" uri="{CE6537A1-D6FC-4f65-9D91-7224C49458BB}"/>
                <c:ext xmlns:c16="http://schemas.microsoft.com/office/drawing/2014/chart" uri="{C3380CC4-5D6E-409C-BE32-E72D297353CC}">
                  <c16:uniqueId val="{00000010-8F5A-45E0-8E59-E8CE1A7574E1}"/>
                </c:ext>
              </c:extLst>
            </c:dLbl>
            <c:dLbl>
              <c:idx val="6"/>
              <c:delete val="1"/>
              <c:extLst>
                <c:ext xmlns:c15="http://schemas.microsoft.com/office/drawing/2012/chart" uri="{CE6537A1-D6FC-4f65-9D91-7224C49458BB}"/>
                <c:ext xmlns:c16="http://schemas.microsoft.com/office/drawing/2014/chart" uri="{C3380CC4-5D6E-409C-BE32-E72D297353CC}">
                  <c16:uniqueId val="{00000011-8F5A-45E0-8E59-E8CE1A7574E1}"/>
                </c:ext>
              </c:extLst>
            </c:dLbl>
            <c:dLbl>
              <c:idx val="7"/>
              <c:delete val="1"/>
              <c:extLst>
                <c:ext xmlns:c15="http://schemas.microsoft.com/office/drawing/2012/chart" uri="{CE6537A1-D6FC-4f65-9D91-7224C49458BB}"/>
                <c:ext xmlns:c16="http://schemas.microsoft.com/office/drawing/2014/chart" uri="{C3380CC4-5D6E-409C-BE32-E72D297353CC}">
                  <c16:uniqueId val="{00000012-8F5A-45E0-8E59-E8CE1A7574E1}"/>
                </c:ext>
              </c:extLst>
            </c:dLbl>
            <c:dLbl>
              <c:idx val="9"/>
              <c:delete val="1"/>
              <c:extLst>
                <c:ext xmlns:c15="http://schemas.microsoft.com/office/drawing/2012/chart" uri="{CE6537A1-D6FC-4f65-9D91-7224C49458BB}"/>
                <c:ext xmlns:c16="http://schemas.microsoft.com/office/drawing/2014/chart" uri="{C3380CC4-5D6E-409C-BE32-E72D297353CC}">
                  <c16:uniqueId val="{00000014-8F5A-45E0-8E59-E8CE1A7574E1}"/>
                </c:ext>
              </c:extLst>
            </c:dLbl>
            <c:dLbl>
              <c:idx val="10"/>
              <c:delete val="1"/>
              <c:extLst>
                <c:ext xmlns:c15="http://schemas.microsoft.com/office/drawing/2012/chart" uri="{CE6537A1-D6FC-4f65-9D91-7224C49458BB}"/>
                <c:ext xmlns:c16="http://schemas.microsoft.com/office/drawing/2014/chart" uri="{C3380CC4-5D6E-409C-BE32-E72D297353CC}">
                  <c16:uniqueId val="{00000013-8F5A-45E0-8E59-E8CE1A7574E1}"/>
                </c:ext>
              </c:extLst>
            </c:dLbl>
            <c:dLbl>
              <c:idx val="12"/>
              <c:delete val="1"/>
              <c:extLst>
                <c:ext xmlns:c15="http://schemas.microsoft.com/office/drawing/2012/chart" uri="{CE6537A1-D6FC-4f65-9D91-7224C49458BB}"/>
                <c:ext xmlns:c16="http://schemas.microsoft.com/office/drawing/2014/chart" uri="{C3380CC4-5D6E-409C-BE32-E72D297353CC}">
                  <c16:uniqueId val="{0000001C-8F5A-45E0-8E59-E8CE1A7574E1}"/>
                </c:ext>
              </c:extLst>
            </c:dLbl>
            <c:dLbl>
              <c:idx val="13"/>
              <c:delete val="1"/>
              <c:extLst>
                <c:ext xmlns:c15="http://schemas.microsoft.com/office/drawing/2012/chart" uri="{CE6537A1-D6FC-4f65-9D91-7224C49458BB}"/>
                <c:ext xmlns:c16="http://schemas.microsoft.com/office/drawing/2014/chart" uri="{C3380CC4-5D6E-409C-BE32-E72D297353CC}">
                  <c16:uniqueId val="{00000015-8F5A-45E0-8E59-E8CE1A7574E1}"/>
                </c:ext>
              </c:extLst>
            </c:dLbl>
            <c:dLbl>
              <c:idx val="15"/>
              <c:delete val="1"/>
              <c:extLst>
                <c:ext xmlns:c15="http://schemas.microsoft.com/office/drawing/2012/chart" uri="{CE6537A1-D6FC-4f65-9D91-7224C49458BB}"/>
                <c:ext xmlns:c16="http://schemas.microsoft.com/office/drawing/2014/chart" uri="{C3380CC4-5D6E-409C-BE32-E72D297353CC}">
                  <c16:uniqueId val="{00000017-8F5A-45E0-8E59-E8CE1A7574E1}"/>
                </c:ext>
              </c:extLst>
            </c:dLbl>
            <c:dLbl>
              <c:idx val="16"/>
              <c:delete val="1"/>
              <c:extLst>
                <c:ext xmlns:c15="http://schemas.microsoft.com/office/drawing/2012/chart" uri="{CE6537A1-D6FC-4f65-9D91-7224C49458BB}"/>
                <c:ext xmlns:c16="http://schemas.microsoft.com/office/drawing/2014/chart" uri="{C3380CC4-5D6E-409C-BE32-E72D297353CC}">
                  <c16:uniqueId val="{00000016-8F5A-45E0-8E59-E8CE1A7574E1}"/>
                </c:ext>
              </c:extLst>
            </c:dLbl>
            <c:dLbl>
              <c:idx val="18"/>
              <c:delete val="1"/>
              <c:extLst>
                <c:ext xmlns:c15="http://schemas.microsoft.com/office/drawing/2012/chart" uri="{CE6537A1-D6FC-4f65-9D91-7224C49458BB}"/>
                <c:ext xmlns:c16="http://schemas.microsoft.com/office/drawing/2014/chart" uri="{C3380CC4-5D6E-409C-BE32-E72D297353CC}">
                  <c16:uniqueId val="{00000018-8F5A-45E0-8E59-E8CE1A7574E1}"/>
                </c:ext>
              </c:extLst>
            </c:dLbl>
            <c:dLbl>
              <c:idx val="19"/>
              <c:delete val="1"/>
              <c:extLst>
                <c:ext xmlns:c15="http://schemas.microsoft.com/office/drawing/2012/chart" uri="{CE6537A1-D6FC-4f65-9D91-7224C49458BB}"/>
                <c:ext xmlns:c16="http://schemas.microsoft.com/office/drawing/2014/chart" uri="{C3380CC4-5D6E-409C-BE32-E72D297353CC}">
                  <c16:uniqueId val="{00000019-8F5A-45E0-8E59-E8CE1A7574E1}"/>
                </c:ext>
              </c:extLst>
            </c:dLbl>
            <c:dLbl>
              <c:idx val="21"/>
              <c:delete val="1"/>
              <c:extLst>
                <c:ext xmlns:c15="http://schemas.microsoft.com/office/drawing/2012/chart" uri="{CE6537A1-D6FC-4f65-9D91-7224C49458BB}"/>
                <c:ext xmlns:c16="http://schemas.microsoft.com/office/drawing/2014/chart" uri="{C3380CC4-5D6E-409C-BE32-E72D297353CC}">
                  <c16:uniqueId val="{0000001B-8F5A-45E0-8E59-E8CE1A7574E1}"/>
                </c:ext>
              </c:extLst>
            </c:dLbl>
            <c:dLbl>
              <c:idx val="22"/>
              <c:delete val="1"/>
              <c:extLst>
                <c:ext xmlns:c15="http://schemas.microsoft.com/office/drawing/2012/chart" uri="{CE6537A1-D6FC-4f65-9D91-7224C49458BB}"/>
                <c:ext xmlns:c16="http://schemas.microsoft.com/office/drawing/2014/chart" uri="{C3380CC4-5D6E-409C-BE32-E72D297353CC}">
                  <c16:uniqueId val="{0000001A-8F5A-45E0-8E59-E8CE1A7574E1}"/>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4CA2C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2021'!$B$108:$Y$109</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2020</c:v>
                  </c:pt>
                  <c:pt idx="12">
                    <c:v>2021</c:v>
                  </c:pt>
                </c:lvl>
              </c:multiLvlStrCache>
            </c:multiLvlStrRef>
          </c:cat>
          <c:val>
            <c:numRef>
              <c:f>'Прогноз Зарплати 2021'!$B$116:$Y$116</c:f>
              <c:numCache>
                <c:formatCode>_-* #\ ##0\ _₴_-;\-* #\ ##0\ _₴_-;_-* "-"?\ _₴_-;_-@_-</c:formatCode>
                <c:ptCount val="24"/>
                <c:pt idx="0">
                  <c:v>10383.735999999999</c:v>
                </c:pt>
                <c:pt idx="1">
                  <c:v>10586.672</c:v>
                </c:pt>
                <c:pt idx="2">
                  <c:v>11182.742</c:v>
                </c:pt>
                <c:pt idx="3">
                  <c:v>10210.969999999999</c:v>
                </c:pt>
                <c:pt idx="4">
                  <c:v>10362.786</c:v>
                </c:pt>
                <c:pt idx="5">
                  <c:v>11301.103999999999</c:v>
                </c:pt>
                <c:pt idx="6">
                  <c:v>11520.704</c:v>
                </c:pt>
                <c:pt idx="7">
                  <c:v>11159.85</c:v>
                </c:pt>
                <c:pt idx="8">
                  <c:v>11711.581110762761</c:v>
                </c:pt>
                <c:pt idx="9">
                  <c:v>11866.530924180463</c:v>
                </c:pt>
                <c:pt idx="10">
                  <c:v>11423.75867768084</c:v>
                </c:pt>
                <c:pt idx="11">
                  <c:v>13671.426578893794</c:v>
                </c:pt>
                <c:pt idx="12">
                  <c:v>11584.443000000001</c:v>
                </c:pt>
                <c:pt idx="13">
                  <c:v>11607.825000000001</c:v>
                </c:pt>
                <c:pt idx="14">
                  <c:v>12454.980000000001</c:v>
                </c:pt>
                <c:pt idx="15">
                  <c:v>12405.388000000001</c:v>
                </c:pt>
                <c:pt idx="16">
                  <c:v>12216.595000000001</c:v>
                </c:pt>
                <c:pt idx="17">
                  <c:v>12953.265000000001</c:v>
                </c:pt>
                <c:pt idx="18">
                  <c:v>12881.81</c:v>
                </c:pt>
                <c:pt idx="19">
                  <c:v>12569.306</c:v>
                </c:pt>
                <c:pt idx="20">
                  <c:v>12672.710000000001</c:v>
                </c:pt>
                <c:pt idx="21">
                  <c:v>12514.094999999999</c:v>
                </c:pt>
                <c:pt idx="22">
                  <c:v>12827.243585115288</c:v>
                </c:pt>
                <c:pt idx="23">
                  <c:v>15707.7</c:v>
                </c:pt>
              </c:numCache>
            </c:numRef>
          </c:val>
          <c:smooth val="0"/>
          <c:extLst>
            <c:ext xmlns:c16="http://schemas.microsoft.com/office/drawing/2014/chart" uri="{C3380CC4-5D6E-409C-BE32-E72D297353CC}">
              <c16:uniqueId val="{00000001-8F5A-45E0-8E59-E8CE1A7574E1}"/>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16000"/>
          <c:min val="0"/>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rgbClr val="4CA2C1"/>
                </a:solidFill>
                <a:latin typeface="+mn-lt"/>
                <a:ea typeface="+mn-ea"/>
                <a:cs typeface="+mn-cs"/>
              </a:defRPr>
            </a:pPr>
            <a:endParaRPr lang="en-US"/>
          </a:p>
        </c:txPr>
        <c:crossAx val="554934728"/>
        <c:crosses val="autoZero"/>
        <c:crossBetween val="between"/>
      </c:valAx>
      <c:valAx>
        <c:axId val="554922248"/>
        <c:scaling>
          <c:orientation val="minMax"/>
          <c:max val="1200"/>
        </c:scaling>
        <c:delete val="0"/>
        <c:axPos val="r"/>
        <c:numFmt formatCode="_-* #\ ##0\ _₴_-;\-* #\ ##0\ _₴_-;_-* &quot;-&quot;?\ _₴_-;_-@_-"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rgbClr val="4CA2C1"/>
                </a:solidFill>
                <a:latin typeface="+mn-lt"/>
                <a:ea typeface="+mn-ea"/>
                <a:cs typeface="+mn-cs"/>
              </a:defRPr>
            </a:pPr>
            <a:r>
              <a:rPr lang="ru-RU" sz="2000">
                <a:solidFill>
                  <a:srgbClr val="4CA2C1"/>
                </a:solidFill>
              </a:rPr>
              <a:t>Прогноз</a:t>
            </a:r>
            <a:r>
              <a:rPr lang="ru-RU" sz="2000" baseline="0">
                <a:solidFill>
                  <a:srgbClr val="4CA2C1"/>
                </a:solidFill>
              </a:rPr>
              <a:t> средней </a:t>
            </a:r>
            <a:r>
              <a:rPr lang="en-US" sz="2000" baseline="0">
                <a:solidFill>
                  <a:srgbClr val="4CA2C1"/>
                </a:solidFill>
              </a:rPr>
              <a:t>$ </a:t>
            </a:r>
            <a:r>
              <a:rPr lang="ru-RU" sz="2000" baseline="0">
                <a:solidFill>
                  <a:srgbClr val="4CA2C1"/>
                </a:solidFill>
              </a:rPr>
              <a:t>зарплаты в Украине в 2021 году</a:t>
            </a:r>
            <a:endParaRPr lang="ru-RU" sz="2000">
              <a:solidFill>
                <a:srgbClr val="4CA2C1"/>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4CA2C1"/>
              </a:solidFill>
              <a:latin typeface="+mn-lt"/>
              <a:ea typeface="+mn-ea"/>
              <a:cs typeface="+mn-cs"/>
            </a:defRPr>
          </a:pPr>
          <a:endParaRPr lang="en-US"/>
        </a:p>
      </c:txPr>
    </c:title>
    <c:autoTitleDeleted val="0"/>
    <c:plotArea>
      <c:layout/>
      <c:barChart>
        <c:barDir val="col"/>
        <c:grouping val="clustered"/>
        <c:varyColors val="0"/>
        <c:ser>
          <c:idx val="1"/>
          <c:order val="1"/>
          <c:tx>
            <c:strRef>
              <c:f>'Прогноз Зарплати 2021'!$A$120</c:f>
              <c:strCache>
                <c:ptCount val="1"/>
                <c:pt idx="0">
                  <c:v>USD</c:v>
                </c:pt>
              </c:strCache>
            </c:strRef>
          </c:tx>
          <c:spPr>
            <a:solidFill>
              <a:schemeClr val="accent1">
                <a:lumMod val="75000"/>
              </a:schemeClr>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0-4CF6-49C1-ACF2-F286305F66BC}"/>
                </c:ext>
              </c:extLst>
            </c:dLbl>
            <c:dLbl>
              <c:idx val="3"/>
              <c:delete val="1"/>
              <c:extLst>
                <c:ext xmlns:c15="http://schemas.microsoft.com/office/drawing/2012/chart" uri="{CE6537A1-D6FC-4f65-9D91-7224C49458BB}"/>
                <c:ext xmlns:c16="http://schemas.microsoft.com/office/drawing/2014/chart" uri="{C3380CC4-5D6E-409C-BE32-E72D297353CC}">
                  <c16:uniqueId val="{00000001-4CF6-49C1-ACF2-F286305F66BC}"/>
                </c:ext>
              </c:extLst>
            </c:dLbl>
            <c:dLbl>
              <c:idx val="5"/>
              <c:delete val="1"/>
              <c:extLst>
                <c:ext xmlns:c15="http://schemas.microsoft.com/office/drawing/2012/chart" uri="{CE6537A1-D6FC-4f65-9D91-7224C49458BB}"/>
                <c:ext xmlns:c16="http://schemas.microsoft.com/office/drawing/2014/chart" uri="{C3380CC4-5D6E-409C-BE32-E72D297353CC}">
                  <c16:uniqueId val="{00000002-4CF6-49C1-ACF2-F286305F66BC}"/>
                </c:ext>
              </c:extLst>
            </c:dLbl>
            <c:dLbl>
              <c:idx val="7"/>
              <c:delete val="1"/>
              <c:extLst>
                <c:ext xmlns:c15="http://schemas.microsoft.com/office/drawing/2012/chart" uri="{CE6537A1-D6FC-4f65-9D91-7224C49458BB}"/>
                <c:ext xmlns:c16="http://schemas.microsoft.com/office/drawing/2014/chart" uri="{C3380CC4-5D6E-409C-BE32-E72D297353CC}">
                  <c16:uniqueId val="{00000003-4CF6-49C1-ACF2-F286305F66BC}"/>
                </c:ext>
              </c:extLst>
            </c:dLbl>
            <c:dLbl>
              <c:idx val="9"/>
              <c:delete val="1"/>
              <c:extLst>
                <c:ext xmlns:c15="http://schemas.microsoft.com/office/drawing/2012/chart" uri="{CE6537A1-D6FC-4f65-9D91-7224C49458BB}"/>
                <c:ext xmlns:c16="http://schemas.microsoft.com/office/drawing/2014/chart" uri="{C3380CC4-5D6E-409C-BE32-E72D297353CC}">
                  <c16:uniqueId val="{00000004-4CF6-49C1-ACF2-F286305F66BC}"/>
                </c:ext>
              </c:extLst>
            </c:dLbl>
            <c:dLbl>
              <c:idx val="11"/>
              <c:delete val="1"/>
              <c:extLst>
                <c:ext xmlns:c15="http://schemas.microsoft.com/office/drawing/2012/chart" uri="{CE6537A1-D6FC-4f65-9D91-7224C49458BB}"/>
                <c:ext xmlns:c16="http://schemas.microsoft.com/office/drawing/2014/chart" uri="{C3380CC4-5D6E-409C-BE32-E72D297353CC}">
                  <c16:uniqueId val="{00000005-4CF6-49C1-ACF2-F286305F66BC}"/>
                </c:ext>
              </c:extLst>
            </c:dLbl>
            <c:dLbl>
              <c:idx val="13"/>
              <c:delete val="1"/>
              <c:extLst>
                <c:ext xmlns:c15="http://schemas.microsoft.com/office/drawing/2012/chart" uri="{CE6537A1-D6FC-4f65-9D91-7224C49458BB}"/>
                <c:ext xmlns:c16="http://schemas.microsoft.com/office/drawing/2014/chart" uri="{C3380CC4-5D6E-409C-BE32-E72D297353CC}">
                  <c16:uniqueId val="{00000006-4CF6-49C1-ACF2-F286305F66BC}"/>
                </c:ext>
              </c:extLst>
            </c:dLbl>
            <c:dLbl>
              <c:idx val="15"/>
              <c:delete val="1"/>
              <c:extLst>
                <c:ext xmlns:c15="http://schemas.microsoft.com/office/drawing/2012/chart" uri="{CE6537A1-D6FC-4f65-9D91-7224C49458BB}"/>
                <c:ext xmlns:c16="http://schemas.microsoft.com/office/drawing/2014/chart" uri="{C3380CC4-5D6E-409C-BE32-E72D297353CC}">
                  <c16:uniqueId val="{00000007-4CF6-49C1-ACF2-F286305F66BC}"/>
                </c:ext>
              </c:extLst>
            </c:dLbl>
            <c:dLbl>
              <c:idx val="17"/>
              <c:delete val="1"/>
              <c:extLst>
                <c:ext xmlns:c15="http://schemas.microsoft.com/office/drawing/2012/chart" uri="{CE6537A1-D6FC-4f65-9D91-7224C49458BB}"/>
                <c:ext xmlns:c16="http://schemas.microsoft.com/office/drawing/2014/chart" uri="{C3380CC4-5D6E-409C-BE32-E72D297353CC}">
                  <c16:uniqueId val="{00000008-4CF6-49C1-ACF2-F286305F66BC}"/>
                </c:ext>
              </c:extLst>
            </c:dLbl>
            <c:dLbl>
              <c:idx val="19"/>
              <c:delete val="1"/>
              <c:extLst>
                <c:ext xmlns:c15="http://schemas.microsoft.com/office/drawing/2012/chart" uri="{CE6537A1-D6FC-4f65-9D91-7224C49458BB}"/>
                <c:ext xmlns:c16="http://schemas.microsoft.com/office/drawing/2014/chart" uri="{C3380CC4-5D6E-409C-BE32-E72D297353CC}">
                  <c16:uniqueId val="{00000009-4CF6-49C1-ACF2-F286305F66BC}"/>
                </c:ext>
              </c:extLst>
            </c:dLbl>
            <c:dLbl>
              <c:idx val="21"/>
              <c:delete val="1"/>
              <c:extLst>
                <c:ext xmlns:c15="http://schemas.microsoft.com/office/drawing/2012/chart" uri="{CE6537A1-D6FC-4f65-9D91-7224C49458BB}"/>
                <c:ext xmlns:c16="http://schemas.microsoft.com/office/drawing/2014/chart" uri="{C3380CC4-5D6E-409C-BE32-E72D297353CC}">
                  <c16:uniqueId val="{0000000A-4CF6-49C1-ACF2-F286305F66BC}"/>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2021'!$B$108:$M$109</c:f>
              <c:multiLvlStrCache>
                <c:ptCount val="12"/>
                <c:lvl>
                  <c:pt idx="0">
                    <c:v>1</c:v>
                  </c:pt>
                  <c:pt idx="1">
                    <c:v>2</c:v>
                  </c:pt>
                  <c:pt idx="2">
                    <c:v>3</c:v>
                  </c:pt>
                  <c:pt idx="3">
                    <c:v>4</c:v>
                  </c:pt>
                  <c:pt idx="4">
                    <c:v>5</c:v>
                  </c:pt>
                  <c:pt idx="5">
                    <c:v>6</c:v>
                  </c:pt>
                  <c:pt idx="6">
                    <c:v>7</c:v>
                  </c:pt>
                  <c:pt idx="7">
                    <c:v>8</c:v>
                  </c:pt>
                  <c:pt idx="8">
                    <c:v>9</c:v>
                  </c:pt>
                  <c:pt idx="9">
                    <c:v>10</c:v>
                  </c:pt>
                  <c:pt idx="10">
                    <c:v>11</c:v>
                  </c:pt>
                  <c:pt idx="11">
                    <c:v>12</c:v>
                  </c:pt>
                </c:lvl>
                <c:lvl>
                  <c:pt idx="0">
                    <c:v>2020</c:v>
                  </c:pt>
                </c:lvl>
              </c:multiLvlStrCache>
            </c:multiLvlStrRef>
          </c:cat>
          <c:val>
            <c:numRef>
              <c:f>'Прогноз Зарплати 2021'!$B$111:$Y$111</c:f>
              <c:numCache>
                <c:formatCode>_(* #\ ##0_);_(* \(#\ ##0\);_(* "-"??_);_(@_)</c:formatCode>
                <c:ptCount val="24"/>
                <c:pt idx="0">
                  <c:v>444.74661558734994</c:v>
                </c:pt>
                <c:pt idx="1">
                  <c:v>440.99727014974906</c:v>
                </c:pt>
                <c:pt idx="2">
                  <c:v>433.35880615710346</c:v>
                </c:pt>
                <c:pt idx="3">
                  <c:v>383.10864319545681</c:v>
                </c:pt>
                <c:pt idx="4">
                  <c:v>393.14800632593904</c:v>
                </c:pt>
                <c:pt idx="5">
                  <c:v>433.55117188119181</c:v>
                </c:pt>
                <c:pt idx="6">
                  <c:v>432.17770680927566</c:v>
                </c:pt>
                <c:pt idx="7">
                  <c:v>415.8942477647908</c:v>
                </c:pt>
                <c:pt idx="8">
                  <c:v>428.70052507589355</c:v>
                </c:pt>
                <c:pt idx="9">
                  <c:v>433.23843416370107</c:v>
                </c:pt>
                <c:pt idx="10">
                  <c:v>426.59822419928821</c:v>
                </c:pt>
                <c:pt idx="11">
                  <c:v>502.80141843971631</c:v>
                </c:pt>
                <c:pt idx="12">
                  <c:v>437.17576638387527</c:v>
                </c:pt>
                <c:pt idx="13">
                  <c:v>450.03237186855824</c:v>
                </c:pt>
                <c:pt idx="14">
                  <c:v>489.71853590437973</c:v>
                </c:pt>
                <c:pt idx="15">
                  <c:v>484.89079842463303</c:v>
                </c:pt>
                <c:pt idx="16">
                  <c:v>489.09420289855069</c:v>
                </c:pt>
                <c:pt idx="17">
                  <c:v>525.44297195704064</c:v>
                </c:pt>
                <c:pt idx="18">
                  <c:v>527.10777323798527</c:v>
                </c:pt>
                <c:pt idx="19">
                  <c:v>523.05680119581461</c:v>
                </c:pt>
                <c:pt idx="20">
                  <c:v>532.69734380845489</c:v>
                </c:pt>
                <c:pt idx="21">
                  <c:v>532.61281759575274</c:v>
                </c:pt>
                <c:pt idx="22">
                  <c:v>540.64877401105082</c:v>
                </c:pt>
                <c:pt idx="23">
                  <c:v>641.41859610437336</c:v>
                </c:pt>
              </c:numCache>
            </c:numRef>
          </c:val>
          <c:extLst>
            <c:ext xmlns:c16="http://schemas.microsoft.com/office/drawing/2014/chart" uri="{C3380CC4-5D6E-409C-BE32-E72D297353CC}">
              <c16:uniqueId val="{0000000B-4CF6-49C1-ACF2-F286305F66BC}"/>
            </c:ext>
          </c:extLst>
        </c:ser>
        <c:dLbls>
          <c:showLegendKey val="0"/>
          <c:showVal val="0"/>
          <c:showCatName val="0"/>
          <c:showSerName val="0"/>
          <c:showPercent val="0"/>
          <c:showBubbleSize val="0"/>
        </c:dLbls>
        <c:gapWidth val="219"/>
        <c:axId val="554919048"/>
        <c:axId val="554922248"/>
      </c:barChart>
      <c:lineChart>
        <c:grouping val="standard"/>
        <c:varyColors val="0"/>
        <c:ser>
          <c:idx val="0"/>
          <c:order val="0"/>
          <c:tx>
            <c:strRef>
              <c:f>'Прогноз Зарплати 2021'!$A$121</c:f>
              <c:strCache>
                <c:ptCount val="1"/>
                <c:pt idx="0">
                  <c:v>% y-y</c:v>
                </c:pt>
              </c:strCache>
            </c:strRef>
          </c:tx>
          <c:spPr>
            <a:ln w="28575" cap="rnd">
              <a:solidFill>
                <a:schemeClr val="accent1"/>
              </a:solidFill>
              <a:round/>
            </a:ln>
            <a:effectLst/>
          </c:spPr>
          <c:marker>
            <c:symbol val="none"/>
          </c:marker>
          <c:dLbls>
            <c:dLbl>
              <c:idx val="1"/>
              <c:layout>
                <c:manualLayout>
                  <c:x val="-8.231653973384493E-3"/>
                  <c:y val="-2.38837229692254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CF6-49C1-ACF2-F286305F66BC}"/>
                </c:ext>
              </c:extLst>
            </c:dLbl>
            <c:dLbl>
              <c:idx val="2"/>
              <c:layout>
                <c:manualLayout>
                  <c:x val="-9.6764424620378979E-3"/>
                  <c:y val="-5.14082946094594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4CF6-49C1-ACF2-F286305F66BC}"/>
                </c:ext>
              </c:extLst>
            </c:dLbl>
            <c:dLbl>
              <c:idx val="3"/>
              <c:delete val="1"/>
              <c:extLst>
                <c:ext xmlns:c15="http://schemas.microsoft.com/office/drawing/2012/chart" uri="{CE6537A1-D6FC-4f65-9D91-7224C49458BB}"/>
                <c:ext xmlns:c16="http://schemas.microsoft.com/office/drawing/2014/chart" uri="{C3380CC4-5D6E-409C-BE32-E72D297353CC}">
                  <c16:uniqueId val="{0000000D-4CF6-49C1-ACF2-F286305F66BC}"/>
                </c:ext>
              </c:extLst>
            </c:dLbl>
            <c:dLbl>
              <c:idx val="4"/>
              <c:layout>
                <c:manualLayout>
                  <c:x val="-3.9226007466939966E-2"/>
                  <c:y val="-3.88971256820804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CF6-49C1-ACF2-F286305F66BC}"/>
                </c:ext>
              </c:extLst>
            </c:dLbl>
            <c:dLbl>
              <c:idx val="6"/>
              <c:layout>
                <c:manualLayout>
                  <c:x val="-1.3219814671178654E-2"/>
                  <c:y val="-3.38926581111287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4CF6-49C1-ACF2-F286305F66BC}"/>
                </c:ext>
              </c:extLst>
            </c:dLbl>
            <c:dLbl>
              <c:idx val="7"/>
              <c:delete val="1"/>
              <c:extLst>
                <c:ext xmlns:c15="http://schemas.microsoft.com/office/drawing/2012/chart" uri="{CE6537A1-D6FC-4f65-9D91-7224C49458BB}"/>
                <c:ext xmlns:c16="http://schemas.microsoft.com/office/drawing/2014/chart" uri="{C3380CC4-5D6E-409C-BE32-E72D297353CC}">
                  <c16:uniqueId val="{00000010-4CF6-49C1-ACF2-F286305F66BC}"/>
                </c:ext>
              </c:extLst>
            </c:dLbl>
            <c:dLbl>
              <c:idx val="9"/>
              <c:delete val="1"/>
              <c:extLst>
                <c:ext xmlns:c15="http://schemas.microsoft.com/office/drawing/2012/chart" uri="{CE6537A1-D6FC-4f65-9D91-7224C49458BB}"/>
                <c:ext xmlns:c16="http://schemas.microsoft.com/office/drawing/2014/chart" uri="{C3380CC4-5D6E-409C-BE32-E72D297353CC}">
                  <c16:uniqueId val="{00000012-4CF6-49C1-ACF2-F286305F66BC}"/>
                </c:ext>
              </c:extLst>
            </c:dLbl>
            <c:dLbl>
              <c:idx val="10"/>
              <c:layout>
                <c:manualLayout>
                  <c:x val="-4.2321495244598197E-2"/>
                  <c:y val="-5.14082946094594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CF6-49C1-ACF2-F286305F66BC}"/>
                </c:ext>
              </c:extLst>
            </c:dLbl>
            <c:dLbl>
              <c:idx val="12"/>
              <c:layout>
                <c:manualLayout>
                  <c:x val="-1.9204879426143663E-2"/>
                  <c:y val="-4.89060608239837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CF6-49C1-ACF2-F286305F66BC}"/>
                </c:ext>
              </c:extLst>
            </c:dLbl>
            <c:dLbl>
              <c:idx val="13"/>
              <c:delete val="1"/>
              <c:extLst>
                <c:ext xmlns:c15="http://schemas.microsoft.com/office/drawing/2012/chart" uri="{CE6537A1-D6FC-4f65-9D91-7224C49458BB}"/>
                <c:ext xmlns:c16="http://schemas.microsoft.com/office/drawing/2014/chart" uri="{C3380CC4-5D6E-409C-BE32-E72D297353CC}">
                  <c16:uniqueId val="{00000015-4CF6-49C1-ACF2-F286305F66BC}"/>
                </c:ext>
              </c:extLst>
            </c:dLbl>
            <c:dLbl>
              <c:idx val="14"/>
              <c:layout>
                <c:manualLayout>
                  <c:x val="-4.0670795955593454E-2"/>
                  <c:y val="-3.88971256820803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4CF6-49C1-ACF2-F286305F66BC}"/>
                </c:ext>
              </c:extLst>
            </c:dLbl>
            <c:dLbl>
              <c:idx val="16"/>
              <c:delete val="1"/>
              <c:extLst>
                <c:ext xmlns:c15="http://schemas.microsoft.com/office/drawing/2012/chart" uri="{CE6537A1-D6FC-4f65-9D91-7224C49458BB}"/>
                <c:ext xmlns:c16="http://schemas.microsoft.com/office/drawing/2014/chart" uri="{C3380CC4-5D6E-409C-BE32-E72D297353CC}">
                  <c16:uniqueId val="{00000017-4CF6-49C1-ACF2-F286305F66BC}"/>
                </c:ext>
              </c:extLst>
            </c:dLbl>
            <c:dLbl>
              <c:idx val="18"/>
              <c:delete val="1"/>
              <c:extLst>
                <c:ext xmlns:c15="http://schemas.microsoft.com/office/drawing/2012/chart" uri="{CE6537A1-D6FC-4f65-9D91-7224C49458BB}"/>
                <c:ext xmlns:c16="http://schemas.microsoft.com/office/drawing/2014/chart" uri="{C3380CC4-5D6E-409C-BE32-E72D297353CC}">
                  <c16:uniqueId val="{00000018-4CF6-49C1-ACF2-F286305F66BC}"/>
                </c:ext>
              </c:extLst>
            </c:dLbl>
            <c:dLbl>
              <c:idx val="20"/>
              <c:delete val="1"/>
              <c:extLst>
                <c:ext xmlns:c15="http://schemas.microsoft.com/office/drawing/2012/chart" uri="{CE6537A1-D6FC-4f65-9D91-7224C49458BB}"/>
                <c:ext xmlns:c16="http://schemas.microsoft.com/office/drawing/2014/chart" uri="{C3380CC4-5D6E-409C-BE32-E72D297353CC}">
                  <c16:uniqueId val="{0000001F-4CF6-49C1-ACF2-F286305F66BC}"/>
                </c:ext>
              </c:extLst>
            </c:dLbl>
            <c:dLbl>
              <c:idx val="22"/>
              <c:delete val="1"/>
              <c:extLst>
                <c:ext xmlns:c15="http://schemas.microsoft.com/office/drawing/2012/chart" uri="{CE6537A1-D6FC-4f65-9D91-7224C49458BB}"/>
                <c:ext xmlns:c16="http://schemas.microsoft.com/office/drawing/2014/chart" uri="{C3380CC4-5D6E-409C-BE32-E72D297353CC}">
                  <c16:uniqueId val="{0000001B-4CF6-49C1-ACF2-F286305F66BC}"/>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4CA2C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2021'!$B$108:$Y$109</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2020</c:v>
                  </c:pt>
                  <c:pt idx="12">
                    <c:v>2021</c:v>
                  </c:pt>
                </c:lvl>
              </c:multiLvlStrCache>
            </c:multiLvlStrRef>
          </c:cat>
          <c:val>
            <c:numRef>
              <c:f>'Прогноз Зарплати 2021'!$B$123:$Y$123</c:f>
              <c:numCache>
                <c:formatCode>0%</c:formatCode>
                <c:ptCount val="24"/>
                <c:pt idx="0">
                  <c:v>0.34437479416864925</c:v>
                </c:pt>
                <c:pt idx="1">
                  <c:v>0.31538436032465844</c:v>
                </c:pt>
                <c:pt idx="2">
                  <c:v>0.1372032113928352</c:v>
                </c:pt>
                <c:pt idx="3">
                  <c:v>2.6444507005218831E-4</c:v>
                </c:pt>
                <c:pt idx="4">
                  <c:v>1.2871509545389515E-2</c:v>
                </c:pt>
                <c:pt idx="5">
                  <c:v>6.548771400008313E-2</c:v>
                </c:pt>
                <c:pt idx="6">
                  <c:v>1.4416344765852518E-2</c:v>
                </c:pt>
                <c:pt idx="7">
                  <c:v>-3.5040568108688497E-3</c:v>
                </c:pt>
                <c:pt idx="8">
                  <c:v>-6.387747777681585E-3</c:v>
                </c:pt>
                <c:pt idx="9">
                  <c:v>1.9136659654179766E-3</c:v>
                </c:pt>
                <c:pt idx="10">
                  <c:v>-2.6593885170241749E-2</c:v>
                </c:pt>
                <c:pt idx="11">
                  <c:v>-3.2025849530612605E-2</c:v>
                </c:pt>
                <c:pt idx="12" formatCode="0.0%">
                  <c:v>-1.7022837134974766E-2</c:v>
                </c:pt>
                <c:pt idx="13" formatCode="0.0%">
                  <c:v>2.0487885822379592E-2</c:v>
                </c:pt>
                <c:pt idx="14" formatCode="0.0%">
                  <c:v>0.13005326982289245</c:v>
                </c:pt>
                <c:pt idx="15" formatCode="0.0%">
                  <c:v>0.26567439037716611</c:v>
                </c:pt>
                <c:pt idx="16" formatCode="0.0%">
                  <c:v>0.24404599547445627</c:v>
                </c:pt>
                <c:pt idx="17" formatCode="0.0%">
                  <c:v>0.21195145126036108</c:v>
                </c:pt>
                <c:pt idx="18" formatCode="0.0%">
                  <c:v>0.21965516715234745</c:v>
                </c:pt>
                <c:pt idx="19" formatCode="0.0%">
                  <c:v>0.25766779417355545</c:v>
                </c:pt>
                <c:pt idx="20" formatCode="0.0%">
                  <c:v>0.2425861706470982</c:v>
                </c:pt>
                <c:pt idx="21" formatCode="0.0%">
                  <c:v>0.22937573307381731</c:v>
                </c:pt>
                <c:pt idx="22" formatCode="0.0%">
                  <c:v>0.26734886209578579</c:v>
                </c:pt>
                <c:pt idx="23" formatCode="0.0%">
                  <c:v>0.27568971085008309</c:v>
                </c:pt>
              </c:numCache>
            </c:numRef>
          </c:val>
          <c:smooth val="0"/>
          <c:extLst>
            <c:ext xmlns:c16="http://schemas.microsoft.com/office/drawing/2014/chart" uri="{C3380CC4-5D6E-409C-BE32-E72D297353CC}">
              <c16:uniqueId val="{0000001C-4CF6-49C1-ACF2-F286305F66BC}"/>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0.4"/>
          <c:min val="-0.5"/>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rgbClr val="4CA2C1"/>
                </a:solidFill>
                <a:latin typeface="+mn-lt"/>
                <a:ea typeface="+mn-ea"/>
                <a:cs typeface="+mn-cs"/>
              </a:defRPr>
            </a:pPr>
            <a:endParaRPr lang="en-US"/>
          </a:p>
        </c:txPr>
        <c:crossAx val="554934728"/>
        <c:crosses val="autoZero"/>
        <c:crossBetween val="between"/>
      </c:valAx>
      <c:valAx>
        <c:axId val="554922248"/>
        <c:scaling>
          <c:orientation val="minMax"/>
          <c:max val="1200"/>
          <c:min val="0"/>
        </c:scaling>
        <c:delete val="0"/>
        <c:axPos val="r"/>
        <c:numFmt formatCode="_(* #\ ##0_);_(* \(#\ ##0\);_(* &quot;-&quot;??_);_(@_)"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ysClr val="windowText" lastClr="000000"/>
                </a:solidFill>
                <a:latin typeface="+mn-lt"/>
                <a:ea typeface="+mn-ea"/>
                <a:cs typeface="+mn-cs"/>
              </a:defRPr>
            </a:pPr>
            <a:r>
              <a:rPr lang="ru-RU" sz="2000" b="1" i="0" kern="1200" spc="0" baseline="0">
                <a:solidFill>
                  <a:srgbClr val="4CA2C1"/>
                </a:solidFill>
                <a:effectLst/>
              </a:rPr>
              <a:t>Прогноз средней зарплаты в Украине в 2021 году, грн, долл.</a:t>
            </a:r>
            <a:endParaRPr lang="ru-RU" sz="1800">
              <a:effectLst/>
            </a:endParaRPr>
          </a:p>
        </c:rich>
      </c:tx>
      <c:layout>
        <c:manualLayout>
          <c:xMode val="edge"/>
          <c:yMode val="edge"/>
          <c:x val="1.7966071920725291E-2"/>
          <c:y val="2.3320985453030341E-2"/>
        </c:manualLayout>
      </c:layout>
      <c:overlay val="0"/>
      <c:spPr>
        <a:noFill/>
        <a:ln>
          <a:noFill/>
        </a:ln>
        <a:effectLst/>
      </c:spPr>
      <c:txPr>
        <a:bodyPr rot="0" spcFirstLastPara="1" vertOverflow="ellipsis" vert="horz" wrap="square" anchor="ctr" anchorCtr="1"/>
        <a:lstStyle/>
        <a:p>
          <a:pPr>
            <a:defRPr sz="168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1"/>
          <c:order val="1"/>
          <c:tx>
            <c:strRef>
              <c:f>'Прогноз Зарплати 2021'!$A$120</c:f>
              <c:strCache>
                <c:ptCount val="1"/>
                <c:pt idx="0">
                  <c:v>USD</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2021'!$N$108:$Y$109</c:f>
              <c:multiLvlStrCache>
                <c:ptCount val="12"/>
                <c:lvl>
                  <c:pt idx="0">
                    <c:v>1</c:v>
                  </c:pt>
                  <c:pt idx="1">
                    <c:v>2</c:v>
                  </c:pt>
                  <c:pt idx="2">
                    <c:v>3</c:v>
                  </c:pt>
                  <c:pt idx="3">
                    <c:v>4</c:v>
                  </c:pt>
                  <c:pt idx="4">
                    <c:v>5</c:v>
                  </c:pt>
                  <c:pt idx="5">
                    <c:v>6</c:v>
                  </c:pt>
                  <c:pt idx="6">
                    <c:v>7</c:v>
                  </c:pt>
                  <c:pt idx="7">
                    <c:v>8</c:v>
                  </c:pt>
                  <c:pt idx="8">
                    <c:v>9</c:v>
                  </c:pt>
                  <c:pt idx="9">
                    <c:v>10</c:v>
                  </c:pt>
                  <c:pt idx="10">
                    <c:v>11</c:v>
                  </c:pt>
                  <c:pt idx="11">
                    <c:v>12</c:v>
                  </c:pt>
                </c:lvl>
                <c:lvl>
                  <c:pt idx="0">
                    <c:v>2021</c:v>
                  </c:pt>
                </c:lvl>
              </c:multiLvlStrCache>
            </c:multiLvlStrRef>
          </c:cat>
          <c:val>
            <c:numRef>
              <c:f>'Прогноз Зарплати 2021'!$N$111:$Y$111</c:f>
              <c:numCache>
                <c:formatCode>_(* #\ ##0_);_(* \(#\ ##0\);_(* "-"??_);_(@_)</c:formatCode>
                <c:ptCount val="12"/>
                <c:pt idx="0">
                  <c:v>437.17576638387527</c:v>
                </c:pt>
                <c:pt idx="1">
                  <c:v>450.03237186855824</c:v>
                </c:pt>
                <c:pt idx="2">
                  <c:v>489.71853590437973</c:v>
                </c:pt>
                <c:pt idx="3">
                  <c:v>484.89079842463303</c:v>
                </c:pt>
                <c:pt idx="4">
                  <c:v>489.09420289855069</c:v>
                </c:pt>
                <c:pt idx="5">
                  <c:v>525.44297195704064</c:v>
                </c:pt>
                <c:pt idx="6">
                  <c:v>527.10777323798527</c:v>
                </c:pt>
                <c:pt idx="7">
                  <c:v>523.05680119581461</c:v>
                </c:pt>
                <c:pt idx="8">
                  <c:v>532.69734380845489</c:v>
                </c:pt>
                <c:pt idx="9">
                  <c:v>532.61281759575274</c:v>
                </c:pt>
                <c:pt idx="10">
                  <c:v>540.64877401105082</c:v>
                </c:pt>
                <c:pt idx="11">
                  <c:v>641.41859610437336</c:v>
                </c:pt>
              </c:numCache>
            </c:numRef>
          </c:val>
          <c:extLst>
            <c:ext xmlns:c16="http://schemas.microsoft.com/office/drawing/2014/chart" uri="{C3380CC4-5D6E-409C-BE32-E72D297353CC}">
              <c16:uniqueId val="{0000000B-1E40-45CE-A3A9-4DEE5B90F3B3}"/>
            </c:ext>
          </c:extLst>
        </c:ser>
        <c:dLbls>
          <c:showLegendKey val="0"/>
          <c:showVal val="0"/>
          <c:showCatName val="0"/>
          <c:showSerName val="0"/>
          <c:showPercent val="0"/>
          <c:showBubbleSize val="0"/>
        </c:dLbls>
        <c:gapWidth val="219"/>
        <c:axId val="554919048"/>
        <c:axId val="554922248"/>
      </c:barChart>
      <c:lineChart>
        <c:grouping val="standard"/>
        <c:varyColors val="0"/>
        <c:ser>
          <c:idx val="0"/>
          <c:order val="0"/>
          <c:tx>
            <c:strRef>
              <c:f>'Прогноз Зарплати 2021'!$A$119</c:f>
              <c:strCache>
                <c:ptCount val="1"/>
                <c:pt idx="0">
                  <c:v>UAH</c:v>
                </c:pt>
              </c:strCache>
            </c:strRef>
          </c:tx>
          <c:spPr>
            <a:ln w="28575" cap="rnd">
              <a:solidFill>
                <a:schemeClr val="accent1">
                  <a:lumMod val="75000"/>
                </a:schemeClr>
              </a:solidFill>
              <a:round/>
            </a:ln>
            <a:effectLst/>
          </c:spPr>
          <c:marker>
            <c:symbol val="none"/>
          </c:marker>
          <c:dPt>
            <c:idx val="8"/>
            <c:marker>
              <c:symbol val="none"/>
            </c:marker>
            <c:bubble3D val="0"/>
            <c:extLst>
              <c:ext xmlns:c16="http://schemas.microsoft.com/office/drawing/2014/chart" uri="{C3380CC4-5D6E-409C-BE32-E72D297353CC}">
                <c16:uniqueId val="{00000011-1E40-45CE-A3A9-4DEE5B90F3B3}"/>
              </c:ext>
            </c:extLst>
          </c:dPt>
          <c:dLbls>
            <c:dLbl>
              <c:idx val="10"/>
              <c:layout>
                <c:manualLayout>
                  <c:x val="-3.6784306290667132E-2"/>
                  <c:y val="-7.35369297836474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E40-45CE-A3A9-4DEE5B90F3B3}"/>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2021'!$N$108:$Y$109</c:f>
              <c:multiLvlStrCache>
                <c:ptCount val="12"/>
                <c:lvl>
                  <c:pt idx="0">
                    <c:v>1</c:v>
                  </c:pt>
                  <c:pt idx="1">
                    <c:v>2</c:v>
                  </c:pt>
                  <c:pt idx="2">
                    <c:v>3</c:v>
                  </c:pt>
                  <c:pt idx="3">
                    <c:v>4</c:v>
                  </c:pt>
                  <c:pt idx="4">
                    <c:v>5</c:v>
                  </c:pt>
                  <c:pt idx="5">
                    <c:v>6</c:v>
                  </c:pt>
                  <c:pt idx="6">
                    <c:v>7</c:v>
                  </c:pt>
                  <c:pt idx="7">
                    <c:v>8</c:v>
                  </c:pt>
                  <c:pt idx="8">
                    <c:v>9</c:v>
                  </c:pt>
                  <c:pt idx="9">
                    <c:v>10</c:v>
                  </c:pt>
                  <c:pt idx="10">
                    <c:v>11</c:v>
                  </c:pt>
                  <c:pt idx="11">
                    <c:v>12</c:v>
                  </c:pt>
                </c:lvl>
                <c:lvl>
                  <c:pt idx="0">
                    <c:v>2021</c:v>
                  </c:pt>
                </c:lvl>
              </c:multiLvlStrCache>
            </c:multiLvlStrRef>
          </c:cat>
          <c:val>
            <c:numRef>
              <c:f>'Прогноз Зарплати 2021'!$N$110:$Y$110</c:f>
              <c:numCache>
                <c:formatCode>_(* #\ ##0_);_(* \(#\ ##0\);_(* "-"??_);_(@_)</c:formatCode>
                <c:ptCount val="12"/>
                <c:pt idx="0">
                  <c:v>12337</c:v>
                </c:pt>
                <c:pt idx="1">
                  <c:v>12549</c:v>
                </c:pt>
                <c:pt idx="2">
                  <c:v>13612</c:v>
                </c:pt>
                <c:pt idx="3">
                  <c:v>13543</c:v>
                </c:pt>
                <c:pt idx="4">
                  <c:v>13499</c:v>
                </c:pt>
                <c:pt idx="5">
                  <c:v>14313</c:v>
                </c:pt>
                <c:pt idx="6">
                  <c:v>14345</c:v>
                </c:pt>
                <c:pt idx="7">
                  <c:v>13997</c:v>
                </c:pt>
                <c:pt idx="8">
                  <c:v>14239</c:v>
                </c:pt>
                <c:pt idx="9">
                  <c:v>14045</c:v>
                </c:pt>
                <c:pt idx="10">
                  <c:v>14300.160072592294</c:v>
                </c:pt>
                <c:pt idx="11">
                  <c:v>17453</c:v>
                </c:pt>
              </c:numCache>
            </c:numRef>
          </c:val>
          <c:smooth val="0"/>
          <c:extLst>
            <c:ext xmlns:c16="http://schemas.microsoft.com/office/drawing/2014/chart" uri="{C3380CC4-5D6E-409C-BE32-E72D297353CC}">
              <c16:uniqueId val="{0000001C-1E40-45CE-A3A9-4DEE5B90F3B3}"/>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17000"/>
          <c:min val="800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lumMod val="75000"/>
                  </a:schemeClr>
                </a:solidFill>
                <a:latin typeface="+mn-lt"/>
                <a:ea typeface="+mn-ea"/>
                <a:cs typeface="+mn-cs"/>
              </a:defRPr>
            </a:pPr>
            <a:endParaRPr lang="en-US"/>
          </a:p>
        </c:txPr>
        <c:crossAx val="554934728"/>
        <c:crosses val="autoZero"/>
        <c:crossBetween val="between"/>
      </c:valAx>
      <c:valAx>
        <c:axId val="554922248"/>
        <c:scaling>
          <c:orientation val="minMax"/>
          <c:max val="700"/>
          <c:min val="350"/>
        </c:scaling>
        <c:delete val="0"/>
        <c:axPos val="r"/>
        <c:numFmt formatCode="_(* #\ ##0_);_(* \(#\ ##0\);_(* &quot;-&quot;??_);_(@_)"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Зп в Києві і в Укр грн</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28515879265091865"/>
                  <c:y val="-5.6400554097404514E-2"/>
                </c:manualLayout>
              </c:layout>
              <c:numFmt formatCode="General" sourceLinked="0"/>
              <c:spPr>
                <a:noFill/>
                <a:ln>
                  <a:noFill/>
                </a:ln>
                <a:effectLst/>
              </c:spPr>
              <c:txPr>
                <a:bodyPr rot="0" spcFirstLastPara="1" vertOverflow="ellipsis" vert="horz" wrap="square" anchor="ctr" anchorCtr="1"/>
                <a:lstStyle/>
                <a:p>
                  <a:pPr>
                    <a:defRPr sz="1600" b="1" i="0" u="none" strike="noStrike" kern="1200" baseline="0">
                      <a:solidFill>
                        <a:schemeClr val="accent4"/>
                      </a:solidFill>
                      <a:latin typeface="+mn-lt"/>
                      <a:ea typeface="+mn-ea"/>
                      <a:cs typeface="+mn-cs"/>
                    </a:defRPr>
                  </a:pPr>
                  <a:endParaRPr lang="en-US"/>
                </a:p>
              </c:txPr>
            </c:trendlineLbl>
          </c:trendline>
          <c:xVal>
            <c:numRef>
              <c:f>'Прогноз Зарплати 2021'!$B$29:$AX$29</c:f>
              <c:numCache>
                <c:formatCode>_(* #\ ##0_);_(* \(#\ ##0\);_(* "-"??_);_(@_)</c:formatCode>
                <c:ptCount val="49"/>
                <c:pt idx="0">
                  <c:v>6008</c:v>
                </c:pt>
                <c:pt idx="1">
                  <c:v>6209</c:v>
                </c:pt>
                <c:pt idx="2">
                  <c:v>6752</c:v>
                </c:pt>
                <c:pt idx="3">
                  <c:v>6659</c:v>
                </c:pt>
                <c:pt idx="4">
                  <c:v>6840</c:v>
                </c:pt>
                <c:pt idx="5">
                  <c:v>7360</c:v>
                </c:pt>
                <c:pt idx="6">
                  <c:v>7339</c:v>
                </c:pt>
                <c:pt idx="7">
                  <c:v>7114</c:v>
                </c:pt>
                <c:pt idx="8">
                  <c:v>7351</c:v>
                </c:pt>
                <c:pt idx="9">
                  <c:v>7377</c:v>
                </c:pt>
                <c:pt idx="10">
                  <c:v>7479</c:v>
                </c:pt>
                <c:pt idx="11">
                  <c:v>8777</c:v>
                </c:pt>
                <c:pt idx="12">
                  <c:v>7711.47</c:v>
                </c:pt>
                <c:pt idx="13">
                  <c:v>7828.16</c:v>
                </c:pt>
                <c:pt idx="14">
                  <c:v>8381.94</c:v>
                </c:pt>
                <c:pt idx="15">
                  <c:v>8480.24</c:v>
                </c:pt>
                <c:pt idx="16">
                  <c:v>8724.75</c:v>
                </c:pt>
                <c:pt idx="17">
                  <c:v>9141.17</c:v>
                </c:pt>
                <c:pt idx="18">
                  <c:v>9170.2800000000007</c:v>
                </c:pt>
                <c:pt idx="19">
                  <c:v>8977.2800000000007</c:v>
                </c:pt>
                <c:pt idx="20">
                  <c:v>9042</c:v>
                </c:pt>
                <c:pt idx="21">
                  <c:v>9218</c:v>
                </c:pt>
                <c:pt idx="22">
                  <c:v>9161</c:v>
                </c:pt>
                <c:pt idx="23">
                  <c:v>10573</c:v>
                </c:pt>
                <c:pt idx="24">
                  <c:v>9223</c:v>
                </c:pt>
                <c:pt idx="25">
                  <c:v>9429</c:v>
                </c:pt>
                <c:pt idx="26">
                  <c:v>10237</c:v>
                </c:pt>
                <c:pt idx="27">
                  <c:v>10269</c:v>
                </c:pt>
                <c:pt idx="28">
                  <c:v>10239</c:v>
                </c:pt>
                <c:pt idx="29">
                  <c:v>10783</c:v>
                </c:pt>
                <c:pt idx="30">
                  <c:v>10971</c:v>
                </c:pt>
                <c:pt idx="31">
                  <c:v>10537</c:v>
                </c:pt>
                <c:pt idx="32">
                  <c:v>10687.06</c:v>
                </c:pt>
                <c:pt idx="33">
                  <c:v>10727.34</c:v>
                </c:pt>
                <c:pt idx="34">
                  <c:v>10679.14</c:v>
                </c:pt>
                <c:pt idx="35">
                  <c:v>12263.61</c:v>
                </c:pt>
                <c:pt idx="36">
                  <c:v>10727</c:v>
                </c:pt>
                <c:pt idx="37">
                  <c:v>10847</c:v>
                </c:pt>
                <c:pt idx="38">
                  <c:v>11446</c:v>
                </c:pt>
                <c:pt idx="39">
                  <c:v>10430</c:v>
                </c:pt>
                <c:pt idx="40">
                  <c:v>10542</c:v>
                </c:pt>
                <c:pt idx="41">
                  <c:v>11579</c:v>
                </c:pt>
                <c:pt idx="42">
                  <c:v>11804</c:v>
                </c:pt>
                <c:pt idx="43">
                  <c:v>11446</c:v>
                </c:pt>
                <c:pt idx="44">
                  <c:v>11988</c:v>
                </c:pt>
                <c:pt idx="45" formatCode="0">
                  <c:v>12174</c:v>
                </c:pt>
                <c:pt idx="46" formatCode="0">
                  <c:v>11987.410099999999</c:v>
                </c:pt>
                <c:pt idx="47" formatCode="General">
                  <c:v>14179</c:v>
                </c:pt>
                <c:pt idx="48">
                  <c:v>12337</c:v>
                </c:pt>
              </c:numCache>
            </c:numRef>
          </c:xVal>
          <c:yVal>
            <c:numRef>
              <c:f>'Прогноз Зарплати 2021'!$B$47:$AX$47</c:f>
              <c:numCache>
                <c:formatCode>General</c:formatCode>
                <c:ptCount val="49"/>
                <c:pt idx="0">
                  <c:v>9292</c:v>
                </c:pt>
                <c:pt idx="1">
                  <c:v>9832</c:v>
                </c:pt>
                <c:pt idx="2">
                  <c:v>11010</c:v>
                </c:pt>
                <c:pt idx="3">
                  <c:v>10788</c:v>
                </c:pt>
                <c:pt idx="4">
                  <c:v>10558</c:v>
                </c:pt>
                <c:pt idx="5">
                  <c:v>11091</c:v>
                </c:pt>
                <c:pt idx="6">
                  <c:v>11412</c:v>
                </c:pt>
                <c:pt idx="7">
                  <c:v>11073</c:v>
                </c:pt>
                <c:pt idx="8">
                  <c:v>11423</c:v>
                </c:pt>
                <c:pt idx="9">
                  <c:v>11454</c:v>
                </c:pt>
                <c:pt idx="10">
                  <c:v>11643</c:v>
                </c:pt>
                <c:pt idx="11">
                  <c:v>14035</c:v>
                </c:pt>
                <c:pt idx="12">
                  <c:v>11668</c:v>
                </c:pt>
                <c:pt idx="13">
                  <c:v>12124</c:v>
                </c:pt>
                <c:pt idx="14">
                  <c:v>13388</c:v>
                </c:pt>
                <c:pt idx="15">
                  <c:v>13150</c:v>
                </c:pt>
                <c:pt idx="16">
                  <c:v>13286</c:v>
                </c:pt>
                <c:pt idx="17">
                  <c:v>13553</c:v>
                </c:pt>
                <c:pt idx="18">
                  <c:v>13836</c:v>
                </c:pt>
                <c:pt idx="19">
                  <c:v>13659</c:v>
                </c:pt>
                <c:pt idx="20">
                  <c:v>13614</c:v>
                </c:pt>
                <c:pt idx="21">
                  <c:v>13850</c:v>
                </c:pt>
                <c:pt idx="22">
                  <c:v>13897</c:v>
                </c:pt>
                <c:pt idx="23">
                  <c:v>16546</c:v>
                </c:pt>
                <c:pt idx="24">
                  <c:v>13721</c:v>
                </c:pt>
                <c:pt idx="25">
                  <c:v>14513</c:v>
                </c:pt>
                <c:pt idx="26">
                  <c:v>16207</c:v>
                </c:pt>
                <c:pt idx="27">
                  <c:v>15876</c:v>
                </c:pt>
                <c:pt idx="28">
                  <c:v>15157</c:v>
                </c:pt>
                <c:pt idx="29">
                  <c:v>15650</c:v>
                </c:pt>
                <c:pt idx="30">
                  <c:v>16249</c:v>
                </c:pt>
                <c:pt idx="31">
                  <c:v>15694</c:v>
                </c:pt>
                <c:pt idx="32">
                  <c:v>15626</c:v>
                </c:pt>
                <c:pt idx="33">
                  <c:v>15862</c:v>
                </c:pt>
                <c:pt idx="34">
                  <c:v>15974</c:v>
                </c:pt>
                <c:pt idx="35">
                  <c:v>18869</c:v>
                </c:pt>
                <c:pt idx="36">
                  <c:v>15787</c:v>
                </c:pt>
                <c:pt idx="37">
                  <c:v>16447</c:v>
                </c:pt>
                <c:pt idx="38">
                  <c:v>17990</c:v>
                </c:pt>
                <c:pt idx="39">
                  <c:v>15278</c:v>
                </c:pt>
                <c:pt idx="40">
                  <c:v>15191</c:v>
                </c:pt>
                <c:pt idx="41">
                  <c:v>16393</c:v>
                </c:pt>
                <c:pt idx="42">
                  <c:v>17053</c:v>
                </c:pt>
                <c:pt idx="43">
                  <c:v>16795</c:v>
                </c:pt>
                <c:pt idx="44">
                  <c:v>17253</c:v>
                </c:pt>
                <c:pt idx="45">
                  <c:v>17494</c:v>
                </c:pt>
                <c:pt idx="46">
                  <c:v>17582</c:v>
                </c:pt>
                <c:pt idx="47">
                  <c:v>21812</c:v>
                </c:pt>
                <c:pt idx="48">
                  <c:v>17533</c:v>
                </c:pt>
              </c:numCache>
            </c:numRef>
          </c:yVal>
          <c:smooth val="0"/>
          <c:extLst>
            <c:ext xmlns:c16="http://schemas.microsoft.com/office/drawing/2014/chart" uri="{C3380CC4-5D6E-409C-BE32-E72D297353CC}">
              <c16:uniqueId val="{00000000-689D-4025-A8AA-7D1FD43D4351}"/>
            </c:ext>
          </c:extLst>
        </c:ser>
        <c:dLbls>
          <c:showLegendKey val="0"/>
          <c:showVal val="0"/>
          <c:showCatName val="0"/>
          <c:showSerName val="0"/>
          <c:showPercent val="0"/>
          <c:showBubbleSize val="0"/>
        </c:dLbls>
        <c:axId val="1298551856"/>
        <c:axId val="1298547056"/>
      </c:scatterChart>
      <c:valAx>
        <c:axId val="1298551856"/>
        <c:scaling>
          <c:orientation val="minMax"/>
        </c:scaling>
        <c:delete val="0"/>
        <c:axPos val="b"/>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47056"/>
        <c:crosses val="autoZero"/>
        <c:crossBetween val="midCat"/>
      </c:valAx>
      <c:valAx>
        <c:axId val="129854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518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0" i="0" baseline="0">
                <a:effectLst/>
              </a:rPr>
              <a:t>Зп в Києві і в Укр </a:t>
            </a:r>
            <a:r>
              <a:rPr lang="en-US" sz="1800" b="0" i="0" baseline="0">
                <a:effectLst/>
              </a:rPr>
              <a:t>$</a:t>
            </a:r>
            <a:endParaRPr lang="ru-RU">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28515879265091865"/>
                  <c:y val="-5.6400554097404514E-2"/>
                </c:manualLayout>
              </c:layout>
              <c:numFmt formatCode="General" sourceLinked="0"/>
              <c:spPr>
                <a:noFill/>
                <a:ln>
                  <a:noFill/>
                </a:ln>
                <a:effectLst/>
              </c:spPr>
              <c:txPr>
                <a:bodyPr rot="0" spcFirstLastPara="1" vertOverflow="ellipsis" vert="horz" wrap="square" anchor="ctr" anchorCtr="1"/>
                <a:lstStyle/>
                <a:p>
                  <a:pPr>
                    <a:defRPr sz="1600" b="1" i="0" u="none" strike="noStrike" kern="1200" baseline="0">
                      <a:solidFill>
                        <a:schemeClr val="accent4"/>
                      </a:solidFill>
                      <a:latin typeface="+mn-lt"/>
                      <a:ea typeface="+mn-ea"/>
                      <a:cs typeface="+mn-cs"/>
                    </a:defRPr>
                  </a:pPr>
                  <a:endParaRPr lang="en-US"/>
                </a:p>
              </c:txPr>
            </c:trendlineLbl>
          </c:trendline>
          <c:xVal>
            <c:numRef>
              <c:f>'Прогноз Зарплати 2021'!$B$41:$AX$41</c:f>
              <c:numCache>
                <c:formatCode>_(* #\ ##0_);_(* \(#\ ##0\);_(* "-"??_);_(@_)</c:formatCode>
                <c:ptCount val="49"/>
                <c:pt idx="0">
                  <c:v>221.28414716451314</c:v>
                </c:pt>
                <c:pt idx="1">
                  <c:v>229.72667570666297</c:v>
                </c:pt>
                <c:pt idx="2">
                  <c:v>250.05960377908121</c:v>
                </c:pt>
                <c:pt idx="3">
                  <c:v>247.94440442296315</c:v>
                </c:pt>
                <c:pt idx="4">
                  <c:v>258.85859330866435</c:v>
                </c:pt>
                <c:pt idx="5">
                  <c:v>281.89666330933443</c:v>
                </c:pt>
                <c:pt idx="6">
                  <c:v>282.60275391116312</c:v>
                </c:pt>
                <c:pt idx="7">
                  <c:v>277.50827692149477</c:v>
                </c:pt>
                <c:pt idx="8">
                  <c:v>281.55466018713815</c:v>
                </c:pt>
                <c:pt idx="9">
                  <c:v>276.75881968372681</c:v>
                </c:pt>
                <c:pt idx="10">
                  <c:v>280.05703377656954</c:v>
                </c:pt>
                <c:pt idx="11">
                  <c:v>318.97216102344254</c:v>
                </c:pt>
                <c:pt idx="12">
                  <c:v>271.20281632043213</c:v>
                </c:pt>
                <c:pt idx="13">
                  <c:v>288.10664935370164</c:v>
                </c:pt>
                <c:pt idx="14">
                  <c:v>318.2064025589483</c:v>
                </c:pt>
                <c:pt idx="15">
                  <c:v>324.27047768457891</c:v>
                </c:pt>
                <c:pt idx="16">
                  <c:v>333.24453457573924</c:v>
                </c:pt>
                <c:pt idx="17">
                  <c:v>348.87071708922053</c:v>
                </c:pt>
                <c:pt idx="18">
                  <c:v>347.35005955288688</c:v>
                </c:pt>
                <c:pt idx="19">
                  <c:v>326.65787489872628</c:v>
                </c:pt>
                <c:pt idx="20">
                  <c:v>320.73761924264335</c:v>
                </c:pt>
                <c:pt idx="21">
                  <c:v>327.72335024168359</c:v>
                </c:pt>
                <c:pt idx="22">
                  <c:v>327.95749233670392</c:v>
                </c:pt>
                <c:pt idx="23">
                  <c:v>380.4723892474583</c:v>
                </c:pt>
                <c:pt idx="24">
                  <c:v>330.82040627098911</c:v>
                </c:pt>
                <c:pt idx="25">
                  <c:v>335.26114757887473</c:v>
                </c:pt>
                <c:pt idx="26">
                  <c:v>381.07420188018102</c:v>
                </c:pt>
                <c:pt idx="27">
                  <c:v>383.00735878763174</c:v>
                </c:pt>
                <c:pt idx="28">
                  <c:v>388.15190537089643</c:v>
                </c:pt>
                <c:pt idx="29">
                  <c:v>406.9039616172974</c:v>
                </c:pt>
                <c:pt idx="30">
                  <c:v>426.03582743831959</c:v>
                </c:pt>
                <c:pt idx="31">
                  <c:v>417.35668931454512</c:v>
                </c:pt>
                <c:pt idx="32">
                  <c:v>431.45656076307404</c:v>
                </c:pt>
                <c:pt idx="33">
                  <c:v>432.41094405698499</c:v>
                </c:pt>
                <c:pt idx="34">
                  <c:v>438.25307618279879</c:v>
                </c:pt>
                <c:pt idx="35">
                  <c:v>519.43682400599153</c:v>
                </c:pt>
                <c:pt idx="36">
                  <c:v>444.74661558734994</c:v>
                </c:pt>
                <c:pt idx="37">
                  <c:v>440.99727014974906</c:v>
                </c:pt>
                <c:pt idx="38">
                  <c:v>433.35880615710346</c:v>
                </c:pt>
                <c:pt idx="39">
                  <c:v>383.10864319545681</c:v>
                </c:pt>
                <c:pt idx="40">
                  <c:v>393.14800632593904</c:v>
                </c:pt>
                <c:pt idx="41">
                  <c:v>433.55117188119181</c:v>
                </c:pt>
                <c:pt idx="42">
                  <c:v>432.17770680927566</c:v>
                </c:pt>
                <c:pt idx="43">
                  <c:v>415.8942477647908</c:v>
                </c:pt>
                <c:pt idx="44">
                  <c:v>428.70052507589355</c:v>
                </c:pt>
                <c:pt idx="45">
                  <c:v>433.23843416370107</c:v>
                </c:pt>
                <c:pt idx="46">
                  <c:v>426.59822419928821</c:v>
                </c:pt>
                <c:pt idx="47">
                  <c:v>502.80141843971631</c:v>
                </c:pt>
                <c:pt idx="48">
                  <c:v>437.17576638387527</c:v>
                </c:pt>
              </c:numCache>
            </c:numRef>
          </c:xVal>
          <c:yVal>
            <c:numRef>
              <c:f>'Прогноз Зарплати 2021'!$B$49:$AX$49</c:f>
              <c:numCache>
                <c:formatCode>_(* #\ ##0_);_(* \(#\ ##0\);_(* "-"??_);_(@_)</c:formatCode>
                <c:ptCount val="49"/>
                <c:pt idx="0">
                  <c:v>342.23906382367778</c:v>
                </c:pt>
                <c:pt idx="1">
                  <c:v>363.77398543210023</c:v>
                </c:pt>
                <c:pt idx="2">
                  <c:v>407.75418211014278</c:v>
                </c:pt>
                <c:pt idx="3">
                  <c:v>401.68557364693294</c:v>
                </c:pt>
                <c:pt idx="4">
                  <c:v>399.56564739077169</c:v>
                </c:pt>
                <c:pt idx="5">
                  <c:v>424.79835499508533</c:v>
                </c:pt>
                <c:pt idx="6">
                  <c:v>439.44169881921152</c:v>
                </c:pt>
                <c:pt idx="7">
                  <c:v>431.94393454480064</c:v>
                </c:pt>
                <c:pt idx="8">
                  <c:v>437.5185530292041</c:v>
                </c:pt>
                <c:pt idx="9">
                  <c:v>429.71336866712852</c:v>
                </c:pt>
                <c:pt idx="10">
                  <c:v>435.9812868378927</c:v>
                </c:pt>
                <c:pt idx="11">
                  <c:v>510.05745470707717</c:v>
                </c:pt>
                <c:pt idx="12">
                  <c:v>410.34905936569839</c:v>
                </c:pt>
                <c:pt idx="13">
                  <c:v>446.21022267867278</c:v>
                </c:pt>
                <c:pt idx="14">
                  <c:v>508.25313918486643</c:v>
                </c:pt>
                <c:pt idx="15">
                  <c:v>502.834445906273</c:v>
                </c:pt>
                <c:pt idx="16">
                  <c:v>507.46289422313203</c:v>
                </c:pt>
                <c:pt idx="17">
                  <c:v>517.24722641742869</c:v>
                </c:pt>
                <c:pt idx="18">
                  <c:v>524.07728269733775</c:v>
                </c:pt>
                <c:pt idx="19">
                  <c:v>497.012448452282</c:v>
                </c:pt>
                <c:pt idx="20">
                  <c:v>482.91549970906283</c:v>
                </c:pt>
                <c:pt idx="21">
                  <c:v>492.4027338736513</c:v>
                </c:pt>
                <c:pt idx="22">
                  <c:v>497.50303143796248</c:v>
                </c:pt>
                <c:pt idx="23">
                  <c:v>595.41248013699476</c:v>
                </c:pt>
                <c:pt idx="24">
                  <c:v>492.15947028561652</c:v>
                </c:pt>
                <c:pt idx="25">
                  <c:v>516.02980536771759</c:v>
                </c:pt>
                <c:pt idx="26">
                  <c:v>603.30854643666055</c:v>
                </c:pt>
                <c:pt idx="27">
                  <c:v>592.13407616247366</c:v>
                </c:pt>
                <c:pt idx="28">
                  <c:v>574.58916199889416</c:v>
                </c:pt>
                <c:pt idx="29">
                  <c:v>590.56357222579095</c:v>
                </c:pt>
                <c:pt idx="30">
                  <c:v>630.99591286530438</c:v>
                </c:pt>
                <c:pt idx="31">
                  <c:v>621.61866585389305</c:v>
                </c:pt>
                <c:pt idx="32">
                  <c:v>630.85078763324941</c:v>
                </c:pt>
                <c:pt idx="33">
                  <c:v>639.38519657546942</c:v>
                </c:pt>
                <c:pt idx="34">
                  <c:v>655.54479470669253</c:v>
                </c:pt>
                <c:pt idx="35">
                  <c:v>799.21437750948166</c:v>
                </c:pt>
                <c:pt idx="36">
                  <c:v>654.536666381793</c:v>
                </c:pt>
                <c:pt idx="37">
                  <c:v>668.67171588023621</c:v>
                </c:pt>
                <c:pt idx="38">
                  <c:v>681.1222193575303</c:v>
                </c:pt>
                <c:pt idx="39">
                  <c:v>561.18253602494622</c:v>
                </c:pt>
                <c:pt idx="40">
                  <c:v>566.52545665882565</c:v>
                </c:pt>
                <c:pt idx="41">
                  <c:v>613.80122295952822</c:v>
                </c:pt>
                <c:pt idx="42">
                  <c:v>624.35838988635862</c:v>
                </c:pt>
                <c:pt idx="43">
                  <c:v>610.25195624756793</c:v>
                </c:pt>
                <c:pt idx="44">
                  <c:v>616.98116108895488</c:v>
                </c:pt>
                <c:pt idx="45">
                  <c:v>622.56227758007117</c:v>
                </c:pt>
                <c:pt idx="46">
                  <c:v>625.6939501779359</c:v>
                </c:pt>
                <c:pt idx="47">
                  <c:v>773.47517730496452</c:v>
                </c:pt>
                <c:pt idx="48">
                  <c:v>621.30199497515491</c:v>
                </c:pt>
              </c:numCache>
            </c:numRef>
          </c:yVal>
          <c:smooth val="0"/>
          <c:extLst>
            <c:ext xmlns:c16="http://schemas.microsoft.com/office/drawing/2014/chart" uri="{C3380CC4-5D6E-409C-BE32-E72D297353CC}">
              <c16:uniqueId val="{00000002-E53D-49FD-8F10-DF4DB2B2AF7A}"/>
            </c:ext>
          </c:extLst>
        </c:ser>
        <c:dLbls>
          <c:showLegendKey val="0"/>
          <c:showVal val="0"/>
          <c:showCatName val="0"/>
          <c:showSerName val="0"/>
          <c:showPercent val="0"/>
          <c:showBubbleSize val="0"/>
        </c:dLbls>
        <c:axId val="1298551856"/>
        <c:axId val="1298547056"/>
      </c:scatterChart>
      <c:valAx>
        <c:axId val="1298551856"/>
        <c:scaling>
          <c:orientation val="minMax"/>
        </c:scaling>
        <c:delete val="0"/>
        <c:axPos val="b"/>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47056"/>
        <c:crosses val="autoZero"/>
        <c:crossBetween val="midCat"/>
      </c:valAx>
      <c:valAx>
        <c:axId val="1298547056"/>
        <c:scaling>
          <c:orientation val="minMax"/>
        </c:scaling>
        <c:delete val="0"/>
        <c:axPos val="l"/>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518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rgbClr val="4CA2C1"/>
                </a:solidFill>
                <a:latin typeface="+mn-lt"/>
                <a:ea typeface="+mn-ea"/>
                <a:cs typeface="+mn-cs"/>
              </a:defRPr>
            </a:pPr>
            <a:r>
              <a:rPr lang="ru-RU" sz="2000">
                <a:solidFill>
                  <a:srgbClr val="4CA2C1"/>
                </a:solidFill>
              </a:rPr>
              <a:t>Прогноз середньої зарплати в Києві в 2021 році</a:t>
            </a: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4CA2C1"/>
              </a:solidFill>
              <a:latin typeface="+mn-lt"/>
              <a:ea typeface="+mn-ea"/>
              <a:cs typeface="+mn-cs"/>
            </a:defRPr>
          </a:pPr>
          <a:endParaRPr lang="en-US"/>
        </a:p>
      </c:txPr>
    </c:title>
    <c:autoTitleDeleted val="0"/>
    <c:plotArea>
      <c:layout/>
      <c:barChart>
        <c:barDir val="col"/>
        <c:grouping val="clustered"/>
        <c:varyColors val="0"/>
        <c:ser>
          <c:idx val="1"/>
          <c:order val="1"/>
          <c:tx>
            <c:strRef>
              <c:f>'Прогноз Зарплати 2021'!$A$120</c:f>
              <c:strCache>
                <c:ptCount val="1"/>
                <c:pt idx="0">
                  <c:v>USD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5"/>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2021'!$B$108:$M$109</c:f>
              <c:multiLvlStrCache>
                <c:ptCount val="12"/>
                <c:lvl>
                  <c:pt idx="0">
                    <c:v>1</c:v>
                  </c:pt>
                  <c:pt idx="1">
                    <c:v>2</c:v>
                  </c:pt>
                  <c:pt idx="2">
                    <c:v>3</c:v>
                  </c:pt>
                  <c:pt idx="3">
                    <c:v>4</c:v>
                  </c:pt>
                  <c:pt idx="4">
                    <c:v>5</c:v>
                  </c:pt>
                  <c:pt idx="5">
                    <c:v>6</c:v>
                  </c:pt>
                  <c:pt idx="6">
                    <c:v>7</c:v>
                  </c:pt>
                  <c:pt idx="7">
                    <c:v>8</c:v>
                  </c:pt>
                  <c:pt idx="8">
                    <c:v>9</c:v>
                  </c:pt>
                  <c:pt idx="9">
                    <c:v>10</c:v>
                  </c:pt>
                  <c:pt idx="10">
                    <c:v>11</c:v>
                  </c:pt>
                  <c:pt idx="11">
                    <c:v>12</c:v>
                  </c:pt>
                </c:lvl>
                <c:lvl>
                  <c:pt idx="0">
                    <c:v>2020</c:v>
                  </c:pt>
                </c:lvl>
              </c:multiLvlStrCache>
            </c:multiLvlStrRef>
          </c:cat>
          <c:val>
            <c:numRef>
              <c:f>'Прогноз Зарплати 2021'!$AL$49:$BI$49</c:f>
              <c:numCache>
                <c:formatCode>_(* #\ ##0_);_(* \(#\ ##0\);_(* "-"??_);_(@_)</c:formatCode>
                <c:ptCount val="24"/>
                <c:pt idx="0">
                  <c:v>654.536666381793</c:v>
                </c:pt>
                <c:pt idx="1">
                  <c:v>668.67171588023621</c:v>
                </c:pt>
                <c:pt idx="2">
                  <c:v>681.1222193575303</c:v>
                </c:pt>
                <c:pt idx="3">
                  <c:v>561.18253602494622</c:v>
                </c:pt>
                <c:pt idx="4">
                  <c:v>566.52545665882565</c:v>
                </c:pt>
                <c:pt idx="5">
                  <c:v>613.80122295952822</c:v>
                </c:pt>
                <c:pt idx="6">
                  <c:v>624.35838988635862</c:v>
                </c:pt>
                <c:pt idx="7">
                  <c:v>610.25195624756793</c:v>
                </c:pt>
                <c:pt idx="8">
                  <c:v>616.98116108895488</c:v>
                </c:pt>
                <c:pt idx="9">
                  <c:v>622.56227758007117</c:v>
                </c:pt>
                <c:pt idx="10">
                  <c:v>625.6939501779359</c:v>
                </c:pt>
                <c:pt idx="11">
                  <c:v>773.47517730496452</c:v>
                </c:pt>
                <c:pt idx="12">
                  <c:v>621.30199497515491</c:v>
                </c:pt>
                <c:pt idx="13">
                  <c:v>663.59064539451765</c:v>
                </c:pt>
                <c:pt idx="14">
                  <c:v>724.28839001079734</c:v>
                </c:pt>
                <c:pt idx="15">
                  <c:v>731.18510562119582</c:v>
                </c:pt>
                <c:pt idx="16">
                  <c:v>698.80434782608688</c:v>
                </c:pt>
                <c:pt idx="17">
                  <c:v>750.92125979048888</c:v>
                </c:pt>
                <c:pt idx="18">
                  <c:v>770.02931306902894</c:v>
                </c:pt>
                <c:pt idx="19">
                  <c:v>754.25405595630957</c:v>
                </c:pt>
                <c:pt idx="20">
                  <c:v>758.69156174107275</c:v>
                </c:pt>
                <c:pt idx="21">
                  <c:v>760.07640778631753</c:v>
                </c:pt>
                <c:pt idx="22">
                  <c:v>779.61789825852122</c:v>
                </c:pt>
                <c:pt idx="23">
                  <c:v>959.12771863926582</c:v>
                </c:pt>
              </c:numCache>
            </c:numRef>
          </c:val>
          <c:extLst>
            <c:ext xmlns:c16="http://schemas.microsoft.com/office/drawing/2014/chart" uri="{C3380CC4-5D6E-409C-BE32-E72D297353CC}">
              <c16:uniqueId val="{0000000B-F068-4371-B41F-2583FC47E60E}"/>
            </c:ext>
          </c:extLst>
        </c:ser>
        <c:dLbls>
          <c:showLegendKey val="0"/>
          <c:showVal val="1"/>
          <c:showCatName val="0"/>
          <c:showSerName val="0"/>
          <c:showPercent val="0"/>
          <c:showBubbleSize val="0"/>
        </c:dLbls>
        <c:gapWidth val="219"/>
        <c:axId val="554919048"/>
        <c:axId val="554922248"/>
      </c:barChart>
      <c:lineChart>
        <c:grouping val="standard"/>
        <c:varyColors val="0"/>
        <c:ser>
          <c:idx val="0"/>
          <c:order val="0"/>
          <c:tx>
            <c:strRef>
              <c:f>'Прогноз Зарплати 2021'!$A$119</c:f>
              <c:strCache>
                <c:ptCount val="1"/>
                <c:pt idx="0">
                  <c:v>UAH</c:v>
                </c:pt>
              </c:strCache>
            </c:strRef>
          </c:tx>
          <c:spPr>
            <a:ln w="28575" cap="rnd">
              <a:solidFill>
                <a:schemeClr val="accent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C-F068-4371-B41F-2583FC47E60E}"/>
                </c:ext>
              </c:extLst>
            </c:dLbl>
            <c:dLbl>
              <c:idx val="3"/>
              <c:delete val="1"/>
              <c:extLst>
                <c:ext xmlns:c15="http://schemas.microsoft.com/office/drawing/2012/chart" uri="{CE6537A1-D6FC-4f65-9D91-7224C49458BB}"/>
                <c:ext xmlns:c16="http://schemas.microsoft.com/office/drawing/2014/chart" uri="{C3380CC4-5D6E-409C-BE32-E72D297353CC}">
                  <c16:uniqueId val="{0000000D-F068-4371-B41F-2583FC47E60E}"/>
                </c:ext>
              </c:extLst>
            </c:dLbl>
            <c:dLbl>
              <c:idx val="5"/>
              <c:delete val="1"/>
              <c:extLst>
                <c:ext xmlns:c15="http://schemas.microsoft.com/office/drawing/2012/chart" uri="{CE6537A1-D6FC-4f65-9D91-7224C49458BB}"/>
                <c:ext xmlns:c16="http://schemas.microsoft.com/office/drawing/2014/chart" uri="{C3380CC4-5D6E-409C-BE32-E72D297353CC}">
                  <c16:uniqueId val="{0000000F-F068-4371-B41F-2583FC47E60E}"/>
                </c:ext>
              </c:extLst>
            </c:dLbl>
            <c:dLbl>
              <c:idx val="7"/>
              <c:delete val="1"/>
              <c:extLst>
                <c:ext xmlns:c15="http://schemas.microsoft.com/office/drawing/2012/chart" uri="{CE6537A1-D6FC-4f65-9D91-7224C49458BB}"/>
                <c:ext xmlns:c16="http://schemas.microsoft.com/office/drawing/2014/chart" uri="{C3380CC4-5D6E-409C-BE32-E72D297353CC}">
                  <c16:uniqueId val="{00000010-F068-4371-B41F-2583FC47E60E}"/>
                </c:ext>
              </c:extLst>
            </c:dLbl>
            <c:dLbl>
              <c:idx val="9"/>
              <c:delete val="1"/>
              <c:extLst>
                <c:ext xmlns:c15="http://schemas.microsoft.com/office/drawing/2012/chart" uri="{CE6537A1-D6FC-4f65-9D91-7224C49458BB}"/>
                <c:ext xmlns:c16="http://schemas.microsoft.com/office/drawing/2014/chart" uri="{C3380CC4-5D6E-409C-BE32-E72D297353CC}">
                  <c16:uniqueId val="{00000012-F068-4371-B41F-2583FC47E60E}"/>
                </c:ext>
              </c:extLst>
            </c:dLbl>
            <c:dLbl>
              <c:idx val="10"/>
              <c:layout>
                <c:manualLayout>
                  <c:x val="-4.3693960048211938E-2"/>
                  <c:y val="-3.09028246659429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068-4371-B41F-2583FC47E60E}"/>
                </c:ext>
              </c:extLst>
            </c:dLbl>
            <c:dLbl>
              <c:idx val="12"/>
              <c:layout>
                <c:manualLayout>
                  <c:x val="-1.4443014486266101E-2"/>
                  <c:y val="-4.23208108891986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068-4371-B41F-2583FC47E60E}"/>
                </c:ext>
              </c:extLst>
            </c:dLbl>
            <c:dLbl>
              <c:idx val="13"/>
              <c:delete val="1"/>
              <c:extLst>
                <c:ext xmlns:c15="http://schemas.microsoft.com/office/drawing/2012/chart" uri="{CE6537A1-D6FC-4f65-9D91-7224C49458BB}"/>
                <c:ext xmlns:c16="http://schemas.microsoft.com/office/drawing/2014/chart" uri="{C3380CC4-5D6E-409C-BE32-E72D297353CC}">
                  <c16:uniqueId val="{00000015-F068-4371-B41F-2583FC47E60E}"/>
                </c:ext>
              </c:extLst>
            </c:dLbl>
            <c:dLbl>
              <c:idx val="15"/>
              <c:delete val="1"/>
              <c:extLst>
                <c:ext xmlns:c15="http://schemas.microsoft.com/office/drawing/2012/chart" uri="{CE6537A1-D6FC-4f65-9D91-7224C49458BB}"/>
                <c:ext xmlns:c16="http://schemas.microsoft.com/office/drawing/2014/chart" uri="{C3380CC4-5D6E-409C-BE32-E72D297353CC}">
                  <c16:uniqueId val="{00000016-F068-4371-B41F-2583FC47E60E}"/>
                </c:ext>
              </c:extLst>
            </c:dLbl>
            <c:dLbl>
              <c:idx val="17"/>
              <c:delete val="1"/>
              <c:extLst>
                <c:ext xmlns:c15="http://schemas.microsoft.com/office/drawing/2012/chart" uri="{CE6537A1-D6FC-4f65-9D91-7224C49458BB}"/>
                <c:ext xmlns:c16="http://schemas.microsoft.com/office/drawing/2014/chart" uri="{C3380CC4-5D6E-409C-BE32-E72D297353CC}">
                  <c16:uniqueId val="{0000001E-F068-4371-B41F-2583FC47E60E}"/>
                </c:ext>
              </c:extLst>
            </c:dLbl>
            <c:dLbl>
              <c:idx val="19"/>
              <c:delete val="1"/>
              <c:extLst>
                <c:ext xmlns:c15="http://schemas.microsoft.com/office/drawing/2012/chart" uri="{CE6537A1-D6FC-4f65-9D91-7224C49458BB}"/>
                <c:ext xmlns:c16="http://schemas.microsoft.com/office/drawing/2014/chart" uri="{C3380CC4-5D6E-409C-BE32-E72D297353CC}">
                  <c16:uniqueId val="{00000019-F068-4371-B41F-2583FC47E60E}"/>
                </c:ext>
              </c:extLst>
            </c:dLbl>
            <c:dLbl>
              <c:idx val="20"/>
              <c:layout>
                <c:manualLayout>
                  <c:x val="-3.6405231328081641E-2"/>
                  <c:y val="-3.54700191552452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F068-4371-B41F-2583FC47E60E}"/>
                </c:ext>
              </c:extLst>
            </c:dLbl>
            <c:dLbl>
              <c:idx val="21"/>
              <c:delete val="1"/>
              <c:extLst>
                <c:ext xmlns:c15="http://schemas.microsoft.com/office/drawing/2012/chart" uri="{CE6537A1-D6FC-4f65-9D91-7224C49458BB}"/>
                <c:ext xmlns:c16="http://schemas.microsoft.com/office/drawing/2014/chart" uri="{C3380CC4-5D6E-409C-BE32-E72D297353CC}">
                  <c16:uniqueId val="{0000001A-F068-4371-B41F-2583FC47E60E}"/>
                </c:ext>
              </c:extLst>
            </c:dLbl>
            <c:dLbl>
              <c:idx val="22"/>
              <c:layout>
                <c:manualLayout>
                  <c:x val="-5.364273864380481E-2"/>
                  <c:y val="-4.23208108891986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F068-4371-B41F-2583FC47E60E}"/>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2021'!$B$108:$Y$109</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2020</c:v>
                  </c:pt>
                  <c:pt idx="12">
                    <c:v>2021</c:v>
                  </c:pt>
                </c:lvl>
              </c:multiLvlStrCache>
            </c:multiLvlStrRef>
          </c:cat>
          <c:val>
            <c:numRef>
              <c:f>'Прогноз Зарплати 2021'!$AL$47:$BI$47</c:f>
              <c:numCache>
                <c:formatCode>General</c:formatCode>
                <c:ptCount val="24"/>
                <c:pt idx="0">
                  <c:v>15787</c:v>
                </c:pt>
                <c:pt idx="1">
                  <c:v>16447</c:v>
                </c:pt>
                <c:pt idx="2">
                  <c:v>17990</c:v>
                </c:pt>
                <c:pt idx="3">
                  <c:v>15278</c:v>
                </c:pt>
                <c:pt idx="4">
                  <c:v>15191</c:v>
                </c:pt>
                <c:pt idx="5">
                  <c:v>16393</c:v>
                </c:pt>
                <c:pt idx="6">
                  <c:v>17053</c:v>
                </c:pt>
                <c:pt idx="7">
                  <c:v>16795</c:v>
                </c:pt>
                <c:pt idx="8">
                  <c:v>17253</c:v>
                </c:pt>
                <c:pt idx="9">
                  <c:v>17494</c:v>
                </c:pt>
                <c:pt idx="10">
                  <c:v>17582</c:v>
                </c:pt>
                <c:pt idx="11">
                  <c:v>21812</c:v>
                </c:pt>
                <c:pt idx="12">
                  <c:v>17533</c:v>
                </c:pt>
                <c:pt idx="13" formatCode="_(* #\ ##0_);_(* \(#\ ##0\);_(* &quot;-&quot;??_);_(@_)">
                  <c:v>18504</c:v>
                </c:pt>
                <c:pt idx="14" formatCode="_(* #\ ##0_);_(* \(#\ ##0\);_(* &quot;-&quot;??_);_(@_)">
                  <c:v>20132</c:v>
                </c:pt>
                <c:pt idx="15" formatCode="_(* #\ ##0_);_(* \(#\ ##0\);_(* &quot;-&quot;??_);_(@_)">
                  <c:v>20422</c:v>
                </c:pt>
                <c:pt idx="16" formatCode="_(* #\ ##0_);_(* \(#\ ##0\);_(* &quot;-&quot;??_);_(@_)">
                  <c:v>19287</c:v>
                </c:pt>
                <c:pt idx="17" formatCode="_(* #\ ##0_);_(* \(#\ ##0\);_(* &quot;-&quot;??_);_(@_)">
                  <c:v>20455</c:v>
                </c:pt>
                <c:pt idx="18" formatCode="_(* #\ ##0_);_(* \(#\ ##0\);_(* &quot;-&quot;??_);_(@_)">
                  <c:v>20956</c:v>
                </c:pt>
                <c:pt idx="19" formatCode="_(* #\ ##0_);_(* \(#\ ##0\);_(* &quot;-&quot;??_);_(@_)">
                  <c:v>20358</c:v>
                </c:pt>
                <c:pt idx="20" formatCode="_(* #\ ##0_);_(* \(#\ ##0\);_(* &quot;-&quot;??_);_(@_)">
                  <c:v>20413.563084738136</c:v>
                </c:pt>
                <c:pt idx="21" formatCode="_(* #\ ##0_);_(* \(#\ ##0\);_(* &quot;-&quot;??_);_(@_)">
                  <c:v>20207.886203405371</c:v>
                </c:pt>
                <c:pt idx="22" formatCode="_(* #\ ##0_);_(* \(#\ ##0\);_(* &quot;-&quot;??_);_(@_)">
                  <c:v>20774.806666821372</c:v>
                </c:pt>
                <c:pt idx="23" formatCode="_(* #\ ##0_);_(* \(#\ ##0\);_(* &quot;-&quot;??_);_(@_)">
                  <c:v>26260.440506843039</c:v>
                </c:pt>
              </c:numCache>
            </c:numRef>
          </c:val>
          <c:smooth val="0"/>
          <c:extLst>
            <c:ext xmlns:c16="http://schemas.microsoft.com/office/drawing/2014/chart" uri="{C3380CC4-5D6E-409C-BE32-E72D297353CC}">
              <c16:uniqueId val="{0000001C-F068-4371-B41F-2583FC47E60E}"/>
            </c:ext>
          </c:extLst>
        </c:ser>
        <c:dLbls>
          <c:showLegendKey val="0"/>
          <c:showVal val="1"/>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26000"/>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rgbClr val="4CA2C1"/>
                </a:solidFill>
                <a:latin typeface="+mn-lt"/>
                <a:ea typeface="+mn-ea"/>
                <a:cs typeface="+mn-cs"/>
              </a:defRPr>
            </a:pPr>
            <a:endParaRPr lang="en-US"/>
          </a:p>
        </c:txPr>
        <c:crossAx val="554934728"/>
        <c:crosses val="autoZero"/>
        <c:crossBetween val="between"/>
      </c:valAx>
      <c:valAx>
        <c:axId val="554922248"/>
        <c:scaling>
          <c:orientation val="minMax"/>
          <c:max val="1500"/>
          <c:min val="0"/>
        </c:scaling>
        <c:delete val="0"/>
        <c:axPos val="r"/>
        <c:numFmt formatCode="_(* #\ ##0_);_(* \(#\ ##0\);_(* &quot;-&quot;??_);_(@_)"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'Прогноз Зарплати 2021'!$A$120</c:f>
              <c:strCache>
                <c:ptCount val="1"/>
                <c:pt idx="0">
                  <c:v>USD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5"/>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2021'!$B$108:$M$109</c:f>
              <c:multiLvlStrCache>
                <c:ptCount val="12"/>
                <c:lvl>
                  <c:pt idx="0">
                    <c:v>1</c:v>
                  </c:pt>
                  <c:pt idx="1">
                    <c:v>2</c:v>
                  </c:pt>
                  <c:pt idx="2">
                    <c:v>3</c:v>
                  </c:pt>
                  <c:pt idx="3">
                    <c:v>4</c:v>
                  </c:pt>
                  <c:pt idx="4">
                    <c:v>5</c:v>
                  </c:pt>
                  <c:pt idx="5">
                    <c:v>6</c:v>
                  </c:pt>
                  <c:pt idx="6">
                    <c:v>7</c:v>
                  </c:pt>
                  <c:pt idx="7">
                    <c:v>8</c:v>
                  </c:pt>
                  <c:pt idx="8">
                    <c:v>9</c:v>
                  </c:pt>
                  <c:pt idx="9">
                    <c:v>10</c:v>
                  </c:pt>
                  <c:pt idx="10">
                    <c:v>11</c:v>
                  </c:pt>
                  <c:pt idx="11">
                    <c:v>12</c:v>
                  </c:pt>
                </c:lvl>
                <c:lvl>
                  <c:pt idx="0">
                    <c:v>2020</c:v>
                  </c:pt>
                </c:lvl>
              </c:multiLvlStrCache>
            </c:multiLvlStrRef>
          </c:cat>
          <c:val>
            <c:numRef>
              <c:f>'Прогноз Зарплати 2021'!$AL$49:$BI$49</c:f>
              <c:numCache>
                <c:formatCode>_(* #\ ##0_);_(* \(#\ ##0\);_(* "-"??_);_(@_)</c:formatCode>
                <c:ptCount val="24"/>
                <c:pt idx="0">
                  <c:v>654.536666381793</c:v>
                </c:pt>
                <c:pt idx="1">
                  <c:v>668.67171588023621</c:v>
                </c:pt>
                <c:pt idx="2">
                  <c:v>681.1222193575303</c:v>
                </c:pt>
                <c:pt idx="3">
                  <c:v>561.18253602494622</c:v>
                </c:pt>
                <c:pt idx="4">
                  <c:v>566.52545665882565</c:v>
                </c:pt>
                <c:pt idx="5">
                  <c:v>613.80122295952822</c:v>
                </c:pt>
                <c:pt idx="6">
                  <c:v>624.35838988635862</c:v>
                </c:pt>
                <c:pt idx="7">
                  <c:v>610.25195624756793</c:v>
                </c:pt>
                <c:pt idx="8">
                  <c:v>616.98116108895488</c:v>
                </c:pt>
                <c:pt idx="9">
                  <c:v>622.56227758007117</c:v>
                </c:pt>
                <c:pt idx="10">
                  <c:v>625.6939501779359</c:v>
                </c:pt>
                <c:pt idx="11">
                  <c:v>773.47517730496452</c:v>
                </c:pt>
                <c:pt idx="12">
                  <c:v>621.30199497515491</c:v>
                </c:pt>
                <c:pt idx="13">
                  <c:v>663.59064539451765</c:v>
                </c:pt>
                <c:pt idx="14">
                  <c:v>724.28839001079734</c:v>
                </c:pt>
                <c:pt idx="15">
                  <c:v>731.18510562119582</c:v>
                </c:pt>
                <c:pt idx="16">
                  <c:v>698.80434782608688</c:v>
                </c:pt>
                <c:pt idx="17">
                  <c:v>750.92125979048888</c:v>
                </c:pt>
                <c:pt idx="18">
                  <c:v>770.02931306902894</c:v>
                </c:pt>
                <c:pt idx="19">
                  <c:v>754.25405595630957</c:v>
                </c:pt>
                <c:pt idx="20">
                  <c:v>758.69156174107275</c:v>
                </c:pt>
                <c:pt idx="21">
                  <c:v>760.07640778631753</c:v>
                </c:pt>
                <c:pt idx="22">
                  <c:v>779.61789825852122</c:v>
                </c:pt>
                <c:pt idx="23">
                  <c:v>959.12771863926582</c:v>
                </c:pt>
              </c:numCache>
            </c:numRef>
          </c:val>
          <c:extLst>
            <c:ext xmlns:c16="http://schemas.microsoft.com/office/drawing/2014/chart" uri="{C3380CC4-5D6E-409C-BE32-E72D297353CC}">
              <c16:uniqueId val="{00000000-3338-4494-B0C5-9D7083A19EC3}"/>
            </c:ext>
          </c:extLst>
        </c:ser>
        <c:dLbls>
          <c:showLegendKey val="0"/>
          <c:showVal val="1"/>
          <c:showCatName val="0"/>
          <c:showSerName val="0"/>
          <c:showPercent val="0"/>
          <c:showBubbleSize val="0"/>
        </c:dLbls>
        <c:gapWidth val="219"/>
        <c:axId val="554919048"/>
        <c:axId val="554922248"/>
      </c:barChart>
      <c:lineChart>
        <c:grouping val="standard"/>
        <c:varyColors val="0"/>
        <c:ser>
          <c:idx val="0"/>
          <c:order val="0"/>
          <c:tx>
            <c:strRef>
              <c:f>'Прогноз Зарплати 2021'!$A$119</c:f>
              <c:strCache>
                <c:ptCount val="1"/>
                <c:pt idx="0">
                  <c:v>UAH</c:v>
                </c:pt>
              </c:strCache>
            </c:strRef>
          </c:tx>
          <c:spPr>
            <a:ln w="28575" cap="rnd">
              <a:solidFill>
                <a:schemeClr val="accent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1-3338-4494-B0C5-9D7083A19EC3}"/>
                </c:ext>
              </c:extLst>
            </c:dLbl>
            <c:dLbl>
              <c:idx val="3"/>
              <c:delete val="1"/>
              <c:extLst>
                <c:ext xmlns:c15="http://schemas.microsoft.com/office/drawing/2012/chart" uri="{CE6537A1-D6FC-4f65-9D91-7224C49458BB}"/>
                <c:ext xmlns:c16="http://schemas.microsoft.com/office/drawing/2014/chart" uri="{C3380CC4-5D6E-409C-BE32-E72D297353CC}">
                  <c16:uniqueId val="{00000002-3338-4494-B0C5-9D7083A19EC3}"/>
                </c:ext>
              </c:extLst>
            </c:dLbl>
            <c:dLbl>
              <c:idx val="5"/>
              <c:delete val="1"/>
              <c:extLst>
                <c:ext xmlns:c15="http://schemas.microsoft.com/office/drawing/2012/chart" uri="{CE6537A1-D6FC-4f65-9D91-7224C49458BB}"/>
                <c:ext xmlns:c16="http://schemas.microsoft.com/office/drawing/2014/chart" uri="{C3380CC4-5D6E-409C-BE32-E72D297353CC}">
                  <c16:uniqueId val="{00000003-3338-4494-B0C5-9D7083A19EC3}"/>
                </c:ext>
              </c:extLst>
            </c:dLbl>
            <c:dLbl>
              <c:idx val="7"/>
              <c:delete val="1"/>
              <c:extLst>
                <c:ext xmlns:c15="http://schemas.microsoft.com/office/drawing/2012/chart" uri="{CE6537A1-D6FC-4f65-9D91-7224C49458BB}"/>
                <c:ext xmlns:c16="http://schemas.microsoft.com/office/drawing/2014/chart" uri="{C3380CC4-5D6E-409C-BE32-E72D297353CC}">
                  <c16:uniqueId val="{00000004-3338-4494-B0C5-9D7083A19EC3}"/>
                </c:ext>
              </c:extLst>
            </c:dLbl>
            <c:dLbl>
              <c:idx val="9"/>
              <c:delete val="1"/>
              <c:extLst>
                <c:ext xmlns:c15="http://schemas.microsoft.com/office/drawing/2012/chart" uri="{CE6537A1-D6FC-4f65-9D91-7224C49458BB}"/>
                <c:ext xmlns:c16="http://schemas.microsoft.com/office/drawing/2014/chart" uri="{C3380CC4-5D6E-409C-BE32-E72D297353CC}">
                  <c16:uniqueId val="{00000005-3338-4494-B0C5-9D7083A19EC3}"/>
                </c:ext>
              </c:extLst>
            </c:dLbl>
            <c:dLbl>
              <c:idx val="10"/>
              <c:layout>
                <c:manualLayout>
                  <c:x val="-4.3693960048211938E-2"/>
                  <c:y val="-3.09028246659429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338-4494-B0C5-9D7083A19EC3}"/>
                </c:ext>
              </c:extLst>
            </c:dLbl>
            <c:dLbl>
              <c:idx val="12"/>
              <c:layout>
                <c:manualLayout>
                  <c:x val="-1.4443014486266101E-2"/>
                  <c:y val="-4.23208108891986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338-4494-B0C5-9D7083A19EC3}"/>
                </c:ext>
              </c:extLst>
            </c:dLbl>
            <c:dLbl>
              <c:idx val="13"/>
              <c:delete val="1"/>
              <c:extLst>
                <c:ext xmlns:c15="http://schemas.microsoft.com/office/drawing/2012/chart" uri="{CE6537A1-D6FC-4f65-9D91-7224C49458BB}"/>
                <c:ext xmlns:c16="http://schemas.microsoft.com/office/drawing/2014/chart" uri="{C3380CC4-5D6E-409C-BE32-E72D297353CC}">
                  <c16:uniqueId val="{00000008-3338-4494-B0C5-9D7083A19EC3}"/>
                </c:ext>
              </c:extLst>
            </c:dLbl>
            <c:dLbl>
              <c:idx val="15"/>
              <c:delete val="1"/>
              <c:extLst>
                <c:ext xmlns:c15="http://schemas.microsoft.com/office/drawing/2012/chart" uri="{CE6537A1-D6FC-4f65-9D91-7224C49458BB}"/>
                <c:ext xmlns:c16="http://schemas.microsoft.com/office/drawing/2014/chart" uri="{C3380CC4-5D6E-409C-BE32-E72D297353CC}">
                  <c16:uniqueId val="{00000009-3338-4494-B0C5-9D7083A19EC3}"/>
                </c:ext>
              </c:extLst>
            </c:dLbl>
            <c:dLbl>
              <c:idx val="17"/>
              <c:delete val="1"/>
              <c:extLst>
                <c:ext xmlns:c15="http://schemas.microsoft.com/office/drawing/2012/chart" uri="{CE6537A1-D6FC-4f65-9D91-7224C49458BB}"/>
                <c:ext xmlns:c16="http://schemas.microsoft.com/office/drawing/2014/chart" uri="{C3380CC4-5D6E-409C-BE32-E72D297353CC}">
                  <c16:uniqueId val="{0000000A-3338-4494-B0C5-9D7083A19EC3}"/>
                </c:ext>
              </c:extLst>
            </c:dLbl>
            <c:dLbl>
              <c:idx val="19"/>
              <c:delete val="1"/>
              <c:extLst>
                <c:ext xmlns:c15="http://schemas.microsoft.com/office/drawing/2012/chart" uri="{CE6537A1-D6FC-4f65-9D91-7224C49458BB}"/>
                <c:ext xmlns:c16="http://schemas.microsoft.com/office/drawing/2014/chart" uri="{C3380CC4-5D6E-409C-BE32-E72D297353CC}">
                  <c16:uniqueId val="{0000000B-3338-4494-B0C5-9D7083A19EC3}"/>
                </c:ext>
              </c:extLst>
            </c:dLbl>
            <c:dLbl>
              <c:idx val="20"/>
              <c:layout>
                <c:manualLayout>
                  <c:x val="-3.6405231328081641E-2"/>
                  <c:y val="-3.54700191552452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338-4494-B0C5-9D7083A19EC3}"/>
                </c:ext>
              </c:extLst>
            </c:dLbl>
            <c:dLbl>
              <c:idx val="21"/>
              <c:delete val="1"/>
              <c:extLst>
                <c:ext xmlns:c15="http://schemas.microsoft.com/office/drawing/2012/chart" uri="{CE6537A1-D6FC-4f65-9D91-7224C49458BB}"/>
                <c:ext xmlns:c16="http://schemas.microsoft.com/office/drawing/2014/chart" uri="{C3380CC4-5D6E-409C-BE32-E72D297353CC}">
                  <c16:uniqueId val="{0000000D-3338-4494-B0C5-9D7083A19EC3}"/>
                </c:ext>
              </c:extLst>
            </c:dLbl>
            <c:dLbl>
              <c:idx val="22"/>
              <c:layout>
                <c:manualLayout>
                  <c:x val="-5.364273864380481E-2"/>
                  <c:y val="-4.23208108891986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338-4494-B0C5-9D7083A19EC3}"/>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'Прогноз Зарплати 2021'!$B$108:$Y$109</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2020</c:v>
                  </c:pt>
                  <c:pt idx="12">
                    <c:v>2021</c:v>
                  </c:pt>
                </c:lvl>
              </c:multiLvlStrCache>
            </c:multiLvlStrRef>
          </c:cat>
          <c:val>
            <c:numRef>
              <c:f>'Прогноз Зарплати 2021'!$AL$47:$BI$47</c:f>
              <c:numCache>
                <c:formatCode>General</c:formatCode>
                <c:ptCount val="24"/>
                <c:pt idx="0">
                  <c:v>15787</c:v>
                </c:pt>
                <c:pt idx="1">
                  <c:v>16447</c:v>
                </c:pt>
                <c:pt idx="2">
                  <c:v>17990</c:v>
                </c:pt>
                <c:pt idx="3">
                  <c:v>15278</c:v>
                </c:pt>
                <c:pt idx="4">
                  <c:v>15191</c:v>
                </c:pt>
                <c:pt idx="5">
                  <c:v>16393</c:v>
                </c:pt>
                <c:pt idx="6">
                  <c:v>17053</c:v>
                </c:pt>
                <c:pt idx="7">
                  <c:v>16795</c:v>
                </c:pt>
                <c:pt idx="8">
                  <c:v>17253</c:v>
                </c:pt>
                <c:pt idx="9">
                  <c:v>17494</c:v>
                </c:pt>
                <c:pt idx="10">
                  <c:v>17582</c:v>
                </c:pt>
                <c:pt idx="11">
                  <c:v>21812</c:v>
                </c:pt>
                <c:pt idx="12">
                  <c:v>17533</c:v>
                </c:pt>
                <c:pt idx="13" formatCode="_(* #\ ##0_);_(* \(#\ ##0\);_(* &quot;-&quot;??_);_(@_)">
                  <c:v>18504</c:v>
                </c:pt>
                <c:pt idx="14" formatCode="_(* #\ ##0_);_(* \(#\ ##0\);_(* &quot;-&quot;??_);_(@_)">
                  <c:v>20132</c:v>
                </c:pt>
                <c:pt idx="15" formatCode="_(* #\ ##0_);_(* \(#\ ##0\);_(* &quot;-&quot;??_);_(@_)">
                  <c:v>20422</c:v>
                </c:pt>
                <c:pt idx="16" formatCode="_(* #\ ##0_);_(* \(#\ ##0\);_(* &quot;-&quot;??_);_(@_)">
                  <c:v>19287</c:v>
                </c:pt>
                <c:pt idx="17" formatCode="_(* #\ ##0_);_(* \(#\ ##0\);_(* &quot;-&quot;??_);_(@_)">
                  <c:v>20455</c:v>
                </c:pt>
                <c:pt idx="18" formatCode="_(* #\ ##0_);_(* \(#\ ##0\);_(* &quot;-&quot;??_);_(@_)">
                  <c:v>20956</c:v>
                </c:pt>
                <c:pt idx="19" formatCode="_(* #\ ##0_);_(* \(#\ ##0\);_(* &quot;-&quot;??_);_(@_)">
                  <c:v>20358</c:v>
                </c:pt>
                <c:pt idx="20" formatCode="_(* #\ ##0_);_(* \(#\ ##0\);_(* &quot;-&quot;??_);_(@_)">
                  <c:v>20413.563084738136</c:v>
                </c:pt>
                <c:pt idx="21" formatCode="_(* #\ ##0_);_(* \(#\ ##0\);_(* &quot;-&quot;??_);_(@_)">
                  <c:v>20207.886203405371</c:v>
                </c:pt>
                <c:pt idx="22" formatCode="_(* #\ ##0_);_(* \(#\ ##0\);_(* &quot;-&quot;??_);_(@_)">
                  <c:v>20774.806666821372</c:v>
                </c:pt>
                <c:pt idx="23" formatCode="_(* #\ ##0_);_(* \(#\ ##0\);_(* &quot;-&quot;??_);_(@_)">
                  <c:v>26260.440506843039</c:v>
                </c:pt>
              </c:numCache>
            </c:numRef>
          </c:val>
          <c:smooth val="0"/>
          <c:extLst>
            <c:ext xmlns:c16="http://schemas.microsoft.com/office/drawing/2014/chart" uri="{C3380CC4-5D6E-409C-BE32-E72D297353CC}">
              <c16:uniqueId val="{0000000F-3338-4494-B0C5-9D7083A19EC3}"/>
            </c:ext>
          </c:extLst>
        </c:ser>
        <c:dLbls>
          <c:showLegendKey val="0"/>
          <c:showVal val="1"/>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26000"/>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rgbClr val="4CA2C1"/>
                </a:solidFill>
                <a:latin typeface="+mn-lt"/>
                <a:ea typeface="+mn-ea"/>
                <a:cs typeface="+mn-cs"/>
              </a:defRPr>
            </a:pPr>
            <a:endParaRPr lang="en-US"/>
          </a:p>
        </c:txPr>
        <c:crossAx val="554934728"/>
        <c:crosses val="autoZero"/>
        <c:crossBetween val="between"/>
      </c:valAx>
      <c:valAx>
        <c:axId val="554922248"/>
        <c:scaling>
          <c:orientation val="minMax"/>
          <c:max val="1500"/>
          <c:min val="0"/>
        </c:scaling>
        <c:delete val="0"/>
        <c:axPos val="r"/>
        <c:numFmt formatCode="_(* #\ ##0_);_(* \(#\ ##0\);_(* &quot;-&quot;??_);_(@_)"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ysClr val="windowText" lastClr="000000"/>
                </a:solidFill>
                <a:latin typeface="+mn-lt"/>
                <a:ea typeface="+mn-ea"/>
                <a:cs typeface="+mn-cs"/>
              </a:defRPr>
            </a:pPr>
            <a:r>
              <a:rPr lang="ru-RU" sz="2000">
                <a:solidFill>
                  <a:schemeClr val="accent1"/>
                </a:solidFill>
              </a:rPr>
              <a:t>Динамика средней зароботной платы</a:t>
            </a:r>
            <a:r>
              <a:rPr lang="ru-RU" sz="2000" baseline="0">
                <a:solidFill>
                  <a:schemeClr val="accent1"/>
                </a:solidFill>
              </a:rPr>
              <a:t> в 2020-21 годах </a:t>
            </a:r>
            <a:r>
              <a:rPr lang="ru-RU" sz="2000">
                <a:solidFill>
                  <a:schemeClr val="accent1"/>
                </a:solidFill>
              </a:rPr>
              <a:t> </a:t>
            </a:r>
          </a:p>
        </c:rich>
      </c:tx>
      <c:layout>
        <c:manualLayout>
          <c:xMode val="edge"/>
          <c:yMode val="edge"/>
          <c:x val="9.0944490049715554E-3"/>
          <c:y val="1.8150390995627552E-2"/>
        </c:manualLayout>
      </c:layout>
      <c:overlay val="0"/>
      <c:spPr>
        <a:noFill/>
        <a:ln>
          <a:noFill/>
        </a:ln>
        <a:effectLst/>
      </c:spPr>
      <c:txPr>
        <a:bodyPr rot="0" spcFirstLastPara="1" vertOverflow="ellipsis" vert="horz" wrap="square" anchor="ctr" anchorCtr="1"/>
        <a:lstStyle/>
        <a:p>
          <a:pPr>
            <a:defRPr sz="168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'Прогноз Зарплати 2021'!$A$200</c:f>
              <c:strCache>
                <c:ptCount val="1"/>
                <c:pt idx="0">
                  <c:v>2020 реальна з/п, % г-г</c:v>
                </c:pt>
              </c:strCache>
            </c:strRef>
          </c:tx>
          <c:spPr>
            <a:solidFill>
              <a:schemeClr val="accent1">
                <a:lumMod val="40000"/>
                <a:lumOff val="60000"/>
              </a:schemeClr>
            </a:solidFill>
            <a:ln>
              <a:solidFill>
                <a:schemeClr val="accent1"/>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'Прогноз Зарплати 2021'!$B$200:$M$200</c:f>
              <c:numCache>
                <c:formatCode>_(* #\ ##0.0_);_(* \(#\ ##0.0\);_(* "-"??_);_(@_)</c:formatCode>
                <c:ptCount val="12"/>
                <c:pt idx="0">
                  <c:v>112.5</c:v>
                </c:pt>
                <c:pt idx="1">
                  <c:v>112.2</c:v>
                </c:pt>
                <c:pt idx="2">
                  <c:v>109.3</c:v>
                </c:pt>
                <c:pt idx="3">
                  <c:v>99.6</c:v>
                </c:pt>
                <c:pt idx="4">
                  <c:v>101.4</c:v>
                </c:pt>
                <c:pt idx="5">
                  <c:v>104.8</c:v>
                </c:pt>
                <c:pt idx="6">
                  <c:v>105.1</c:v>
                </c:pt>
                <c:pt idx="7">
                  <c:v>106</c:v>
                </c:pt>
                <c:pt idx="8">
                  <c:v>109.7</c:v>
                </c:pt>
                <c:pt idx="9">
                  <c:v>110.6</c:v>
                </c:pt>
                <c:pt idx="10">
                  <c:v>108.1</c:v>
                </c:pt>
                <c:pt idx="11">
                  <c:v>110.1</c:v>
                </c:pt>
              </c:numCache>
            </c:numRef>
          </c:val>
          <c:extLst>
            <c:ext xmlns:c16="http://schemas.microsoft.com/office/drawing/2014/chart" uri="{C3380CC4-5D6E-409C-BE32-E72D297353CC}">
              <c16:uniqueId val="{00000000-E266-4CF0-A663-224B4CC3EC45}"/>
            </c:ext>
          </c:extLst>
        </c:ser>
        <c:ser>
          <c:idx val="1"/>
          <c:order val="1"/>
          <c:tx>
            <c:strRef>
              <c:f>'Прогноз Зарплати 2021'!$A$201</c:f>
              <c:strCache>
                <c:ptCount val="1"/>
                <c:pt idx="0">
                  <c:v>2021 реальна з/п, % г-г</c:v>
                </c:pt>
              </c:strCache>
            </c:strRef>
          </c:tx>
          <c:spPr>
            <a:solidFill>
              <a:schemeClr val="accent3">
                <a:lumMod val="20000"/>
                <a:lumOff val="80000"/>
              </a:schemeClr>
            </a:solidFill>
            <a:ln>
              <a:solidFill>
                <a:schemeClr val="accent3"/>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'Прогноз Зарплати 2021'!$B$201:$M$201</c:f>
              <c:numCache>
                <c:formatCode>_(* #\ ##0.0_);_(* \(#\ ##0.0\);_(* "-"??_);_(@_)</c:formatCode>
                <c:ptCount val="12"/>
                <c:pt idx="0">
                  <c:v>108.3</c:v>
                </c:pt>
                <c:pt idx="1">
                  <c:v>107.6</c:v>
                </c:pt>
                <c:pt idx="2">
                  <c:v>109.5</c:v>
                </c:pt>
                <c:pt idx="3">
                  <c:v>119.7</c:v>
                </c:pt>
                <c:pt idx="4">
                  <c:v>116.8</c:v>
                </c:pt>
                <c:pt idx="5">
                  <c:v>112.9</c:v>
                </c:pt>
                <c:pt idx="6">
                  <c:v>110.2</c:v>
                </c:pt>
                <c:pt idx="7">
                  <c:v>110.9</c:v>
                </c:pt>
                <c:pt idx="8">
                  <c:v>106.9</c:v>
                </c:pt>
                <c:pt idx="9">
                  <c:v>105.45706306212874</c:v>
                </c:pt>
                <c:pt idx="10">
                  <c:v>112.28566662718904</c:v>
                </c:pt>
                <c:pt idx="11">
                  <c:v>114.89437411198801</c:v>
                </c:pt>
              </c:numCache>
            </c:numRef>
          </c:val>
          <c:extLst>
            <c:ext xmlns:c16="http://schemas.microsoft.com/office/drawing/2014/chart" uri="{C3380CC4-5D6E-409C-BE32-E72D297353CC}">
              <c16:uniqueId val="{00000001-E266-4CF0-A663-224B4CC3EC45}"/>
            </c:ext>
          </c:extLst>
        </c:ser>
        <c:dLbls>
          <c:showLegendKey val="0"/>
          <c:showVal val="1"/>
          <c:showCatName val="0"/>
          <c:showSerName val="0"/>
          <c:showPercent val="0"/>
          <c:showBubbleSize val="0"/>
        </c:dLbls>
        <c:gapWidth val="250"/>
        <c:overlap val="-20"/>
        <c:axId val="722528496"/>
        <c:axId val="722532336"/>
      </c:barChart>
      <c:lineChart>
        <c:grouping val="standard"/>
        <c:varyColors val="0"/>
        <c:ser>
          <c:idx val="2"/>
          <c:order val="2"/>
          <c:tx>
            <c:strRef>
              <c:f>'Прогноз Зарплати 2021'!$A$202</c:f>
              <c:strCache>
                <c:ptCount val="1"/>
                <c:pt idx="0">
                  <c:v>2020 номинальная з/п, грн</c:v>
                </c:pt>
              </c:strCache>
            </c:strRef>
          </c:tx>
          <c:spPr>
            <a:ln w="28575" cap="rnd">
              <a:solidFill>
                <a:schemeClr val="accent1"/>
              </a:solidFill>
              <a:round/>
            </a:ln>
            <a:effectLst/>
          </c:spPr>
          <c:marker>
            <c:symbol val="circle"/>
            <c:size val="10"/>
            <c:spPr>
              <a:solidFill>
                <a:schemeClr val="accent1">
                  <a:lumMod val="60000"/>
                  <a:lumOff val="40000"/>
                </a:schemeClr>
              </a:solidFill>
              <a:ln w="9525">
                <a:solidFill>
                  <a:schemeClr val="accent1"/>
                </a:solidFill>
              </a:ln>
              <a:effectLst/>
            </c:spPr>
          </c:marker>
          <c:dLbls>
            <c:dLbl>
              <c:idx val="1"/>
              <c:delete val="1"/>
              <c:extLst>
                <c:ext xmlns:c15="http://schemas.microsoft.com/office/drawing/2012/chart" uri="{CE6537A1-D6FC-4f65-9D91-7224C49458BB}"/>
                <c:ext xmlns:c16="http://schemas.microsoft.com/office/drawing/2014/chart" uri="{C3380CC4-5D6E-409C-BE32-E72D297353CC}">
                  <c16:uniqueId val="{00000005-E266-4CF0-A663-224B4CC3EC45}"/>
                </c:ext>
              </c:extLst>
            </c:dLbl>
            <c:dLbl>
              <c:idx val="3"/>
              <c:delete val="1"/>
              <c:extLst>
                <c:ext xmlns:c15="http://schemas.microsoft.com/office/drawing/2012/chart" uri="{CE6537A1-D6FC-4f65-9D91-7224C49458BB}"/>
                <c:ext xmlns:c16="http://schemas.microsoft.com/office/drawing/2014/chart" uri="{C3380CC4-5D6E-409C-BE32-E72D297353CC}">
                  <c16:uniqueId val="{00000006-E266-4CF0-A663-224B4CC3EC45}"/>
                </c:ext>
              </c:extLst>
            </c:dLbl>
            <c:dLbl>
              <c:idx val="5"/>
              <c:delete val="1"/>
              <c:extLst>
                <c:ext xmlns:c15="http://schemas.microsoft.com/office/drawing/2012/chart" uri="{CE6537A1-D6FC-4f65-9D91-7224C49458BB}"/>
                <c:ext xmlns:c16="http://schemas.microsoft.com/office/drawing/2014/chart" uri="{C3380CC4-5D6E-409C-BE32-E72D297353CC}">
                  <c16:uniqueId val="{00000007-E266-4CF0-A663-224B4CC3EC45}"/>
                </c:ext>
              </c:extLst>
            </c:dLbl>
            <c:dLbl>
              <c:idx val="7"/>
              <c:delete val="1"/>
              <c:extLst>
                <c:ext xmlns:c15="http://schemas.microsoft.com/office/drawing/2012/chart" uri="{CE6537A1-D6FC-4f65-9D91-7224C49458BB}"/>
                <c:ext xmlns:c16="http://schemas.microsoft.com/office/drawing/2014/chart" uri="{C3380CC4-5D6E-409C-BE32-E72D297353CC}">
                  <c16:uniqueId val="{00000008-E266-4CF0-A663-224B4CC3EC45}"/>
                </c:ext>
              </c:extLst>
            </c:dLbl>
            <c:dLbl>
              <c:idx val="9"/>
              <c:delete val="1"/>
              <c:extLst>
                <c:ext xmlns:c15="http://schemas.microsoft.com/office/drawing/2012/chart" uri="{CE6537A1-D6FC-4f65-9D91-7224C49458BB}"/>
                <c:ext xmlns:c16="http://schemas.microsoft.com/office/drawing/2014/chart" uri="{C3380CC4-5D6E-409C-BE32-E72D297353CC}">
                  <c16:uniqueId val="{00000009-E266-4CF0-A663-224B4CC3EC45}"/>
                </c:ext>
              </c:extLst>
            </c:dLbl>
            <c:dLbl>
              <c:idx val="11"/>
              <c:layout>
                <c:manualLayout>
                  <c:x val="-3.1692571440673369E-2"/>
                  <c:y val="3.70686281351459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266-4CF0-A663-224B4CC3EC45}"/>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'Прогноз Зарплати 2021'!$B$202:$M$202</c:f>
              <c:numCache>
                <c:formatCode>_(* #\ ##0_);_(* \(#\ ##0\);_(* "-"??_);_(@_)</c:formatCode>
                <c:ptCount val="12"/>
                <c:pt idx="0">
                  <c:v>10727</c:v>
                </c:pt>
                <c:pt idx="1">
                  <c:v>10847</c:v>
                </c:pt>
                <c:pt idx="2">
                  <c:v>11446</c:v>
                </c:pt>
                <c:pt idx="3">
                  <c:v>10430</c:v>
                </c:pt>
                <c:pt idx="4">
                  <c:v>10542</c:v>
                </c:pt>
                <c:pt idx="5">
                  <c:v>11579</c:v>
                </c:pt>
                <c:pt idx="6">
                  <c:v>11804</c:v>
                </c:pt>
                <c:pt idx="7">
                  <c:v>11446</c:v>
                </c:pt>
                <c:pt idx="8">
                  <c:v>11988</c:v>
                </c:pt>
                <c:pt idx="9">
                  <c:v>12174</c:v>
                </c:pt>
                <c:pt idx="10">
                  <c:v>11987.410099999999</c:v>
                </c:pt>
                <c:pt idx="11">
                  <c:v>14179</c:v>
                </c:pt>
              </c:numCache>
            </c:numRef>
          </c:val>
          <c:smooth val="0"/>
          <c:extLst>
            <c:ext xmlns:c16="http://schemas.microsoft.com/office/drawing/2014/chart" uri="{C3380CC4-5D6E-409C-BE32-E72D297353CC}">
              <c16:uniqueId val="{00000002-E266-4CF0-A663-224B4CC3EC45}"/>
            </c:ext>
          </c:extLst>
        </c:ser>
        <c:ser>
          <c:idx val="3"/>
          <c:order val="3"/>
          <c:tx>
            <c:strRef>
              <c:f>'Прогноз Зарплати 2021'!$A$203</c:f>
              <c:strCache>
                <c:ptCount val="1"/>
                <c:pt idx="0">
                  <c:v>2021 номинальная з/п, грн</c:v>
                </c:pt>
              </c:strCache>
            </c:strRef>
          </c:tx>
          <c:spPr>
            <a:ln w="28575" cap="rnd">
              <a:solidFill>
                <a:schemeClr val="accent3"/>
              </a:solidFill>
              <a:round/>
            </a:ln>
            <a:effectLst/>
          </c:spPr>
          <c:marker>
            <c:symbol val="diamond"/>
            <c:size val="10"/>
            <c:spPr>
              <a:solidFill>
                <a:schemeClr val="accent3">
                  <a:lumMod val="60000"/>
                  <a:lumOff val="40000"/>
                </a:schemeClr>
              </a:solidFill>
              <a:ln w="9525">
                <a:solidFill>
                  <a:schemeClr val="accent3"/>
                </a:solidFill>
              </a:ln>
              <a:effectLst/>
            </c:spPr>
          </c:marker>
          <c:dPt>
            <c:idx val="4"/>
            <c:marker>
              <c:symbol val="diamond"/>
              <c:size val="10"/>
              <c:spPr>
                <a:solidFill>
                  <a:schemeClr val="accent3">
                    <a:lumMod val="60000"/>
                    <a:lumOff val="40000"/>
                  </a:schemeClr>
                </a:solidFill>
                <a:ln w="9525">
                  <a:solidFill>
                    <a:schemeClr val="accent3"/>
                  </a:solidFill>
                  <a:prstDash val="solid"/>
                </a:ln>
                <a:effectLst/>
              </c:spPr>
            </c:marker>
            <c:bubble3D val="0"/>
            <c:spPr>
              <a:ln w="28575" cap="rnd">
                <a:solidFill>
                  <a:schemeClr val="accent3"/>
                </a:solidFill>
                <a:prstDash val="solid"/>
                <a:round/>
              </a:ln>
              <a:effectLst/>
            </c:spPr>
            <c:extLst>
              <c:ext xmlns:c16="http://schemas.microsoft.com/office/drawing/2014/chart" uri="{C3380CC4-5D6E-409C-BE32-E72D297353CC}">
                <c16:uniqueId val="{0000000B-E266-4CF0-A663-224B4CC3EC45}"/>
              </c:ext>
            </c:extLst>
          </c:dPt>
          <c:dPt>
            <c:idx val="5"/>
            <c:marker>
              <c:symbol val="diamond"/>
              <c:size val="10"/>
              <c:spPr>
                <a:solidFill>
                  <a:schemeClr val="accent3">
                    <a:lumMod val="60000"/>
                    <a:lumOff val="40000"/>
                  </a:schemeClr>
                </a:solidFill>
                <a:ln w="9525">
                  <a:solidFill>
                    <a:schemeClr val="accent3"/>
                  </a:solidFill>
                  <a:prstDash val="solid"/>
                </a:ln>
                <a:effectLst/>
              </c:spPr>
            </c:marker>
            <c:bubble3D val="0"/>
            <c:spPr>
              <a:ln w="28575" cap="rnd">
                <a:solidFill>
                  <a:schemeClr val="accent3"/>
                </a:solidFill>
                <a:prstDash val="solid"/>
                <a:round/>
              </a:ln>
              <a:effectLst/>
            </c:spPr>
            <c:extLst>
              <c:ext xmlns:c16="http://schemas.microsoft.com/office/drawing/2014/chart" uri="{C3380CC4-5D6E-409C-BE32-E72D297353CC}">
                <c16:uniqueId val="{0000000C-E266-4CF0-A663-224B4CC3EC45}"/>
              </c:ext>
            </c:extLst>
          </c:dPt>
          <c:dPt>
            <c:idx val="6"/>
            <c:marker>
              <c:symbol val="diamond"/>
              <c:size val="10"/>
              <c:spPr>
                <a:solidFill>
                  <a:schemeClr val="accent3">
                    <a:lumMod val="60000"/>
                    <a:lumOff val="40000"/>
                  </a:schemeClr>
                </a:solidFill>
                <a:ln w="9525">
                  <a:solidFill>
                    <a:schemeClr val="accent3"/>
                  </a:solidFill>
                  <a:prstDash val="solid"/>
                </a:ln>
                <a:effectLst/>
              </c:spPr>
            </c:marker>
            <c:bubble3D val="0"/>
            <c:spPr>
              <a:ln w="28575" cap="rnd">
                <a:solidFill>
                  <a:schemeClr val="accent3"/>
                </a:solidFill>
                <a:prstDash val="solid"/>
                <a:round/>
              </a:ln>
              <a:effectLst/>
            </c:spPr>
            <c:extLst>
              <c:ext xmlns:c16="http://schemas.microsoft.com/office/drawing/2014/chart" uri="{C3380CC4-5D6E-409C-BE32-E72D297353CC}">
                <c16:uniqueId val="{0000000D-E266-4CF0-A663-224B4CC3EC45}"/>
              </c:ext>
            </c:extLst>
          </c:dPt>
          <c:dPt>
            <c:idx val="7"/>
            <c:marker>
              <c:symbol val="diamond"/>
              <c:size val="10"/>
              <c:spPr>
                <a:solidFill>
                  <a:schemeClr val="accent3">
                    <a:lumMod val="60000"/>
                    <a:lumOff val="40000"/>
                  </a:schemeClr>
                </a:solidFill>
                <a:ln w="9525">
                  <a:solidFill>
                    <a:schemeClr val="accent3"/>
                  </a:solidFill>
                  <a:prstDash val="solid"/>
                </a:ln>
                <a:effectLst/>
              </c:spPr>
            </c:marker>
            <c:bubble3D val="0"/>
            <c:spPr>
              <a:ln w="28575" cap="rnd">
                <a:solidFill>
                  <a:schemeClr val="accent3"/>
                </a:solidFill>
                <a:prstDash val="solid"/>
                <a:round/>
              </a:ln>
              <a:effectLst/>
            </c:spPr>
            <c:extLst>
              <c:ext xmlns:c16="http://schemas.microsoft.com/office/drawing/2014/chart" uri="{C3380CC4-5D6E-409C-BE32-E72D297353CC}">
                <c16:uniqueId val="{0000000E-E266-4CF0-A663-224B4CC3EC45}"/>
              </c:ext>
            </c:extLst>
          </c:dPt>
          <c:dPt>
            <c:idx val="8"/>
            <c:marker>
              <c:symbol val="diamond"/>
              <c:size val="10"/>
              <c:spPr>
                <a:solidFill>
                  <a:schemeClr val="accent3">
                    <a:lumMod val="60000"/>
                    <a:lumOff val="40000"/>
                  </a:schemeClr>
                </a:solidFill>
                <a:ln w="9525">
                  <a:solidFill>
                    <a:schemeClr val="accent3"/>
                  </a:solidFill>
                  <a:prstDash val="solid"/>
                </a:ln>
                <a:effectLst/>
              </c:spPr>
            </c:marker>
            <c:bubble3D val="0"/>
            <c:spPr>
              <a:ln w="28575" cap="rnd">
                <a:solidFill>
                  <a:schemeClr val="accent3"/>
                </a:solidFill>
                <a:prstDash val="solid"/>
                <a:round/>
              </a:ln>
              <a:effectLst/>
            </c:spPr>
            <c:extLst>
              <c:ext xmlns:c16="http://schemas.microsoft.com/office/drawing/2014/chart" uri="{C3380CC4-5D6E-409C-BE32-E72D297353CC}">
                <c16:uniqueId val="{0000000F-E266-4CF0-A663-224B4CC3EC45}"/>
              </c:ext>
            </c:extLst>
          </c:dPt>
          <c:dPt>
            <c:idx val="9"/>
            <c:marker>
              <c:symbol val="diamond"/>
              <c:size val="10"/>
              <c:spPr>
                <a:solidFill>
                  <a:schemeClr val="accent3">
                    <a:lumMod val="60000"/>
                    <a:lumOff val="40000"/>
                  </a:schemeClr>
                </a:solidFill>
                <a:ln w="9525">
                  <a:solidFill>
                    <a:schemeClr val="accent3"/>
                  </a:solidFill>
                  <a:prstDash val="sysDash"/>
                </a:ln>
                <a:effectLst/>
              </c:spPr>
            </c:marker>
            <c:bubble3D val="0"/>
            <c:spPr>
              <a:ln w="28575" cap="rnd">
                <a:solidFill>
                  <a:schemeClr val="accent3"/>
                </a:solidFill>
                <a:prstDash val="sysDash"/>
                <a:round/>
              </a:ln>
              <a:effectLst/>
            </c:spPr>
            <c:extLst>
              <c:ext xmlns:c16="http://schemas.microsoft.com/office/drawing/2014/chart" uri="{C3380CC4-5D6E-409C-BE32-E72D297353CC}">
                <c16:uniqueId val="{00000010-E266-4CF0-A663-224B4CC3EC45}"/>
              </c:ext>
            </c:extLst>
          </c:dPt>
          <c:dPt>
            <c:idx val="10"/>
            <c:marker>
              <c:symbol val="diamond"/>
              <c:size val="10"/>
              <c:spPr>
                <a:solidFill>
                  <a:schemeClr val="accent3">
                    <a:lumMod val="60000"/>
                    <a:lumOff val="40000"/>
                  </a:schemeClr>
                </a:solidFill>
                <a:ln w="9525">
                  <a:solidFill>
                    <a:schemeClr val="accent3"/>
                  </a:solidFill>
                  <a:prstDash val="sysDash"/>
                </a:ln>
                <a:effectLst/>
              </c:spPr>
            </c:marker>
            <c:bubble3D val="0"/>
            <c:spPr>
              <a:ln w="28575" cap="rnd">
                <a:solidFill>
                  <a:schemeClr val="accent3"/>
                </a:solidFill>
                <a:prstDash val="sysDash"/>
                <a:round/>
              </a:ln>
              <a:effectLst/>
            </c:spPr>
            <c:extLst>
              <c:ext xmlns:c16="http://schemas.microsoft.com/office/drawing/2014/chart" uri="{C3380CC4-5D6E-409C-BE32-E72D297353CC}">
                <c16:uniqueId val="{00000011-E266-4CF0-A663-224B4CC3EC45}"/>
              </c:ext>
            </c:extLst>
          </c:dPt>
          <c:dPt>
            <c:idx val="11"/>
            <c:marker>
              <c:symbol val="diamond"/>
              <c:size val="10"/>
              <c:spPr>
                <a:solidFill>
                  <a:schemeClr val="accent3">
                    <a:lumMod val="60000"/>
                    <a:lumOff val="40000"/>
                  </a:schemeClr>
                </a:solidFill>
                <a:ln w="9525">
                  <a:solidFill>
                    <a:schemeClr val="accent3"/>
                  </a:solidFill>
                  <a:prstDash val="sysDash"/>
                </a:ln>
                <a:effectLst/>
              </c:spPr>
            </c:marker>
            <c:bubble3D val="0"/>
            <c:spPr>
              <a:ln w="28575" cap="rnd">
                <a:solidFill>
                  <a:schemeClr val="accent3"/>
                </a:solidFill>
                <a:prstDash val="sysDash"/>
                <a:round/>
              </a:ln>
              <a:effectLst/>
            </c:spPr>
            <c:extLst>
              <c:ext xmlns:c16="http://schemas.microsoft.com/office/drawing/2014/chart" uri="{C3380CC4-5D6E-409C-BE32-E72D297353CC}">
                <c16:uniqueId val="{00000012-E266-4CF0-A663-224B4CC3EC45}"/>
              </c:ext>
            </c:extLst>
          </c:dPt>
          <c:dLbls>
            <c:dLbl>
              <c:idx val="8"/>
              <c:layout>
                <c:manualLayout>
                  <c:x val="-4.2646164077826475E-2"/>
                  <c:y val="-3.35798290834915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266-4CF0-A663-224B4CC3EC45}"/>
                </c:ext>
              </c:extLst>
            </c:dLbl>
            <c:dLbl>
              <c:idx val="10"/>
              <c:delete val="1"/>
              <c:extLst>
                <c:ext xmlns:c15="http://schemas.microsoft.com/office/drawing/2012/chart" uri="{CE6537A1-D6FC-4f65-9D91-7224C49458BB}"/>
                <c:ext xmlns:c16="http://schemas.microsoft.com/office/drawing/2014/chart" uri="{C3380CC4-5D6E-409C-BE32-E72D297353CC}">
                  <c16:uniqueId val="{00000011-E266-4CF0-A663-224B4CC3EC45}"/>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'Прогноз Зарплати 2021'!$B$203:$M$203</c:f>
              <c:numCache>
                <c:formatCode>_(* #\ ##0_);_(* \(#\ ##0\);_(* "-"??_);_(@_)</c:formatCode>
                <c:ptCount val="12"/>
                <c:pt idx="0">
                  <c:v>12337</c:v>
                </c:pt>
                <c:pt idx="1">
                  <c:v>12549</c:v>
                </c:pt>
                <c:pt idx="2">
                  <c:v>13612</c:v>
                </c:pt>
                <c:pt idx="3">
                  <c:v>13543</c:v>
                </c:pt>
                <c:pt idx="4">
                  <c:v>13499</c:v>
                </c:pt>
                <c:pt idx="5">
                  <c:v>14313</c:v>
                </c:pt>
                <c:pt idx="6">
                  <c:v>14345</c:v>
                </c:pt>
                <c:pt idx="7">
                  <c:v>13997</c:v>
                </c:pt>
                <c:pt idx="8">
                  <c:v>14239</c:v>
                </c:pt>
                <c:pt idx="9">
                  <c:v>14045</c:v>
                </c:pt>
                <c:pt idx="10">
                  <c:v>14300.160072592294</c:v>
                </c:pt>
                <c:pt idx="11">
                  <c:v>17453</c:v>
                </c:pt>
              </c:numCache>
            </c:numRef>
          </c:val>
          <c:smooth val="0"/>
          <c:extLst>
            <c:ext xmlns:c16="http://schemas.microsoft.com/office/drawing/2014/chart" uri="{C3380CC4-5D6E-409C-BE32-E72D297353CC}">
              <c16:uniqueId val="{00000003-E266-4CF0-A663-224B4CC3EC45}"/>
            </c:ext>
          </c:extLst>
        </c:ser>
        <c:dLbls>
          <c:showLegendKey val="0"/>
          <c:showVal val="1"/>
          <c:showCatName val="0"/>
          <c:showSerName val="0"/>
          <c:showPercent val="0"/>
          <c:showBubbleSize val="0"/>
        </c:dLbls>
        <c:marker val="1"/>
        <c:smooth val="0"/>
        <c:axId val="722514096"/>
        <c:axId val="722512496"/>
      </c:lineChart>
      <c:catAx>
        <c:axId val="7225284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2532336"/>
        <c:crosses val="autoZero"/>
        <c:auto val="1"/>
        <c:lblAlgn val="ctr"/>
        <c:lblOffset val="100"/>
        <c:noMultiLvlLbl val="0"/>
      </c:catAx>
      <c:valAx>
        <c:axId val="722532336"/>
        <c:scaling>
          <c:orientation val="minMax"/>
          <c:max val="250"/>
          <c:min val="0"/>
        </c:scaling>
        <c:delete val="0"/>
        <c:axPos val="l"/>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ru-RU"/>
                  <a:t>%</a:t>
                </a:r>
                <a:r>
                  <a:rPr lang="ru-RU" baseline="0"/>
                  <a:t>  г-г</a:t>
                </a:r>
                <a:endParaRPr lang="ru-RU"/>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722528496"/>
        <c:crosses val="autoZero"/>
        <c:crossBetween val="between"/>
      </c:valAx>
      <c:valAx>
        <c:axId val="722512496"/>
        <c:scaling>
          <c:orientation val="minMax"/>
          <c:max val="18000"/>
        </c:scaling>
        <c:delete val="0"/>
        <c:axPos val="r"/>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ru-RU"/>
                  <a:t>грн</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_(* #\ ##0_);_(* \(#\ ##0\);_(* &quot;-&quot;??_);_(@_)"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722514096"/>
        <c:crosses val="max"/>
        <c:crossBetween val="between"/>
      </c:valAx>
      <c:catAx>
        <c:axId val="722514096"/>
        <c:scaling>
          <c:orientation val="minMax"/>
        </c:scaling>
        <c:delete val="1"/>
        <c:axPos val="b"/>
        <c:majorTickMark val="out"/>
        <c:minorTickMark val="none"/>
        <c:tickLblPos val="nextTo"/>
        <c:crossAx val="722512496"/>
        <c:crosses val="autoZero"/>
        <c:auto val="1"/>
        <c:lblAlgn val="ctr"/>
        <c:lblOffset val="100"/>
        <c:noMultiLvlLbl val="0"/>
      </c:catAx>
      <c:spPr>
        <a:noFill/>
        <a:ln w="25400">
          <a:noFill/>
        </a:ln>
        <a:effectLst/>
      </c:spPr>
    </c:plotArea>
    <c:legend>
      <c:legendPos val="t"/>
      <c:layout>
        <c:manualLayout>
          <c:xMode val="edge"/>
          <c:yMode val="edge"/>
          <c:x val="8.9873258133116751E-2"/>
          <c:y val="8.612172786193889E-2"/>
          <c:w val="0.82600052330560803"/>
          <c:h val="8.4050595988369975E-2"/>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ru-RU" sz="1600" b="1">
                <a:solidFill>
                  <a:sysClr val="windowText" lastClr="000000"/>
                </a:solidFill>
              </a:rPr>
              <a:t>Кореляція ср грн з/п з мін. з/п по рокам </a:t>
            </a:r>
          </a:p>
        </c:rich>
      </c:tx>
      <c:layout>
        <c:manualLayout>
          <c:xMode val="edge"/>
          <c:yMode val="edge"/>
          <c:x val="0.24312289911363258"/>
          <c:y val="2.688506844931370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3552165014792289"/>
                  <c:y val="2.7886463568994307E-2"/>
                </c:manualLayout>
              </c:layout>
              <c:numFmt formatCode="General" sourceLinked="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trendlineLbl>
          </c:trendline>
          <c:xVal>
            <c:numRef>
              <c:f>'Прогноз Зарплати 2022'!$D$21:$V$21</c:f>
              <c:numCache>
                <c:formatCode>General</c:formatCode>
                <c:ptCount val="19"/>
                <c:pt idx="0">
                  <c:v>152.5</c:v>
                </c:pt>
                <c:pt idx="1">
                  <c:v>195</c:v>
                </c:pt>
                <c:pt idx="2">
                  <c:v>237</c:v>
                </c:pt>
                <c:pt idx="3">
                  <c:v>298.5</c:v>
                </c:pt>
                <c:pt idx="4">
                  <c:v>375</c:v>
                </c:pt>
                <c:pt idx="5">
                  <c:v>440</c:v>
                </c:pt>
                <c:pt idx="6">
                  <c:v>547.5</c:v>
                </c:pt>
                <c:pt idx="7">
                  <c:v>662.25</c:v>
                </c:pt>
                <c:pt idx="8">
                  <c:v>894</c:v>
                </c:pt>
                <c:pt idx="9">
                  <c:v>972.5</c:v>
                </c:pt>
                <c:pt idx="10">
                  <c:v>1104.2</c:v>
                </c:pt>
                <c:pt idx="11">
                  <c:v>1182.5</c:v>
                </c:pt>
                <c:pt idx="12">
                  <c:v>1218</c:v>
                </c:pt>
                <c:pt idx="13">
                  <c:v>1298</c:v>
                </c:pt>
                <c:pt idx="14">
                  <c:v>1476</c:v>
                </c:pt>
                <c:pt idx="15">
                  <c:v>3200</c:v>
                </c:pt>
                <c:pt idx="16">
                  <c:v>3723</c:v>
                </c:pt>
                <c:pt idx="17">
                  <c:v>4173</c:v>
                </c:pt>
                <c:pt idx="18" formatCode="_(* #\ ##0_);_(* \(#\ ##0\);_(* &quot;-&quot;??_);_(@_)">
                  <c:v>4815.333333333333</c:v>
                </c:pt>
              </c:numCache>
            </c:numRef>
          </c:xVal>
          <c:yVal>
            <c:numRef>
              <c:f>'Прогноз Зарплати 2022'!$D$12:$V$12</c:f>
              <c:numCache>
                <c:formatCode>_-* #\ ##0.0_-;\-* #\ ##0.0_-;_-* "-"??_-;_-@_-</c:formatCode>
                <c:ptCount val="19"/>
                <c:pt idx="0">
                  <c:v>375.97916666666657</c:v>
                </c:pt>
                <c:pt idx="1">
                  <c:v>462.58249999999998</c:v>
                </c:pt>
                <c:pt idx="2">
                  <c:v>590.52750000000003</c:v>
                </c:pt>
                <c:pt idx="3">
                  <c:v>806.13916666666682</c:v>
                </c:pt>
                <c:pt idx="4">
                  <c:v>1042.8758333333333</c:v>
                </c:pt>
                <c:pt idx="5">
                  <c:v>1352.75</c:v>
                </c:pt>
                <c:pt idx="6">
                  <c:v>1808.9166666666667</c:v>
                </c:pt>
                <c:pt idx="7">
                  <c:v>1909.25</c:v>
                </c:pt>
                <c:pt idx="8">
                  <c:v>2246.75</c:v>
                </c:pt>
                <c:pt idx="9">
                  <c:v>2639.1666666666665</c:v>
                </c:pt>
                <c:pt idx="10">
                  <c:v>3031.9166666666665</c:v>
                </c:pt>
                <c:pt idx="11">
                  <c:v>3273.8333333333335</c:v>
                </c:pt>
                <c:pt idx="12">
                  <c:v>3474.75</c:v>
                </c:pt>
                <c:pt idx="13">
                  <c:v>4207.333333333333</c:v>
                </c:pt>
                <c:pt idx="14">
                  <c:v>5187.333333333333</c:v>
                </c:pt>
                <c:pt idx="15">
                  <c:v>7105.416666666667</c:v>
                </c:pt>
                <c:pt idx="16">
                  <c:v>8867.4408333333322</c:v>
                </c:pt>
                <c:pt idx="17">
                  <c:v>10503.762499999999</c:v>
                </c:pt>
                <c:pt idx="18">
                  <c:v>11595.784174999999</c:v>
                </c:pt>
              </c:numCache>
            </c:numRef>
          </c:yVal>
          <c:smooth val="0"/>
          <c:extLst>
            <c:ext xmlns:c16="http://schemas.microsoft.com/office/drawing/2014/chart" uri="{C3380CC4-5D6E-409C-BE32-E72D297353CC}">
              <c16:uniqueId val="{00000002-6ECD-4F68-8F14-24A699EB1EA9}"/>
            </c:ext>
          </c:extLst>
        </c:ser>
        <c:dLbls>
          <c:showLegendKey val="0"/>
          <c:showVal val="0"/>
          <c:showCatName val="0"/>
          <c:showSerName val="0"/>
          <c:showPercent val="0"/>
          <c:showBubbleSize val="0"/>
        </c:dLbls>
        <c:axId val="924054416"/>
        <c:axId val="924046096"/>
      </c:scatterChart>
      <c:valAx>
        <c:axId val="924054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46096"/>
        <c:crosses val="autoZero"/>
        <c:crossBetween val="midCat"/>
      </c:valAx>
      <c:valAx>
        <c:axId val="924046096"/>
        <c:scaling>
          <c:orientation val="minMax"/>
        </c:scaling>
        <c:delete val="0"/>
        <c:axPos val="l"/>
        <c:majorGridlines>
          <c:spPr>
            <a:ln w="9525" cap="flat" cmpd="sng" algn="ctr">
              <a:solidFill>
                <a:schemeClr val="tx1">
                  <a:lumMod val="15000"/>
                  <a:lumOff val="85000"/>
                </a:schemeClr>
              </a:solidFill>
              <a:round/>
            </a:ln>
            <a:effectLst/>
          </c:spPr>
        </c:majorGridlines>
        <c:numFmt formatCode="_-* #\ ##0.0_-;\-* #\ ##0.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544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'Прогноз Зарплати 2022'!$A$35</c:f>
              <c:strCache>
                <c:ptCount val="1"/>
                <c:pt idx="0">
                  <c:v>% м-м</c:v>
                </c:pt>
              </c:strCache>
            </c:strRef>
          </c:tx>
          <c:spPr>
            <a:ln w="28575" cap="rnd">
              <a:solidFill>
                <a:schemeClr val="accent1"/>
              </a:solidFill>
              <a:round/>
            </a:ln>
            <a:effectLst/>
          </c:spPr>
          <c:marker>
            <c:symbol val="none"/>
          </c:marker>
          <c:cat>
            <c:multiLvlStrRef>
              <c:f>'Прогноз Зарплати 2022'!$B$29:$AW$30</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2017</c:v>
                  </c:pt>
                  <c:pt idx="12">
                    <c:v>2018</c:v>
                  </c:pt>
                  <c:pt idx="24">
                    <c:v>2019</c:v>
                  </c:pt>
                  <c:pt idx="36">
                    <c:v>2020</c:v>
                  </c:pt>
                </c:lvl>
              </c:multiLvlStrCache>
            </c:multiLvlStrRef>
          </c:cat>
          <c:val>
            <c:numRef>
              <c:f>'Прогноз Зарплати 2022'!$B$35:$AW$35</c:f>
              <c:numCache>
                <c:formatCode>0.0%</c:formatCode>
                <c:ptCount val="48"/>
                <c:pt idx="0">
                  <c:v>-7.2123552123552148E-2</c:v>
                </c:pt>
                <c:pt idx="1">
                  <c:v>3.3455392809587314E-2</c:v>
                </c:pt>
                <c:pt idx="2">
                  <c:v>8.7453696247382862E-2</c:v>
                </c:pt>
                <c:pt idx="3">
                  <c:v>-1.377369668246442E-2</c:v>
                </c:pt>
                <c:pt idx="4">
                  <c:v>2.7181258447214196E-2</c:v>
                </c:pt>
                <c:pt idx="5">
                  <c:v>7.6023391812865437E-2</c:v>
                </c:pt>
                <c:pt idx="6">
                  <c:v>-2.8532608695651662E-3</c:v>
                </c:pt>
                <c:pt idx="7">
                  <c:v>-3.0658127810328395E-2</c:v>
                </c:pt>
                <c:pt idx="8">
                  <c:v>3.3314590947427503E-2</c:v>
                </c:pt>
                <c:pt idx="9">
                  <c:v>3.5369337505102294E-3</c:v>
                </c:pt>
                <c:pt idx="10">
                  <c:v>1.3826758845058906E-2</c:v>
                </c:pt>
                <c:pt idx="11">
                  <c:v>0.173552613985827</c:v>
                </c:pt>
                <c:pt idx="12">
                  <c:v>-0.12140025065512128</c:v>
                </c:pt>
                <c:pt idx="13">
                  <c:v>1.513200466318354E-2</c:v>
                </c:pt>
                <c:pt idx="14">
                  <c:v>7.0742038997670065E-2</c:v>
                </c:pt>
                <c:pt idx="15">
                  <c:v>1.1727595282237768E-2</c:v>
                </c:pt>
                <c:pt idx="16">
                  <c:v>2.8832910389328559E-2</c:v>
                </c:pt>
                <c:pt idx="17">
                  <c:v>4.7728588211696676E-2</c:v>
                </c:pt>
                <c:pt idx="18">
                  <c:v>3.1844938886378404E-3</c:v>
                </c:pt>
                <c:pt idx="19">
                  <c:v>-2.1046249405688777E-2</c:v>
                </c:pt>
                <c:pt idx="20">
                  <c:v>7.2093106152419928E-3</c:v>
                </c:pt>
                <c:pt idx="21">
                  <c:v>1.9464720194647178E-2</c:v>
                </c:pt>
                <c:pt idx="22">
                  <c:v>-6.1835539162508057E-3</c:v>
                </c:pt>
                <c:pt idx="23">
                  <c:v>0.15413164501691945</c:v>
                </c:pt>
                <c:pt idx="24">
                  <c:v>-0.12768372268987038</c:v>
                </c:pt>
                <c:pt idx="25">
                  <c:v>2.2335465683616995E-2</c:v>
                </c:pt>
                <c:pt idx="26">
                  <c:v>8.5693074557217086E-2</c:v>
                </c:pt>
                <c:pt idx="27">
                  <c:v>3.1259157956433636E-3</c:v>
                </c:pt>
                <c:pt idx="28">
                  <c:v>-2.9214139643587433E-3</c:v>
                </c:pt>
                <c:pt idx="29">
                  <c:v>5.3130188494970199E-2</c:v>
                </c:pt>
                <c:pt idx="30">
                  <c:v>1.7434851154595199E-2</c:v>
                </c:pt>
                <c:pt idx="31">
                  <c:v>-3.9558836933734409E-2</c:v>
                </c:pt>
                <c:pt idx="32">
                  <c:v>1.4241245136186631E-2</c:v>
                </c:pt>
                <c:pt idx="33">
                  <c:v>3.7690440588900032E-3</c:v>
                </c:pt>
                <c:pt idx="34">
                  <c:v>-4.4931921613373671E-3</c:v>
                </c:pt>
                <c:pt idx="35">
                  <c:v>0.14837056167444196</c:v>
                </c:pt>
                <c:pt idx="36">
                  <c:v>-0.1252983420053313</c:v>
                </c:pt>
                <c:pt idx="37">
                  <c:v>1.1186725086230975E-2</c:v>
                </c:pt>
                <c:pt idx="38">
                  <c:v>5.5222642205217998E-2</c:v>
                </c:pt>
                <c:pt idx="39">
                  <c:v>-8.8764633933251846E-2</c:v>
                </c:pt>
                <c:pt idx="40">
                  <c:v>1.0738255033557076E-2</c:v>
                </c:pt>
                <c:pt idx="41">
                  <c:v>9.8368431037753723E-2</c:v>
                </c:pt>
                <c:pt idx="42">
                  <c:v>1.943172985577335E-2</c:v>
                </c:pt>
                <c:pt idx="43">
                  <c:v>-3.032870213486949E-2</c:v>
                </c:pt>
                <c:pt idx="44">
                  <c:v>4.7352786999825369E-2</c:v>
                </c:pt>
                <c:pt idx="45">
                  <c:v>1.5515515515515554E-2</c:v>
                </c:pt>
                <c:pt idx="46">
                  <c:v>-1.5326918022014246E-2</c:v>
                </c:pt>
                <c:pt idx="47">
                  <c:v>0.18282430330801813</c:v>
                </c:pt>
              </c:numCache>
            </c:numRef>
          </c:val>
          <c:smooth val="0"/>
          <c:extLst>
            <c:ext xmlns:c16="http://schemas.microsoft.com/office/drawing/2014/chart" uri="{C3380CC4-5D6E-409C-BE32-E72D297353CC}">
              <c16:uniqueId val="{00000000-981A-46F6-B778-F05B421F7E34}"/>
            </c:ext>
          </c:extLst>
        </c:ser>
        <c:dLbls>
          <c:showLegendKey val="0"/>
          <c:showVal val="0"/>
          <c:showCatName val="0"/>
          <c:showSerName val="0"/>
          <c:showPercent val="0"/>
          <c:showBubbleSize val="0"/>
        </c:dLbls>
        <c:smooth val="0"/>
        <c:axId val="548123280"/>
        <c:axId val="548122000"/>
      </c:lineChart>
      <c:catAx>
        <c:axId val="548123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548122000"/>
        <c:crosses val="autoZero"/>
        <c:auto val="1"/>
        <c:lblAlgn val="ctr"/>
        <c:lblOffset val="100"/>
        <c:noMultiLvlLbl val="0"/>
      </c:catAx>
      <c:valAx>
        <c:axId val="5481220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54812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a:solidFill>
            <a:sysClr val="windowText" lastClr="000000"/>
          </a:solidFill>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Регресія грн зп в Укр і Києві</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16038407699037621"/>
                  <c:y val="2.1886847477398659E-3"/>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rendlineLbl>
          </c:trendline>
          <c:xVal>
            <c:numRef>
              <c:f>'Прогноз Зарплати 2022'!$B$31:$BE$31</c:f>
              <c:numCache>
                <c:formatCode>_(* #\ ##0_);_(* \(#\ ##0\);_(* "-"??_);_(@_)</c:formatCode>
                <c:ptCount val="56"/>
                <c:pt idx="0">
                  <c:v>6008</c:v>
                </c:pt>
                <c:pt idx="1">
                  <c:v>6209</c:v>
                </c:pt>
                <c:pt idx="2">
                  <c:v>6752</c:v>
                </c:pt>
                <c:pt idx="3">
                  <c:v>6659</c:v>
                </c:pt>
                <c:pt idx="4">
                  <c:v>6840</c:v>
                </c:pt>
                <c:pt idx="5">
                  <c:v>7360</c:v>
                </c:pt>
                <c:pt idx="6">
                  <c:v>7339</c:v>
                </c:pt>
                <c:pt idx="7">
                  <c:v>7114</c:v>
                </c:pt>
                <c:pt idx="8">
                  <c:v>7351</c:v>
                </c:pt>
                <c:pt idx="9">
                  <c:v>7377</c:v>
                </c:pt>
                <c:pt idx="10">
                  <c:v>7479</c:v>
                </c:pt>
                <c:pt idx="11">
                  <c:v>8777</c:v>
                </c:pt>
                <c:pt idx="12">
                  <c:v>7711.47</c:v>
                </c:pt>
                <c:pt idx="13">
                  <c:v>7828.16</c:v>
                </c:pt>
                <c:pt idx="14">
                  <c:v>8381.94</c:v>
                </c:pt>
                <c:pt idx="15">
                  <c:v>8480.24</c:v>
                </c:pt>
                <c:pt idx="16">
                  <c:v>8724.75</c:v>
                </c:pt>
                <c:pt idx="17">
                  <c:v>9141.17</c:v>
                </c:pt>
                <c:pt idx="18">
                  <c:v>9170.2800000000007</c:v>
                </c:pt>
                <c:pt idx="19">
                  <c:v>8977.2800000000007</c:v>
                </c:pt>
                <c:pt idx="20">
                  <c:v>9042</c:v>
                </c:pt>
                <c:pt idx="21">
                  <c:v>9218</c:v>
                </c:pt>
                <c:pt idx="22">
                  <c:v>9161</c:v>
                </c:pt>
                <c:pt idx="23">
                  <c:v>10573</c:v>
                </c:pt>
                <c:pt idx="24">
                  <c:v>9223</c:v>
                </c:pt>
                <c:pt idx="25">
                  <c:v>9429</c:v>
                </c:pt>
                <c:pt idx="26">
                  <c:v>10237</c:v>
                </c:pt>
                <c:pt idx="27">
                  <c:v>10269</c:v>
                </c:pt>
                <c:pt idx="28">
                  <c:v>10239</c:v>
                </c:pt>
                <c:pt idx="29">
                  <c:v>10783</c:v>
                </c:pt>
                <c:pt idx="30">
                  <c:v>10971</c:v>
                </c:pt>
                <c:pt idx="31">
                  <c:v>10537</c:v>
                </c:pt>
                <c:pt idx="32">
                  <c:v>10687.06</c:v>
                </c:pt>
                <c:pt idx="33">
                  <c:v>10727.34</c:v>
                </c:pt>
                <c:pt idx="34">
                  <c:v>10679.14</c:v>
                </c:pt>
                <c:pt idx="35">
                  <c:v>12263.61</c:v>
                </c:pt>
                <c:pt idx="36">
                  <c:v>10727</c:v>
                </c:pt>
                <c:pt idx="37">
                  <c:v>10847</c:v>
                </c:pt>
                <c:pt idx="38">
                  <c:v>11446</c:v>
                </c:pt>
                <c:pt idx="39">
                  <c:v>10430</c:v>
                </c:pt>
                <c:pt idx="40">
                  <c:v>10542</c:v>
                </c:pt>
                <c:pt idx="41">
                  <c:v>11579</c:v>
                </c:pt>
                <c:pt idx="42">
                  <c:v>11804</c:v>
                </c:pt>
                <c:pt idx="43">
                  <c:v>11446</c:v>
                </c:pt>
                <c:pt idx="44">
                  <c:v>11988</c:v>
                </c:pt>
                <c:pt idx="45" formatCode="0">
                  <c:v>12174</c:v>
                </c:pt>
                <c:pt idx="46" formatCode="0">
                  <c:v>11987.410099999999</c:v>
                </c:pt>
                <c:pt idx="47" formatCode="General">
                  <c:v>14179</c:v>
                </c:pt>
                <c:pt idx="48">
                  <c:v>12337</c:v>
                </c:pt>
                <c:pt idx="49">
                  <c:v>12549</c:v>
                </c:pt>
                <c:pt idx="50">
                  <c:v>13612</c:v>
                </c:pt>
                <c:pt idx="51">
                  <c:v>13543</c:v>
                </c:pt>
                <c:pt idx="52">
                  <c:v>13499</c:v>
                </c:pt>
                <c:pt idx="53">
                  <c:v>14313</c:v>
                </c:pt>
                <c:pt idx="54">
                  <c:v>14345</c:v>
                </c:pt>
                <c:pt idx="55">
                  <c:v>13997</c:v>
                </c:pt>
              </c:numCache>
            </c:numRef>
          </c:xVal>
          <c:yVal>
            <c:numRef>
              <c:f>'Прогноз Зарплати 2022'!$B$48:$BE$48</c:f>
              <c:numCache>
                <c:formatCode>General</c:formatCode>
                <c:ptCount val="56"/>
                <c:pt idx="0">
                  <c:v>9292</c:v>
                </c:pt>
                <c:pt idx="1">
                  <c:v>9832</c:v>
                </c:pt>
                <c:pt idx="2">
                  <c:v>11010</c:v>
                </c:pt>
                <c:pt idx="3">
                  <c:v>10788</c:v>
                </c:pt>
                <c:pt idx="4">
                  <c:v>10558</c:v>
                </c:pt>
                <c:pt idx="5">
                  <c:v>11091</c:v>
                </c:pt>
                <c:pt idx="6">
                  <c:v>11412</c:v>
                </c:pt>
                <c:pt idx="7">
                  <c:v>11073</c:v>
                </c:pt>
                <c:pt idx="8">
                  <c:v>11423</c:v>
                </c:pt>
                <c:pt idx="9">
                  <c:v>11454</c:v>
                </c:pt>
                <c:pt idx="10">
                  <c:v>11643</c:v>
                </c:pt>
                <c:pt idx="11">
                  <c:v>14035</c:v>
                </c:pt>
                <c:pt idx="12">
                  <c:v>11668</c:v>
                </c:pt>
                <c:pt idx="13">
                  <c:v>12124</c:v>
                </c:pt>
                <c:pt idx="14">
                  <c:v>13388</c:v>
                </c:pt>
                <c:pt idx="15">
                  <c:v>13150</c:v>
                </c:pt>
                <c:pt idx="16">
                  <c:v>13286</c:v>
                </c:pt>
                <c:pt idx="17">
                  <c:v>13553</c:v>
                </c:pt>
                <c:pt idx="18">
                  <c:v>13836</c:v>
                </c:pt>
                <c:pt idx="19">
                  <c:v>13659</c:v>
                </c:pt>
                <c:pt idx="20">
                  <c:v>13614</c:v>
                </c:pt>
                <c:pt idx="21">
                  <c:v>13850</c:v>
                </c:pt>
                <c:pt idx="22">
                  <c:v>13897</c:v>
                </c:pt>
                <c:pt idx="23">
                  <c:v>16546</c:v>
                </c:pt>
                <c:pt idx="24">
                  <c:v>13721</c:v>
                </c:pt>
                <c:pt idx="25">
                  <c:v>14513</c:v>
                </c:pt>
                <c:pt idx="26">
                  <c:v>16207</c:v>
                </c:pt>
                <c:pt idx="27">
                  <c:v>15876</c:v>
                </c:pt>
                <c:pt idx="28">
                  <c:v>15157</c:v>
                </c:pt>
                <c:pt idx="29">
                  <c:v>15650</c:v>
                </c:pt>
                <c:pt idx="30">
                  <c:v>16249</c:v>
                </c:pt>
                <c:pt idx="31">
                  <c:v>15694</c:v>
                </c:pt>
                <c:pt idx="32">
                  <c:v>15626</c:v>
                </c:pt>
                <c:pt idx="33">
                  <c:v>15862</c:v>
                </c:pt>
                <c:pt idx="34">
                  <c:v>15974</c:v>
                </c:pt>
                <c:pt idx="35">
                  <c:v>18869</c:v>
                </c:pt>
                <c:pt idx="36">
                  <c:v>15787</c:v>
                </c:pt>
                <c:pt idx="37">
                  <c:v>16447</c:v>
                </c:pt>
                <c:pt idx="38">
                  <c:v>17990</c:v>
                </c:pt>
                <c:pt idx="39">
                  <c:v>15278</c:v>
                </c:pt>
                <c:pt idx="40">
                  <c:v>15191</c:v>
                </c:pt>
                <c:pt idx="41">
                  <c:v>16393</c:v>
                </c:pt>
                <c:pt idx="42">
                  <c:v>17053</c:v>
                </c:pt>
                <c:pt idx="43">
                  <c:v>16795</c:v>
                </c:pt>
                <c:pt idx="44">
                  <c:v>17253</c:v>
                </c:pt>
                <c:pt idx="45">
                  <c:v>17494</c:v>
                </c:pt>
                <c:pt idx="46">
                  <c:v>17582</c:v>
                </c:pt>
                <c:pt idx="47">
                  <c:v>21812</c:v>
                </c:pt>
                <c:pt idx="48">
                  <c:v>17533</c:v>
                </c:pt>
                <c:pt idx="49" formatCode="_(* #\ ##0_);_(* \(#\ ##0\);_(* &quot;-&quot;??_);_(@_)">
                  <c:v>18504</c:v>
                </c:pt>
                <c:pt idx="50" formatCode="_(* #\ ##0_);_(* \(#\ ##0\);_(* &quot;-&quot;??_);_(@_)">
                  <c:v>20132</c:v>
                </c:pt>
                <c:pt idx="51" formatCode="_(* #\ ##0_);_(* \(#\ ##0\);_(* &quot;-&quot;??_);_(@_)">
                  <c:v>20422</c:v>
                </c:pt>
                <c:pt idx="52" formatCode="_(* #\ ##0_);_(* \(#\ ##0\);_(* &quot;-&quot;??_);_(@_)">
                  <c:v>19287</c:v>
                </c:pt>
                <c:pt idx="53" formatCode="_(* #\ ##0_);_(* \(#\ ##0\);_(* &quot;-&quot;??_);_(@_)">
                  <c:v>20455</c:v>
                </c:pt>
                <c:pt idx="54" formatCode="_(* #\ ##0_);_(* \(#\ ##0\);_(* &quot;-&quot;??_);_(@_)">
                  <c:v>20956</c:v>
                </c:pt>
                <c:pt idx="55" formatCode="_(* #\ ##0_);_(* \(#\ ##0\);_(* &quot;-&quot;??_);_(@_)">
                  <c:v>20358</c:v>
                </c:pt>
              </c:numCache>
            </c:numRef>
          </c:yVal>
          <c:smooth val="0"/>
          <c:extLst>
            <c:ext xmlns:c16="http://schemas.microsoft.com/office/drawing/2014/chart" uri="{C3380CC4-5D6E-409C-BE32-E72D297353CC}">
              <c16:uniqueId val="{00000002-B160-43D5-9ECB-92F91CB91754}"/>
            </c:ext>
          </c:extLst>
        </c:ser>
        <c:dLbls>
          <c:showLegendKey val="0"/>
          <c:showVal val="0"/>
          <c:showCatName val="0"/>
          <c:showSerName val="0"/>
          <c:showPercent val="0"/>
          <c:showBubbleSize val="0"/>
        </c:dLbls>
        <c:axId val="1499261167"/>
        <c:axId val="1499262831"/>
      </c:scatterChart>
      <c:valAx>
        <c:axId val="1499261167"/>
        <c:scaling>
          <c:orientation val="minMax"/>
        </c:scaling>
        <c:delete val="0"/>
        <c:axPos val="b"/>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262831"/>
        <c:crosses val="autoZero"/>
        <c:crossBetween val="midCat"/>
      </c:valAx>
      <c:valAx>
        <c:axId val="1499262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2611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uk-UA"/>
              <a:t>Регресія </a:t>
            </a:r>
            <a:r>
              <a:rPr lang="en-US"/>
              <a:t>USD</a:t>
            </a:r>
            <a:r>
              <a:rPr lang="uk-UA"/>
              <a:t> зп в Укр і Києві</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20753958880139983"/>
                  <c:y val="-2.4409448818897639E-3"/>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rendlineLbl>
          </c:trendline>
          <c:xVal>
            <c:numRef>
              <c:f>'Прогноз Зарплати 2022'!$B$46:$BE$46</c:f>
              <c:numCache>
                <c:formatCode>_(* #\ ##0_);_(* \(#\ ##0\);_(* "-"??_);_(@_)</c:formatCode>
                <c:ptCount val="56"/>
                <c:pt idx="0">
                  <c:v>221.28414716451314</c:v>
                </c:pt>
                <c:pt idx="1">
                  <c:v>229.72667570666297</c:v>
                </c:pt>
                <c:pt idx="2">
                  <c:v>250.05960377908121</c:v>
                </c:pt>
                <c:pt idx="3">
                  <c:v>247.94440442296315</c:v>
                </c:pt>
                <c:pt idx="4">
                  <c:v>258.85859330866435</c:v>
                </c:pt>
                <c:pt idx="5">
                  <c:v>281.89666330933443</c:v>
                </c:pt>
                <c:pt idx="6">
                  <c:v>282.60275391116312</c:v>
                </c:pt>
                <c:pt idx="7">
                  <c:v>277.50827692149477</c:v>
                </c:pt>
                <c:pt idx="8">
                  <c:v>281.55466018713815</c:v>
                </c:pt>
                <c:pt idx="9">
                  <c:v>276.75881968372681</c:v>
                </c:pt>
                <c:pt idx="10">
                  <c:v>280.05703377656954</c:v>
                </c:pt>
                <c:pt idx="11">
                  <c:v>318.97216102344254</c:v>
                </c:pt>
                <c:pt idx="12">
                  <c:v>271.20281632043213</c:v>
                </c:pt>
                <c:pt idx="13">
                  <c:v>288.10664935370164</c:v>
                </c:pt>
                <c:pt idx="14">
                  <c:v>318.2064025589483</c:v>
                </c:pt>
                <c:pt idx="15">
                  <c:v>324.27047768457891</c:v>
                </c:pt>
                <c:pt idx="16">
                  <c:v>333.24453457573924</c:v>
                </c:pt>
                <c:pt idx="17">
                  <c:v>348.87071708922053</c:v>
                </c:pt>
                <c:pt idx="18">
                  <c:v>347.35005955288688</c:v>
                </c:pt>
                <c:pt idx="19">
                  <c:v>326.65787489872628</c:v>
                </c:pt>
                <c:pt idx="20">
                  <c:v>320.73761924264335</c:v>
                </c:pt>
                <c:pt idx="21">
                  <c:v>327.72335024168359</c:v>
                </c:pt>
                <c:pt idx="22">
                  <c:v>327.95749233670392</c:v>
                </c:pt>
                <c:pt idx="23">
                  <c:v>380.4723892474583</c:v>
                </c:pt>
                <c:pt idx="24">
                  <c:v>330.82040627098911</c:v>
                </c:pt>
                <c:pt idx="25">
                  <c:v>335.26114757887473</c:v>
                </c:pt>
                <c:pt idx="26">
                  <c:v>381.07420188018102</c:v>
                </c:pt>
                <c:pt idx="27">
                  <c:v>383.00735878763174</c:v>
                </c:pt>
                <c:pt idx="28">
                  <c:v>388.15190537089643</c:v>
                </c:pt>
                <c:pt idx="29">
                  <c:v>406.9039616172974</c:v>
                </c:pt>
                <c:pt idx="30">
                  <c:v>426.03582743831959</c:v>
                </c:pt>
                <c:pt idx="31">
                  <c:v>417.35668931454512</c:v>
                </c:pt>
                <c:pt idx="32">
                  <c:v>431.45656076307404</c:v>
                </c:pt>
                <c:pt idx="33">
                  <c:v>432.41094405698499</c:v>
                </c:pt>
                <c:pt idx="34">
                  <c:v>438.25307618279879</c:v>
                </c:pt>
                <c:pt idx="35">
                  <c:v>519.43682400599153</c:v>
                </c:pt>
                <c:pt idx="36">
                  <c:v>444.74661558734994</c:v>
                </c:pt>
                <c:pt idx="37">
                  <c:v>440.99727014974906</c:v>
                </c:pt>
                <c:pt idx="38">
                  <c:v>433.35880615710346</c:v>
                </c:pt>
                <c:pt idx="39">
                  <c:v>383.10864319545681</c:v>
                </c:pt>
                <c:pt idx="40">
                  <c:v>393.14800632593904</c:v>
                </c:pt>
                <c:pt idx="41">
                  <c:v>433.55117188119181</c:v>
                </c:pt>
                <c:pt idx="42">
                  <c:v>432.17770680927566</c:v>
                </c:pt>
                <c:pt idx="43">
                  <c:v>415.8942477647908</c:v>
                </c:pt>
                <c:pt idx="44">
                  <c:v>428.70052507589355</c:v>
                </c:pt>
                <c:pt idx="45">
                  <c:v>433.23843416370107</c:v>
                </c:pt>
                <c:pt idx="46">
                  <c:v>426.59822419928821</c:v>
                </c:pt>
                <c:pt idx="47">
                  <c:v>502.80141843971631</c:v>
                </c:pt>
                <c:pt idx="48">
                  <c:v>437.17576638387527</c:v>
                </c:pt>
                <c:pt idx="49">
                  <c:v>450.03237186855824</c:v>
                </c:pt>
                <c:pt idx="50">
                  <c:v>489.71853590437973</c:v>
                </c:pt>
                <c:pt idx="51">
                  <c:v>484.89079842463303</c:v>
                </c:pt>
                <c:pt idx="52">
                  <c:v>489.09420289855069</c:v>
                </c:pt>
                <c:pt idx="53">
                  <c:v>525.44297195704064</c:v>
                </c:pt>
                <c:pt idx="54">
                  <c:v>527.10777323798527</c:v>
                </c:pt>
                <c:pt idx="55">
                  <c:v>523.05680119581461</c:v>
                </c:pt>
              </c:numCache>
            </c:numRef>
          </c:xVal>
          <c:yVal>
            <c:numRef>
              <c:f>'Прогноз Зарплати 2022'!$B$50:$BE$50</c:f>
              <c:numCache>
                <c:formatCode>_(* #\ ##0_);_(* \(#\ ##0\);_(* "-"??_);_(@_)</c:formatCode>
                <c:ptCount val="56"/>
                <c:pt idx="0">
                  <c:v>342.23906382367778</c:v>
                </c:pt>
                <c:pt idx="1">
                  <c:v>363.77398543210023</c:v>
                </c:pt>
                <c:pt idx="2">
                  <c:v>407.75418211014278</c:v>
                </c:pt>
                <c:pt idx="3">
                  <c:v>401.68557364693294</c:v>
                </c:pt>
                <c:pt idx="4">
                  <c:v>399.56564739077169</c:v>
                </c:pt>
                <c:pt idx="5">
                  <c:v>424.79835499508533</c:v>
                </c:pt>
                <c:pt idx="6">
                  <c:v>439.44169881921152</c:v>
                </c:pt>
                <c:pt idx="7">
                  <c:v>431.94393454480064</c:v>
                </c:pt>
                <c:pt idx="8">
                  <c:v>437.5185530292041</c:v>
                </c:pt>
                <c:pt idx="9">
                  <c:v>429.71336866712852</c:v>
                </c:pt>
                <c:pt idx="10">
                  <c:v>435.9812868378927</c:v>
                </c:pt>
                <c:pt idx="11">
                  <c:v>510.05745470707717</c:v>
                </c:pt>
                <c:pt idx="12">
                  <c:v>410.34905936569839</c:v>
                </c:pt>
                <c:pt idx="13">
                  <c:v>446.21022267867278</c:v>
                </c:pt>
                <c:pt idx="14">
                  <c:v>508.25313918486643</c:v>
                </c:pt>
                <c:pt idx="15">
                  <c:v>502.834445906273</c:v>
                </c:pt>
                <c:pt idx="16">
                  <c:v>507.46289422313203</c:v>
                </c:pt>
                <c:pt idx="17">
                  <c:v>517.24722641742869</c:v>
                </c:pt>
                <c:pt idx="18">
                  <c:v>524.07728269733775</c:v>
                </c:pt>
                <c:pt idx="19">
                  <c:v>497.012448452282</c:v>
                </c:pt>
                <c:pt idx="20">
                  <c:v>482.91549970906283</c:v>
                </c:pt>
                <c:pt idx="21">
                  <c:v>492.4027338736513</c:v>
                </c:pt>
                <c:pt idx="22">
                  <c:v>497.50303143796248</c:v>
                </c:pt>
                <c:pt idx="23">
                  <c:v>595.41248013699476</c:v>
                </c:pt>
                <c:pt idx="24">
                  <c:v>492.15947028561652</c:v>
                </c:pt>
                <c:pt idx="25">
                  <c:v>516.02980536771759</c:v>
                </c:pt>
                <c:pt idx="26">
                  <c:v>603.30854643666055</c:v>
                </c:pt>
                <c:pt idx="27">
                  <c:v>592.13407616247366</c:v>
                </c:pt>
                <c:pt idx="28">
                  <c:v>574.58916199889416</c:v>
                </c:pt>
                <c:pt idx="29">
                  <c:v>590.56357222579095</c:v>
                </c:pt>
                <c:pt idx="30">
                  <c:v>630.99591286530438</c:v>
                </c:pt>
                <c:pt idx="31">
                  <c:v>621.61866585389305</c:v>
                </c:pt>
                <c:pt idx="32">
                  <c:v>630.85078763324941</c:v>
                </c:pt>
                <c:pt idx="33">
                  <c:v>639.38519657546942</c:v>
                </c:pt>
                <c:pt idx="34">
                  <c:v>655.54479470669253</c:v>
                </c:pt>
                <c:pt idx="35">
                  <c:v>799.21437750948166</c:v>
                </c:pt>
                <c:pt idx="36">
                  <c:v>654.536666381793</c:v>
                </c:pt>
                <c:pt idx="37">
                  <c:v>668.67171588023621</c:v>
                </c:pt>
                <c:pt idx="38">
                  <c:v>681.1222193575303</c:v>
                </c:pt>
                <c:pt idx="39">
                  <c:v>561.18253602494622</c:v>
                </c:pt>
                <c:pt idx="40">
                  <c:v>566.52545665882565</c:v>
                </c:pt>
                <c:pt idx="41">
                  <c:v>613.80122295952822</c:v>
                </c:pt>
                <c:pt idx="42">
                  <c:v>624.35838988635862</c:v>
                </c:pt>
                <c:pt idx="43">
                  <c:v>610.25195624756793</c:v>
                </c:pt>
                <c:pt idx="44">
                  <c:v>616.98116108895488</c:v>
                </c:pt>
                <c:pt idx="45">
                  <c:v>622.56227758007117</c:v>
                </c:pt>
                <c:pt idx="46">
                  <c:v>625.6939501779359</c:v>
                </c:pt>
                <c:pt idx="47">
                  <c:v>773.47517730496452</c:v>
                </c:pt>
                <c:pt idx="48">
                  <c:v>621.30199497515491</c:v>
                </c:pt>
                <c:pt idx="49">
                  <c:v>663.59064539451765</c:v>
                </c:pt>
                <c:pt idx="50">
                  <c:v>724.28839001079734</c:v>
                </c:pt>
                <c:pt idx="51">
                  <c:v>731.18510562119582</c:v>
                </c:pt>
                <c:pt idx="52">
                  <c:v>698.80434782608688</c:v>
                </c:pt>
                <c:pt idx="53">
                  <c:v>750.92125979048888</c:v>
                </c:pt>
                <c:pt idx="54">
                  <c:v>770.02931306902894</c:v>
                </c:pt>
                <c:pt idx="55">
                  <c:v>760.76233183856493</c:v>
                </c:pt>
              </c:numCache>
            </c:numRef>
          </c:yVal>
          <c:smooth val="0"/>
          <c:extLst>
            <c:ext xmlns:c16="http://schemas.microsoft.com/office/drawing/2014/chart" uri="{C3380CC4-5D6E-409C-BE32-E72D297353CC}">
              <c16:uniqueId val="{00000002-5B7B-40BB-84A1-E9EFA05E45CA}"/>
            </c:ext>
          </c:extLst>
        </c:ser>
        <c:dLbls>
          <c:showLegendKey val="0"/>
          <c:showVal val="0"/>
          <c:showCatName val="0"/>
          <c:showSerName val="0"/>
          <c:showPercent val="0"/>
          <c:showBubbleSize val="0"/>
        </c:dLbls>
        <c:axId val="1499261167"/>
        <c:axId val="1499262831"/>
      </c:scatterChart>
      <c:valAx>
        <c:axId val="1499261167"/>
        <c:scaling>
          <c:orientation val="minMax"/>
        </c:scaling>
        <c:delete val="0"/>
        <c:axPos val="b"/>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262831"/>
        <c:crosses val="autoZero"/>
        <c:crossBetween val="midCat"/>
      </c:valAx>
      <c:valAx>
        <c:axId val="1499262831"/>
        <c:scaling>
          <c:orientation val="minMax"/>
        </c:scaling>
        <c:delete val="0"/>
        <c:axPos val="l"/>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2611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'Прогноз Зарплати 2022'!$A$68</c:f>
              <c:strCache>
                <c:ptCount val="1"/>
                <c:pt idx="0">
                  <c:v>2021F</c:v>
                </c:pt>
              </c:strCache>
            </c:strRef>
          </c:tx>
          <c:spPr>
            <a:ln w="28575" cap="rnd">
              <a:solidFill>
                <a:schemeClr val="accent1"/>
              </a:solidFill>
              <a:round/>
            </a:ln>
            <a:effectLst/>
          </c:spPr>
          <c:marker>
            <c:symbol val="none"/>
          </c:marker>
          <c:val>
            <c:numRef>
              <c:f>'Прогноз Зарплати 2022'!$B$68:$M$68</c:f>
              <c:numCache>
                <c:formatCode>0.0%</c:formatCode>
                <c:ptCount val="12"/>
                <c:pt idx="0">
                  <c:v>-0.1299104309189647</c:v>
                </c:pt>
                <c:pt idx="1">
                  <c:v>1.7184080408527258E-2</c:v>
                </c:pt>
                <c:pt idx="2">
                  <c:v>8.4707944856163842E-2</c:v>
                </c:pt>
                <c:pt idx="3">
                  <c:v>-5.0690567146635113E-3</c:v>
                </c:pt>
                <c:pt idx="4">
                  <c:v>-3.2489108764675034E-3</c:v>
                </c:pt>
                <c:pt idx="5">
                  <c:v>6.030076301948295E-2</c:v>
                </c:pt>
                <c:pt idx="6">
                  <c:v>2.2357297561657052E-3</c:v>
                </c:pt>
                <c:pt idx="7">
                  <c:v>-2.4259323806204214E-2</c:v>
                </c:pt>
                <c:pt idx="8">
                  <c:v>1.0725277875714312E-2</c:v>
                </c:pt>
                <c:pt idx="9">
                  <c:v>1.1616882126768591E-2</c:v>
                </c:pt>
                <c:pt idx="10">
                  <c:v>-5.3383730387940864E-3</c:v>
                </c:pt>
                <c:pt idx="11">
                  <c:v>0.1512511033456807</c:v>
                </c:pt>
              </c:numCache>
            </c:numRef>
          </c:val>
          <c:smooth val="0"/>
          <c:extLst>
            <c:ext xmlns:c16="http://schemas.microsoft.com/office/drawing/2014/chart" uri="{C3380CC4-5D6E-409C-BE32-E72D297353CC}">
              <c16:uniqueId val="{00000000-1542-4D45-BC00-F53E26E0EF8A}"/>
            </c:ext>
          </c:extLst>
        </c:ser>
        <c:dLbls>
          <c:showLegendKey val="0"/>
          <c:showVal val="0"/>
          <c:showCatName val="0"/>
          <c:showSerName val="0"/>
          <c:showPercent val="0"/>
          <c:showBubbleSize val="0"/>
        </c:dLbls>
        <c:smooth val="0"/>
        <c:axId val="1112053776"/>
        <c:axId val="1112054608"/>
      </c:lineChart>
      <c:catAx>
        <c:axId val="11120537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054608"/>
        <c:crosses val="autoZero"/>
        <c:auto val="1"/>
        <c:lblAlgn val="ctr"/>
        <c:lblOffset val="100"/>
        <c:noMultiLvlLbl val="0"/>
      </c:catAx>
      <c:valAx>
        <c:axId val="11120546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05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ysClr val="windowText" lastClr="000000"/>
                </a:solidFill>
                <a:latin typeface="+mn-lt"/>
                <a:ea typeface="+mn-ea"/>
                <a:cs typeface="+mn-cs"/>
              </a:defRPr>
            </a:pPr>
            <a:r>
              <a:rPr lang="ru-RU" sz="2000" b="1" i="0" kern="1200" spc="0" baseline="0">
                <a:solidFill>
                  <a:srgbClr val="4CA2C1"/>
                </a:solidFill>
                <a:effectLst/>
              </a:rPr>
              <a:t>Прогноз средней зарплаты в Украине в 2022 году, грн, долл.</a:t>
            </a:r>
            <a:endParaRPr lang="ru-RU" sz="1800">
              <a:effectLst/>
            </a:endParaRPr>
          </a:p>
        </c:rich>
      </c:tx>
      <c:layout>
        <c:manualLayout>
          <c:xMode val="edge"/>
          <c:yMode val="edge"/>
          <c:x val="1.7966071920725291E-2"/>
          <c:y val="2.3320985453030341E-2"/>
        </c:manualLayout>
      </c:layout>
      <c:overlay val="0"/>
      <c:spPr>
        <a:noFill/>
        <a:ln>
          <a:noFill/>
        </a:ln>
        <a:effectLst/>
      </c:spPr>
      <c:txPr>
        <a:bodyPr rot="0" spcFirstLastPara="1" vertOverflow="ellipsis" vert="horz" wrap="square" anchor="ctr" anchorCtr="1"/>
        <a:lstStyle/>
        <a:p>
          <a:pPr>
            <a:defRPr sz="168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1"/>
          <c:order val="1"/>
          <c:tx>
            <c:strRef>
              <c:f>'Прогноз Зарплати 2022'!$A$137</c:f>
              <c:strCache>
                <c:ptCount val="1"/>
                <c:pt idx="0">
                  <c:v>USD</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2022'!$Y$118:$AK$119</c:f>
              <c:multiLvlStrCache>
                <c:ptCount val="13"/>
                <c:lvl>
                  <c:pt idx="0">
                    <c:v>12</c:v>
                  </c:pt>
                  <c:pt idx="1">
                    <c:v>1</c:v>
                  </c:pt>
                  <c:pt idx="2">
                    <c:v>2</c:v>
                  </c:pt>
                  <c:pt idx="3">
                    <c:v>3</c:v>
                  </c:pt>
                  <c:pt idx="4">
                    <c:v>4</c:v>
                  </c:pt>
                  <c:pt idx="5">
                    <c:v>5</c:v>
                  </c:pt>
                  <c:pt idx="6">
                    <c:v>6</c:v>
                  </c:pt>
                  <c:pt idx="7">
                    <c:v>7</c:v>
                  </c:pt>
                  <c:pt idx="8">
                    <c:v>8</c:v>
                  </c:pt>
                  <c:pt idx="9">
                    <c:v>9</c:v>
                  </c:pt>
                  <c:pt idx="10">
                    <c:v>10</c:v>
                  </c:pt>
                  <c:pt idx="11">
                    <c:v>11</c:v>
                  </c:pt>
                  <c:pt idx="12">
                    <c:v>12</c:v>
                  </c:pt>
                </c:lvl>
                <c:lvl>
                  <c:pt idx="0">
                    <c:v>2021</c:v>
                  </c:pt>
                  <c:pt idx="1">
                    <c:v>2022</c:v>
                  </c:pt>
                </c:lvl>
              </c:multiLvlStrCache>
            </c:multiLvlStrRef>
          </c:cat>
          <c:val>
            <c:numRef>
              <c:f>'Прогноз Зарплати 2022'!$Y$122:$AK$122</c:f>
              <c:numCache>
                <c:formatCode>_(* #\ ##0_);_(* \(#\ ##0\);_(* "-"??_);_(@_)</c:formatCode>
                <c:ptCount val="13"/>
                <c:pt idx="0">
                  <c:v>641.41859610437336</c:v>
                </c:pt>
                <c:pt idx="1">
                  <c:v>520.97927090779126</c:v>
                </c:pt>
                <c:pt idx="2">
                  <c:v>537.58378645142238</c:v>
                </c:pt>
                <c:pt idx="3">
                  <c:v>509.09184576949696</c:v>
                </c:pt>
                <c:pt idx="4">
                  <c:v>483.79215470487532</c:v>
                </c:pt>
                <c:pt idx="5">
                  <c:v>483.5102245447909</c:v>
                </c:pt>
                <c:pt idx="6">
                  <c:v>495.56273888840013</c:v>
                </c:pt>
                <c:pt idx="7">
                  <c:v>389.32428355674244</c:v>
                </c:pt>
                <c:pt idx="8">
                  <c:v>370.94227751942947</c:v>
                </c:pt>
                <c:pt idx="9">
                  <c:v>383.16025758015843</c:v>
                </c:pt>
                <c:pt idx="10">
                  <c:v>386.24227056845046</c:v>
                </c:pt>
                <c:pt idx="11">
                  <c:v>388.99406787942547</c:v>
                </c:pt>
                <c:pt idx="12">
                  <c:v>410.03981371376233</c:v>
                </c:pt>
              </c:numCache>
            </c:numRef>
          </c:val>
          <c:extLst>
            <c:ext xmlns:c16="http://schemas.microsoft.com/office/drawing/2014/chart" uri="{C3380CC4-5D6E-409C-BE32-E72D297353CC}">
              <c16:uniqueId val="{00000000-3E8D-48B8-9227-9A92BDC073ED}"/>
            </c:ext>
          </c:extLst>
        </c:ser>
        <c:dLbls>
          <c:showLegendKey val="0"/>
          <c:showVal val="0"/>
          <c:showCatName val="0"/>
          <c:showSerName val="0"/>
          <c:showPercent val="0"/>
          <c:showBubbleSize val="0"/>
        </c:dLbls>
        <c:gapWidth val="219"/>
        <c:axId val="554919048"/>
        <c:axId val="554922248"/>
      </c:barChart>
      <c:lineChart>
        <c:grouping val="standard"/>
        <c:varyColors val="0"/>
        <c:ser>
          <c:idx val="0"/>
          <c:order val="0"/>
          <c:tx>
            <c:strRef>
              <c:f>'Прогноз Зарплати 2022'!$A$132</c:f>
              <c:strCache>
                <c:ptCount val="1"/>
                <c:pt idx="0">
                  <c:v>UAH</c:v>
                </c:pt>
              </c:strCache>
            </c:strRef>
          </c:tx>
          <c:spPr>
            <a:ln w="28575" cap="rnd">
              <a:solidFill>
                <a:schemeClr val="accent5"/>
              </a:solidFill>
              <a:round/>
            </a:ln>
            <a:effectLst/>
          </c:spPr>
          <c:marker>
            <c:symbol val="none"/>
          </c:marker>
          <c:dLbls>
            <c:dLbl>
              <c:idx val="1"/>
              <c:layout>
                <c:manualLayout>
                  <c:x val="-2.5671468895211623E-2"/>
                  <c:y val="-5.16825605088069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40F-4065-B018-4D0E89E921A4}"/>
                </c:ext>
              </c:extLst>
            </c:dLbl>
            <c:dLbl>
              <c:idx val="11"/>
              <c:layout>
                <c:manualLayout>
                  <c:x val="-3.5246160227810484E-2"/>
                  <c:y val="2.26758100455409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3AB-4C6B-8FE2-956FC650C417}"/>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'Прогноз Зарплати 2022'!$Y$118:$AK$119</c:f>
              <c:multiLvlStrCache>
                <c:ptCount val="13"/>
                <c:lvl>
                  <c:pt idx="0">
                    <c:v>12</c:v>
                  </c:pt>
                  <c:pt idx="1">
                    <c:v>1</c:v>
                  </c:pt>
                  <c:pt idx="2">
                    <c:v>2</c:v>
                  </c:pt>
                  <c:pt idx="3">
                    <c:v>3</c:v>
                  </c:pt>
                  <c:pt idx="4">
                    <c:v>4</c:v>
                  </c:pt>
                  <c:pt idx="5">
                    <c:v>5</c:v>
                  </c:pt>
                  <c:pt idx="6">
                    <c:v>6</c:v>
                  </c:pt>
                  <c:pt idx="7">
                    <c:v>7</c:v>
                  </c:pt>
                  <c:pt idx="8">
                    <c:v>8</c:v>
                  </c:pt>
                  <c:pt idx="9">
                    <c:v>9</c:v>
                  </c:pt>
                  <c:pt idx="10">
                    <c:v>10</c:v>
                  </c:pt>
                  <c:pt idx="11">
                    <c:v>11</c:v>
                  </c:pt>
                  <c:pt idx="12">
                    <c:v>12</c:v>
                  </c:pt>
                </c:lvl>
                <c:lvl>
                  <c:pt idx="0">
                    <c:v>2021</c:v>
                  </c:pt>
                  <c:pt idx="1">
                    <c:v>2022</c:v>
                  </c:pt>
                </c:lvl>
              </c:multiLvlStrCache>
            </c:multiLvlStrRef>
          </c:cat>
          <c:val>
            <c:numRef>
              <c:f>'Прогноз Зарплати 2022'!$Y$120:$AK$120</c:f>
              <c:numCache>
                <c:formatCode>_(* #\ ##0_);_(* \(#\ ##0\);_(* "-"??_);_(@_)</c:formatCode>
                <c:ptCount val="13"/>
                <c:pt idx="0">
                  <c:v>17453</c:v>
                </c:pt>
                <c:pt idx="1">
                  <c:v>14577</c:v>
                </c:pt>
                <c:pt idx="2">
                  <c:v>15272.75537308491</c:v>
                </c:pt>
                <c:pt idx="3">
                  <c:v>14890.936488757787</c:v>
                </c:pt>
                <c:pt idx="4">
                  <c:v>14150.920525117603</c:v>
                </c:pt>
                <c:pt idx="5">
                  <c:v>14142.674067935133</c:v>
                </c:pt>
                <c:pt idx="6">
                  <c:v>14495.210112485704</c:v>
                </c:pt>
                <c:pt idx="7">
                  <c:v>14237.589049670072</c:v>
                </c:pt>
                <c:pt idx="8">
                  <c:v>13565.359088885536</c:v>
                </c:pt>
                <c:pt idx="9">
                  <c:v>14012.170619706394</c:v>
                </c:pt>
                <c:pt idx="10">
                  <c:v>14124.879834688234</c:v>
                </c:pt>
                <c:pt idx="11">
                  <c:v>14225.51306235059</c:v>
                </c:pt>
                <c:pt idx="12">
                  <c:v>14995.155987512288</c:v>
                </c:pt>
              </c:numCache>
            </c:numRef>
          </c:val>
          <c:smooth val="0"/>
          <c:extLst>
            <c:ext xmlns:c16="http://schemas.microsoft.com/office/drawing/2014/chart" uri="{C3380CC4-5D6E-409C-BE32-E72D297353CC}">
              <c16:uniqueId val="{00000003-3E8D-48B8-9227-9A92BDC073ED}"/>
            </c:ext>
          </c:extLst>
        </c:ser>
        <c:dLbls>
          <c:showLegendKey val="0"/>
          <c:showVal val="0"/>
          <c:showCatName val="0"/>
          <c:showSerName val="0"/>
          <c:showPercent val="0"/>
          <c:showBubbleSize val="0"/>
        </c:dLbls>
        <c:marker val="1"/>
        <c:smooth val="0"/>
        <c:axId val="554934728"/>
        <c:axId val="554933448"/>
      </c:lineChart>
      <c:catAx>
        <c:axId val="5549347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54933448"/>
        <c:crosses val="autoZero"/>
        <c:auto val="1"/>
        <c:lblAlgn val="ctr"/>
        <c:lblOffset val="100"/>
        <c:noMultiLvlLbl val="0"/>
      </c:catAx>
      <c:valAx>
        <c:axId val="554933448"/>
        <c:scaling>
          <c:orientation val="minMax"/>
          <c:max val="18000"/>
          <c:min val="8000"/>
        </c:scaling>
        <c:delete val="0"/>
        <c:axPos val="l"/>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5"/>
                </a:solidFill>
                <a:latin typeface="+mn-lt"/>
                <a:ea typeface="+mn-ea"/>
                <a:cs typeface="+mn-cs"/>
              </a:defRPr>
            </a:pPr>
            <a:endParaRPr lang="en-US"/>
          </a:p>
        </c:txPr>
        <c:crossAx val="554934728"/>
        <c:crosses val="autoZero"/>
        <c:crossBetween val="between"/>
      </c:valAx>
      <c:valAx>
        <c:axId val="554922248"/>
        <c:scaling>
          <c:orientation val="minMax"/>
          <c:max val="700"/>
          <c:min val="32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solidFill>
                <a:latin typeface="+mn-lt"/>
                <a:ea typeface="+mn-ea"/>
                <a:cs typeface="+mn-cs"/>
              </a:defRPr>
            </a:pPr>
            <a:endParaRPr lang="en-US"/>
          </a:p>
        </c:txPr>
        <c:crossAx val="554919048"/>
        <c:crosses val="max"/>
        <c:crossBetween val="between"/>
      </c:valAx>
      <c:catAx>
        <c:axId val="554919048"/>
        <c:scaling>
          <c:orientation val="minMax"/>
        </c:scaling>
        <c:delete val="1"/>
        <c:axPos val="b"/>
        <c:numFmt formatCode="General" sourceLinked="1"/>
        <c:majorTickMark val="out"/>
        <c:minorTickMark val="none"/>
        <c:tickLblPos val="nextTo"/>
        <c:crossAx val="554922248"/>
        <c:crosses val="autoZero"/>
        <c:auto val="1"/>
        <c:lblAlgn val="ctr"/>
        <c:lblOffset val="100"/>
        <c:noMultiLvlLbl val="0"/>
      </c:catAx>
      <c:spPr>
        <a:noFill/>
        <a:ln>
          <a:noFill/>
        </a:ln>
        <a:effectLst/>
      </c:spPr>
    </c:plotArea>
    <c:legend>
      <c:legendPos val="t"/>
      <c:layout>
        <c:manualLayout>
          <c:xMode val="edge"/>
          <c:yMode val="edge"/>
          <c:x val="0.43600828888541809"/>
          <c:y val="9.3689271788509623E-2"/>
          <c:w val="0.12990634613341939"/>
          <c:h val="4.52712784335120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uk-UA" sz="2400" b="1"/>
              <a:t>Прогноз индекса потребительских цен</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'Дефлятор модель (CPI-PPI) Інфл'!$J$1</c:f>
              <c:strCache>
                <c:ptCount val="1"/>
                <c:pt idx="0">
                  <c:v>Исторические данные</c:v>
                </c:pt>
              </c:strCache>
            </c:strRef>
          </c:tx>
          <c:spPr>
            <a:ln w="28575" cap="rnd">
              <a:solidFill>
                <a:srgbClr val="002060"/>
              </a:solidFill>
              <a:round/>
            </a:ln>
            <a:effectLst/>
          </c:spPr>
          <c:marker>
            <c:symbol val="none"/>
          </c:marker>
          <c:dLbls>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Інфл'!$J$34:$J$45</c:f>
              <c:numCache>
                <c:formatCode>0.0%</c:formatCode>
                <c:ptCount val="12"/>
                <c:pt idx="0">
                  <c:v>0.13766666666666663</c:v>
                </c:pt>
                <c:pt idx="1">
                  <c:v>0.1156666666666667</c:v>
                </c:pt>
                <c:pt idx="2">
                  <c:v>8.9333333333333376E-2</c:v>
                </c:pt>
                <c:pt idx="3">
                  <c:v>9.7666666666666679E-2</c:v>
                </c:pt>
                <c:pt idx="4">
                  <c:v>8.8666666666666671E-2</c:v>
                </c:pt>
                <c:pt idx="5">
                  <c:v>9.1333333333333336E-2</c:v>
                </c:pt>
                <c:pt idx="6">
                  <c:v>8.4666666666666668E-2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0-3D89-4B7A-BF13-4754C2799AF2}"/>
            </c:ext>
          </c:extLst>
        </c:ser>
        <c:ser>
          <c:idx val="2"/>
          <c:order val="1"/>
          <c:tx>
            <c:strRef>
              <c:f>'Дефлятор модель (CPI-PPI) Інфл'!$K$1</c:f>
              <c:strCache>
                <c:ptCount val="1"/>
                <c:pt idx="0">
                  <c:v>Сценарий Б</c:v>
                </c:pt>
              </c:strCache>
            </c:strRef>
          </c:tx>
          <c:spPr>
            <a:ln w="28575" cap="rnd">
              <a:solidFill>
                <a:srgbClr val="00B0F0"/>
              </a:solidFill>
              <a:prstDash val="dash"/>
              <a:round/>
            </a:ln>
            <a:effectLst/>
          </c:spPr>
          <c:marker>
            <c:symbol val="none"/>
          </c:marker>
          <c:dLbls>
            <c:dLbl>
              <c:idx val="6"/>
              <c:delete val="1"/>
              <c:extLst>
                <c:ext xmlns:c15="http://schemas.microsoft.com/office/drawing/2012/chart" uri="{CE6537A1-D6FC-4f65-9D91-7224C49458BB}"/>
                <c:ext xmlns:c16="http://schemas.microsoft.com/office/drawing/2014/chart" uri="{C3380CC4-5D6E-409C-BE32-E72D297353CC}">
                  <c16:uniqueId val="{00000001-3D89-4B7A-BF13-4754C2799AF2}"/>
                </c:ext>
              </c:extLst>
            </c:dLbl>
            <c:dLbl>
              <c:idx val="7"/>
              <c:delete val="1"/>
              <c:extLst>
                <c:ext xmlns:c15="http://schemas.microsoft.com/office/drawing/2012/chart" uri="{CE6537A1-D6FC-4f65-9D91-7224C49458BB}"/>
                <c:ext xmlns:c16="http://schemas.microsoft.com/office/drawing/2014/chart" uri="{C3380CC4-5D6E-409C-BE32-E72D297353CC}">
                  <c16:uniqueId val="{00000002-3D89-4B7A-BF13-4754C2799AF2}"/>
                </c:ext>
              </c:extLst>
            </c:dLbl>
            <c:spPr>
              <a:no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Інфл'!$K$34:$K$45</c:f>
              <c:numCache>
                <c:formatCode>#,##0</c:formatCode>
                <c:ptCount val="12"/>
                <c:pt idx="6" formatCode="0.0%">
                  <c:v>8.4666666666666668E-2</c:v>
                </c:pt>
                <c:pt idx="7" formatCode="0.0%">
                  <c:v>5.2333333333333322E-2</c:v>
                </c:pt>
                <c:pt idx="8" formatCode="0.0%">
                  <c:v>2.6333333333333334E-2</c:v>
                </c:pt>
                <c:pt idx="9" formatCode="0.0%">
                  <c:v>2.066666666666667E-2</c:v>
                </c:pt>
                <c:pt idx="10" formatCode="0.0%">
                  <c:v>2.4000000000000004E-2</c:v>
                </c:pt>
                <c:pt idx="11" formatCode="0.0%">
                  <c:v>3.7999999999999999E-2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3-3D89-4B7A-BF13-4754C2799AF2}"/>
            </c:ext>
          </c:extLst>
        </c:ser>
        <c:dLbls>
          <c:dLblPos val="t"/>
          <c:showLegendKey val="0"/>
          <c:showVal val="1"/>
          <c:showCatName val="0"/>
          <c:showSerName val="0"/>
          <c:showPercent val="0"/>
          <c:showBubbleSize val="0"/>
        </c:dLbls>
        <c:smooth val="0"/>
        <c:axId val="2093273312"/>
        <c:axId val="2093287456"/>
      </c:lineChart>
      <c:catAx>
        <c:axId val="2093273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87456"/>
        <c:crosses val="autoZero"/>
        <c:auto val="1"/>
        <c:lblAlgn val="ctr"/>
        <c:lblOffset val="100"/>
        <c:noMultiLvlLbl val="0"/>
      </c:catAx>
      <c:valAx>
        <c:axId val="2093287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7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0">
          <a:solidFill>
            <a:sysClr val="windowText" lastClr="000000"/>
          </a:solidFill>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uk-UA" sz="2400" b="1"/>
              <a:t>Прогноз индекса</a:t>
            </a:r>
            <a:r>
              <a:rPr lang="uk-UA" sz="2400" b="1" baseline="0"/>
              <a:t> </a:t>
            </a:r>
            <a:r>
              <a:rPr lang="uk-UA" sz="2400" b="1"/>
              <a:t>цен производителей</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'Дефлятор модель (CPI-PPI) Інфл'!$M$1</c:f>
              <c:strCache>
                <c:ptCount val="1"/>
                <c:pt idx="0">
                  <c:v>Исторические данные</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Інфл'!$M$34:$M$45</c:f>
              <c:numCache>
                <c:formatCode>0.0%</c:formatCode>
                <c:ptCount val="12"/>
                <c:pt idx="0">
                  <c:v>0.19166666666666665</c:v>
                </c:pt>
                <c:pt idx="1">
                  <c:v>0.16333333333333333</c:v>
                </c:pt>
                <c:pt idx="2">
                  <c:v>0.18766666666666665</c:v>
                </c:pt>
                <c:pt idx="3">
                  <c:v>0.15766666666666665</c:v>
                </c:pt>
                <c:pt idx="4">
                  <c:v>9.8333333333333328E-2</c:v>
                </c:pt>
                <c:pt idx="5">
                  <c:v>6.7666666666666667E-2</c:v>
                </c:pt>
                <c:pt idx="6">
                  <c:v>4.3000000000000003E-2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0-836C-4D91-A4AF-CD805564ECE3}"/>
            </c:ext>
          </c:extLst>
        </c:ser>
        <c:ser>
          <c:idx val="2"/>
          <c:order val="1"/>
          <c:tx>
            <c:strRef>
              <c:f>'Дефлятор модель (CPI-PPI) Інфл'!$N$1</c:f>
              <c:strCache>
                <c:ptCount val="1"/>
                <c:pt idx="0">
                  <c:v>Сценарий Б</c:v>
                </c:pt>
              </c:strCache>
            </c:strRef>
          </c:tx>
          <c:spPr>
            <a:ln w="28575" cap="rnd">
              <a:solidFill>
                <a:srgbClr val="00B0F0"/>
              </a:solidFill>
              <a:prstDash val="dash"/>
              <a:round/>
            </a:ln>
            <a:effectLst/>
          </c:spPr>
          <c:marker>
            <c:symbol val="none"/>
          </c:marker>
          <c:dLbls>
            <c:dLbl>
              <c:idx val="6"/>
              <c:delete val="1"/>
              <c:extLst>
                <c:ext xmlns:c15="http://schemas.microsoft.com/office/drawing/2012/chart" uri="{CE6537A1-D6FC-4f65-9D91-7224C49458BB}"/>
                <c:ext xmlns:c16="http://schemas.microsoft.com/office/drawing/2014/chart" uri="{C3380CC4-5D6E-409C-BE32-E72D297353CC}">
                  <c16:uniqueId val="{00000001-836C-4D91-A4AF-CD805564ECE3}"/>
                </c:ext>
              </c:extLst>
            </c:dLbl>
            <c:dLbl>
              <c:idx val="7"/>
              <c:delete val="1"/>
              <c:extLst>
                <c:ext xmlns:c15="http://schemas.microsoft.com/office/drawing/2012/chart" uri="{CE6537A1-D6FC-4f65-9D91-7224C49458BB}"/>
                <c:ext xmlns:c16="http://schemas.microsoft.com/office/drawing/2014/chart" uri="{C3380CC4-5D6E-409C-BE32-E72D297353CC}">
                  <c16:uniqueId val="{00000002-836C-4D91-A4AF-CD805564ECE3}"/>
                </c:ext>
              </c:extLst>
            </c:dLbl>
            <c:spPr>
              <a:no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Інфл'!$N$34:$N$45</c:f>
              <c:numCache>
                <c:formatCode>#,##0</c:formatCode>
                <c:ptCount val="12"/>
                <c:pt idx="6" formatCode="0.0%">
                  <c:v>4.3000000000000003E-2</c:v>
                </c:pt>
                <c:pt idx="7" formatCode="0.0%">
                  <c:v>-3.9E-2</c:v>
                </c:pt>
                <c:pt idx="8" formatCode="0.0%">
                  <c:v>-5.6333333333333339E-2</c:v>
                </c:pt>
                <c:pt idx="9" formatCode="0.0%">
                  <c:v>-4.099999999999996E-2</c:v>
                </c:pt>
                <c:pt idx="10" formatCode="0.0%">
                  <c:v>-4.6333333333333337E-2</c:v>
                </c:pt>
                <c:pt idx="11" formatCode="0.0%">
                  <c:v>8.7666666666666671E-2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3-836C-4D91-A4AF-CD805564ECE3}"/>
            </c:ext>
          </c:extLst>
        </c:ser>
        <c:dLbls>
          <c:dLblPos val="t"/>
          <c:showLegendKey val="0"/>
          <c:showVal val="1"/>
          <c:showCatName val="0"/>
          <c:showSerName val="0"/>
          <c:showPercent val="0"/>
          <c:showBubbleSize val="0"/>
        </c:dLbls>
        <c:smooth val="0"/>
        <c:axId val="2093273312"/>
        <c:axId val="2093287456"/>
      </c:lineChart>
      <c:catAx>
        <c:axId val="2093273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87456"/>
        <c:crosses val="autoZero"/>
        <c:auto val="1"/>
        <c:lblAlgn val="ctr"/>
        <c:lblOffset val="100"/>
        <c:noMultiLvlLbl val="0"/>
      </c:catAx>
      <c:valAx>
        <c:axId val="2093287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7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0">
          <a:solidFill>
            <a:sysClr val="windowText" lastClr="000000"/>
          </a:solidFill>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uk-UA" sz="2400" b="1"/>
              <a:t>Прогноз дефлятора ВВП</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'Дефлятор модель (CPI-PPI) Інфл'!$P$1</c:f>
              <c:strCache>
                <c:ptCount val="1"/>
                <c:pt idx="0">
                  <c:v>Исторические данные</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'Дефлятор модель (CPI-PPI) Інфл'!$P$34:$P$45</c:f>
              <c:numCache>
                <c:formatCode>0.0%</c:formatCode>
                <c:ptCount val="12"/>
                <c:pt idx="0">
                  <c:v>0.151</c:v>
                </c:pt>
                <c:pt idx="1">
                  <c:v>0.17399999999999999</c:v>
                </c:pt>
                <c:pt idx="2">
                  <c:v>0.16</c:v>
                </c:pt>
                <c:pt idx="3">
                  <c:v>0.13500000000000001</c:v>
                </c:pt>
                <c:pt idx="4">
                  <c:v>0.11700000000000001</c:v>
                </c:pt>
                <c:pt idx="5">
                  <c:v>9.4E-2</c:v>
                </c:pt>
                <c:pt idx="6">
                  <c:v>6.8000000000000005E-2</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0-4182-498F-A5FB-8560589963E4}"/>
            </c:ext>
          </c:extLst>
        </c:ser>
        <c:ser>
          <c:idx val="2"/>
          <c:order val="1"/>
          <c:tx>
            <c:strRef>
              <c:f>'Дефлятор модель (CPI-PPI) Інфл'!$Q$1</c:f>
              <c:strCache>
                <c:ptCount val="1"/>
                <c:pt idx="0">
                  <c:v>Сценарий Б</c:v>
                </c:pt>
              </c:strCache>
            </c:strRef>
          </c:tx>
          <c:spPr>
            <a:ln w="28575" cap="rnd">
              <a:solidFill>
                <a:srgbClr val="00B0F0"/>
              </a:solidFill>
              <a:prstDash val="dash"/>
              <a:round/>
            </a:ln>
            <a:effectLst/>
          </c:spPr>
          <c:marker>
            <c:symbol val="none"/>
          </c:marker>
          <c:dLbls>
            <c:dLbl>
              <c:idx val="6"/>
              <c:delete val="1"/>
              <c:extLst>
                <c:ext xmlns:c15="http://schemas.microsoft.com/office/drawing/2012/chart" uri="{CE6537A1-D6FC-4f65-9D91-7224C49458BB}"/>
                <c:ext xmlns:c16="http://schemas.microsoft.com/office/drawing/2014/chart" uri="{C3380CC4-5D6E-409C-BE32-E72D297353CC}">
                  <c16:uniqueId val="{00000001-4182-498F-A5FB-8560589963E4}"/>
                </c:ext>
              </c:extLst>
            </c:dLbl>
            <c:dLbl>
              <c:idx val="7"/>
              <c:layout>
                <c:manualLayout>
                  <c:x val="-3.7365084704226996E-2"/>
                  <c:y val="-4.0833821092296788E-2"/>
                </c:manualLayout>
              </c:layout>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182-498F-A5FB-8560589963E4}"/>
                </c:ext>
              </c:extLst>
            </c:dLbl>
            <c:spPr>
              <a:no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'Дефлятор модель (CPI-PPI) Інфл'!$Q$34:$Q$45</c:f>
              <c:numCache>
                <c:formatCode>#,##0</c:formatCode>
                <c:ptCount val="12"/>
                <c:pt idx="6" formatCode="0.0%">
                  <c:v>6.8000000000000005E-2</c:v>
                </c:pt>
                <c:pt idx="7" formatCode="0.0%">
                  <c:v>4.8000000000000001E-2</c:v>
                </c:pt>
                <c:pt idx="8" formatCode="0.0%">
                  <c:v>5.2999999999999999E-2</c:v>
                </c:pt>
                <c:pt idx="9" formatCode="0.0%">
                  <c:v>5.5999999999999994E-2</c:v>
                </c:pt>
                <c:pt idx="10" formatCode="0.0%">
                  <c:v>8.4000000000000005E-2</c:v>
                </c:pt>
                <c:pt idx="11" formatCode="0.0%">
                  <c:v>0.17499999999999999</c:v>
                </c:pt>
              </c:numCache>
            </c:numRef>
          </c:val>
          <c:smooth val="0"/>
          <c:extLst>
            <c:ext xmlns:c15="http://schemas.microsoft.com/office/drawing/2012/chart" uri="{02D57815-91ED-43cb-92C2-25804820EDAC}">
              <c15:filteredCategoryTitle>
                <c15:cat>
                  <c:multiLvlStrRef>
                    <c:extLst>
                      <c:ext uri="{02D57815-91ED-43cb-92C2-25804820EDAC}">
                        <c15:formulaRef>
                          <c15:sqref>'Дефлятор модель (CPI-PPI)'!#REF!</c15:sqref>
                        </c15:formulaRef>
                      </c:ext>
                    </c:extLst>
                  </c:multiLvlStrRef>
                </c15:cat>
              </c15:filteredCategoryTitle>
            </c:ext>
            <c:ext xmlns:c16="http://schemas.microsoft.com/office/drawing/2014/chart" uri="{C3380CC4-5D6E-409C-BE32-E72D297353CC}">
              <c16:uniqueId val="{00000003-4182-498F-A5FB-8560589963E4}"/>
            </c:ext>
          </c:extLst>
        </c:ser>
        <c:dLbls>
          <c:dLblPos val="t"/>
          <c:showLegendKey val="0"/>
          <c:showVal val="1"/>
          <c:showCatName val="0"/>
          <c:showSerName val="0"/>
          <c:showPercent val="0"/>
          <c:showBubbleSize val="0"/>
        </c:dLbls>
        <c:smooth val="0"/>
        <c:axId val="2093273312"/>
        <c:axId val="2093287456"/>
      </c:lineChart>
      <c:catAx>
        <c:axId val="2093273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87456"/>
        <c:crosses val="autoZero"/>
        <c:auto val="1"/>
        <c:lblAlgn val="ctr"/>
        <c:lblOffset val="100"/>
        <c:noMultiLvlLbl val="0"/>
      </c:catAx>
      <c:valAx>
        <c:axId val="2093287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209327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0">
          <a:solidFill>
            <a:sysClr val="windowText" lastClr="000000"/>
          </a:solidFill>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r>
              <a:rPr lang="ru-RU" sz="2400">
                <a:solidFill>
                  <a:schemeClr val="accent1"/>
                </a:solidFill>
              </a:rPr>
              <a:t>Прогноз уровня инфляции в 2020 - 2021 годах, г-г</a:t>
            </a:r>
            <a:r>
              <a:rPr lang="en-US" sz="2400">
                <a:solidFill>
                  <a:schemeClr val="accent1"/>
                </a:solidFill>
              </a:rPr>
              <a:t> % </a:t>
            </a:r>
            <a:endParaRPr lang="ru-RU" sz="2400">
              <a:solidFill>
                <a:schemeClr val="accent1"/>
              </a:solidFill>
            </a:endParaRPr>
          </a:p>
        </c:rich>
      </c:tx>
      <c:layout>
        <c:manualLayout>
          <c:xMode val="edge"/>
          <c:yMode val="edge"/>
          <c:x val="5.8026240671332059E-2"/>
          <c:y val="6.2644413047335005E-3"/>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endParaRPr lang="en-US"/>
        </a:p>
      </c:txPr>
    </c:title>
    <c:autoTitleDeleted val="0"/>
    <c:plotArea>
      <c:layout/>
      <c:areaChart>
        <c:grouping val="standard"/>
        <c:varyColors val="0"/>
        <c:ser>
          <c:idx val="2"/>
          <c:order val="2"/>
          <c:tx>
            <c:strRef>
              <c:f>'Дефлятор модель (CPI-PPI) Інфл'!$F$1</c:f>
              <c:strCache>
                <c:ptCount val="1"/>
                <c:pt idx="0">
                  <c:v>Дефлятор</c:v>
                </c:pt>
              </c:strCache>
            </c:strRef>
          </c:tx>
          <c:spPr>
            <a:solidFill>
              <a:schemeClr val="accent1">
                <a:lumMod val="20000"/>
                <a:lumOff val="80000"/>
              </a:schemeClr>
            </a:solidFill>
            <a:ln>
              <a:noFill/>
            </a:ln>
            <a:effectLst/>
          </c:spPr>
          <c:dLbls>
            <c:dLbl>
              <c:idx val="0"/>
              <c:layout>
                <c:manualLayout>
                  <c:x val="2.7552276708744352E-2"/>
                  <c:y val="3.288208922956219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FB9-4E53-8671-ACDEA9D22F6B}"/>
                </c:ext>
              </c:extLst>
            </c:dLbl>
            <c:dLbl>
              <c:idx val="1"/>
              <c:layout>
                <c:manualLayout>
                  <c:x val="3.2144322826868382E-2"/>
                  <c:y val="3.0141915127098767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FB9-4E53-8671-ACDEA9D22F6B}"/>
                </c:ext>
              </c:extLst>
            </c:dLbl>
            <c:dLbl>
              <c:idx val="2"/>
              <c:layout>
                <c:manualLayout>
                  <c:x val="2.9082958748119038E-2"/>
                  <c:y val="2.740174102463524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FB9-4E53-8671-ACDEA9D22F6B}"/>
                </c:ext>
              </c:extLst>
            </c:dLbl>
            <c:dLbl>
              <c:idx val="3"/>
              <c:layout>
                <c:manualLayout>
                  <c:x val="5.0948847743695685E-3"/>
                  <c:y val="-9.0564912847810083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B9-4E53-8671-ACDEA9D22F6B}"/>
                </c:ext>
              </c:extLst>
            </c:dLbl>
            <c:dLbl>
              <c:idx val="4"/>
              <c:layout>
                <c:manualLayout>
                  <c:x val="3.0660643710189329E-3"/>
                  <c:y val="6.14855736164751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FB9-4E53-8671-ACDEA9D22F6B}"/>
                </c:ext>
              </c:extLst>
            </c:dLbl>
            <c:dLbl>
              <c:idx val="5"/>
              <c:layout>
                <c:manualLayout>
                  <c:x val="5.7882790894388404E-3"/>
                  <c:y val="5.81086944690573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B9-4E53-8671-ACDEA9D22F6B}"/>
                </c:ext>
              </c:extLst>
            </c:dLbl>
            <c:dLbl>
              <c:idx val="6"/>
              <c:layout>
                <c:manualLayout>
                  <c:x val="2.0262415309561933E-3"/>
                  <c:y val="6.59681842015394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FB9-4E53-8671-ACDEA9D22F6B}"/>
                </c:ext>
              </c:extLst>
            </c:dLbl>
            <c:dLbl>
              <c:idx val="7"/>
              <c:layout>
                <c:manualLayout>
                  <c:x val="5.453885302286389E-3"/>
                  <c:y val="6.77098961894931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FB9-4E53-8671-ACDEA9D22F6B}"/>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'Дефлятор модель (CPI-PPI) Інфл'!$A$78:$B$85</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Інфл'!$F$42:$F$49</c:f>
              <c:numCache>
                <c:formatCode>0.0%</c:formatCode>
                <c:ptCount val="8"/>
                <c:pt idx="0">
                  <c:v>5.2999999999999999E-2</c:v>
                </c:pt>
                <c:pt idx="1">
                  <c:v>5.5999999999999994E-2</c:v>
                </c:pt>
                <c:pt idx="2">
                  <c:v>8.4000000000000005E-2</c:v>
                </c:pt>
                <c:pt idx="3">
                  <c:v>0.17499999999999999</c:v>
                </c:pt>
                <c:pt idx="4">
                  <c:v>0.20273977541585109</c:v>
                </c:pt>
                <c:pt idx="5">
                  <c:v>0.24446916038149219</c:v>
                </c:pt>
                <c:pt idx="6">
                  <c:v>0.28516338429342375</c:v>
                </c:pt>
                <c:pt idx="7">
                  <c:v>0.33236872589999999</c:v>
                </c:pt>
              </c:numCache>
            </c:numRef>
          </c:val>
          <c:extLst>
            <c:ext xmlns:c16="http://schemas.microsoft.com/office/drawing/2014/chart" uri="{C3380CC4-5D6E-409C-BE32-E72D297353CC}">
              <c16:uniqueId val="{00000008-8FB9-4E53-8671-ACDEA9D22F6B}"/>
            </c:ext>
          </c:extLst>
        </c:ser>
        <c:dLbls>
          <c:showLegendKey val="0"/>
          <c:showVal val="0"/>
          <c:showCatName val="0"/>
          <c:showSerName val="0"/>
          <c:showPercent val="0"/>
          <c:showBubbleSize val="0"/>
        </c:dLbls>
        <c:axId val="720532336"/>
        <c:axId val="720530736"/>
      </c:areaChart>
      <c:barChart>
        <c:barDir val="col"/>
        <c:grouping val="clustered"/>
        <c:varyColors val="0"/>
        <c:ser>
          <c:idx val="0"/>
          <c:order val="0"/>
          <c:tx>
            <c:strRef>
              <c:f>'Дефлятор модель (CPI-PPI) Інфл'!$D$1</c:f>
              <c:strCache>
                <c:ptCount val="1"/>
                <c:pt idx="0">
                  <c:v>CPI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Інфл'!$A$78:$B$85</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Інфл'!$D$42:$D$49</c:f>
              <c:numCache>
                <c:formatCode>0.0%</c:formatCode>
                <c:ptCount val="8"/>
                <c:pt idx="0">
                  <c:v>2.6333333333333334E-2</c:v>
                </c:pt>
                <c:pt idx="1">
                  <c:v>2.066666666666667E-2</c:v>
                </c:pt>
                <c:pt idx="2">
                  <c:v>2.4000000000000004E-2</c:v>
                </c:pt>
                <c:pt idx="3">
                  <c:v>3.7999999999999999E-2</c:v>
                </c:pt>
                <c:pt idx="4">
                  <c:v>7.3666666666666672E-2</c:v>
                </c:pt>
                <c:pt idx="5">
                  <c:v>9.1333333333333336E-2</c:v>
                </c:pt>
                <c:pt idx="6">
                  <c:v>0.10466666666666667</c:v>
                </c:pt>
                <c:pt idx="7">
                  <c:v>0.104</c:v>
                </c:pt>
              </c:numCache>
            </c:numRef>
          </c:val>
          <c:extLst>
            <c:ext xmlns:c16="http://schemas.microsoft.com/office/drawing/2014/chart" uri="{C3380CC4-5D6E-409C-BE32-E72D297353CC}">
              <c16:uniqueId val="{00000009-8FB9-4E53-8671-ACDEA9D22F6B}"/>
            </c:ext>
          </c:extLst>
        </c:ser>
        <c:ser>
          <c:idx val="1"/>
          <c:order val="1"/>
          <c:tx>
            <c:strRef>
              <c:f>'Дефлятор модель (CPI-PPI) Інфл'!$E$1</c:f>
              <c:strCache>
                <c:ptCount val="1"/>
                <c:pt idx="0">
                  <c:v>PPI</c:v>
                </c:pt>
              </c:strCache>
            </c:strRef>
          </c:tx>
          <c:spPr>
            <a:solidFill>
              <a:schemeClr val="accent1"/>
            </a:solidFill>
            <a:ln>
              <a:noFill/>
            </a:ln>
            <a:effectLst/>
          </c:spPr>
          <c:invertIfNegative val="0"/>
          <c:dLbls>
            <c:dLbl>
              <c:idx val="3"/>
              <c:layout>
                <c:manualLayout>
                  <c:x val="1.683750243312155E-2"/>
                  <c:y val="1.09606964098540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FB9-4E53-8671-ACDEA9D22F6B}"/>
                </c:ext>
              </c:extLst>
            </c:dLbl>
            <c:dLbl>
              <c:idx val="4"/>
              <c:layout>
                <c:manualLayout>
                  <c:x val="1.0714774275622804E-2"/>
                  <c:y val="5.48034820492704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FB9-4E53-8671-ACDEA9D22F6B}"/>
                </c:ext>
              </c:extLst>
            </c:dLbl>
            <c:dLbl>
              <c:idx val="6"/>
              <c:layout>
                <c:manualLayout>
                  <c:x val="6.122728157498745E-3"/>
                  <c:y val="-5.023594488190920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FB9-4E53-8671-ACDEA9D22F6B}"/>
                </c:ext>
              </c:extLst>
            </c:dLbl>
            <c:dLbl>
              <c:idx val="7"/>
              <c:layout>
                <c:manualLayout>
                  <c:x val="1.071477427562280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FB9-4E53-8671-ACDEA9D22F6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429EBE"/>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Інфл'!$A$78:$B$85</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Інфл'!$E$42:$E$49</c:f>
              <c:numCache>
                <c:formatCode>0.0%</c:formatCode>
                <c:ptCount val="8"/>
                <c:pt idx="0">
                  <c:v>-5.6333333333333339E-2</c:v>
                </c:pt>
                <c:pt idx="1">
                  <c:v>-4.099999999999996E-2</c:v>
                </c:pt>
                <c:pt idx="2">
                  <c:v>-4.6333333333333337E-2</c:v>
                </c:pt>
                <c:pt idx="3">
                  <c:v>8.7666666666666671E-2</c:v>
                </c:pt>
                <c:pt idx="4">
                  <c:v>0.23500000000000001</c:v>
                </c:pt>
                <c:pt idx="5">
                  <c:v>0.33333333333333331</c:v>
                </c:pt>
                <c:pt idx="6">
                  <c:v>0.44599999999999995</c:v>
                </c:pt>
                <c:pt idx="7">
                  <c:v>0.60033333333333327</c:v>
                </c:pt>
              </c:numCache>
            </c:numRef>
          </c:val>
          <c:extLst>
            <c:ext xmlns:c16="http://schemas.microsoft.com/office/drawing/2014/chart" uri="{C3380CC4-5D6E-409C-BE32-E72D297353CC}">
              <c16:uniqueId val="{0000000E-8FB9-4E53-8671-ACDEA9D22F6B}"/>
            </c:ext>
          </c:extLst>
        </c:ser>
        <c:dLbls>
          <c:showLegendKey val="0"/>
          <c:showVal val="0"/>
          <c:showCatName val="0"/>
          <c:showSerName val="0"/>
          <c:showPercent val="0"/>
          <c:showBubbleSize val="0"/>
        </c:dLbls>
        <c:gapWidth val="219"/>
        <c:axId val="720532336"/>
        <c:axId val="720530736"/>
      </c:barChart>
      <c:catAx>
        <c:axId val="7205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0736"/>
        <c:crosses val="autoZero"/>
        <c:auto val="1"/>
        <c:lblAlgn val="ctr"/>
        <c:lblOffset val="100"/>
        <c:noMultiLvlLbl val="0"/>
      </c:catAx>
      <c:valAx>
        <c:axId val="720530736"/>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2336"/>
        <c:crosses val="autoZero"/>
        <c:crossBetween val="between"/>
      </c:valAx>
      <c:spPr>
        <a:noFill/>
        <a:ln>
          <a:noFill/>
        </a:ln>
        <a:effectLst/>
      </c:spPr>
    </c:plotArea>
    <c:legend>
      <c:legendPos val="t"/>
      <c:layout>
        <c:manualLayout>
          <c:xMode val="edge"/>
          <c:yMode val="edge"/>
          <c:x val="1.091722647001905E-2"/>
          <c:y val="0.16181183426951926"/>
          <c:w val="0.92947106360111809"/>
          <c:h val="2.71208780231131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r>
              <a:rPr lang="ru-RU" sz="2400">
                <a:solidFill>
                  <a:schemeClr val="accent1"/>
                </a:solidFill>
              </a:rPr>
              <a:t>Прогноз уровня инфляции в 2020 - 2022 годах, г-г</a:t>
            </a:r>
            <a:r>
              <a:rPr lang="en-US" sz="2400">
                <a:solidFill>
                  <a:schemeClr val="accent1"/>
                </a:solidFill>
              </a:rPr>
              <a:t> % </a:t>
            </a:r>
            <a:endParaRPr lang="ru-RU" sz="2400">
              <a:solidFill>
                <a:schemeClr val="accent1"/>
              </a:solidFill>
            </a:endParaRPr>
          </a:p>
        </c:rich>
      </c:tx>
      <c:layout>
        <c:manualLayout>
          <c:xMode val="edge"/>
          <c:yMode val="edge"/>
          <c:x val="5.8026240671332059E-2"/>
          <c:y val="6.2644413047335005E-3"/>
        </c:manualLayout>
      </c:layout>
      <c:overlay val="0"/>
      <c:spPr>
        <a:noFill/>
        <a:ln>
          <a:noFill/>
        </a:ln>
        <a:effectLst/>
      </c:spPr>
      <c:txPr>
        <a:bodyPr rot="0" spcFirstLastPara="1" vertOverflow="ellipsis" vert="horz" wrap="square" anchor="ctr" anchorCtr="1"/>
        <a:lstStyle/>
        <a:p>
          <a:pPr algn="l">
            <a:defRPr sz="2400" b="1" i="0" u="none" strike="noStrike" kern="1200" spc="0" baseline="0">
              <a:solidFill>
                <a:schemeClr val="accent1"/>
              </a:solidFill>
              <a:latin typeface="+mn-lt"/>
              <a:ea typeface="+mn-ea"/>
              <a:cs typeface="+mn-cs"/>
            </a:defRPr>
          </a:pPr>
          <a:endParaRPr lang="en-US"/>
        </a:p>
      </c:txPr>
    </c:title>
    <c:autoTitleDeleted val="0"/>
    <c:plotArea>
      <c:layout/>
      <c:areaChart>
        <c:grouping val="standard"/>
        <c:varyColors val="0"/>
        <c:ser>
          <c:idx val="2"/>
          <c:order val="2"/>
          <c:tx>
            <c:strRef>
              <c:f>'Дефлятор модель (CPI-PPI) Інфл'!$F$1</c:f>
              <c:strCache>
                <c:ptCount val="1"/>
                <c:pt idx="0">
                  <c:v>Дефлятор</c:v>
                </c:pt>
              </c:strCache>
            </c:strRef>
          </c:tx>
          <c:spPr>
            <a:solidFill>
              <a:srgbClr val="BADBE8"/>
            </a:solidFill>
            <a:ln>
              <a:noFill/>
            </a:ln>
            <a:effectLst/>
          </c:spPr>
          <c:dLbls>
            <c:dLbl>
              <c:idx val="0"/>
              <c:layout>
                <c:manualLayout>
                  <c:x val="2.7552276708744352E-2"/>
                  <c:y val="3.288208922956219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BC-44A1-A9E9-846E10D2C55D}"/>
                </c:ext>
              </c:extLst>
            </c:dLbl>
            <c:dLbl>
              <c:idx val="1"/>
              <c:layout>
                <c:manualLayout>
                  <c:x val="3.2144322826868382E-2"/>
                  <c:y val="3.0141915127098767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BC-44A1-A9E9-846E10D2C55D}"/>
                </c:ext>
              </c:extLst>
            </c:dLbl>
            <c:dLbl>
              <c:idx val="2"/>
              <c:layout>
                <c:manualLayout>
                  <c:x val="2.9082958748119038E-2"/>
                  <c:y val="2.740174102463524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BC-44A1-A9E9-846E10D2C55D}"/>
                </c:ext>
              </c:extLst>
            </c:dLbl>
            <c:dLbl>
              <c:idx val="3"/>
              <c:layout>
                <c:manualLayout>
                  <c:x val="5.0948847743695685E-3"/>
                  <c:y val="-9.0564912847810083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BC-44A1-A9E9-846E10D2C55D}"/>
                </c:ext>
              </c:extLst>
            </c:dLbl>
            <c:dLbl>
              <c:idx val="4"/>
              <c:layout>
                <c:manualLayout>
                  <c:x val="9.8893309147808396E-3"/>
                  <c:y val="-6.17151053766170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3BC-44A1-A9E9-846E10D2C55D}"/>
                </c:ext>
              </c:extLst>
            </c:dLbl>
            <c:dLbl>
              <c:idx val="5"/>
              <c:layout>
                <c:manualLayout>
                  <c:x val="7.1529323981911214E-3"/>
                  <c:y val="-5.88275432193013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3BC-44A1-A9E9-846E10D2C55D}"/>
                </c:ext>
              </c:extLst>
            </c:dLbl>
            <c:dLbl>
              <c:idx val="6"/>
              <c:layout>
                <c:manualLayout>
                  <c:x val="-4.797025012805713E-3"/>
                  <c:y val="-6.14087889947084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3BC-44A1-A9E9-846E10D2C55D}"/>
                </c:ext>
              </c:extLst>
            </c:dLbl>
            <c:dLbl>
              <c:idx val="7"/>
              <c:layout>
                <c:manualLayout>
                  <c:x val="1.3599253760291448E-3"/>
                  <c:y val="-6.5931518311488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3BC-44A1-A9E9-846E10D2C55D}"/>
                </c:ext>
              </c:extLst>
            </c:dLbl>
            <c:dLbl>
              <c:idx val="8"/>
              <c:layout>
                <c:manualLayout>
                  <c:x val="-1.0007341991848813E-16"/>
                  <c:y val="2.08814710157783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074-4752-811A-E6A551110C6E}"/>
                </c:ext>
              </c:extLst>
            </c:dLbl>
            <c:dLbl>
              <c:idx val="9"/>
              <c:layout>
                <c:manualLayout>
                  <c:x val="6.8232665437619067E-3"/>
                  <c:y val="1.04407355078891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074-4752-811A-E6A551110C6E}"/>
                </c:ext>
              </c:extLst>
            </c:dLbl>
            <c:dLbl>
              <c:idx val="10"/>
              <c:layout>
                <c:manualLayout>
                  <c:x val="8.1879198525142884E-3"/>
                  <c:y val="8.352588406311180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074-4752-811A-E6A551110C6E}"/>
                </c:ext>
              </c:extLst>
            </c:dLbl>
            <c:dLbl>
              <c:idx val="11"/>
              <c:layout>
                <c:manualLayout>
                  <c:x val="5.458613235009525E-3"/>
                  <c:y val="8.35258840631133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074-4752-811A-E6A551110C6E}"/>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'Дефлятор модель (CPI-PPI) Інфл'!$A$78:$B$85</c:f>
              <c:multiLvlStrCache>
                <c:ptCount val="8"/>
                <c:lvl>
                  <c:pt idx="0">
                    <c:v>1Q</c:v>
                  </c:pt>
                  <c:pt idx="1">
                    <c:v>2Q</c:v>
                  </c:pt>
                  <c:pt idx="2">
                    <c:v>3Q</c:v>
                  </c:pt>
                  <c:pt idx="3">
                    <c:v>4Q</c:v>
                  </c:pt>
                  <c:pt idx="4">
                    <c:v>1Q</c:v>
                  </c:pt>
                  <c:pt idx="5">
                    <c:v>2Q</c:v>
                  </c:pt>
                  <c:pt idx="6">
                    <c:v>3Q</c:v>
                  </c:pt>
                  <c:pt idx="7">
                    <c:v>4Q</c:v>
                  </c:pt>
                </c:lvl>
                <c:lvl>
                  <c:pt idx="0">
                    <c:v>2020</c:v>
                  </c:pt>
                  <c:pt idx="4">
                    <c:v>2021</c:v>
                  </c:pt>
                </c:lvl>
              </c:multiLvlStrCache>
            </c:multiLvlStrRef>
          </c:cat>
          <c:val>
            <c:numRef>
              <c:f>'Дефлятор модель (CPI-PPI) Інфл'!$F$42:$F$53</c:f>
              <c:numCache>
                <c:formatCode>0.0%</c:formatCode>
                <c:ptCount val="12"/>
                <c:pt idx="0">
                  <c:v>5.2999999999999999E-2</c:v>
                </c:pt>
                <c:pt idx="1">
                  <c:v>5.5999999999999994E-2</c:v>
                </c:pt>
                <c:pt idx="2">
                  <c:v>8.4000000000000005E-2</c:v>
                </c:pt>
                <c:pt idx="3">
                  <c:v>0.17499999999999999</c:v>
                </c:pt>
                <c:pt idx="4">
                  <c:v>0.20273977541585109</c:v>
                </c:pt>
                <c:pt idx="5">
                  <c:v>0.24446916038149219</c:v>
                </c:pt>
                <c:pt idx="6">
                  <c:v>0.28516338429342375</c:v>
                </c:pt>
                <c:pt idx="7">
                  <c:v>0.33236872589999999</c:v>
                </c:pt>
                <c:pt idx="8">
                  <c:v>0.22065074058055004</c:v>
                </c:pt>
                <c:pt idx="9">
                  <c:v>0.18245649154517821</c:v>
                </c:pt>
                <c:pt idx="10">
                  <c:v>0.22956573084119378</c:v>
                </c:pt>
                <c:pt idx="11">
                  <c:v>0.15449696641969932</c:v>
                </c:pt>
              </c:numCache>
            </c:numRef>
          </c:val>
          <c:extLst>
            <c:ext xmlns:c16="http://schemas.microsoft.com/office/drawing/2014/chart" uri="{C3380CC4-5D6E-409C-BE32-E72D297353CC}">
              <c16:uniqueId val="{00000008-43BC-44A1-A9E9-846E10D2C55D}"/>
            </c:ext>
          </c:extLst>
        </c:ser>
        <c:dLbls>
          <c:showLegendKey val="0"/>
          <c:showVal val="0"/>
          <c:showCatName val="0"/>
          <c:showSerName val="0"/>
          <c:showPercent val="0"/>
          <c:showBubbleSize val="0"/>
        </c:dLbls>
        <c:axId val="720532336"/>
        <c:axId val="720530736"/>
      </c:areaChart>
      <c:barChart>
        <c:barDir val="col"/>
        <c:grouping val="clustered"/>
        <c:varyColors val="0"/>
        <c:ser>
          <c:idx val="0"/>
          <c:order val="0"/>
          <c:tx>
            <c:strRef>
              <c:f>'Дефлятор модель (CPI-PPI) Інфл'!$D$1</c:f>
              <c:strCache>
                <c:ptCount val="1"/>
                <c:pt idx="0">
                  <c:v>CPI</c:v>
                </c:pt>
              </c:strCache>
            </c:strRef>
          </c:tx>
          <c:spPr>
            <a:solidFill>
              <a:schemeClr val="accent3"/>
            </a:solidFill>
            <a:ln>
              <a:noFill/>
            </a:ln>
            <a:effectLst/>
          </c:spPr>
          <c:invertIfNegative val="0"/>
          <c:dLbls>
            <c:dLbl>
              <c:idx val="9"/>
              <c:layout>
                <c:manualLayout>
                  <c:x val="-5.458613235009525E-3"/>
                  <c:y val="1.46170297110447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C49-40EC-9B87-8CC341B26F7A}"/>
                </c:ext>
              </c:extLst>
            </c:dLbl>
            <c:dLbl>
              <c:idx val="10"/>
              <c:layout>
                <c:manualLayout>
                  <c:x val="-1.3646533087524814E-3"/>
                  <c:y val="1.25288826094668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C49-40EC-9B87-8CC341B26F7A}"/>
                </c:ext>
              </c:extLst>
            </c:dLbl>
            <c:dLbl>
              <c:idx val="11"/>
              <c:layout>
                <c:manualLayout>
                  <c:x val="-6.8232665437619067E-3"/>
                  <c:y val="1.4617029711044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49-40EC-9B87-8CC341B26F7A}"/>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Інфл'!$A$78:$B$89</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2020</c:v>
                  </c:pt>
                  <c:pt idx="4">
                    <c:v>2021</c:v>
                  </c:pt>
                  <c:pt idx="8">
                    <c:v>2022</c:v>
                  </c:pt>
                </c:lvl>
              </c:multiLvlStrCache>
            </c:multiLvlStrRef>
          </c:cat>
          <c:val>
            <c:numRef>
              <c:f>'Дефлятор модель (CPI-PPI) Інфл'!$D$42:$D$53</c:f>
              <c:numCache>
                <c:formatCode>0.0%</c:formatCode>
                <c:ptCount val="12"/>
                <c:pt idx="0">
                  <c:v>2.6333333333333334E-2</c:v>
                </c:pt>
                <c:pt idx="1">
                  <c:v>2.066666666666667E-2</c:v>
                </c:pt>
                <c:pt idx="2">
                  <c:v>2.4000000000000004E-2</c:v>
                </c:pt>
                <c:pt idx="3">
                  <c:v>3.7999999999999999E-2</c:v>
                </c:pt>
                <c:pt idx="4">
                  <c:v>7.3666666666666672E-2</c:v>
                </c:pt>
                <c:pt idx="5">
                  <c:v>9.1333333333333336E-2</c:v>
                </c:pt>
                <c:pt idx="6">
                  <c:v>0.10466666666666667</c:v>
                </c:pt>
                <c:pt idx="7">
                  <c:v>0.104</c:v>
                </c:pt>
                <c:pt idx="8">
                  <c:v>9.1729857612828744E-2</c:v>
                </c:pt>
                <c:pt idx="9">
                  <c:v>7.5568902490743245E-2</c:v>
                </c:pt>
                <c:pt idx="10">
                  <c:v>9.0358432422636678E-2</c:v>
                </c:pt>
                <c:pt idx="11">
                  <c:v>8.0479752041023186E-2</c:v>
                </c:pt>
              </c:numCache>
            </c:numRef>
          </c:val>
          <c:extLst>
            <c:ext xmlns:c16="http://schemas.microsoft.com/office/drawing/2014/chart" uri="{C3380CC4-5D6E-409C-BE32-E72D297353CC}">
              <c16:uniqueId val="{00000009-43BC-44A1-A9E9-846E10D2C55D}"/>
            </c:ext>
          </c:extLst>
        </c:ser>
        <c:ser>
          <c:idx val="1"/>
          <c:order val="1"/>
          <c:tx>
            <c:strRef>
              <c:f>'Дефлятор модель (CPI-PPI) Інфл'!$E$1</c:f>
              <c:strCache>
                <c:ptCount val="1"/>
                <c:pt idx="0">
                  <c:v>PPI</c:v>
                </c:pt>
              </c:strCache>
            </c:strRef>
          </c:tx>
          <c:spPr>
            <a:solidFill>
              <a:schemeClr val="accent1"/>
            </a:solidFill>
            <a:ln>
              <a:noFill/>
            </a:ln>
            <a:effectLst/>
          </c:spPr>
          <c:invertIfNegative val="0"/>
          <c:dLbls>
            <c:dLbl>
              <c:idx val="3"/>
              <c:layout>
                <c:manualLayout>
                  <c:x val="1.683750243312155E-2"/>
                  <c:y val="1.09606964098540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3BC-44A1-A9E9-846E10D2C55D}"/>
                </c:ext>
              </c:extLst>
            </c:dLbl>
            <c:dLbl>
              <c:idx val="4"/>
              <c:layout>
                <c:manualLayout>
                  <c:x val="1.0714774275622804E-2"/>
                  <c:y val="5.48034820492704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3BC-44A1-A9E9-846E10D2C55D}"/>
                </c:ext>
              </c:extLst>
            </c:dLbl>
            <c:dLbl>
              <c:idx val="6"/>
              <c:layout>
                <c:manualLayout>
                  <c:x val="6.122728157498745E-3"/>
                  <c:y val="-5.023594488190920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3BC-44A1-A9E9-846E10D2C55D}"/>
                </c:ext>
              </c:extLst>
            </c:dLbl>
            <c:dLbl>
              <c:idx val="7"/>
              <c:layout>
                <c:manualLayout>
                  <c:x val="1.071477427562280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3BC-44A1-A9E9-846E10D2C55D}"/>
                </c:ext>
              </c:extLst>
            </c:dLbl>
            <c:dLbl>
              <c:idx val="10"/>
              <c:layout>
                <c:manualLayout>
                  <c:x val="5.458613235009525E-3"/>
                  <c:y val="-1.87933239142005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49-40EC-9B87-8CC341B26F7A}"/>
                </c:ext>
              </c:extLst>
            </c:dLbl>
            <c:dLbl>
              <c:idx val="11"/>
              <c:layout>
                <c:manualLayout>
                  <c:x val="2.7293066175047625E-3"/>
                  <c:y val="-1.2528882609467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C49-40EC-9B87-8CC341B26F7A}"/>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429EBE"/>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'Дефлятор модель (CPI-PPI) Інфл'!$A$78:$B$89</c:f>
              <c:multiLvlStrCache>
                <c:ptCount val="12"/>
                <c:lvl>
                  <c:pt idx="0">
                    <c:v>1Q</c:v>
                  </c:pt>
                  <c:pt idx="1">
                    <c:v>2Q</c:v>
                  </c:pt>
                  <c:pt idx="2">
                    <c:v>3Q</c:v>
                  </c:pt>
                  <c:pt idx="3">
                    <c:v>4Q</c:v>
                  </c:pt>
                  <c:pt idx="4">
                    <c:v>1Q</c:v>
                  </c:pt>
                  <c:pt idx="5">
                    <c:v>2Q</c:v>
                  </c:pt>
                  <c:pt idx="6">
                    <c:v>3Q</c:v>
                  </c:pt>
                  <c:pt idx="7">
                    <c:v>4Q</c:v>
                  </c:pt>
                  <c:pt idx="8">
                    <c:v>1Q</c:v>
                  </c:pt>
                  <c:pt idx="9">
                    <c:v>2Q</c:v>
                  </c:pt>
                  <c:pt idx="10">
                    <c:v>3Q</c:v>
                  </c:pt>
                  <c:pt idx="11">
                    <c:v>4Q</c:v>
                  </c:pt>
                </c:lvl>
                <c:lvl>
                  <c:pt idx="0">
                    <c:v>2020</c:v>
                  </c:pt>
                  <c:pt idx="4">
                    <c:v>2021</c:v>
                  </c:pt>
                  <c:pt idx="8">
                    <c:v>2022</c:v>
                  </c:pt>
                </c:lvl>
              </c:multiLvlStrCache>
            </c:multiLvlStrRef>
          </c:cat>
          <c:val>
            <c:numRef>
              <c:f>'Дефлятор модель (CPI-PPI) Інфл'!$E$42:$E$53</c:f>
              <c:numCache>
                <c:formatCode>0.0%</c:formatCode>
                <c:ptCount val="12"/>
                <c:pt idx="0">
                  <c:v>-5.6333333333333339E-2</c:v>
                </c:pt>
                <c:pt idx="1">
                  <c:v>-4.099999999999996E-2</c:v>
                </c:pt>
                <c:pt idx="2">
                  <c:v>-4.6333333333333337E-2</c:v>
                </c:pt>
                <c:pt idx="3">
                  <c:v>8.7666666666666671E-2</c:v>
                </c:pt>
                <c:pt idx="4">
                  <c:v>0.23500000000000001</c:v>
                </c:pt>
                <c:pt idx="5">
                  <c:v>0.33333333333333331</c:v>
                </c:pt>
                <c:pt idx="6">
                  <c:v>0.44599999999999995</c:v>
                </c:pt>
                <c:pt idx="7">
                  <c:v>0.60033333333333327</c:v>
                </c:pt>
                <c:pt idx="8">
                  <c:v>0.34371878377993564</c:v>
                </c:pt>
                <c:pt idx="9">
                  <c:v>0.26655961742288964</c:v>
                </c:pt>
                <c:pt idx="10">
                  <c:v>0.3662732055533065</c:v>
                </c:pt>
                <c:pt idx="11">
                  <c:v>0.19528487366958402</c:v>
                </c:pt>
              </c:numCache>
            </c:numRef>
          </c:val>
          <c:extLst>
            <c:ext xmlns:c16="http://schemas.microsoft.com/office/drawing/2014/chart" uri="{C3380CC4-5D6E-409C-BE32-E72D297353CC}">
              <c16:uniqueId val="{0000000E-43BC-44A1-A9E9-846E10D2C55D}"/>
            </c:ext>
          </c:extLst>
        </c:ser>
        <c:dLbls>
          <c:showLegendKey val="0"/>
          <c:showVal val="0"/>
          <c:showCatName val="0"/>
          <c:showSerName val="0"/>
          <c:showPercent val="0"/>
          <c:showBubbleSize val="0"/>
        </c:dLbls>
        <c:gapWidth val="219"/>
        <c:axId val="720532336"/>
        <c:axId val="720530736"/>
      </c:barChart>
      <c:catAx>
        <c:axId val="7205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0736"/>
        <c:crosses val="autoZero"/>
        <c:auto val="1"/>
        <c:lblAlgn val="ctr"/>
        <c:lblOffset val="100"/>
        <c:noMultiLvlLbl val="0"/>
      </c:catAx>
      <c:valAx>
        <c:axId val="720530736"/>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20532336"/>
        <c:crosses val="autoZero"/>
        <c:crossBetween val="between"/>
      </c:valAx>
      <c:spPr>
        <a:noFill/>
        <a:ln>
          <a:noFill/>
        </a:ln>
        <a:effectLst/>
      </c:spPr>
    </c:plotArea>
    <c:legend>
      <c:legendPos val="t"/>
      <c:layout>
        <c:manualLayout>
          <c:xMode val="edge"/>
          <c:yMode val="edge"/>
          <c:x val="1.091722647001905E-2"/>
          <c:y val="0.16181183426951926"/>
          <c:w val="0.92947106360111809"/>
          <c:h val="2.712087802311316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ysClr val="windowText" lastClr="000000"/>
                </a:solidFill>
                <a:latin typeface="+mn-lt"/>
                <a:ea typeface="+mn-ea"/>
                <a:cs typeface="+mn-cs"/>
              </a:defRPr>
            </a:pPr>
            <a:r>
              <a:rPr lang="ru-RU"/>
              <a:t>Средняя численность штатных работников по видам экономической деятельности в 2017-21 годах, млн чел.</a:t>
            </a:r>
          </a:p>
        </c:rich>
      </c:tx>
      <c:overlay val="0"/>
      <c:spPr>
        <a:noFill/>
        <a:ln>
          <a:noFill/>
        </a:ln>
        <a:effectLst/>
      </c:spPr>
      <c:txPr>
        <a:bodyPr rot="0" spcFirstLastPara="1" vertOverflow="ellipsis" vert="horz" wrap="square" anchor="ctr" anchorCtr="1"/>
        <a:lstStyle/>
        <a:p>
          <a:pPr>
            <a:defRPr sz="168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stacked"/>
        <c:varyColors val="0"/>
        <c:ser>
          <c:idx val="0"/>
          <c:order val="0"/>
          <c:tx>
            <c:strRef>
              <c:f>'К-сть штатних прац'!$C$47</c:f>
              <c:strCache>
                <c:ptCount val="1"/>
                <c:pt idx="0">
                  <c:v>2017</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'К-сть штатних прац'!$B$48:$B$56</c:f>
              <c:strCache>
                <c:ptCount val="9"/>
                <c:pt idx="0">
                  <c:v>Сельское хозяйство</c:v>
                </c:pt>
                <c:pt idx="1">
                  <c:v>Промышленость</c:v>
                </c:pt>
                <c:pt idx="2">
                  <c:v>Строительство</c:v>
                </c:pt>
                <c:pt idx="3">
                  <c:v>Торговля</c:v>
                </c:pt>
                <c:pt idx="4">
                  <c:v>Транспорт</c:v>
                </c:pt>
                <c:pt idx="5">
                  <c:v>Образование</c:v>
                </c:pt>
                <c:pt idx="6">
                  <c:v>Медицина</c:v>
                </c:pt>
                <c:pt idx="7">
                  <c:v>Госструктуры</c:v>
                </c:pt>
                <c:pt idx="8">
                  <c:v>Другое</c:v>
                </c:pt>
              </c:strCache>
            </c:strRef>
          </c:cat>
          <c:val>
            <c:numRef>
              <c:f>'К-сть штатних прац'!$C$48:$C$56</c:f>
              <c:numCache>
                <c:formatCode>_(* #\ ##0.00_);_(* \(#\ ##0.00\);_(* "-"??_);_(@_)</c:formatCode>
                <c:ptCount val="9"/>
                <c:pt idx="0">
                  <c:v>0.46745833333333331</c:v>
                </c:pt>
                <c:pt idx="1">
                  <c:v>1.8936499999999996</c:v>
                </c:pt>
                <c:pt idx="2">
                  <c:v>0.16685000000000003</c:v>
                </c:pt>
                <c:pt idx="3">
                  <c:v>0.69672500000000004</c:v>
                </c:pt>
                <c:pt idx="4">
                  <c:v>0.65523333333333322</c:v>
                </c:pt>
                <c:pt idx="5">
                  <c:v>1.3788916666666664</c:v>
                </c:pt>
                <c:pt idx="6">
                  <c:v>0.95135000000000003</c:v>
                </c:pt>
                <c:pt idx="7">
                  <c:v>0.63194166666666651</c:v>
                </c:pt>
                <c:pt idx="8">
                  <c:v>0.8373666666666667</c:v>
                </c:pt>
              </c:numCache>
            </c:numRef>
          </c:val>
          <c:extLst>
            <c:ext xmlns:c16="http://schemas.microsoft.com/office/drawing/2014/chart" uri="{C3380CC4-5D6E-409C-BE32-E72D297353CC}">
              <c16:uniqueId val="{00000000-B190-4DDD-A8A3-AE1C4C7A3E47}"/>
            </c:ext>
          </c:extLst>
        </c:ser>
        <c:ser>
          <c:idx val="1"/>
          <c:order val="1"/>
          <c:tx>
            <c:strRef>
              <c:f>'К-сть штатних прац'!$D$47</c:f>
              <c:strCache>
                <c:ptCount val="1"/>
                <c:pt idx="0">
                  <c:v>2018</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'К-сть штатних прац'!$B$48:$B$56</c:f>
              <c:strCache>
                <c:ptCount val="9"/>
                <c:pt idx="0">
                  <c:v>Сельское хозяйство</c:v>
                </c:pt>
                <c:pt idx="1">
                  <c:v>Промышленость</c:v>
                </c:pt>
                <c:pt idx="2">
                  <c:v>Строительство</c:v>
                </c:pt>
                <c:pt idx="3">
                  <c:v>Торговля</c:v>
                </c:pt>
                <c:pt idx="4">
                  <c:v>Транспорт</c:v>
                </c:pt>
                <c:pt idx="5">
                  <c:v>Образование</c:v>
                </c:pt>
                <c:pt idx="6">
                  <c:v>Медицина</c:v>
                </c:pt>
                <c:pt idx="7">
                  <c:v>Госструктуры</c:v>
                </c:pt>
                <c:pt idx="8">
                  <c:v>Другое</c:v>
                </c:pt>
              </c:strCache>
            </c:strRef>
          </c:cat>
          <c:val>
            <c:numRef>
              <c:f>'К-сть штатних прац'!$D$48:$D$56</c:f>
              <c:numCache>
                <c:formatCode>_(* #\ ##0.00_);_(* \(#\ ##0.00\);_(* "-"??_);_(@_)</c:formatCode>
                <c:ptCount val="9"/>
                <c:pt idx="0">
                  <c:v>0.45303333333333329</c:v>
                </c:pt>
                <c:pt idx="1">
                  <c:v>1.850875</c:v>
                </c:pt>
                <c:pt idx="2">
                  <c:v>0.17870833333333333</c:v>
                </c:pt>
                <c:pt idx="3">
                  <c:v>0.76088333333333336</c:v>
                </c:pt>
                <c:pt idx="4">
                  <c:v>0.64838333333333331</c:v>
                </c:pt>
                <c:pt idx="5">
                  <c:v>1.3649333333333336</c:v>
                </c:pt>
                <c:pt idx="6">
                  <c:v>0.9241083333333332</c:v>
                </c:pt>
                <c:pt idx="7">
                  <c:v>0.63084166666666674</c:v>
                </c:pt>
                <c:pt idx="8">
                  <c:v>0.8496999999999999</c:v>
                </c:pt>
              </c:numCache>
            </c:numRef>
          </c:val>
          <c:extLst>
            <c:ext xmlns:c16="http://schemas.microsoft.com/office/drawing/2014/chart" uri="{C3380CC4-5D6E-409C-BE32-E72D297353CC}">
              <c16:uniqueId val="{00000001-B190-4DDD-A8A3-AE1C4C7A3E47}"/>
            </c:ext>
          </c:extLst>
        </c:ser>
        <c:ser>
          <c:idx val="2"/>
          <c:order val="2"/>
          <c:tx>
            <c:strRef>
              <c:f>'К-сть штатних прац'!$E$47</c:f>
              <c:strCache>
                <c:ptCount val="1"/>
                <c:pt idx="0">
                  <c:v>2019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'К-сть штатних прац'!$B$48:$B$56</c:f>
              <c:strCache>
                <c:ptCount val="9"/>
                <c:pt idx="0">
                  <c:v>Сельское хозяйство</c:v>
                </c:pt>
                <c:pt idx="1">
                  <c:v>Промышленость</c:v>
                </c:pt>
                <c:pt idx="2">
                  <c:v>Строительство</c:v>
                </c:pt>
                <c:pt idx="3">
                  <c:v>Торговля</c:v>
                </c:pt>
                <c:pt idx="4">
                  <c:v>Транспорт</c:v>
                </c:pt>
                <c:pt idx="5">
                  <c:v>Образование</c:v>
                </c:pt>
                <c:pt idx="6">
                  <c:v>Медицина</c:v>
                </c:pt>
                <c:pt idx="7">
                  <c:v>Госструктуры</c:v>
                </c:pt>
                <c:pt idx="8">
                  <c:v>Другое</c:v>
                </c:pt>
              </c:strCache>
            </c:strRef>
          </c:cat>
          <c:val>
            <c:numRef>
              <c:f>'К-сть штатних прац'!$E$48:$E$56</c:f>
              <c:numCache>
                <c:formatCode>_(* #\ ##0.00_);_(* \(#\ ##0.00\);_(* "-"??_);_(@_)</c:formatCode>
                <c:ptCount val="9"/>
                <c:pt idx="0">
                  <c:v>0.44050833333333339</c:v>
                </c:pt>
                <c:pt idx="1">
                  <c:v>1.8671333333333335</c:v>
                </c:pt>
                <c:pt idx="2">
                  <c:v>0.19373333333333331</c:v>
                </c:pt>
                <c:pt idx="3">
                  <c:v>0.76537500000000003</c:v>
                </c:pt>
                <c:pt idx="4">
                  <c:v>0.63505000000000011</c:v>
                </c:pt>
                <c:pt idx="5">
                  <c:v>1.3153749999999997</c:v>
                </c:pt>
                <c:pt idx="6">
                  <c:v>0.87154166666666666</c:v>
                </c:pt>
                <c:pt idx="7">
                  <c:v>0.5694499999999999</c:v>
                </c:pt>
                <c:pt idx="8">
                  <c:v>0.78452500000000003</c:v>
                </c:pt>
              </c:numCache>
            </c:numRef>
          </c:val>
          <c:extLst>
            <c:ext xmlns:c16="http://schemas.microsoft.com/office/drawing/2014/chart" uri="{C3380CC4-5D6E-409C-BE32-E72D297353CC}">
              <c16:uniqueId val="{00000002-B190-4DDD-A8A3-AE1C4C7A3E47}"/>
            </c:ext>
          </c:extLst>
        </c:ser>
        <c:ser>
          <c:idx val="3"/>
          <c:order val="3"/>
          <c:tx>
            <c:strRef>
              <c:f>'К-сть штатних прац'!$F$47</c:f>
              <c:strCache>
                <c:ptCount val="1"/>
                <c:pt idx="0">
                  <c:v>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'К-сть штатних прац'!$B$48:$B$56</c:f>
              <c:strCache>
                <c:ptCount val="9"/>
                <c:pt idx="0">
                  <c:v>Сельское хозяйство</c:v>
                </c:pt>
                <c:pt idx="1">
                  <c:v>Промышленость</c:v>
                </c:pt>
                <c:pt idx="2">
                  <c:v>Строительство</c:v>
                </c:pt>
                <c:pt idx="3">
                  <c:v>Торговля</c:v>
                </c:pt>
                <c:pt idx="4">
                  <c:v>Транспорт</c:v>
                </c:pt>
                <c:pt idx="5">
                  <c:v>Образование</c:v>
                </c:pt>
                <c:pt idx="6">
                  <c:v>Медицина</c:v>
                </c:pt>
                <c:pt idx="7">
                  <c:v>Госструктуры</c:v>
                </c:pt>
                <c:pt idx="8">
                  <c:v>Другое</c:v>
                </c:pt>
              </c:strCache>
            </c:strRef>
          </c:cat>
          <c:val>
            <c:numRef>
              <c:f>'К-сть штатних прац'!$F$48:$F$56</c:f>
              <c:numCache>
                <c:formatCode>_(* #\ ##0.00_);_(* \(#\ ##0.00\);_(* "-"??_);_(@_)</c:formatCode>
                <c:ptCount val="9"/>
                <c:pt idx="0">
                  <c:v>0.40969166666666668</c:v>
                </c:pt>
                <c:pt idx="1">
                  <c:v>1.7964583333333333</c:v>
                </c:pt>
                <c:pt idx="2">
                  <c:v>0.19581666666666664</c:v>
                </c:pt>
                <c:pt idx="3">
                  <c:v>0.79138333333333322</c:v>
                </c:pt>
                <c:pt idx="4">
                  <c:v>0.62575833333333331</c:v>
                </c:pt>
                <c:pt idx="5">
                  <c:v>1.3192666666666666</c:v>
                </c:pt>
                <c:pt idx="6">
                  <c:v>0.83193333333333341</c:v>
                </c:pt>
                <c:pt idx="7">
                  <c:v>0.59104999999999996</c:v>
                </c:pt>
                <c:pt idx="8">
                  <c:v>0.78384166666666666</c:v>
                </c:pt>
              </c:numCache>
            </c:numRef>
          </c:val>
          <c:extLst>
            <c:ext xmlns:c16="http://schemas.microsoft.com/office/drawing/2014/chart" uri="{C3380CC4-5D6E-409C-BE32-E72D297353CC}">
              <c16:uniqueId val="{00000003-B190-4DDD-A8A3-AE1C4C7A3E47}"/>
            </c:ext>
          </c:extLst>
        </c:ser>
        <c:ser>
          <c:idx val="4"/>
          <c:order val="4"/>
          <c:tx>
            <c:strRef>
              <c:f>'К-сть штатних прац'!$G$47</c:f>
              <c:strCache>
                <c:ptCount val="1"/>
                <c:pt idx="0">
                  <c:v>2021</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'К-сть штатних прац'!$B$48:$B$56</c:f>
              <c:strCache>
                <c:ptCount val="9"/>
                <c:pt idx="0">
                  <c:v>Сельское хозяйство</c:v>
                </c:pt>
                <c:pt idx="1">
                  <c:v>Промышленость</c:v>
                </c:pt>
                <c:pt idx="2">
                  <c:v>Строительство</c:v>
                </c:pt>
                <c:pt idx="3">
                  <c:v>Торговля</c:v>
                </c:pt>
                <c:pt idx="4">
                  <c:v>Транспорт</c:v>
                </c:pt>
                <c:pt idx="5">
                  <c:v>Образование</c:v>
                </c:pt>
                <c:pt idx="6">
                  <c:v>Медицина</c:v>
                </c:pt>
                <c:pt idx="7">
                  <c:v>Госструктуры</c:v>
                </c:pt>
                <c:pt idx="8">
                  <c:v>Другое</c:v>
                </c:pt>
              </c:strCache>
            </c:strRef>
          </c:cat>
          <c:val>
            <c:numRef>
              <c:f>'К-сть штатних прац'!$G$48:$G$56</c:f>
              <c:numCache>
                <c:formatCode>_(* #\ ##0.00_);_(* \(#\ ##0.00\);_(* "-"??_);_(@_)</c:formatCode>
                <c:ptCount val="9"/>
                <c:pt idx="0">
                  <c:v>0.38023999999999997</c:v>
                </c:pt>
                <c:pt idx="1">
                  <c:v>1.7837000000000001</c:v>
                </c:pt>
                <c:pt idx="2">
                  <c:v>0.21274000000000001</c:v>
                </c:pt>
                <c:pt idx="3">
                  <c:v>0.80877999999999994</c:v>
                </c:pt>
                <c:pt idx="4">
                  <c:v>0.62008000000000008</c:v>
                </c:pt>
                <c:pt idx="5">
                  <c:v>1.1589</c:v>
                </c:pt>
                <c:pt idx="6">
                  <c:v>0.80743999999999994</c:v>
                </c:pt>
                <c:pt idx="7">
                  <c:v>0.58508000000000004</c:v>
                </c:pt>
                <c:pt idx="8">
                  <c:v>0.76576</c:v>
                </c:pt>
              </c:numCache>
            </c:numRef>
          </c:val>
          <c:extLst>
            <c:ext xmlns:c16="http://schemas.microsoft.com/office/drawing/2014/chart" uri="{C3380CC4-5D6E-409C-BE32-E72D297353CC}">
              <c16:uniqueId val="{00000004-B190-4DDD-A8A3-AE1C4C7A3E47}"/>
            </c:ext>
          </c:extLst>
        </c:ser>
        <c:dLbls>
          <c:dLblPos val="ctr"/>
          <c:showLegendKey val="0"/>
          <c:showVal val="1"/>
          <c:showCatName val="0"/>
          <c:showSerName val="0"/>
          <c:showPercent val="0"/>
          <c:showBubbleSize val="0"/>
        </c:dLbls>
        <c:gapWidth val="150"/>
        <c:overlap val="100"/>
        <c:axId val="669774584"/>
        <c:axId val="669775864"/>
      </c:barChart>
      <c:catAx>
        <c:axId val="669774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669775864"/>
        <c:crosses val="autoZero"/>
        <c:auto val="1"/>
        <c:lblAlgn val="ctr"/>
        <c:lblOffset val="100"/>
        <c:noMultiLvlLbl val="0"/>
      </c:catAx>
      <c:valAx>
        <c:axId val="669775864"/>
        <c:scaling>
          <c:orientation val="minMax"/>
        </c:scaling>
        <c:delete val="1"/>
        <c:axPos val="l"/>
        <c:numFmt formatCode="_(* #\ ##0.00_);_(* \(#\ ##0.00\);_(* &quot;-&quot;??_);_(@_)" sourceLinked="1"/>
        <c:majorTickMark val="none"/>
        <c:minorTickMark val="none"/>
        <c:tickLblPos val="nextTo"/>
        <c:crossAx val="669774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680" b="1" i="0" u="none" strike="noStrike" kern="1200" spc="0" baseline="0">
                <a:solidFill>
                  <a:sysClr val="windowText" lastClr="000000"/>
                </a:solidFill>
                <a:latin typeface="+mn-lt"/>
                <a:ea typeface="+mn-ea"/>
                <a:cs typeface="+mn-cs"/>
              </a:defRPr>
            </a:pPr>
            <a:r>
              <a:rPr lang="ru-RU" sz="2000">
                <a:solidFill>
                  <a:schemeClr val="accent1"/>
                </a:solidFill>
              </a:rPr>
              <a:t>Средняя численность штатных работников по видам экономической деятельности в 2017-21 годах, млн чел.</a:t>
            </a:r>
          </a:p>
        </c:rich>
      </c:tx>
      <c:layout>
        <c:manualLayout>
          <c:xMode val="edge"/>
          <c:yMode val="edge"/>
          <c:x val="1.4715385825603649E-2"/>
          <c:y val="1.2491635358344364E-2"/>
        </c:manualLayout>
      </c:layout>
      <c:overlay val="0"/>
      <c:spPr>
        <a:noFill/>
        <a:ln>
          <a:noFill/>
        </a:ln>
        <a:effectLst/>
      </c:spPr>
      <c:txPr>
        <a:bodyPr rot="0" spcFirstLastPara="1" vertOverflow="ellipsis" vert="horz" wrap="square" anchor="ctr" anchorCtr="1"/>
        <a:lstStyle/>
        <a:p>
          <a:pPr algn="l">
            <a:defRPr sz="168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stacked"/>
        <c:varyColors val="0"/>
        <c:ser>
          <c:idx val="1"/>
          <c:order val="0"/>
          <c:tx>
            <c:strRef>
              <c:f>'К-сть штатних прац'!$B$49</c:f>
              <c:strCache>
                <c:ptCount val="1"/>
                <c:pt idx="0">
                  <c:v>Промышленость</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'К-сть штатних прац'!$C$47:$G$47</c:f>
              <c:numCache>
                <c:formatCode>General</c:formatCode>
                <c:ptCount val="5"/>
                <c:pt idx="0">
                  <c:v>2017</c:v>
                </c:pt>
                <c:pt idx="1">
                  <c:v>2018</c:v>
                </c:pt>
                <c:pt idx="2">
                  <c:v>2019</c:v>
                </c:pt>
                <c:pt idx="3">
                  <c:v>2020</c:v>
                </c:pt>
                <c:pt idx="4">
                  <c:v>2021</c:v>
                </c:pt>
              </c:numCache>
            </c:numRef>
          </c:cat>
          <c:val>
            <c:numRef>
              <c:f>'К-сть штатних прац'!$C$49:$G$49</c:f>
              <c:numCache>
                <c:formatCode>_(* #\ ##0.00_);_(* \(#\ ##0.00\);_(* "-"??_);_(@_)</c:formatCode>
                <c:ptCount val="5"/>
                <c:pt idx="0">
                  <c:v>1.8936499999999996</c:v>
                </c:pt>
                <c:pt idx="1">
                  <c:v>1.850875</c:v>
                </c:pt>
                <c:pt idx="2">
                  <c:v>1.8671333333333335</c:v>
                </c:pt>
                <c:pt idx="3">
                  <c:v>1.7964583333333333</c:v>
                </c:pt>
                <c:pt idx="4">
                  <c:v>1.7837000000000001</c:v>
                </c:pt>
              </c:numCache>
            </c:numRef>
          </c:val>
          <c:extLst>
            <c:ext xmlns:c16="http://schemas.microsoft.com/office/drawing/2014/chart" uri="{C3380CC4-5D6E-409C-BE32-E72D297353CC}">
              <c16:uniqueId val="{00000001-4440-4645-8C8D-11C51460C186}"/>
            </c:ext>
          </c:extLst>
        </c:ser>
        <c:ser>
          <c:idx val="0"/>
          <c:order val="1"/>
          <c:tx>
            <c:strRef>
              <c:f>'К-сть штатних прац'!$B$48</c:f>
              <c:strCache>
                <c:ptCount val="1"/>
                <c:pt idx="0">
                  <c:v>Сельское хозяйство</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'К-сть штатних прац'!$C$47:$G$47</c:f>
              <c:numCache>
                <c:formatCode>General</c:formatCode>
                <c:ptCount val="5"/>
                <c:pt idx="0">
                  <c:v>2017</c:v>
                </c:pt>
                <c:pt idx="1">
                  <c:v>2018</c:v>
                </c:pt>
                <c:pt idx="2">
                  <c:v>2019</c:v>
                </c:pt>
                <c:pt idx="3">
                  <c:v>2020</c:v>
                </c:pt>
                <c:pt idx="4">
                  <c:v>2021</c:v>
                </c:pt>
              </c:numCache>
            </c:numRef>
          </c:cat>
          <c:val>
            <c:numRef>
              <c:f>'К-сть штатних прац'!$C$48:$G$48</c:f>
              <c:numCache>
                <c:formatCode>_(* #\ ##0.00_);_(* \(#\ ##0.00\);_(* "-"??_);_(@_)</c:formatCode>
                <c:ptCount val="5"/>
                <c:pt idx="0">
                  <c:v>0.46745833333333331</c:v>
                </c:pt>
                <c:pt idx="1">
                  <c:v>0.45303333333333329</c:v>
                </c:pt>
                <c:pt idx="2">
                  <c:v>0.44050833333333339</c:v>
                </c:pt>
                <c:pt idx="3">
                  <c:v>0.40969166666666668</c:v>
                </c:pt>
                <c:pt idx="4">
                  <c:v>0.38023999999999997</c:v>
                </c:pt>
              </c:numCache>
            </c:numRef>
          </c:val>
          <c:extLst>
            <c:ext xmlns:c16="http://schemas.microsoft.com/office/drawing/2014/chart" uri="{C3380CC4-5D6E-409C-BE32-E72D297353CC}">
              <c16:uniqueId val="{00000000-4440-4645-8C8D-11C51460C186}"/>
            </c:ext>
          </c:extLst>
        </c:ser>
        <c:ser>
          <c:idx val="7"/>
          <c:order val="2"/>
          <c:tx>
            <c:strRef>
              <c:f>'К-сть штатних прац'!$B$55</c:f>
              <c:strCache>
                <c:ptCount val="1"/>
                <c:pt idx="0">
                  <c:v>Госструктуры</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'К-сть штатних прац'!$C$47:$G$47</c:f>
              <c:numCache>
                <c:formatCode>General</c:formatCode>
                <c:ptCount val="5"/>
                <c:pt idx="0">
                  <c:v>2017</c:v>
                </c:pt>
                <c:pt idx="1">
                  <c:v>2018</c:v>
                </c:pt>
                <c:pt idx="2">
                  <c:v>2019</c:v>
                </c:pt>
                <c:pt idx="3">
                  <c:v>2020</c:v>
                </c:pt>
                <c:pt idx="4">
                  <c:v>2021</c:v>
                </c:pt>
              </c:numCache>
            </c:numRef>
          </c:cat>
          <c:val>
            <c:numRef>
              <c:f>'К-сть штатних прац'!$C$55:$G$55</c:f>
              <c:numCache>
                <c:formatCode>_(* #\ ##0.00_);_(* \(#\ ##0.00\);_(* "-"??_);_(@_)</c:formatCode>
                <c:ptCount val="5"/>
                <c:pt idx="0">
                  <c:v>0.63194166666666651</c:v>
                </c:pt>
                <c:pt idx="1">
                  <c:v>0.63084166666666674</c:v>
                </c:pt>
                <c:pt idx="2">
                  <c:v>0.5694499999999999</c:v>
                </c:pt>
                <c:pt idx="3">
                  <c:v>0.59104999999999996</c:v>
                </c:pt>
                <c:pt idx="4">
                  <c:v>0.58508000000000004</c:v>
                </c:pt>
              </c:numCache>
            </c:numRef>
          </c:val>
          <c:extLst>
            <c:ext xmlns:c16="http://schemas.microsoft.com/office/drawing/2014/chart" uri="{C3380CC4-5D6E-409C-BE32-E72D297353CC}">
              <c16:uniqueId val="{00000008-4440-4645-8C8D-11C51460C186}"/>
            </c:ext>
          </c:extLst>
        </c:ser>
        <c:ser>
          <c:idx val="3"/>
          <c:order val="3"/>
          <c:tx>
            <c:strRef>
              <c:f>'К-сть штатних прац'!$B$51</c:f>
              <c:strCache>
                <c:ptCount val="1"/>
                <c:pt idx="0">
                  <c:v>Торговля</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'К-сть штатних прац'!$C$47:$G$47</c:f>
              <c:numCache>
                <c:formatCode>General</c:formatCode>
                <c:ptCount val="5"/>
                <c:pt idx="0">
                  <c:v>2017</c:v>
                </c:pt>
                <c:pt idx="1">
                  <c:v>2018</c:v>
                </c:pt>
                <c:pt idx="2">
                  <c:v>2019</c:v>
                </c:pt>
                <c:pt idx="3">
                  <c:v>2020</c:v>
                </c:pt>
                <c:pt idx="4">
                  <c:v>2021</c:v>
                </c:pt>
              </c:numCache>
            </c:numRef>
          </c:cat>
          <c:val>
            <c:numRef>
              <c:f>'К-сть штатних прац'!$C$51:$G$51</c:f>
              <c:numCache>
                <c:formatCode>_(* #\ ##0.00_);_(* \(#\ ##0.00\);_(* "-"??_);_(@_)</c:formatCode>
                <c:ptCount val="5"/>
                <c:pt idx="0">
                  <c:v>0.69672500000000004</c:v>
                </c:pt>
                <c:pt idx="1">
                  <c:v>0.76088333333333336</c:v>
                </c:pt>
                <c:pt idx="2">
                  <c:v>0.76537500000000003</c:v>
                </c:pt>
                <c:pt idx="3">
                  <c:v>0.79138333333333322</c:v>
                </c:pt>
                <c:pt idx="4">
                  <c:v>0.80877999999999994</c:v>
                </c:pt>
              </c:numCache>
            </c:numRef>
          </c:val>
          <c:extLst>
            <c:ext xmlns:c16="http://schemas.microsoft.com/office/drawing/2014/chart" uri="{C3380CC4-5D6E-409C-BE32-E72D297353CC}">
              <c16:uniqueId val="{00000003-4440-4645-8C8D-11C51460C186}"/>
            </c:ext>
          </c:extLst>
        </c:ser>
        <c:ser>
          <c:idx val="4"/>
          <c:order val="4"/>
          <c:tx>
            <c:strRef>
              <c:f>'К-сть штатних прац'!$B$52</c:f>
              <c:strCache>
                <c:ptCount val="1"/>
                <c:pt idx="0">
                  <c:v>Транспорт</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'К-сть штатних прац'!$C$47:$G$47</c:f>
              <c:numCache>
                <c:formatCode>General</c:formatCode>
                <c:ptCount val="5"/>
                <c:pt idx="0">
                  <c:v>2017</c:v>
                </c:pt>
                <c:pt idx="1">
                  <c:v>2018</c:v>
                </c:pt>
                <c:pt idx="2">
                  <c:v>2019</c:v>
                </c:pt>
                <c:pt idx="3">
                  <c:v>2020</c:v>
                </c:pt>
                <c:pt idx="4">
                  <c:v>2021</c:v>
                </c:pt>
              </c:numCache>
            </c:numRef>
          </c:cat>
          <c:val>
            <c:numRef>
              <c:f>'К-сть штатних прац'!$C$52:$G$52</c:f>
              <c:numCache>
                <c:formatCode>_(* #\ ##0.00_);_(* \(#\ ##0.00\);_(* "-"??_);_(@_)</c:formatCode>
                <c:ptCount val="5"/>
                <c:pt idx="0">
                  <c:v>0.65523333333333322</c:v>
                </c:pt>
                <c:pt idx="1">
                  <c:v>0.64838333333333331</c:v>
                </c:pt>
                <c:pt idx="2">
                  <c:v>0.63505000000000011</c:v>
                </c:pt>
                <c:pt idx="3">
                  <c:v>0.62575833333333331</c:v>
                </c:pt>
                <c:pt idx="4">
                  <c:v>0.62008000000000008</c:v>
                </c:pt>
              </c:numCache>
            </c:numRef>
          </c:val>
          <c:extLst>
            <c:ext xmlns:c16="http://schemas.microsoft.com/office/drawing/2014/chart" uri="{C3380CC4-5D6E-409C-BE32-E72D297353CC}">
              <c16:uniqueId val="{00000004-4440-4645-8C8D-11C51460C186}"/>
            </c:ext>
          </c:extLst>
        </c:ser>
        <c:ser>
          <c:idx val="5"/>
          <c:order val="5"/>
          <c:tx>
            <c:strRef>
              <c:f>'К-сть штатних прац'!$B$53</c:f>
              <c:strCache>
                <c:ptCount val="1"/>
                <c:pt idx="0">
                  <c:v>Образование</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'К-сть штатних прац'!$C$47:$G$47</c:f>
              <c:numCache>
                <c:formatCode>General</c:formatCode>
                <c:ptCount val="5"/>
                <c:pt idx="0">
                  <c:v>2017</c:v>
                </c:pt>
                <c:pt idx="1">
                  <c:v>2018</c:v>
                </c:pt>
                <c:pt idx="2">
                  <c:v>2019</c:v>
                </c:pt>
                <c:pt idx="3">
                  <c:v>2020</c:v>
                </c:pt>
                <c:pt idx="4">
                  <c:v>2021</c:v>
                </c:pt>
              </c:numCache>
            </c:numRef>
          </c:cat>
          <c:val>
            <c:numRef>
              <c:f>'К-сть штатних прац'!$C$53:$G$53</c:f>
              <c:numCache>
                <c:formatCode>_(* #\ ##0.00_);_(* \(#\ ##0.00\);_(* "-"??_);_(@_)</c:formatCode>
                <c:ptCount val="5"/>
                <c:pt idx="0">
                  <c:v>1.3788916666666664</c:v>
                </c:pt>
                <c:pt idx="1">
                  <c:v>1.3649333333333336</c:v>
                </c:pt>
                <c:pt idx="2">
                  <c:v>1.3153749999999997</c:v>
                </c:pt>
                <c:pt idx="3">
                  <c:v>1.3192666666666666</c:v>
                </c:pt>
                <c:pt idx="4">
                  <c:v>1.1589</c:v>
                </c:pt>
              </c:numCache>
            </c:numRef>
          </c:val>
          <c:extLst>
            <c:ext xmlns:c16="http://schemas.microsoft.com/office/drawing/2014/chart" uri="{C3380CC4-5D6E-409C-BE32-E72D297353CC}">
              <c16:uniqueId val="{00000006-4440-4645-8C8D-11C51460C186}"/>
            </c:ext>
          </c:extLst>
        </c:ser>
        <c:ser>
          <c:idx val="6"/>
          <c:order val="6"/>
          <c:tx>
            <c:strRef>
              <c:f>'К-сть штатних прац'!$B$54</c:f>
              <c:strCache>
                <c:ptCount val="1"/>
                <c:pt idx="0">
                  <c:v>Медицина</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'К-сть штатних прац'!$C$47:$G$47</c:f>
              <c:numCache>
                <c:formatCode>General</c:formatCode>
                <c:ptCount val="5"/>
                <c:pt idx="0">
                  <c:v>2017</c:v>
                </c:pt>
                <c:pt idx="1">
                  <c:v>2018</c:v>
                </c:pt>
                <c:pt idx="2">
                  <c:v>2019</c:v>
                </c:pt>
                <c:pt idx="3">
                  <c:v>2020</c:v>
                </c:pt>
                <c:pt idx="4">
                  <c:v>2021</c:v>
                </c:pt>
              </c:numCache>
            </c:numRef>
          </c:cat>
          <c:val>
            <c:numRef>
              <c:f>'К-сть штатних прац'!$C$54:$G$54</c:f>
              <c:numCache>
                <c:formatCode>_(* #\ ##0.00_);_(* \(#\ ##0.00\);_(* "-"??_);_(@_)</c:formatCode>
                <c:ptCount val="5"/>
                <c:pt idx="0">
                  <c:v>0.95135000000000003</c:v>
                </c:pt>
                <c:pt idx="1">
                  <c:v>0.9241083333333332</c:v>
                </c:pt>
                <c:pt idx="2">
                  <c:v>0.87154166666666666</c:v>
                </c:pt>
                <c:pt idx="3">
                  <c:v>0.83193333333333341</c:v>
                </c:pt>
                <c:pt idx="4">
                  <c:v>0.80743999999999994</c:v>
                </c:pt>
              </c:numCache>
            </c:numRef>
          </c:val>
          <c:extLst>
            <c:ext xmlns:c16="http://schemas.microsoft.com/office/drawing/2014/chart" uri="{C3380CC4-5D6E-409C-BE32-E72D297353CC}">
              <c16:uniqueId val="{00000007-4440-4645-8C8D-11C51460C186}"/>
            </c:ext>
          </c:extLst>
        </c:ser>
        <c:ser>
          <c:idx val="8"/>
          <c:order val="7"/>
          <c:tx>
            <c:strRef>
              <c:f>'К-сть штатних прац'!$B$56</c:f>
              <c:strCache>
                <c:ptCount val="1"/>
                <c:pt idx="0">
                  <c:v>Другое</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'К-сть штатних прац'!$C$47:$G$47</c:f>
              <c:numCache>
                <c:formatCode>General</c:formatCode>
                <c:ptCount val="5"/>
                <c:pt idx="0">
                  <c:v>2017</c:v>
                </c:pt>
                <c:pt idx="1">
                  <c:v>2018</c:v>
                </c:pt>
                <c:pt idx="2">
                  <c:v>2019</c:v>
                </c:pt>
                <c:pt idx="3">
                  <c:v>2020</c:v>
                </c:pt>
                <c:pt idx="4">
                  <c:v>2021</c:v>
                </c:pt>
              </c:numCache>
            </c:numRef>
          </c:cat>
          <c:val>
            <c:numRef>
              <c:f>'К-сть штатних прац'!$C$56:$G$56</c:f>
              <c:numCache>
                <c:formatCode>_(* #\ ##0.00_);_(* \(#\ ##0.00\);_(* "-"??_);_(@_)</c:formatCode>
                <c:ptCount val="5"/>
                <c:pt idx="0">
                  <c:v>0.8373666666666667</c:v>
                </c:pt>
                <c:pt idx="1">
                  <c:v>0.8496999999999999</c:v>
                </c:pt>
                <c:pt idx="2">
                  <c:v>0.78452500000000003</c:v>
                </c:pt>
                <c:pt idx="3">
                  <c:v>0.78384166666666666</c:v>
                </c:pt>
                <c:pt idx="4">
                  <c:v>0.76576</c:v>
                </c:pt>
              </c:numCache>
            </c:numRef>
          </c:val>
          <c:extLst>
            <c:ext xmlns:c16="http://schemas.microsoft.com/office/drawing/2014/chart" uri="{C3380CC4-5D6E-409C-BE32-E72D297353CC}">
              <c16:uniqueId val="{00000009-4440-4645-8C8D-11C51460C186}"/>
            </c:ext>
          </c:extLst>
        </c:ser>
        <c:ser>
          <c:idx val="2"/>
          <c:order val="9"/>
          <c:tx>
            <c:strRef>
              <c:f>'К-сть штатних прац'!$B$50</c:f>
              <c:strCache>
                <c:ptCount val="1"/>
                <c:pt idx="0">
                  <c:v>Строительство</c:v>
                </c:pt>
              </c:strCache>
            </c:strRef>
          </c:tx>
          <c:spPr>
            <a:solidFill>
              <a:schemeClr val="accent3"/>
            </a:solidFill>
            <a:ln>
              <a:noFill/>
            </a:ln>
            <a:effectLst/>
          </c:spPr>
          <c:invertIfNegative val="0"/>
          <c:dLbls>
            <c:dLbl>
              <c:idx val="4"/>
              <c:layout>
                <c:manualLayout>
                  <c:x val="-1.2280710745650911E-3"/>
                  <c:y val="-2.592588099635382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440-4645-8C8D-11C51460C186}"/>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'К-сть штатних прац'!$C$47:$G$47</c:f>
              <c:numCache>
                <c:formatCode>General</c:formatCode>
                <c:ptCount val="5"/>
                <c:pt idx="0">
                  <c:v>2017</c:v>
                </c:pt>
                <c:pt idx="1">
                  <c:v>2018</c:v>
                </c:pt>
                <c:pt idx="2">
                  <c:v>2019</c:v>
                </c:pt>
                <c:pt idx="3">
                  <c:v>2020</c:v>
                </c:pt>
                <c:pt idx="4">
                  <c:v>2021</c:v>
                </c:pt>
              </c:numCache>
            </c:numRef>
          </c:cat>
          <c:val>
            <c:numRef>
              <c:f>'К-сть штатних прац'!$C$50:$G$50</c:f>
              <c:numCache>
                <c:formatCode>_(* #\ ##0.00_);_(* \(#\ ##0.00\);_(* "-"??_);_(@_)</c:formatCode>
                <c:ptCount val="5"/>
                <c:pt idx="0">
                  <c:v>0.16685000000000003</c:v>
                </c:pt>
                <c:pt idx="1">
                  <c:v>0.17870833333333333</c:v>
                </c:pt>
                <c:pt idx="2">
                  <c:v>0.19373333333333331</c:v>
                </c:pt>
                <c:pt idx="3">
                  <c:v>0.19581666666666664</c:v>
                </c:pt>
                <c:pt idx="4">
                  <c:v>0.21274000000000001</c:v>
                </c:pt>
              </c:numCache>
            </c:numRef>
          </c:val>
          <c:extLst>
            <c:ext xmlns:c16="http://schemas.microsoft.com/office/drawing/2014/chart" uri="{C3380CC4-5D6E-409C-BE32-E72D297353CC}">
              <c16:uniqueId val="{00000002-4440-4645-8C8D-11C51460C186}"/>
            </c:ext>
          </c:extLst>
        </c:ser>
        <c:dLbls>
          <c:showLegendKey val="0"/>
          <c:showVal val="0"/>
          <c:showCatName val="0"/>
          <c:showSerName val="0"/>
          <c:showPercent val="0"/>
          <c:showBubbleSize val="0"/>
        </c:dLbls>
        <c:gapWidth val="150"/>
        <c:overlap val="100"/>
        <c:axId val="669774584"/>
        <c:axId val="669775864"/>
      </c:barChart>
      <c:lineChart>
        <c:grouping val="standard"/>
        <c:varyColors val="0"/>
        <c:ser>
          <c:idx val="9"/>
          <c:order val="8"/>
          <c:tx>
            <c:strRef>
              <c:f>'К-сть штатних прац'!$B$58</c:f>
              <c:strCache>
                <c:ptCount val="1"/>
                <c:pt idx="0">
                  <c:v>Всего</c:v>
                </c:pt>
              </c:strCache>
            </c:strRef>
          </c:tx>
          <c:spPr>
            <a:ln w="28575" cap="rnd">
              <a:noFill/>
              <a:round/>
            </a:ln>
            <a:effectLst/>
          </c:spPr>
          <c:marker>
            <c:symbol val="none"/>
          </c:marker>
          <c:dLbls>
            <c:dLbl>
              <c:idx val="0"/>
              <c:layout>
                <c:manualLayout>
                  <c:x val="-3.0615811888907735E-2"/>
                  <c:y val="-9.4738562530798764E-2"/>
                </c:manualLayout>
              </c:layout>
              <c:tx>
                <c:rich>
                  <a:bodyPr/>
                  <a:lstStyle/>
                  <a:p>
                    <a:fld id="{A0376E37-F02F-49FB-B141-17D1AFA21EBD}" type="CELLRANGE">
                      <a:rPr lang="en-US"/>
                      <a:pPr/>
                      <a:t>[ДІАПАЗОН КЛІТИНОК]</a:t>
                    </a:fld>
                    <a:endParaRPr lang="en-US" baseline="0"/>
                  </a:p>
                  <a:p>
                    <a:fld id="{80BBA8A0-3F17-437A-9038-903B888A359D}" type="VALUE">
                      <a:rPr lang="en-US"/>
                      <a:pPr/>
                      <a:t>[ЗНАЧЕННЯ]</a:t>
                    </a:fld>
                    <a:endParaRPr lang="en-US"/>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4440-4645-8C8D-11C51460C186}"/>
                </c:ext>
              </c:extLst>
            </c:dLbl>
            <c:dLbl>
              <c:idx val="1"/>
              <c:layout>
                <c:manualLayout>
                  <c:x val="-3.6657921575767971E-2"/>
                  <c:y val="-8.0164987946063748E-2"/>
                </c:manualLayout>
              </c:layout>
              <c:tx>
                <c:rich>
                  <a:bodyPr/>
                  <a:lstStyle/>
                  <a:p>
                    <a:fld id="{2FE3BA6A-429E-427A-BBE4-15B1E4DBA97E}" type="CELLRANGE">
                      <a:rPr lang="en-US"/>
                      <a:pPr/>
                      <a:t>[ДІАПАЗОН КЛІТИНОК]</a:t>
                    </a:fld>
                    <a:endParaRPr lang="en-US" baseline="0"/>
                  </a:p>
                  <a:p>
                    <a:fld id="{CA281F19-68B6-46EA-9FCE-122A2082DCC4}" type="VALUE">
                      <a:rPr lang="en-US"/>
                      <a:pPr/>
                      <a:t>[ЗНАЧЕННЯ]</a:t>
                    </a:fld>
                    <a:endParaRPr lang="en-US"/>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C-4440-4645-8C8D-11C51460C186}"/>
                </c:ext>
              </c:extLst>
            </c:dLbl>
            <c:dLbl>
              <c:idx val="2"/>
              <c:layout>
                <c:manualLayout>
                  <c:x val="-3.74715428372948E-2"/>
                  <c:y val="-8.6410805625235898E-2"/>
                </c:manualLayout>
              </c:layout>
              <c:tx>
                <c:rich>
                  <a:bodyPr/>
                  <a:lstStyle/>
                  <a:p>
                    <a:fld id="{C1508746-C808-4DBE-91AB-023B492AE515}" type="CELLRANGE">
                      <a:rPr lang="en-US"/>
                      <a:pPr/>
                      <a:t>[ДІАПАЗОН КЛІТИНОК]</a:t>
                    </a:fld>
                    <a:endParaRPr lang="en-US" baseline="0"/>
                  </a:p>
                  <a:p>
                    <a:fld id="{0149DFA8-6A78-4A5D-9B48-DA719AC23F17}" type="VALUE">
                      <a:rPr lang="en-US"/>
                      <a:pPr/>
                      <a:t>[ЗНАЧЕННЯ]</a:t>
                    </a:fld>
                    <a:endParaRPr lang="en-US"/>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D-4440-4645-8C8D-11C51460C186}"/>
                </c:ext>
              </c:extLst>
            </c:dLbl>
            <c:dLbl>
              <c:idx val="3"/>
              <c:layout>
                <c:manualLayout>
                  <c:x val="-3.5082992946520689E-2"/>
                  <c:y val="-9.6820501757189537E-2"/>
                </c:manualLayout>
              </c:layout>
              <c:tx>
                <c:rich>
                  <a:bodyPr/>
                  <a:lstStyle/>
                  <a:p>
                    <a:fld id="{ECFCE29B-49E7-43D1-BE94-620A564F9F59}" type="CELLRANGE">
                      <a:rPr lang="en-US"/>
                      <a:pPr/>
                      <a:t>[ДІАПАЗОН КЛІТИНОК]</a:t>
                    </a:fld>
                    <a:endParaRPr lang="en-US" baseline="0"/>
                  </a:p>
                  <a:p>
                    <a:fld id="{4627B173-D7E5-4BC3-9D8B-5A0D88F6AD27}" type="VALUE">
                      <a:rPr lang="en-US"/>
                      <a:pPr/>
                      <a:t>[ЗНАЧЕННЯ]</a:t>
                    </a:fld>
                    <a:endParaRPr lang="en-US"/>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E-4440-4645-8C8D-11C51460C186}"/>
                </c:ext>
              </c:extLst>
            </c:dLbl>
            <c:dLbl>
              <c:idx val="4"/>
              <c:layout>
                <c:manualLayout>
                  <c:x val="-3.5082992946520598E-2"/>
                  <c:y val="-0.11139407634192462"/>
                </c:manualLayout>
              </c:layout>
              <c:tx>
                <c:rich>
                  <a:bodyPr/>
                  <a:lstStyle/>
                  <a:p>
                    <a:fld id="{C4534B22-4CC5-46BF-AACA-75F50E637070}" type="CELLRANGE">
                      <a:rPr lang="en-US"/>
                      <a:pPr/>
                      <a:t>[ДІАПАЗОН КЛІТИНОК]</a:t>
                    </a:fld>
                    <a:endParaRPr lang="en-US" baseline="0"/>
                  </a:p>
                  <a:p>
                    <a:fld id="{39BC3D20-145A-460D-AC43-307202E23F55}" type="VALUE">
                      <a:rPr lang="en-US"/>
                      <a:pPr/>
                      <a:t>[ЗНАЧЕННЯ]</a:t>
                    </a:fld>
                    <a:endParaRPr lang="en-US"/>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F-4440-4645-8C8D-11C51460C18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val>
            <c:numRef>
              <c:f>'К-сть штатних прац'!$C$58:$G$58</c:f>
              <c:numCache>
                <c:formatCode>_(* #\ ##0.0_);_(* \(#\ ##0.0\);_(* "-"??_);_(@_)</c:formatCode>
                <c:ptCount val="5"/>
                <c:pt idx="0">
                  <c:v>7.6794666666666682</c:v>
                </c:pt>
                <c:pt idx="1">
                  <c:v>7.6614666666666675</c:v>
                </c:pt>
                <c:pt idx="2">
                  <c:v>7.4426916666666685</c:v>
                </c:pt>
                <c:pt idx="3">
                  <c:v>7.3452000000000002</c:v>
                </c:pt>
                <c:pt idx="4">
                  <c:v>7.1227199999999993</c:v>
                </c:pt>
              </c:numCache>
            </c:numRef>
          </c:val>
          <c:smooth val="0"/>
          <c:extLst>
            <c:ext xmlns:c15="http://schemas.microsoft.com/office/drawing/2012/chart" uri="{02D57815-91ED-43cb-92C2-25804820EDAC}">
              <c15:datalabelsRange>
                <c15:f>'К-сть штатних прац'!$C$59:$G$59</c15:f>
                <c15:dlblRangeCache>
                  <c:ptCount val="5"/>
                  <c:pt idx="1">
                    <c:v>-0,2%</c:v>
                  </c:pt>
                  <c:pt idx="2">
                    <c:v>-2,9%</c:v>
                  </c:pt>
                  <c:pt idx="3">
                    <c:v>-1,3%</c:v>
                  </c:pt>
                  <c:pt idx="4">
                    <c:v>-3,0%</c:v>
                  </c:pt>
                </c15:dlblRangeCache>
              </c15:datalabelsRange>
            </c:ext>
            <c:ext xmlns:c16="http://schemas.microsoft.com/office/drawing/2014/chart" uri="{C3380CC4-5D6E-409C-BE32-E72D297353CC}">
              <c16:uniqueId val="{0000000A-4440-4645-8C8D-11C51460C186}"/>
            </c:ext>
          </c:extLst>
        </c:ser>
        <c:dLbls>
          <c:showLegendKey val="0"/>
          <c:showVal val="0"/>
          <c:showCatName val="0"/>
          <c:showSerName val="0"/>
          <c:showPercent val="0"/>
          <c:showBubbleSize val="0"/>
        </c:dLbls>
        <c:marker val="1"/>
        <c:smooth val="0"/>
        <c:axId val="669774584"/>
        <c:axId val="669775864"/>
      </c:lineChart>
      <c:catAx>
        <c:axId val="669774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669775864"/>
        <c:crosses val="autoZero"/>
        <c:auto val="1"/>
        <c:lblAlgn val="ctr"/>
        <c:lblOffset val="100"/>
        <c:noMultiLvlLbl val="0"/>
      </c:catAx>
      <c:valAx>
        <c:axId val="669775864"/>
        <c:scaling>
          <c:orientation val="minMax"/>
        </c:scaling>
        <c:delete val="1"/>
        <c:axPos val="l"/>
        <c:numFmt formatCode="_(* #\ ##0.00_);_(* \(#\ ##0.00\);_(* &quot;-&quot;??_);_(@_)" sourceLinked="1"/>
        <c:majorTickMark val="none"/>
        <c:minorTickMark val="none"/>
        <c:tickLblPos val="nextTo"/>
        <c:crossAx val="669774584"/>
        <c:crosses val="autoZero"/>
        <c:crossBetween val="between"/>
      </c:valAx>
      <c:spPr>
        <a:noFill/>
        <a:ln>
          <a:noFill/>
        </a:ln>
        <a:effectLst/>
      </c:spPr>
    </c:plotArea>
    <c:legend>
      <c:legendPos val="t"/>
      <c:layout>
        <c:manualLayout>
          <c:xMode val="edge"/>
          <c:yMode val="edge"/>
          <c:x val="1.9676406172807394E-2"/>
          <c:y val="0.14146777043324993"/>
          <c:w val="0.98032359382719259"/>
          <c:h val="0.1128056967103065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680" b="1" i="0" u="none" strike="noStrike" kern="1200" spc="0" baseline="0">
                <a:solidFill>
                  <a:sysClr val="windowText" lastClr="000000"/>
                </a:solidFill>
                <a:latin typeface="+mn-lt"/>
                <a:ea typeface="+mn-ea"/>
                <a:cs typeface="+mn-cs"/>
              </a:defRPr>
            </a:pPr>
            <a:r>
              <a:rPr lang="ru-RU" sz="1800">
                <a:solidFill>
                  <a:schemeClr val="accent1"/>
                </a:solidFill>
              </a:rPr>
              <a:t>Динамика числа штатных сотрудников в августе 2021</a:t>
            </a:r>
            <a:r>
              <a:rPr lang="ru-RU" sz="1800" baseline="0">
                <a:solidFill>
                  <a:schemeClr val="accent1"/>
                </a:solidFill>
              </a:rPr>
              <a:t> к</a:t>
            </a:r>
            <a:r>
              <a:rPr lang="ru-RU" sz="1800">
                <a:solidFill>
                  <a:schemeClr val="accent1"/>
                </a:solidFill>
              </a:rPr>
              <a:t> августу 2020 года, тыс. чел. </a:t>
            </a:r>
            <a:endParaRPr lang="uk-UA" sz="1800">
              <a:solidFill>
                <a:schemeClr val="accent1"/>
              </a:solidFill>
            </a:endParaRPr>
          </a:p>
        </c:rich>
      </c:tx>
      <c:layout>
        <c:manualLayout>
          <c:xMode val="edge"/>
          <c:yMode val="edge"/>
          <c:x val="1.0413568086115082E-2"/>
          <c:y val="1.2809105828597019E-2"/>
        </c:manualLayout>
      </c:layout>
      <c:overlay val="0"/>
      <c:spPr>
        <a:noFill/>
        <a:ln>
          <a:noFill/>
        </a:ln>
        <a:effectLst/>
      </c:spPr>
      <c:txPr>
        <a:bodyPr rot="0" spcFirstLastPara="1" vertOverflow="ellipsis" vert="horz" wrap="square" anchor="ctr" anchorCtr="1"/>
        <a:lstStyle/>
        <a:p>
          <a:pPr algn="l">
            <a:defRPr sz="1680" b="1" i="0" u="none" strike="noStrike" kern="1200" spc="0" baseline="0">
              <a:solidFill>
                <a:sysClr val="windowText" lastClr="000000"/>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dLbls>
            <c:dLbl>
              <c:idx val="0"/>
              <c:layout>
                <c:manualLayout>
                  <c:x val="6.478225542957695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1BD-4407-9DAD-EA9E2E8FD30D}"/>
                </c:ext>
              </c:extLst>
            </c:dLbl>
            <c:dLbl>
              <c:idx val="1"/>
              <c:layout>
                <c:manualLayout>
                  <c:x val="5.4244396894059736E-2"/>
                  <c:y val="-2.134850971432836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1BD-4407-9DAD-EA9E2E8FD30D}"/>
                </c:ext>
              </c:extLst>
            </c:dLbl>
            <c:dLbl>
              <c:idx val="2"/>
              <c:layout>
                <c:manualLayout>
                  <c:x val="5.1200754482662598E-2"/>
                  <c:y val="-2.134850971432836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1BD-4407-9DAD-EA9E2E8FD30D}"/>
                </c:ext>
              </c:extLst>
            </c:dLbl>
            <c:dLbl>
              <c:idx val="3"/>
              <c:layout>
                <c:manualLayout>
                  <c:x val="2.4550260141028502E-2"/>
                  <c:y val="-2.134850971432992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1BD-4407-9DAD-EA9E2E8FD30D}"/>
                </c:ext>
              </c:extLst>
            </c:dLbl>
            <c:dLbl>
              <c:idx val="4"/>
              <c:layout>
                <c:manualLayout>
                  <c:x val="2.1150108411150368E-2"/>
                  <c:y val="2.134850971432758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1BD-4407-9DAD-EA9E2E8FD30D}"/>
                </c:ext>
              </c:extLst>
            </c:dLbl>
            <c:dLbl>
              <c:idx val="5"/>
              <c:layout>
                <c:manualLayout>
                  <c:x val="2.127948023624332E-2"/>
                  <c:y val="-4.269533844363984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1BD-4407-9DAD-EA9E2E8FD30D}"/>
                </c:ext>
              </c:extLst>
            </c:dLbl>
            <c:dLbl>
              <c:idx val="6"/>
              <c:layout>
                <c:manualLayout>
                  <c:x val="-3.6597388884287325E-2"/>
                  <c:y val="7.8276964690361597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1BD-4407-9DAD-EA9E2E8FD30D}"/>
                </c:ext>
              </c:extLst>
            </c:dLbl>
            <c:dLbl>
              <c:idx val="7"/>
              <c:layout>
                <c:manualLayout>
                  <c:x val="-4.0352932029994341E-2"/>
                  <c:y val="-2.134850971432836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1BD-4407-9DAD-EA9E2E8FD30D}"/>
                </c:ext>
              </c:extLst>
            </c:dLbl>
            <c:dLbl>
              <c:idx val="8"/>
              <c:layout>
                <c:manualLayout>
                  <c:x val="-4.040648972977752E-2"/>
                  <c:y val="4.2697019428656726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1BD-4407-9DAD-EA9E2E8FD30D}"/>
                </c:ext>
              </c:extLst>
            </c:dLbl>
            <c:dLbl>
              <c:idx val="9"/>
              <c:layout>
                <c:manualLayout>
                  <c:x val="-3.2019577524262391E-2"/>
                  <c:y val="4.269870041367360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1BD-4407-9DAD-EA9E2E8FD30D}"/>
                </c:ext>
              </c:extLst>
            </c:dLbl>
            <c:dLbl>
              <c:idx val="10"/>
              <c:layout>
                <c:manualLayout>
                  <c:x val="-4.3855219411261748E-2"/>
                  <c:y val="6.404889111301883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1BD-4407-9DAD-EA9E2E8FD30D}"/>
                </c:ext>
              </c:extLst>
            </c:dLbl>
            <c:dLbl>
              <c:idx val="11"/>
              <c:layout>
                <c:manualLayout>
                  <c:x val="-6.3339551243387221E-2"/>
                  <c:y val="1.6809850168762491E-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1BD-4407-9DAD-EA9E2E8FD30D}"/>
                </c:ext>
              </c:extLst>
            </c:dLbl>
            <c:dLbl>
              <c:idx val="12"/>
              <c:layout>
                <c:manualLayout>
                  <c:x val="-6.1313810010411834E-2"/>
                  <c:y val="2.13501906993452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1BD-4407-9DAD-EA9E2E8FD30D}"/>
                </c:ext>
              </c:extLst>
            </c:dLbl>
            <c:dLbl>
              <c:idx val="13"/>
              <c:layout>
                <c:manualLayout>
                  <c:x val="-7.0363638488575284E-2"/>
                  <c:y val="1.6809850168762491E-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1BD-4407-9DAD-EA9E2E8FD30D}"/>
                </c:ext>
              </c:extLst>
            </c:dLbl>
            <c:dLbl>
              <c:idx val="14"/>
              <c:layout>
                <c:manualLayout>
                  <c:x val="-7.4943482398876909E-2"/>
                  <c:y val="4.270038139869087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1BD-4407-9DAD-EA9E2E8FD30D}"/>
                </c:ext>
              </c:extLst>
            </c:dLbl>
            <c:dLbl>
              <c:idx val="15"/>
              <c:layout>
                <c:manualLayout>
                  <c:x val="-4.7752837821289036E-2"/>
                  <c:y val="2.134850971432836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1BD-4407-9DAD-EA9E2E8FD30D}"/>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'Штатые сотрудники'!$A$143:$A$158</c:f>
              <c:strCache>
                <c:ptCount val="16"/>
                <c:pt idx="0">
                  <c:v>Строительство</c:v>
                </c:pt>
                <c:pt idx="1">
                  <c:v>Торговля</c:v>
                </c:pt>
                <c:pt idx="2">
                  <c:v>Административное обслуживание</c:v>
                </c:pt>
                <c:pt idx="3">
                  <c:v>Отельно ресторанный комплекс</c:v>
                </c:pt>
                <c:pt idx="4">
                  <c:v>Наука</c:v>
                </c:pt>
                <c:pt idx="5">
                  <c:v>Другие услуги</c:v>
                </c:pt>
                <c:pt idx="6">
                  <c:v>Операции с недвижимостью</c:v>
                </c:pt>
                <c:pt idx="7">
                  <c:v>ІТ</c:v>
                </c:pt>
                <c:pt idx="8">
                  <c:v>Финансовые услуги</c:v>
                </c:pt>
                <c:pt idx="9">
                  <c:v>С/х</c:v>
                </c:pt>
                <c:pt idx="10">
                  <c:v>Транспорт, логистика</c:v>
                </c:pt>
                <c:pt idx="11">
                  <c:v>Развличения</c:v>
                </c:pt>
                <c:pt idx="12">
                  <c:v>Промышленость</c:v>
                </c:pt>
                <c:pt idx="13">
                  <c:v>Здравохранение</c:v>
                </c:pt>
                <c:pt idx="14">
                  <c:v>Государство</c:v>
                </c:pt>
                <c:pt idx="15">
                  <c:v>Образование</c:v>
                </c:pt>
              </c:strCache>
            </c:strRef>
          </c:cat>
          <c:val>
            <c:numRef>
              <c:f>'Штатые сотрудники'!$B$143:$B$158</c:f>
              <c:numCache>
                <c:formatCode>General</c:formatCode>
                <c:ptCount val="16"/>
                <c:pt idx="0">
                  <c:v>25.900000000000006</c:v>
                </c:pt>
                <c:pt idx="1">
                  <c:v>21.299999999999955</c:v>
                </c:pt>
                <c:pt idx="2">
                  <c:v>17.900000000000006</c:v>
                </c:pt>
                <c:pt idx="3">
                  <c:v>2.5999999999999943</c:v>
                </c:pt>
                <c:pt idx="4">
                  <c:v>1.8000000000000114</c:v>
                </c:pt>
                <c:pt idx="5">
                  <c:v>1.5</c:v>
                </c:pt>
                <c:pt idx="6">
                  <c:v>-0.10000000000000853</c:v>
                </c:pt>
                <c:pt idx="7">
                  <c:v>-1.7999999999999972</c:v>
                </c:pt>
                <c:pt idx="8">
                  <c:v>-3.7000000000000171</c:v>
                </c:pt>
                <c:pt idx="9">
                  <c:v>-9.5999999999999659</c:v>
                </c:pt>
                <c:pt idx="10">
                  <c:v>-11.5</c:v>
                </c:pt>
                <c:pt idx="11">
                  <c:v>-16.700000000000003</c:v>
                </c:pt>
                <c:pt idx="12">
                  <c:v>-20.100000000000136</c:v>
                </c:pt>
                <c:pt idx="13">
                  <c:v>-27.899999999999977</c:v>
                </c:pt>
                <c:pt idx="14">
                  <c:v>-30.599999999999966</c:v>
                </c:pt>
                <c:pt idx="15">
                  <c:v>-145.90000000000009</c:v>
                </c:pt>
              </c:numCache>
            </c:numRef>
          </c:val>
          <c:extLst>
            <c:ext xmlns:c16="http://schemas.microsoft.com/office/drawing/2014/chart" uri="{C3380CC4-5D6E-409C-BE32-E72D297353CC}">
              <c16:uniqueId val="{00000010-31BD-4407-9DAD-EA9E2E8FD30D}"/>
            </c:ext>
          </c:extLst>
        </c:ser>
        <c:dLbls>
          <c:dLblPos val="inBase"/>
          <c:showLegendKey val="0"/>
          <c:showVal val="1"/>
          <c:showCatName val="0"/>
          <c:showSerName val="0"/>
          <c:showPercent val="0"/>
          <c:showBubbleSize val="0"/>
        </c:dLbls>
        <c:gapWidth val="150"/>
        <c:overlap val="100"/>
        <c:axId val="581270319"/>
        <c:axId val="581251183"/>
      </c:barChart>
      <c:catAx>
        <c:axId val="581270319"/>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81251183"/>
        <c:crosses val="autoZero"/>
        <c:auto val="1"/>
        <c:lblAlgn val="ctr"/>
        <c:lblOffset val="100"/>
        <c:noMultiLvlLbl val="0"/>
      </c:catAx>
      <c:valAx>
        <c:axId val="5812511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58127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b="1">
          <a:solidFill>
            <a:sysClr val="windowText" lastClr="000000"/>
          </a:solidFill>
        </a:defRPr>
      </a:pPr>
      <a:endParaRPr lang="en-US"/>
    </a:p>
  </c:txPr>
  <c:printSettings>
    <c:headerFooter/>
    <c:pageMargins b="0.75" l="0.7" r="0.7" t="0.75"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'Прогноз курса'!$D$3:$D$14</c:f>
              <c:numCache>
                <c:formatCode>0%</c:formatCode>
                <c:ptCount val="12"/>
                <c:pt idx="0">
                  <c:v>0.98959712606637407</c:v>
                </c:pt>
                <c:pt idx="1">
                  <c:v>0.97326362373711151</c:v>
                </c:pt>
                <c:pt idx="2">
                  <c:v>0.96341239662386302</c:v>
                </c:pt>
                <c:pt idx="3">
                  <c:v>0.95821680046350788</c:v>
                </c:pt>
                <c:pt idx="4">
                  <c:v>0.96779357764692575</c:v>
                </c:pt>
                <c:pt idx="5">
                  <c:v>1.0145388847966963</c:v>
                </c:pt>
                <c:pt idx="6">
                  <c:v>0.99453072239429163</c:v>
                </c:pt>
                <c:pt idx="7">
                  <c:v>0.99235555117432961</c:v>
                </c:pt>
                <c:pt idx="8">
                  <c:v>1.0117998801434227</c:v>
                </c:pt>
                <c:pt idx="9">
                  <c:v>1.0483298566617265</c:v>
                </c:pt>
                <c:pt idx="10">
                  <c:v>1.0435867697637518</c:v>
                </c:pt>
                <c:pt idx="11">
                  <c:v>1.0425748105280006</c:v>
                </c:pt>
              </c:numCache>
            </c:numRef>
          </c:val>
          <c:smooth val="0"/>
          <c:extLst>
            <c:ext xmlns:c16="http://schemas.microsoft.com/office/drawing/2014/chart" uri="{C3380CC4-5D6E-409C-BE32-E72D297353CC}">
              <c16:uniqueId val="{00000000-C0D6-4276-B155-5EDE6774B2A4}"/>
            </c:ext>
          </c:extLst>
        </c:ser>
        <c:ser>
          <c:idx val="1"/>
          <c:order val="1"/>
          <c:spPr>
            <a:ln w="28575" cap="rnd">
              <a:solidFill>
                <a:schemeClr val="accent2"/>
              </a:solidFill>
              <a:round/>
            </a:ln>
            <a:effectLst/>
          </c:spPr>
          <c:marker>
            <c:symbol val="none"/>
          </c:marker>
          <c:val>
            <c:numRef>
              <c:f>'Прогноз курса'!$I$3:$I$14</c:f>
              <c:numCache>
                <c:formatCode>0%</c:formatCode>
                <c:ptCount val="12"/>
                <c:pt idx="0">
                  <c:v>1.0073642386210524</c:v>
                </c:pt>
                <c:pt idx="1">
                  <c:v>0.9911179485718703</c:v>
                </c:pt>
                <c:pt idx="2">
                  <c:v>0.97930890832332174</c:v>
                </c:pt>
                <c:pt idx="3">
                  <c:v>0.97407483626219571</c:v>
                </c:pt>
                <c:pt idx="4">
                  <c:v>0.96154529271264466</c:v>
                </c:pt>
                <c:pt idx="5">
                  <c:v>0.97929949114308001</c:v>
                </c:pt>
                <c:pt idx="6">
                  <c:v>0.99979311065205922</c:v>
                </c:pt>
                <c:pt idx="7">
                  <c:v>1.0016797050524977</c:v>
                </c:pt>
                <c:pt idx="8">
                  <c:v>1.032107998563198</c:v>
                </c:pt>
                <c:pt idx="9">
                  <c:v>1.0665342442420551</c:v>
                </c:pt>
                <c:pt idx="10">
                  <c:v>1.0191503032824949</c:v>
                </c:pt>
                <c:pt idx="11">
                  <c:v>0.98802392257353</c:v>
                </c:pt>
              </c:numCache>
            </c:numRef>
          </c:val>
          <c:smooth val="0"/>
          <c:extLst>
            <c:ext xmlns:c16="http://schemas.microsoft.com/office/drawing/2014/chart" uri="{C3380CC4-5D6E-409C-BE32-E72D297353CC}">
              <c16:uniqueId val="{00000001-C0D6-4276-B155-5EDE6774B2A4}"/>
            </c:ext>
          </c:extLst>
        </c:ser>
        <c:ser>
          <c:idx val="2"/>
          <c:order val="2"/>
          <c:spPr>
            <a:ln w="28575" cap="rnd">
              <a:solidFill>
                <a:schemeClr val="accent3"/>
              </a:solidFill>
              <a:round/>
            </a:ln>
            <a:effectLst/>
          </c:spPr>
          <c:marker>
            <c:symbol val="none"/>
          </c:marker>
          <c:val>
            <c:numRef>
              <c:f>'Прогноз курса'!$N$3:$N$14</c:f>
              <c:numCache>
                <c:formatCode>0%</c:formatCode>
                <c:ptCount val="12"/>
                <c:pt idx="0">
                  <c:v>0.96157118701830491</c:v>
                </c:pt>
                <c:pt idx="1">
                  <c:v>0.96265498780805403</c:v>
                </c:pt>
                <c:pt idx="2">
                  <c:v>0.96342514512405575</c:v>
                </c:pt>
                <c:pt idx="3">
                  <c:v>0.97072435954491287</c:v>
                </c:pt>
                <c:pt idx="4">
                  <c:v>1.0104907629280513</c:v>
                </c:pt>
                <c:pt idx="5">
                  <c:v>1.0365620646862939</c:v>
                </c:pt>
                <c:pt idx="6">
                  <c:v>1.0342130826070501</c:v>
                </c:pt>
                <c:pt idx="7">
                  <c:v>1.0270841695028792</c:v>
                </c:pt>
                <c:pt idx="8">
                  <c:v>1.0217762314119239</c:v>
                </c:pt>
                <c:pt idx="9">
                  <c:v>1.0250867673150776</c:v>
                </c:pt>
                <c:pt idx="10">
                  <c:v>0.9986684619341758</c:v>
                </c:pt>
                <c:pt idx="11">
                  <c:v>0.98774278011922367</c:v>
                </c:pt>
              </c:numCache>
            </c:numRef>
          </c:val>
          <c:smooth val="0"/>
          <c:extLst>
            <c:ext xmlns:c16="http://schemas.microsoft.com/office/drawing/2014/chart" uri="{C3380CC4-5D6E-409C-BE32-E72D297353CC}">
              <c16:uniqueId val="{00000002-C0D6-4276-B155-5EDE6774B2A4}"/>
            </c:ext>
          </c:extLst>
        </c:ser>
        <c:dLbls>
          <c:showLegendKey val="0"/>
          <c:showVal val="0"/>
          <c:showCatName val="0"/>
          <c:showSerName val="0"/>
          <c:showPercent val="0"/>
          <c:showBubbleSize val="0"/>
        </c:dLbls>
        <c:smooth val="0"/>
        <c:axId val="498535248"/>
        <c:axId val="498548976"/>
      </c:lineChart>
      <c:catAx>
        <c:axId val="4985352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548976"/>
        <c:crosses val="autoZero"/>
        <c:auto val="1"/>
        <c:lblAlgn val="ctr"/>
        <c:lblOffset val="100"/>
        <c:noMultiLvlLbl val="0"/>
      </c:catAx>
      <c:valAx>
        <c:axId val="498548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535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uk-U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uk-UA" sz="2800"/>
              <a:t>Курс</a:t>
            </a:r>
            <a:r>
              <a:rPr lang="uk-UA" sz="2800" baseline="0"/>
              <a:t> гривні:</a:t>
            </a:r>
          </a:p>
          <a:p>
            <a:pPr>
              <a:defRPr/>
            </a:pPr>
            <a:r>
              <a:rPr lang="uk-UA" sz="2000" baseline="0"/>
              <a:t> факт + прогноз (</a:t>
            </a:r>
            <a:r>
              <a:rPr lang="en-US" sz="2000" baseline="0"/>
              <a:t>Ukraine Economic Outlook)</a:t>
            </a:r>
            <a:endParaRPr lang="en-US" sz="2000"/>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dLbl>
              <c:idx val="3"/>
              <c:layout>
                <c:manualLayout>
                  <c:x val="-2.6114070440328891E-2"/>
                  <c:y val="-6.6076659111967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AB8-44FF-A6F5-2115677DEAAC}"/>
                </c:ext>
              </c:extLst>
            </c:dLbl>
            <c:dLbl>
              <c:idx val="4"/>
              <c:layout>
                <c:manualLayout>
                  <c:x val="-2.2700091639793158E-2"/>
                  <c:y val="-5.84255681386883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B8-44FF-A6F5-2115677DEAAC}"/>
                </c:ext>
              </c:extLst>
            </c:dLbl>
            <c:dLbl>
              <c:idx val="10"/>
              <c:layout>
                <c:manualLayout>
                  <c:x val="-2.2700091639793241E-2"/>
                  <c:y val="-4.50361589354501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B8-44FF-A6F5-2115677DEAAC}"/>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5">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'Прогноз курса'!$K$3:$K$23</c:f>
              <c:strCache>
                <c:ptCount val="21"/>
                <c:pt idx="0">
                  <c:v>4</c:v>
                </c:pt>
                <c:pt idx="1">
                  <c:v>5</c:v>
                </c:pt>
                <c:pt idx="2">
                  <c:v>6</c:v>
                </c:pt>
                <c:pt idx="3">
                  <c:v>7</c:v>
                </c:pt>
                <c:pt idx="4">
                  <c:v>8</c:v>
                </c:pt>
                <c:pt idx="5">
                  <c:v>9</c:v>
                </c:pt>
                <c:pt idx="6">
                  <c:v>10</c:v>
                </c:pt>
                <c:pt idx="7">
                  <c:v>11</c:v>
                </c:pt>
                <c:pt idx="8">
                  <c:v>12</c:v>
                </c:pt>
                <c:pt idx="9">
                  <c:v>2019(1)</c:v>
                </c:pt>
                <c:pt idx="10">
                  <c:v>2</c:v>
                </c:pt>
                <c:pt idx="11">
                  <c:v>3</c:v>
                </c:pt>
                <c:pt idx="12">
                  <c:v>4</c:v>
                </c:pt>
                <c:pt idx="13">
                  <c:v>5</c:v>
                </c:pt>
                <c:pt idx="14">
                  <c:v>6</c:v>
                </c:pt>
                <c:pt idx="15">
                  <c:v>7</c:v>
                </c:pt>
                <c:pt idx="16">
                  <c:v>8</c:v>
                </c:pt>
                <c:pt idx="17">
                  <c:v>9</c:v>
                </c:pt>
                <c:pt idx="18">
                  <c:v>10</c:v>
                </c:pt>
                <c:pt idx="19">
                  <c:v>11</c:v>
                </c:pt>
                <c:pt idx="20">
                  <c:v>12</c:v>
                </c:pt>
              </c:strCache>
            </c:strRef>
          </c:cat>
          <c:val>
            <c:numRef>
              <c:f>'Прогноз курса'!$M$3:$M$23</c:f>
              <c:numCache>
                <c:formatCode>General</c:formatCode>
                <c:ptCount val="21"/>
                <c:pt idx="0">
                  <c:v>26.151748566666662</c:v>
                </c:pt>
                <c:pt idx="1">
                  <c:v>26.181224580645161</c:v>
                </c:pt>
                <c:pt idx="2">
                  <c:v>26.202170466666676</c:v>
                </c:pt>
                <c:pt idx="3">
                  <c:v>26.400686419354855</c:v>
                </c:pt>
                <c:pt idx="4">
                  <c:v>27.482209032258066</c:v>
                </c:pt>
                <c:pt idx="5">
                  <c:v>28.191267433333341</c:v>
                </c:pt>
                <c:pt idx="6">
                  <c:v>28.127382419354841</c:v>
                </c:pt>
                <c:pt idx="7">
                  <c:v>27.933498133333334</c:v>
                </c:pt>
                <c:pt idx="8">
                  <c:v>27.789138709677424</c:v>
                </c:pt>
                <c:pt idx="9">
                  <c:v>27.879174999999993</c:v>
                </c:pt>
                <c:pt idx="10">
                  <c:v>27.160679178571424</c:v>
                </c:pt>
                <c:pt idx="11">
                  <c:v>26.863534580645165</c:v>
                </c:pt>
              </c:numCache>
            </c:numRef>
          </c:val>
          <c:smooth val="0"/>
          <c:extLst>
            <c:ext xmlns:c16="http://schemas.microsoft.com/office/drawing/2014/chart" uri="{C3380CC4-5D6E-409C-BE32-E72D297353CC}">
              <c16:uniqueId val="{00000003-DAB8-44FF-A6F5-2115677DEAAC}"/>
            </c:ext>
          </c:extLst>
        </c:ser>
        <c:ser>
          <c:idx val="1"/>
          <c:order val="1"/>
          <c:spPr>
            <a:ln w="28575" cap="rnd">
              <a:solidFill>
                <a:schemeClr val="accent2"/>
              </a:solidFill>
              <a:round/>
            </a:ln>
            <a:effectLst/>
          </c:spPr>
          <c:marker>
            <c:symbol val="none"/>
          </c:marker>
          <c:dLbls>
            <c:dLbl>
              <c:idx val="18"/>
              <c:layout>
                <c:manualLayout>
                  <c:x val="-1.25682081546141E-2"/>
                  <c:y val="-3.48247214089492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AB8-44FF-A6F5-2115677DEAAC}"/>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'Прогноз курса'!$K$3:$K$23</c:f>
              <c:strCache>
                <c:ptCount val="21"/>
                <c:pt idx="0">
                  <c:v>4</c:v>
                </c:pt>
                <c:pt idx="1">
                  <c:v>5</c:v>
                </c:pt>
                <c:pt idx="2">
                  <c:v>6</c:v>
                </c:pt>
                <c:pt idx="3">
                  <c:v>7</c:v>
                </c:pt>
                <c:pt idx="4">
                  <c:v>8</c:v>
                </c:pt>
                <c:pt idx="5">
                  <c:v>9</c:v>
                </c:pt>
                <c:pt idx="6">
                  <c:v>10</c:v>
                </c:pt>
                <c:pt idx="7">
                  <c:v>11</c:v>
                </c:pt>
                <c:pt idx="8">
                  <c:v>12</c:v>
                </c:pt>
                <c:pt idx="9">
                  <c:v>2019(1)</c:v>
                </c:pt>
                <c:pt idx="10">
                  <c:v>2</c:v>
                </c:pt>
                <c:pt idx="11">
                  <c:v>3</c:v>
                </c:pt>
                <c:pt idx="12">
                  <c:v>4</c:v>
                </c:pt>
                <c:pt idx="13">
                  <c:v>5</c:v>
                </c:pt>
                <c:pt idx="14">
                  <c:v>6</c:v>
                </c:pt>
                <c:pt idx="15">
                  <c:v>7</c:v>
                </c:pt>
                <c:pt idx="16">
                  <c:v>8</c:v>
                </c:pt>
                <c:pt idx="17">
                  <c:v>9</c:v>
                </c:pt>
                <c:pt idx="18">
                  <c:v>10</c:v>
                </c:pt>
                <c:pt idx="19">
                  <c:v>11</c:v>
                </c:pt>
                <c:pt idx="20">
                  <c:v>12</c:v>
                </c:pt>
              </c:strCache>
            </c:strRef>
          </c:cat>
          <c:val>
            <c:numRef>
              <c:f>'Прогноз курса'!$W$3:$W$23</c:f>
              <c:numCache>
                <c:formatCode>General</c:formatCode>
                <c:ptCount val="21"/>
                <c:pt idx="11" formatCode="0.0">
                  <c:v>26.863534580645165</c:v>
                </c:pt>
                <c:pt idx="12" formatCode="0.0">
                  <c:v>27</c:v>
                </c:pt>
                <c:pt idx="13" formatCode="0.0">
                  <c:v>25.906112488554719</c:v>
                </c:pt>
                <c:pt idx="14" formatCode="0.0">
                  <c:v>26.395466782062769</c:v>
                </c:pt>
                <c:pt idx="15" formatCode="0.0">
                  <c:v>26.400872939847961</c:v>
                </c:pt>
                <c:pt idx="16" formatCode="0.0">
                  <c:v>26.69054689056567</c:v>
                </c:pt>
                <c:pt idx="17" formatCode="0.0">
                  <c:v>27.326034711775783</c:v>
                </c:pt>
                <c:pt idx="18" formatCode="0.0">
                  <c:v>26.600235150504965</c:v>
                </c:pt>
                <c:pt idx="19" formatCode="0.0">
                  <c:v>26.344988672611905</c:v>
                </c:pt>
                <c:pt idx="20" formatCode="0.0">
                  <c:v>26.239312341019982</c:v>
                </c:pt>
              </c:numCache>
            </c:numRef>
          </c:val>
          <c:smooth val="0"/>
          <c:extLst>
            <c:ext xmlns:c16="http://schemas.microsoft.com/office/drawing/2014/chart" uri="{C3380CC4-5D6E-409C-BE32-E72D297353CC}">
              <c16:uniqueId val="{00000005-DAB8-44FF-A6F5-2115677DEAAC}"/>
            </c:ext>
          </c:extLst>
        </c:ser>
        <c:ser>
          <c:idx val="2"/>
          <c:order val="2"/>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'Прогноз курса'!$K$3:$K$23</c:f>
              <c:strCache>
                <c:ptCount val="21"/>
                <c:pt idx="0">
                  <c:v>4</c:v>
                </c:pt>
                <c:pt idx="1">
                  <c:v>5</c:v>
                </c:pt>
                <c:pt idx="2">
                  <c:v>6</c:v>
                </c:pt>
                <c:pt idx="3">
                  <c:v>7</c:v>
                </c:pt>
                <c:pt idx="4">
                  <c:v>8</c:v>
                </c:pt>
                <c:pt idx="5">
                  <c:v>9</c:v>
                </c:pt>
                <c:pt idx="6">
                  <c:v>10</c:v>
                </c:pt>
                <c:pt idx="7">
                  <c:v>11</c:v>
                </c:pt>
                <c:pt idx="8">
                  <c:v>12</c:v>
                </c:pt>
                <c:pt idx="9">
                  <c:v>2019(1)</c:v>
                </c:pt>
                <c:pt idx="10">
                  <c:v>2</c:v>
                </c:pt>
                <c:pt idx="11">
                  <c:v>3</c:v>
                </c:pt>
                <c:pt idx="12">
                  <c:v>4</c:v>
                </c:pt>
                <c:pt idx="13">
                  <c:v>5</c:v>
                </c:pt>
                <c:pt idx="14">
                  <c:v>6</c:v>
                </c:pt>
                <c:pt idx="15">
                  <c:v>7</c:v>
                </c:pt>
                <c:pt idx="16">
                  <c:v>8</c:v>
                </c:pt>
                <c:pt idx="17">
                  <c:v>9</c:v>
                </c:pt>
                <c:pt idx="18">
                  <c:v>10</c:v>
                </c:pt>
                <c:pt idx="19">
                  <c:v>11</c:v>
                </c:pt>
                <c:pt idx="20">
                  <c:v>12</c:v>
                </c:pt>
              </c:strCache>
            </c:strRef>
          </c:cat>
          <c:val>
            <c:numLit>
              <c:formatCode>General</c:formatCode>
              <c:ptCount val="1"/>
              <c:pt idx="0">
                <c:v>1</c:v>
              </c:pt>
            </c:numLit>
          </c:val>
          <c:smooth val="0"/>
          <c:extLst>
            <c:ext xmlns:c16="http://schemas.microsoft.com/office/drawing/2014/chart" uri="{C3380CC4-5D6E-409C-BE32-E72D297353CC}">
              <c16:uniqueId val="{00000006-DAB8-44FF-A6F5-2115677DEAAC}"/>
            </c:ext>
          </c:extLst>
        </c:ser>
        <c:dLbls>
          <c:dLblPos val="t"/>
          <c:showLegendKey val="0"/>
          <c:showVal val="1"/>
          <c:showCatName val="0"/>
          <c:showSerName val="0"/>
          <c:showPercent val="0"/>
          <c:showBubbleSize val="0"/>
        </c:dLbls>
        <c:smooth val="0"/>
        <c:axId val="498533168"/>
        <c:axId val="498547312"/>
      </c:lineChart>
      <c:catAx>
        <c:axId val="498533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498547312"/>
        <c:crosses val="autoZero"/>
        <c:auto val="1"/>
        <c:lblAlgn val="ctr"/>
        <c:lblOffset val="100"/>
        <c:noMultiLvlLbl val="0"/>
      </c:catAx>
      <c:valAx>
        <c:axId val="498547312"/>
        <c:scaling>
          <c:orientation val="minMax"/>
          <c:min val="2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rgbClr val="FF0000"/>
                </a:solidFill>
                <a:latin typeface="+mn-lt"/>
                <a:ea typeface="+mn-ea"/>
                <a:cs typeface="+mn-cs"/>
              </a:defRPr>
            </a:pPr>
            <a:endParaRPr lang="en-US"/>
          </a:p>
        </c:txPr>
        <c:crossAx val="4985331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chart" Target="../charts/chart32.xml"/><Relationship Id="rId3" Type="http://schemas.openxmlformats.org/officeDocument/2006/relationships/chart" Target="../charts/chart22.xml"/><Relationship Id="rId7" Type="http://schemas.openxmlformats.org/officeDocument/2006/relationships/chart" Target="../charts/chart26.xml"/><Relationship Id="rId12" Type="http://schemas.openxmlformats.org/officeDocument/2006/relationships/chart" Target="../charts/chart31.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1.jpeg"/><Relationship Id="rId3" Type="http://schemas.openxmlformats.org/officeDocument/2006/relationships/chart" Target="../charts/chart39.xml"/><Relationship Id="rId7" Type="http://schemas.openxmlformats.org/officeDocument/2006/relationships/chart" Target="../charts/chart42.xml"/><Relationship Id="rId12" Type="http://schemas.openxmlformats.org/officeDocument/2006/relationships/image" Target="../media/image10.png"/><Relationship Id="rId2" Type="http://schemas.openxmlformats.org/officeDocument/2006/relationships/chart" Target="../charts/chart38.xml"/><Relationship Id="rId16" Type="http://schemas.openxmlformats.org/officeDocument/2006/relationships/chart" Target="../charts/chart43.xml"/><Relationship Id="rId1" Type="http://schemas.openxmlformats.org/officeDocument/2006/relationships/image" Target="../media/image4.png"/><Relationship Id="rId6" Type="http://schemas.openxmlformats.org/officeDocument/2006/relationships/chart" Target="../charts/chart41.xml"/><Relationship Id="rId11" Type="http://schemas.openxmlformats.org/officeDocument/2006/relationships/image" Target="../media/image9.png"/><Relationship Id="rId5" Type="http://schemas.openxmlformats.org/officeDocument/2006/relationships/chart" Target="../charts/chart40.xml"/><Relationship Id="rId15" Type="http://schemas.openxmlformats.org/officeDocument/2006/relationships/image" Target="../media/image13.png"/><Relationship Id="rId10"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image" Target="../media/image7.png"/><Relationship Id="rId14" Type="http://schemas.openxmlformats.org/officeDocument/2006/relationships/image" Target="../media/image1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6.png"/><Relationship Id="rId7" Type="http://schemas.openxmlformats.org/officeDocument/2006/relationships/image" Target="../media/image17.png"/><Relationship Id="rId12" Type="http://schemas.openxmlformats.org/officeDocument/2006/relationships/chart" Target="../charts/chart50.xml"/><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chart" Target="../charts/chart46.xml"/><Relationship Id="rId11" Type="http://schemas.openxmlformats.org/officeDocument/2006/relationships/chart" Target="../charts/chart49.xml"/><Relationship Id="rId5" Type="http://schemas.openxmlformats.org/officeDocument/2006/relationships/chart" Target="../charts/chart45.xml"/><Relationship Id="rId10" Type="http://schemas.openxmlformats.org/officeDocument/2006/relationships/chart" Target="../charts/chart48.xml"/><Relationship Id="rId4" Type="http://schemas.openxmlformats.org/officeDocument/2006/relationships/chart" Target="../charts/chart44.xml"/><Relationship Id="rId9" Type="http://schemas.openxmlformats.org/officeDocument/2006/relationships/chart" Target="../charts/chart47.xml"/></Relationships>
</file>

<file path=xl/drawings/_rels/drawing33.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6.png"/><Relationship Id="rId7" Type="http://schemas.openxmlformats.org/officeDocument/2006/relationships/image" Target="../media/image17.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chart" Target="../charts/chart53.xml"/><Relationship Id="rId11" Type="http://schemas.openxmlformats.org/officeDocument/2006/relationships/chart" Target="../charts/chart56.xml"/><Relationship Id="rId5" Type="http://schemas.openxmlformats.org/officeDocument/2006/relationships/chart" Target="../charts/chart52.xml"/><Relationship Id="rId10" Type="http://schemas.openxmlformats.org/officeDocument/2006/relationships/chart" Target="../charts/chart55.xml"/><Relationship Id="rId4" Type="http://schemas.openxmlformats.org/officeDocument/2006/relationships/chart" Target="../charts/chart51.xml"/><Relationship Id="rId9" Type="http://schemas.openxmlformats.org/officeDocument/2006/relationships/chart" Target="../charts/chart54.xml"/></Relationships>
</file>

<file path=xl/drawings/_rels/drawing37.xml.rels><?xml version="1.0" encoding="UTF-8" standalone="yes"?>
<Relationships xmlns="http://schemas.openxmlformats.org/package/2006/relationships"><Relationship Id="rId8" Type="http://schemas.openxmlformats.org/officeDocument/2006/relationships/chart" Target="../charts/chart64.xml"/><Relationship Id="rId3" Type="http://schemas.openxmlformats.org/officeDocument/2006/relationships/chart" Target="../charts/chart59.xml"/><Relationship Id="rId7" Type="http://schemas.openxmlformats.org/officeDocument/2006/relationships/chart" Target="../charts/chart63.xml"/><Relationship Id="rId2" Type="http://schemas.openxmlformats.org/officeDocument/2006/relationships/chart" Target="../charts/chart58.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5" Type="http://schemas.openxmlformats.org/officeDocument/2006/relationships/chart" Target="../charts/chart61.xml"/><Relationship Id="rId10" Type="http://schemas.openxmlformats.org/officeDocument/2006/relationships/chart" Target="../charts/chart66.xml"/><Relationship Id="rId4" Type="http://schemas.openxmlformats.org/officeDocument/2006/relationships/chart" Target="../charts/chart60.xml"/><Relationship Id="rId9" Type="http://schemas.openxmlformats.org/officeDocument/2006/relationships/chart" Target="../charts/chart65.xml"/></Relationships>
</file>

<file path=xl/drawings/_rels/drawing39.xml.rels><?xml version="1.0" encoding="UTF-8" standalone="yes"?>
<Relationships xmlns="http://schemas.openxmlformats.org/package/2006/relationships"><Relationship Id="rId3" Type="http://schemas.openxmlformats.org/officeDocument/2006/relationships/chart" Target="../charts/chart70.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4" Type="http://schemas.openxmlformats.org/officeDocument/2006/relationships/chart" Target="../charts/chart71.xml"/></Relationships>
</file>

<file path=xl/drawings/_rels/drawing41.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6.png"/><Relationship Id="rId7" Type="http://schemas.openxmlformats.org/officeDocument/2006/relationships/image" Target="../media/image17.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chart" Target="../charts/chart76.xml"/><Relationship Id="rId5" Type="http://schemas.openxmlformats.org/officeDocument/2006/relationships/chart" Target="../charts/chart75.xml"/><Relationship Id="rId10" Type="http://schemas.openxmlformats.org/officeDocument/2006/relationships/chart" Target="../charts/chart78.xml"/><Relationship Id="rId4" Type="http://schemas.openxmlformats.org/officeDocument/2006/relationships/chart" Target="../charts/chart74.xml"/><Relationship Id="rId9" Type="http://schemas.openxmlformats.org/officeDocument/2006/relationships/chart" Target="../charts/chart77.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4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9.png"/></Relationships>
</file>

<file path=xl/drawings/_rels/drawing48.xml.rels><?xml version="1.0" encoding="UTF-8" standalone="yes"?>
<Relationships xmlns="http://schemas.openxmlformats.org/package/2006/relationships"><Relationship Id="rId2" Type="http://schemas.openxmlformats.org/officeDocument/2006/relationships/chart" Target="../charts/chart83.xml"/><Relationship Id="rId1" Type="http://schemas.openxmlformats.org/officeDocument/2006/relationships/chart" Target="../charts/chart82.xml"/></Relationships>
</file>

<file path=xl/drawings/_rels/drawing50.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absoluteAnchor>
    <xdr:pos x="219075" y="5045766"/>
    <xdr:ext cx="4078800" cy="2714400"/>
    <xdr:graphicFrame macro="">
      <xdr:nvGraphicFramePr>
        <xdr:cNvPr id="4" name="Диаграмма 10">
          <a:extLst>
            <a:ext uri="{FF2B5EF4-FFF2-40B4-BE49-F238E27FC236}">
              <a16:creationId xmlns:a16="http://schemas.microsoft.com/office/drawing/2014/main" id="{B4C47D37-AF92-4719-BF3B-AEDD4B3EF16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absoluteAnchor>
    <xdr:pos x="322815" y="8579443"/>
    <xdr:ext cx="4078800" cy="2664000"/>
    <xdr:graphicFrame macro="">
      <xdr:nvGraphicFramePr>
        <xdr:cNvPr id="5" name="Діаграма 4">
          <a:extLst>
            <a:ext uri="{FF2B5EF4-FFF2-40B4-BE49-F238E27FC236}">
              <a16:creationId xmlns:a16="http://schemas.microsoft.com/office/drawing/2014/main" id="{46741DD6-A4B1-4814-90D9-2A1BD20C576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absoluteAnchor>
    <xdr:pos x="300403" y="12164067"/>
    <xdr:ext cx="4078800" cy="2714400"/>
    <xdr:graphicFrame macro="">
      <xdr:nvGraphicFramePr>
        <xdr:cNvPr id="6" name="Діаграма 5">
          <a:extLst>
            <a:ext uri="{FF2B5EF4-FFF2-40B4-BE49-F238E27FC236}">
              <a16:creationId xmlns:a16="http://schemas.microsoft.com/office/drawing/2014/main" id="{383C7437-B9B3-45F6-975A-747B7EC8D94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absoluteAnchor>
  <xdr:twoCellAnchor>
    <xdr:from>
      <xdr:col>0</xdr:col>
      <xdr:colOff>85620</xdr:colOff>
      <xdr:row>64</xdr:row>
      <xdr:rowOff>216706</xdr:rowOff>
    </xdr:from>
    <xdr:to>
      <xdr:col>6</xdr:col>
      <xdr:colOff>114300</xdr:colOff>
      <xdr:row>77</xdr:row>
      <xdr:rowOff>144271</xdr:rowOff>
    </xdr:to>
    <xdr:graphicFrame macro="">
      <xdr:nvGraphicFramePr>
        <xdr:cNvPr id="2" name="Діаграма 1">
          <a:extLst>
            <a:ext uri="{FF2B5EF4-FFF2-40B4-BE49-F238E27FC236}">
              <a16:creationId xmlns:a16="http://schemas.microsoft.com/office/drawing/2014/main" id="{D476BD26-34B5-4C0A-BBA0-81A8414304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absoluteAnchor>
    <xdr:pos x="13668375" y="1571625"/>
    <xdr:ext cx="4078800" cy="2714400"/>
    <xdr:graphicFrame macro="">
      <xdr:nvGraphicFramePr>
        <xdr:cNvPr id="9" name="Диаграмма 10">
          <a:extLst>
            <a:ext uri="{FF2B5EF4-FFF2-40B4-BE49-F238E27FC236}">
              <a16:creationId xmlns:a16="http://schemas.microsoft.com/office/drawing/2014/main" id="{277B2E9E-C3D2-468B-813B-74F3D9184C7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absoluteAnchor>
  <xdr:twoCellAnchor>
    <xdr:from>
      <xdr:col>0</xdr:col>
      <xdr:colOff>447675</xdr:colOff>
      <xdr:row>125</xdr:row>
      <xdr:rowOff>180975</xdr:rowOff>
    </xdr:from>
    <xdr:to>
      <xdr:col>5</xdr:col>
      <xdr:colOff>134244</xdr:colOff>
      <xdr:row>138</xdr:row>
      <xdr:rowOff>25786</xdr:rowOff>
    </xdr:to>
    <xdr:graphicFrame macro="">
      <xdr:nvGraphicFramePr>
        <xdr:cNvPr id="11" name="Chart 3">
          <a:extLst>
            <a:ext uri="{FF2B5EF4-FFF2-40B4-BE49-F238E27FC236}">
              <a16:creationId xmlns:a16="http://schemas.microsoft.com/office/drawing/2014/main" id="{59DA3FE2-1D0F-437F-802B-8FF4676B7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257175</xdr:colOff>
      <xdr:row>143</xdr:row>
      <xdr:rowOff>0</xdr:rowOff>
    </xdr:from>
    <xdr:to>
      <xdr:col>5</xdr:col>
      <xdr:colOff>333375</xdr:colOff>
      <xdr:row>155</xdr:row>
      <xdr:rowOff>47625</xdr:rowOff>
    </xdr:to>
    <xdr:graphicFrame macro="">
      <xdr:nvGraphicFramePr>
        <xdr:cNvPr id="13" name="Chart 1">
          <a:extLst>
            <a:ext uri="{FF2B5EF4-FFF2-40B4-BE49-F238E27FC236}">
              <a16:creationId xmlns:a16="http://schemas.microsoft.com/office/drawing/2014/main" id="{3C90B2BA-939A-45E7-A02A-5A56C5177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21772</xdr:colOff>
      <xdr:row>108</xdr:row>
      <xdr:rowOff>43543</xdr:rowOff>
    </xdr:from>
    <xdr:to>
      <xdr:col>6</xdr:col>
      <xdr:colOff>90828</xdr:colOff>
      <xdr:row>122</xdr:row>
      <xdr:rowOff>138793</xdr:rowOff>
    </xdr:to>
    <xdr:graphicFrame macro="">
      <xdr:nvGraphicFramePr>
        <xdr:cNvPr id="7" name="Діаграма 6">
          <a:extLst>
            <a:ext uri="{FF2B5EF4-FFF2-40B4-BE49-F238E27FC236}">
              <a16:creationId xmlns:a16="http://schemas.microsoft.com/office/drawing/2014/main" id="{703595F2-342F-4723-9CB5-6E5816641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353785</xdr:colOff>
      <xdr:row>55</xdr:row>
      <xdr:rowOff>122465</xdr:rowOff>
    </xdr:from>
    <xdr:to>
      <xdr:col>13</xdr:col>
      <xdr:colOff>440996</xdr:colOff>
      <xdr:row>68</xdr:row>
      <xdr:rowOff>50030</xdr:rowOff>
    </xdr:to>
    <xdr:graphicFrame macro="">
      <xdr:nvGraphicFramePr>
        <xdr:cNvPr id="10" name="Діаграма 9">
          <a:extLst>
            <a:ext uri="{FF2B5EF4-FFF2-40B4-BE49-F238E27FC236}">
              <a16:creationId xmlns:a16="http://schemas.microsoft.com/office/drawing/2014/main" id="{0A8400C4-D9E9-4CA6-8237-C77BE5C12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absoluteAnchor>
    <xdr:pos x="241788" y="1011115"/>
    <xdr:ext cx="4078800" cy="2714400"/>
    <xdr:graphicFrame macro="">
      <xdr:nvGraphicFramePr>
        <xdr:cNvPr id="12" name="Диаграмма 10">
          <a:extLst>
            <a:ext uri="{FF2B5EF4-FFF2-40B4-BE49-F238E27FC236}">
              <a16:creationId xmlns:a16="http://schemas.microsoft.com/office/drawing/2014/main" id="{A702A25C-F4C7-4ECB-88B9-66ABFDBF5E2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absoluteAnchor>
  <xdr:twoCellAnchor>
    <xdr:from>
      <xdr:col>6</xdr:col>
      <xdr:colOff>662609</xdr:colOff>
      <xdr:row>98</xdr:row>
      <xdr:rowOff>157370</xdr:rowOff>
    </xdr:from>
    <xdr:to>
      <xdr:col>7</xdr:col>
      <xdr:colOff>917873</xdr:colOff>
      <xdr:row>100</xdr:row>
      <xdr:rowOff>89173</xdr:rowOff>
    </xdr:to>
    <xdr:grpSp>
      <xdr:nvGrpSpPr>
        <xdr:cNvPr id="14" name="Групувати 13">
          <a:extLst>
            <a:ext uri="{FF2B5EF4-FFF2-40B4-BE49-F238E27FC236}">
              <a16:creationId xmlns:a16="http://schemas.microsoft.com/office/drawing/2014/main" id="{D4EEF92B-0754-A7B9-0441-589958407D45}"/>
            </a:ext>
          </a:extLst>
        </xdr:cNvPr>
        <xdr:cNvGrpSpPr/>
      </xdr:nvGrpSpPr>
      <xdr:grpSpPr>
        <a:xfrm>
          <a:off x="5674224" y="23500947"/>
          <a:ext cx="1303014" cy="386072"/>
          <a:chOff x="0" y="0"/>
          <a:chExt cx="1305056" cy="389023"/>
        </a:xfrm>
      </xdr:grpSpPr>
      <xdr:sp macro="" textlink="">
        <xdr:nvSpPr>
          <xdr:cNvPr id="15" name="Прямокутник 14">
            <a:extLst>
              <a:ext uri="{FF2B5EF4-FFF2-40B4-BE49-F238E27FC236}">
                <a16:creationId xmlns:a16="http://schemas.microsoft.com/office/drawing/2014/main" id="{1EC3239E-46DF-1DEE-BBF4-ED09010696A9}"/>
              </a:ext>
            </a:extLst>
          </xdr:cNvPr>
          <xdr:cNvSpPr/>
        </xdr:nvSpPr>
        <xdr:spPr>
          <a:xfrm>
            <a:off x="0" y="0"/>
            <a:ext cx="1305056" cy="38902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ru-RU" sz="600" b="1">
              <a:solidFill>
                <a:schemeClr val="accent1">
                  <a:lumMod val="75000"/>
                </a:schemeClr>
              </a:solidFill>
            </a:endParaRPr>
          </a:p>
        </xdr:txBody>
      </xdr:sp>
      <xdr:sp macro="" textlink="">
        <xdr:nvSpPr>
          <xdr:cNvPr id="16" name="TextBox 1">
            <a:extLst>
              <a:ext uri="{FF2B5EF4-FFF2-40B4-BE49-F238E27FC236}">
                <a16:creationId xmlns:a16="http://schemas.microsoft.com/office/drawing/2014/main" id="{19CD0A80-913D-80D0-1099-EE0DE2807CC3}"/>
              </a:ext>
            </a:extLst>
          </xdr:cNvPr>
          <xdr:cNvSpPr txBox="1"/>
        </xdr:nvSpPr>
        <xdr:spPr>
          <a:xfrm>
            <a:off x="40464" y="29572"/>
            <a:ext cx="1246971" cy="92694"/>
          </a:xfrm>
          <a:prstGeom prst="rect">
            <a:avLst/>
          </a:prstGeom>
        </xdr:spPr>
        <xdr:txBody>
          <a:bodyPr wrap="square" lIns="0" tIns="0" rIns="0" bIns="0"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uk-UA" sz="600" b="1" i="0" u="none" strike="noStrike">
                <a:solidFill>
                  <a:schemeClr val="accent5"/>
                </a:solidFill>
                <a:latin typeface="Montserrat"/>
              </a:rPr>
              <a:t>Грудень 2024 до грудня 2023: </a:t>
            </a:r>
            <a:endParaRPr lang="uk-UA" sz="100" b="1">
              <a:solidFill>
                <a:schemeClr val="accent5"/>
              </a:solidFill>
            </a:endParaRPr>
          </a:p>
        </xdr:txBody>
      </xdr:sp>
      <xdr:sp macro="" textlink="">
        <xdr:nvSpPr>
          <xdr:cNvPr id="17" name="TextBox 1">
            <a:extLst>
              <a:ext uri="{FF2B5EF4-FFF2-40B4-BE49-F238E27FC236}">
                <a16:creationId xmlns:a16="http://schemas.microsoft.com/office/drawing/2014/main" id="{EE7D0F19-0584-4A60-C752-024CDA89D32C}"/>
              </a:ext>
            </a:extLst>
          </xdr:cNvPr>
          <xdr:cNvSpPr txBox="1"/>
        </xdr:nvSpPr>
        <xdr:spPr>
          <a:xfrm>
            <a:off x="80100" y="133817"/>
            <a:ext cx="687654" cy="105359"/>
          </a:xfrm>
          <a:prstGeom prst="rect">
            <a:avLst/>
          </a:prstGeom>
        </xdr:spPr>
        <xdr:txBody>
          <a:bodyPr wrap="square" lIns="0" tIns="0" rIns="0" bIns="0"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uk-UA" sz="600" b="0" i="1" u="none" strike="noStrike">
                <a:solidFill>
                  <a:schemeClr val="accent5"/>
                </a:solidFill>
                <a:latin typeface="Montserrat"/>
              </a:rPr>
              <a:t>в грн +13,7%</a:t>
            </a:r>
            <a:endParaRPr lang="uk-UA" sz="100" b="0" i="1">
              <a:solidFill>
                <a:schemeClr val="accent5"/>
              </a:solidFill>
            </a:endParaRPr>
          </a:p>
        </xdr:txBody>
      </xdr:sp>
      <xdr:sp macro="" textlink="">
        <xdr:nvSpPr>
          <xdr:cNvPr id="18" name="TextBox 1">
            <a:extLst>
              <a:ext uri="{FF2B5EF4-FFF2-40B4-BE49-F238E27FC236}">
                <a16:creationId xmlns:a16="http://schemas.microsoft.com/office/drawing/2014/main" id="{C2084788-5EE0-1920-F994-258DDBC9EDC2}"/>
              </a:ext>
            </a:extLst>
          </xdr:cNvPr>
          <xdr:cNvSpPr txBox="1"/>
        </xdr:nvSpPr>
        <xdr:spPr>
          <a:xfrm>
            <a:off x="70406" y="232076"/>
            <a:ext cx="1138408" cy="124270"/>
          </a:xfrm>
          <a:prstGeom prst="rect">
            <a:avLst/>
          </a:prstGeom>
        </xdr:spPr>
        <xdr:txBody>
          <a:bodyPr wrap="square" lIns="0" tIns="0" rIns="0" bIns="0"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uk-UA" sz="600" b="0" i="1" u="none" strike="noStrike">
                <a:solidFill>
                  <a:schemeClr val="accent5"/>
                </a:solidFill>
                <a:latin typeface="Montserrat"/>
              </a:rPr>
              <a:t>у дол. еквіваленті +3,4%</a:t>
            </a:r>
            <a:endParaRPr lang="uk-UA" sz="100" b="0" i="1">
              <a:solidFill>
                <a:schemeClr val="accent5"/>
              </a:solidFill>
            </a:endParaRPr>
          </a:p>
        </xdr:txBody>
      </xdr:sp>
    </xdr:grpSp>
    <xdr:clientData/>
  </xdr:twoCellAnchor>
  <xdr:twoCellAnchor>
    <xdr:from>
      <xdr:col>0</xdr:col>
      <xdr:colOff>82826</xdr:colOff>
      <xdr:row>175</xdr:row>
      <xdr:rowOff>207066</xdr:rowOff>
    </xdr:from>
    <xdr:to>
      <xdr:col>6</xdr:col>
      <xdr:colOff>33130</xdr:colOff>
      <xdr:row>189</xdr:row>
      <xdr:rowOff>100601</xdr:rowOff>
    </xdr:to>
    <xdr:graphicFrame macro="">
      <xdr:nvGraphicFramePr>
        <xdr:cNvPr id="20" name="Діаграма 19">
          <a:extLst>
            <a:ext uri="{FF2B5EF4-FFF2-40B4-BE49-F238E27FC236}">
              <a16:creationId xmlns:a16="http://schemas.microsoft.com/office/drawing/2014/main" id="{3335CE04-6A3F-4621-A7D2-0400DEF6B6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265043</xdr:colOff>
      <xdr:row>158</xdr:row>
      <xdr:rowOff>124238</xdr:rowOff>
    </xdr:from>
    <xdr:to>
      <xdr:col>5</xdr:col>
      <xdr:colOff>642522</xdr:colOff>
      <xdr:row>171</xdr:row>
      <xdr:rowOff>175383</xdr:rowOff>
    </xdr:to>
    <xdr:graphicFrame macro="">
      <xdr:nvGraphicFramePr>
        <xdr:cNvPr id="19" name="Діаграма 18">
          <a:extLst>
            <a:ext uri="{FF2B5EF4-FFF2-40B4-BE49-F238E27FC236}">
              <a16:creationId xmlns:a16="http://schemas.microsoft.com/office/drawing/2014/main" id="{053308A8-23A3-4CBF-9E1B-3015353C3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347870</xdr:colOff>
      <xdr:row>83</xdr:row>
      <xdr:rowOff>132521</xdr:rowOff>
    </xdr:from>
    <xdr:to>
      <xdr:col>5</xdr:col>
      <xdr:colOff>144745</xdr:colOff>
      <xdr:row>96</xdr:row>
      <xdr:rowOff>199318</xdr:rowOff>
    </xdr:to>
    <xdr:graphicFrame macro="">
      <xdr:nvGraphicFramePr>
        <xdr:cNvPr id="22" name="Діаграма 21">
          <a:extLst>
            <a:ext uri="{FF2B5EF4-FFF2-40B4-BE49-F238E27FC236}">
              <a16:creationId xmlns:a16="http://schemas.microsoft.com/office/drawing/2014/main" id="{3127FED7-66B2-4DC6-A958-9DC59118A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540890</xdr:colOff>
      <xdr:row>195</xdr:row>
      <xdr:rowOff>226575</xdr:rowOff>
    </xdr:from>
    <xdr:to>
      <xdr:col>6</xdr:col>
      <xdr:colOff>597979</xdr:colOff>
      <xdr:row>208</xdr:row>
      <xdr:rowOff>171032</xdr:rowOff>
    </xdr:to>
    <xdr:graphicFrame macro="">
      <xdr:nvGraphicFramePr>
        <xdr:cNvPr id="23" name="Діаграма 22">
          <a:extLst>
            <a:ext uri="{FF2B5EF4-FFF2-40B4-BE49-F238E27FC236}">
              <a16:creationId xmlns:a16="http://schemas.microsoft.com/office/drawing/2014/main" id="{04989247-5863-4479-A314-0561DCEC4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0.11311</cdr:x>
      <cdr:y>0.74915</cdr:y>
    </cdr:from>
    <cdr:to>
      <cdr:x>0.35295</cdr:x>
      <cdr:y>0.83794</cdr:y>
    </cdr:to>
    <cdr:sp macro="" textlink="'Чарти 5-7'!$H$23">
      <cdr:nvSpPr>
        <cdr:cNvPr id="2" name="TextBox 1">
          <a:extLst xmlns:a="http://schemas.openxmlformats.org/drawingml/2006/main">
            <a:ext uri="{FF2B5EF4-FFF2-40B4-BE49-F238E27FC236}">
              <a16:creationId xmlns:a16="http://schemas.microsoft.com/office/drawing/2014/main" id="{67B87EAF-3EF7-4BDB-8DFC-F9D48FD5626D}"/>
            </a:ext>
          </a:extLst>
        </cdr:cNvPr>
        <cdr:cNvSpPr txBox="1"/>
      </cdr:nvSpPr>
      <cdr:spPr>
        <a:xfrm xmlns:a="http://schemas.openxmlformats.org/drawingml/2006/main">
          <a:off x="461363" y="2033498"/>
          <a:ext cx="978260" cy="241012"/>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5D2E8CA9-C93C-48A1-A4CF-E8F387E24370}" type="TxLink">
            <a:rPr lang="uk-UA" sz="600" b="1" i="0" u="none" strike="noStrike">
              <a:solidFill>
                <a:schemeClr val="accent5"/>
              </a:solidFill>
              <a:latin typeface="Montserrat"/>
            </a:rPr>
            <a:pPr algn="ctr"/>
            <a:t>Дефлятор ВВП в 2021 25,1%</a:t>
          </a:fld>
          <a:endParaRPr lang="ru-RU" sz="800" b="1">
            <a:solidFill>
              <a:schemeClr val="accent5"/>
            </a:solidFill>
          </a:endParaRPr>
        </a:p>
      </cdr:txBody>
    </cdr:sp>
  </cdr:relSizeAnchor>
  <cdr:relSizeAnchor xmlns:cdr="http://schemas.openxmlformats.org/drawingml/2006/chartDrawing">
    <cdr:from>
      <cdr:x>0.42902</cdr:x>
      <cdr:y>0.74628</cdr:y>
    </cdr:from>
    <cdr:to>
      <cdr:x>0.66885</cdr:x>
      <cdr:y>0.83507</cdr:y>
    </cdr:to>
    <cdr:sp macro="" textlink="'Чарти 5-7'!$H$24">
      <cdr:nvSpPr>
        <cdr:cNvPr id="3" name="TextBox 1">
          <a:extLst xmlns:a="http://schemas.openxmlformats.org/drawingml/2006/main">
            <a:ext uri="{FF2B5EF4-FFF2-40B4-BE49-F238E27FC236}">
              <a16:creationId xmlns:a16="http://schemas.microsoft.com/office/drawing/2014/main" id="{7C6909B8-ED4F-4109-B06A-D8E458ABDCC9}"/>
            </a:ext>
          </a:extLst>
        </cdr:cNvPr>
        <cdr:cNvSpPr txBox="1"/>
      </cdr:nvSpPr>
      <cdr:spPr>
        <a:xfrm xmlns:a="http://schemas.openxmlformats.org/drawingml/2006/main">
          <a:off x="1749887" y="2025713"/>
          <a:ext cx="978218" cy="241012"/>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DB0CB777-B3B2-47A1-9D72-D1E9954144BA}" type="TxLink">
            <a:rPr lang="uk-UA" sz="600" b="1" i="0" u="none" strike="noStrike">
              <a:solidFill>
                <a:schemeClr val="accent5"/>
              </a:solidFill>
              <a:latin typeface="Montserrat"/>
            </a:rPr>
            <a:pPr algn="ctr"/>
            <a:t>Дефлятор ВВП в 2022 34,6%</a:t>
          </a:fld>
          <a:endParaRPr lang="ru-RU" sz="800" b="1">
            <a:solidFill>
              <a:schemeClr val="accent5"/>
            </a:solidFill>
          </a:endParaRPr>
        </a:p>
      </cdr:txBody>
    </cdr:sp>
  </cdr:relSizeAnchor>
  <cdr:relSizeAnchor xmlns:cdr="http://schemas.openxmlformats.org/drawingml/2006/chartDrawing">
    <cdr:from>
      <cdr:x>0.72647</cdr:x>
      <cdr:y>0.26463</cdr:y>
    </cdr:from>
    <cdr:to>
      <cdr:x>0.9663</cdr:x>
      <cdr:y>0.35341</cdr:y>
    </cdr:to>
    <cdr:sp macro="" textlink="'Чарти 5-7'!$H$25">
      <cdr:nvSpPr>
        <cdr:cNvPr id="4" name="TextBox 1">
          <a:extLst xmlns:a="http://schemas.openxmlformats.org/drawingml/2006/main">
            <a:ext uri="{FF2B5EF4-FFF2-40B4-BE49-F238E27FC236}">
              <a16:creationId xmlns:a16="http://schemas.microsoft.com/office/drawing/2014/main" id="{AB69A2EC-0738-A623-FD75-59F856D273E4}"/>
            </a:ext>
          </a:extLst>
        </cdr:cNvPr>
        <cdr:cNvSpPr txBox="1"/>
      </cdr:nvSpPr>
      <cdr:spPr>
        <a:xfrm xmlns:a="http://schemas.openxmlformats.org/drawingml/2006/main">
          <a:off x="2963139" y="718312"/>
          <a:ext cx="978219" cy="240984"/>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B5B58DD9-EF84-4116-9D94-F5C9493AC6E3}" type="TxLink">
            <a:rPr lang="uk-UA" sz="600" b="1" i="0" u="none" strike="noStrike">
              <a:solidFill>
                <a:schemeClr val="accent5"/>
              </a:solidFill>
              <a:latin typeface="Montserrat"/>
            </a:rPr>
            <a:pPr algn="ctr"/>
            <a:t>#ПОСИЛАННЯ!</a:t>
          </a:fld>
          <a:endParaRPr lang="ru-RU" sz="800" b="1">
            <a:solidFill>
              <a:schemeClr val="accent5"/>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0.19667</cdr:x>
      <cdr:y>0.66999</cdr:y>
    </cdr:from>
    <cdr:to>
      <cdr:x>0.42789</cdr:x>
      <cdr:y>0.73354</cdr:y>
    </cdr:to>
    <cdr:sp macro="" textlink="">
      <cdr:nvSpPr>
        <cdr:cNvPr id="3" name="TextBox 2"/>
        <cdr:cNvSpPr txBox="1"/>
      </cdr:nvSpPr>
      <cdr:spPr>
        <a:xfrm xmlns:a="http://schemas.openxmlformats.org/drawingml/2006/main">
          <a:off x="798763" y="1832243"/>
          <a:ext cx="939132" cy="1737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uk-UA" sz="1100"/>
        </a:p>
      </cdr:txBody>
    </cdr:sp>
  </cdr:relSizeAnchor>
  <cdr:relSizeAnchor xmlns:cdr="http://schemas.openxmlformats.org/drawingml/2006/chartDrawing">
    <cdr:from>
      <cdr:x>0.76148</cdr:x>
      <cdr:y>0.26622</cdr:y>
    </cdr:from>
    <cdr:to>
      <cdr:x>0.98924</cdr:x>
      <cdr:y>0.41617</cdr:y>
    </cdr:to>
    <cdr:grpSp>
      <cdr:nvGrpSpPr>
        <cdr:cNvPr id="21" name="Групувати 20">
          <a:extLst xmlns:a="http://schemas.openxmlformats.org/drawingml/2006/main">
            <a:ext uri="{FF2B5EF4-FFF2-40B4-BE49-F238E27FC236}">
              <a16:creationId xmlns:a16="http://schemas.microsoft.com/office/drawing/2014/main" id="{CA049F05-7690-6FD5-3583-ABEED34BAB32}"/>
            </a:ext>
          </a:extLst>
        </cdr:cNvPr>
        <cdr:cNvGrpSpPr/>
      </cdr:nvGrpSpPr>
      <cdr:grpSpPr>
        <a:xfrm xmlns:a="http://schemas.openxmlformats.org/drawingml/2006/main">
          <a:off x="3838084" y="778501"/>
          <a:ext cx="1147977" cy="438495"/>
          <a:chOff x="954423" y="1896344"/>
          <a:chExt cx="1152000" cy="439649"/>
        </a:xfrm>
      </cdr:grpSpPr>
      <cdr:sp macro="" textlink="">
        <cdr:nvSpPr>
          <cdr:cNvPr id="2" name="Прямокутник 1">
            <a:extLst xmlns:a="http://schemas.openxmlformats.org/drawingml/2006/main">
              <a:ext uri="{FF2B5EF4-FFF2-40B4-BE49-F238E27FC236}">
                <a16:creationId xmlns:a16="http://schemas.microsoft.com/office/drawing/2014/main" id="{14FD4F14-F455-B909-A06D-3048F52820C3}"/>
              </a:ext>
            </a:extLst>
          </cdr:cNvPr>
          <cdr:cNvSpPr/>
        </cdr:nvSpPr>
        <cdr:spPr>
          <a:xfrm xmlns:a="http://schemas.openxmlformats.org/drawingml/2006/main">
            <a:off x="954423" y="1896344"/>
            <a:ext cx="1152000" cy="432000"/>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p xmlns:a="http://schemas.openxmlformats.org/drawingml/2006/main">
            <a:endParaRPr lang="en-US"/>
          </a:p>
        </cdr:txBody>
      </cdr:sp>
      <cdr:sp macro="" textlink="'Чарти 5-7'!$H$71">
        <cdr:nvSpPr>
          <cdr:cNvPr id="6" name="TextBox 5"/>
          <cdr:cNvSpPr txBox="1"/>
        </cdr:nvSpPr>
        <cdr:spPr>
          <a:xfrm xmlns:a="http://schemas.openxmlformats.org/drawingml/2006/main">
            <a:off x="988139" y="1905564"/>
            <a:ext cx="1087056" cy="109301"/>
          </a:xfrm>
          <a:prstGeom xmlns:a="http://schemas.openxmlformats.org/drawingml/2006/main" prst="rect">
            <a:avLst/>
          </a:prstGeom>
        </cdr:spPr>
        <cdr:txBody>
          <a:bodyPr xmlns:a="http://schemas.openxmlformats.org/drawingml/2006/main" vertOverflow="overflow" horzOverflow="overflow" wrap="none" lIns="0" tIns="0" rIns="0" bIns="0" rtlCol="0"/>
          <a:lstStyle xmlns:a="http://schemas.openxmlformats.org/drawingml/2006/main"/>
          <a:p xmlns:a="http://schemas.openxmlformats.org/drawingml/2006/main">
            <a:fld id="{88632300-037F-4900-819D-BA40D492CB89}" type="TxLink">
              <a:rPr lang="uk-UA" sz="600" b="1" i="0" u="none" strike="noStrike">
                <a:solidFill>
                  <a:schemeClr val="accent5"/>
                </a:solidFill>
                <a:latin typeface="Montserrat"/>
              </a:rPr>
              <a:pPr/>
              <a:t>В середньому за 2021 рік:</a:t>
            </a:fld>
            <a:endParaRPr lang="uk-UA" sz="600" b="1">
              <a:solidFill>
                <a:schemeClr val="accent5"/>
              </a:solidFill>
            </a:endParaRPr>
          </a:p>
        </cdr:txBody>
      </cdr:sp>
      <cdr:sp macro="" textlink="'Чарти 5-7'!$M$71">
        <cdr:nvSpPr>
          <cdr:cNvPr id="7" name="TextBox 1"/>
          <cdr:cNvSpPr txBox="1"/>
        </cdr:nvSpPr>
        <cdr:spPr>
          <a:xfrm xmlns:a="http://schemas.openxmlformats.org/drawingml/2006/main">
            <a:off x="996667" y="2008421"/>
            <a:ext cx="1056755" cy="154166"/>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D3DD8ABB-0424-4DD4-A51B-9B3F7553F0AA}" type="TxLink">
              <a:rPr lang="en-US" sz="600" b="1" i="0" u="none" strike="noStrike">
                <a:solidFill>
                  <a:schemeClr val="accent5"/>
                </a:solidFill>
                <a:latin typeface="Montserrat"/>
              </a:rPr>
              <a:pPr/>
              <a:t>14 тис. грн / $514</a:t>
            </a:fld>
            <a:endParaRPr lang="uk-UA" sz="600" b="1">
              <a:solidFill>
                <a:schemeClr val="accent5"/>
              </a:solidFill>
            </a:endParaRPr>
          </a:p>
        </cdr:txBody>
      </cdr:sp>
      <cdr:sp macro="" textlink="'Чарти 5-7'!$S$71">
        <cdr:nvSpPr>
          <cdr:cNvPr id="8" name="TextBox 1"/>
          <cdr:cNvSpPr txBox="1"/>
        </cdr:nvSpPr>
        <cdr:spPr>
          <a:xfrm xmlns:a="http://schemas.openxmlformats.org/drawingml/2006/main">
            <a:off x="1001321" y="2111436"/>
            <a:ext cx="796288" cy="99372"/>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A484E7FE-25FF-48E7-9086-DD2D6B2970CF}" type="TxLink">
              <a:rPr lang="uk-UA" sz="600" b="0" i="1" u="none" strike="noStrike">
                <a:solidFill>
                  <a:schemeClr val="accent5"/>
                </a:solidFill>
                <a:latin typeface="Montserrat"/>
              </a:rPr>
              <a:pPr/>
              <a:t>в грн +20,9%</a:t>
            </a:fld>
            <a:endParaRPr lang="uk-UA" sz="600" b="0" i="1">
              <a:solidFill>
                <a:schemeClr val="accent5"/>
              </a:solidFill>
            </a:endParaRPr>
          </a:p>
        </cdr:txBody>
      </cdr:sp>
      <cdr:sp macro="" textlink="'Чарти 5-7'!$AA$71">
        <cdr:nvSpPr>
          <cdr:cNvPr id="9" name="TextBox 1"/>
          <cdr:cNvSpPr txBox="1"/>
        </cdr:nvSpPr>
        <cdr:spPr>
          <a:xfrm xmlns:a="http://schemas.openxmlformats.org/drawingml/2006/main">
            <a:off x="996332" y="2215231"/>
            <a:ext cx="774062" cy="120762"/>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30CFD2-2C4B-460C-AC12-289011D93740}" type="TxLink">
              <a:rPr lang="uk-UA" sz="600" b="0" i="1" u="none" strike="noStrike">
                <a:solidFill>
                  <a:schemeClr val="accent5"/>
                </a:solidFill>
                <a:latin typeface="Montserrat"/>
              </a:rPr>
              <a:pPr/>
              <a:t>в дол. екв.  19,4%</a:t>
            </a:fld>
            <a:endParaRPr lang="uk-UA" sz="100" b="0" i="1">
              <a:solidFill>
                <a:schemeClr val="accent5"/>
              </a:solidFill>
            </a:endParaRPr>
          </a:p>
        </cdr:txBody>
      </cdr:sp>
    </cdr:grpSp>
  </cdr:relSizeAnchor>
  <cdr:relSizeAnchor xmlns:cdr="http://schemas.openxmlformats.org/drawingml/2006/chartDrawing">
    <cdr:from>
      <cdr:x>0.75866</cdr:x>
      <cdr:y>0.45791</cdr:y>
    </cdr:from>
    <cdr:to>
      <cdr:x>0.98643</cdr:x>
      <cdr:y>0.60525</cdr:y>
    </cdr:to>
    <cdr:grpSp>
      <cdr:nvGrpSpPr>
        <cdr:cNvPr id="20" name="Групувати 19">
          <a:extLst xmlns:a="http://schemas.openxmlformats.org/drawingml/2006/main">
            <a:ext uri="{FF2B5EF4-FFF2-40B4-BE49-F238E27FC236}">
              <a16:creationId xmlns:a16="http://schemas.microsoft.com/office/drawing/2014/main" id="{F8B604D7-4B0D-8086-0BEC-10D9CEB0252F}"/>
            </a:ext>
          </a:extLst>
        </cdr:cNvPr>
        <cdr:cNvGrpSpPr/>
      </cdr:nvGrpSpPr>
      <cdr:grpSpPr>
        <a:xfrm xmlns:a="http://schemas.openxmlformats.org/drawingml/2006/main">
          <a:off x="3823870" y="1339055"/>
          <a:ext cx="1148028" cy="430863"/>
          <a:chOff x="3800580" y="466304"/>
          <a:chExt cx="1148442" cy="481761"/>
        </a:xfrm>
      </cdr:grpSpPr>
      <cdr:sp macro="" textlink="">
        <cdr:nvSpPr>
          <cdr:cNvPr id="5" name="Прямокутник 4">
            <a:extLst xmlns:a="http://schemas.openxmlformats.org/drawingml/2006/main">
              <a:ext uri="{FF2B5EF4-FFF2-40B4-BE49-F238E27FC236}">
                <a16:creationId xmlns:a16="http://schemas.microsoft.com/office/drawing/2014/main" id="{864639DA-4847-9C16-7967-A33C34908730}"/>
              </a:ext>
            </a:extLst>
          </cdr:cNvPr>
          <cdr:cNvSpPr/>
        </cdr:nvSpPr>
        <cdr:spPr>
          <a:xfrm xmlns:a="http://schemas.openxmlformats.org/drawingml/2006/main">
            <a:off x="3800580" y="466304"/>
            <a:ext cx="1148442" cy="481761"/>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ru-RU" sz="600" b="1">
              <a:solidFill>
                <a:schemeClr val="accent1">
                  <a:lumMod val="75000"/>
                </a:schemeClr>
              </a:solidFill>
            </a:endParaRPr>
          </a:p>
        </cdr:txBody>
      </cdr:sp>
      <cdr:sp macro="" textlink="'Чарти 5-7'!$H$72">
        <cdr:nvSpPr>
          <cdr:cNvPr id="10" name="TextBox 1"/>
          <cdr:cNvSpPr txBox="1"/>
        </cdr:nvSpPr>
        <cdr:spPr>
          <a:xfrm xmlns:a="http://schemas.openxmlformats.org/drawingml/2006/main">
            <a:off x="3833239" y="479128"/>
            <a:ext cx="1094012" cy="98824"/>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4D906691-8EF9-41B7-AB70-0347D2D4A4E8}" type="TxLink">
              <a:rPr lang="uk-UA" sz="600" b="1" i="0" u="none" strike="noStrike">
                <a:solidFill>
                  <a:schemeClr val="accent5"/>
                </a:solidFill>
                <a:latin typeface="Montserrat"/>
              </a:rPr>
              <a:pPr algn="l"/>
              <a:t>В середньому за 2022 рік:</a:t>
            </a:fld>
            <a:endParaRPr lang="uk-UA" sz="600" b="1">
              <a:solidFill>
                <a:schemeClr val="accent5"/>
              </a:solidFill>
            </a:endParaRPr>
          </a:p>
        </cdr:txBody>
      </cdr:sp>
      <cdr:sp macro="" textlink="'Чарти 5-7'!$M$72">
        <cdr:nvSpPr>
          <cdr:cNvPr id="11" name="TextBox 1"/>
          <cdr:cNvSpPr txBox="1"/>
        </cdr:nvSpPr>
        <cdr:spPr>
          <a:xfrm xmlns:a="http://schemas.openxmlformats.org/drawingml/2006/main">
            <a:off x="3848492" y="588836"/>
            <a:ext cx="986230" cy="119743"/>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E8464040-FC54-410A-BAE2-9FE7808A5EA1}" type="TxLink">
              <a:rPr lang="en-US" sz="600" b="1" i="0" u="none" strike="noStrike">
                <a:solidFill>
                  <a:schemeClr val="accent5"/>
                </a:solidFill>
                <a:latin typeface="Montserrat"/>
              </a:rPr>
              <a:pPr/>
              <a:t>14,9 тис. грн / $458</a:t>
            </a:fld>
            <a:endParaRPr lang="uk-UA" sz="100" b="1">
              <a:solidFill>
                <a:schemeClr val="accent5"/>
              </a:solidFill>
            </a:endParaRPr>
          </a:p>
        </cdr:txBody>
      </cdr:sp>
      <cdr:sp macro="" textlink="'Чарти 5-7'!$S$72">
        <cdr:nvSpPr>
          <cdr:cNvPr id="12" name="TextBox 1"/>
          <cdr:cNvSpPr txBox="1"/>
        </cdr:nvSpPr>
        <cdr:spPr>
          <a:xfrm xmlns:a="http://schemas.openxmlformats.org/drawingml/2006/main">
            <a:off x="3855097" y="697692"/>
            <a:ext cx="766192" cy="108857"/>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0C1902E-158F-4922-8C61-F1E8F8D1C8F7}" type="TxLink">
              <a:rPr lang="uk-UA" sz="600" b="0" i="1" u="none" strike="noStrike">
                <a:solidFill>
                  <a:schemeClr val="accent5"/>
                </a:solidFill>
                <a:latin typeface="Montserrat"/>
              </a:rPr>
              <a:pPr/>
              <a:t>в грн +6,0%</a:t>
            </a:fld>
            <a:endParaRPr lang="uk-UA" sz="600" b="0" i="1">
              <a:solidFill>
                <a:schemeClr val="accent5"/>
              </a:solidFill>
            </a:endParaRPr>
          </a:p>
        </cdr:txBody>
      </cdr:sp>
      <cdr:sp macro="" textlink="'Чарти 5-7'!$AA$72">
        <cdr:nvSpPr>
          <cdr:cNvPr id="13" name="TextBox 1"/>
          <cdr:cNvSpPr txBox="1"/>
        </cdr:nvSpPr>
        <cdr:spPr>
          <a:xfrm xmlns:a="http://schemas.openxmlformats.org/drawingml/2006/main">
            <a:off x="3849975" y="813738"/>
            <a:ext cx="990189" cy="101670"/>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fld id="{DB33E188-43A6-4117-86B5-9F41BE443F1E}" type="TxLink">
              <a:rPr lang="uk-UA" sz="600" b="0" i="1" u="none" strike="noStrike">
                <a:solidFill>
                  <a:schemeClr val="accent5"/>
                </a:solidFill>
                <a:latin typeface="Montserrat"/>
                <a:ea typeface="+mn-ea"/>
                <a:cs typeface="+mn-cs"/>
              </a:rPr>
              <a:pPr marL="0" indent="0"/>
              <a:t>в дол. екв.  -11,0%</a:t>
            </a:fld>
            <a:endParaRPr lang="uk-UA" sz="600" b="0" i="1" u="none" strike="noStrike">
              <a:solidFill>
                <a:schemeClr val="accent5"/>
              </a:solidFill>
              <a:latin typeface="Montserrat"/>
              <a:ea typeface="+mn-ea"/>
              <a:cs typeface="+mn-cs"/>
            </a:endParaRPr>
          </a:p>
        </cdr:txBody>
      </cdr:sp>
    </cdr:grpSp>
  </cdr:relSizeAnchor>
  <cdr:relSizeAnchor xmlns:cdr="http://schemas.openxmlformats.org/drawingml/2006/chartDrawing">
    <cdr:from>
      <cdr:x>0.75628</cdr:x>
      <cdr:y>0.66722</cdr:y>
    </cdr:from>
    <cdr:to>
      <cdr:x>0.98405</cdr:x>
      <cdr:y>0.81456</cdr:y>
    </cdr:to>
    <cdr:grpSp>
      <cdr:nvGrpSpPr>
        <cdr:cNvPr id="22" name="Групувати 21">
          <a:extLst xmlns:a="http://schemas.openxmlformats.org/drawingml/2006/main">
            <a:ext uri="{FF2B5EF4-FFF2-40B4-BE49-F238E27FC236}">
              <a16:creationId xmlns:a16="http://schemas.microsoft.com/office/drawing/2014/main" id="{FFDC7CDC-DA10-3065-F5DA-15C0311F522F}"/>
            </a:ext>
          </a:extLst>
        </cdr:cNvPr>
        <cdr:cNvGrpSpPr/>
      </cdr:nvGrpSpPr>
      <cdr:grpSpPr>
        <a:xfrm xmlns:a="http://schemas.openxmlformats.org/drawingml/2006/main">
          <a:off x="3811874" y="1951135"/>
          <a:ext cx="1148028" cy="430863"/>
          <a:chOff x="2834587" y="1526323"/>
          <a:chExt cx="1152000" cy="432000"/>
        </a:xfrm>
      </cdr:grpSpPr>
      <cdr:sp macro="" textlink="">
        <cdr:nvSpPr>
          <cdr:cNvPr id="4" name="Прямокутник 3">
            <a:extLst xmlns:a="http://schemas.openxmlformats.org/drawingml/2006/main">
              <a:ext uri="{FF2B5EF4-FFF2-40B4-BE49-F238E27FC236}">
                <a16:creationId xmlns:a16="http://schemas.microsoft.com/office/drawing/2014/main" id="{F0180DEA-8B71-0553-DFC9-BA4286C6CE26}"/>
              </a:ext>
            </a:extLst>
          </cdr:cNvPr>
          <cdr:cNvSpPr/>
        </cdr:nvSpPr>
        <cdr:spPr>
          <a:xfrm xmlns:a="http://schemas.openxmlformats.org/drawingml/2006/main">
            <a:off x="2834587" y="1526323"/>
            <a:ext cx="1152000" cy="432000"/>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ru-RU" sz="600" b="1">
              <a:solidFill>
                <a:schemeClr val="accent1">
                  <a:lumMod val="75000"/>
                </a:schemeClr>
              </a:solidFill>
            </a:endParaRPr>
          </a:p>
        </cdr:txBody>
      </cdr:sp>
      <cdr:sp macro="" textlink="'Чарти 5-7'!$H$73">
        <cdr:nvSpPr>
          <cdr:cNvPr id="14" name="TextBox 1"/>
          <cdr:cNvSpPr txBox="1"/>
        </cdr:nvSpPr>
        <cdr:spPr>
          <a:xfrm xmlns:a="http://schemas.openxmlformats.org/drawingml/2006/main">
            <a:off x="2861521" y="1535044"/>
            <a:ext cx="1096902" cy="98821"/>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14F95627-FA48-48AC-A6D6-A9D79D627422}" type="TxLink">
              <a:rPr lang="uk-UA" sz="600" b="1" i="0" u="none" strike="noStrike">
                <a:solidFill>
                  <a:schemeClr val="accent5"/>
                </a:solidFill>
                <a:latin typeface="Montserrat"/>
              </a:rPr>
              <a:pPr/>
              <a:t>В середньому за 2023 рік:</a:t>
            </a:fld>
            <a:endParaRPr lang="uk-UA" sz="100" b="1">
              <a:solidFill>
                <a:schemeClr val="accent5"/>
              </a:solidFill>
            </a:endParaRPr>
          </a:p>
        </cdr:txBody>
      </cdr:sp>
      <cdr:sp macro="" textlink="'Чарти 5-7'!$M$73">
        <cdr:nvSpPr>
          <cdr:cNvPr id="15" name="TextBox 1"/>
          <cdr:cNvSpPr txBox="1"/>
        </cdr:nvSpPr>
        <cdr:spPr>
          <a:xfrm xmlns:a="http://schemas.openxmlformats.org/drawingml/2006/main">
            <a:off x="2874239" y="1639259"/>
            <a:ext cx="801155" cy="10346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6FD73AAA-E94E-401B-BB8B-569F66343B24}" type="TxLink">
              <a:rPr lang="en-US" sz="600" b="1" i="0" u="none" strike="noStrike">
                <a:solidFill>
                  <a:schemeClr val="accent5"/>
                </a:solidFill>
                <a:latin typeface="Montserrat"/>
              </a:rPr>
              <a:pPr/>
              <a:t>17,2 тис. грн / $469</a:t>
            </a:fld>
            <a:endParaRPr lang="uk-UA" sz="100" b="1">
              <a:solidFill>
                <a:schemeClr val="accent5"/>
              </a:solidFill>
            </a:endParaRPr>
          </a:p>
        </cdr:txBody>
      </cdr:sp>
      <cdr:sp macro="" textlink="'Чарти 5-7'!$S$73">
        <cdr:nvSpPr>
          <cdr:cNvPr id="16" name="TextBox 1"/>
          <cdr:cNvSpPr txBox="1"/>
        </cdr:nvSpPr>
        <cdr:spPr>
          <a:xfrm xmlns:a="http://schemas.openxmlformats.org/drawingml/2006/main">
            <a:off x="2885590" y="1735500"/>
            <a:ext cx="604748" cy="110635"/>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6901718C-8398-477A-AD3F-24B598C976BC}" type="TxLink">
              <a:rPr lang="uk-UA" sz="600" b="0" i="1" u="none" strike="noStrike">
                <a:solidFill>
                  <a:schemeClr val="accent5"/>
                </a:solidFill>
                <a:latin typeface="Montserrat"/>
              </a:rPr>
              <a:pPr/>
              <a:t>в грн +15,5%</a:t>
            </a:fld>
            <a:endParaRPr lang="uk-UA" sz="600" b="0" i="1">
              <a:solidFill>
                <a:schemeClr val="accent5"/>
              </a:solidFill>
            </a:endParaRPr>
          </a:p>
        </cdr:txBody>
      </cdr:sp>
      <cdr:sp macro="" textlink="'Чарти 5-7'!$AA$73">
        <cdr:nvSpPr>
          <cdr:cNvPr id="17" name="TextBox 1"/>
          <cdr:cNvSpPr txBox="1"/>
        </cdr:nvSpPr>
        <cdr:spPr>
          <a:xfrm xmlns:a="http://schemas.openxmlformats.org/drawingml/2006/main">
            <a:off x="2880600" y="1839297"/>
            <a:ext cx="680493" cy="110253"/>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46843015-D6D1-40D9-8D5D-64AC254CB562}" type="TxLink">
              <a:rPr lang="uk-UA" sz="600" b="0" i="1" u="none" strike="noStrike">
                <a:solidFill>
                  <a:schemeClr val="accent5"/>
                </a:solidFill>
                <a:latin typeface="Montserrat"/>
              </a:rPr>
              <a:pPr/>
              <a:t>в дол. екв.  2,5%</a:t>
            </a:fld>
            <a:endParaRPr lang="uk-UA" sz="600" b="0" i="1">
              <a:solidFill>
                <a:schemeClr val="accent5"/>
              </a:solidFill>
            </a:endParaRPr>
          </a:p>
        </cdr:txBody>
      </cdr:sp>
    </cdr:grpSp>
  </cdr:relSizeAnchor>
</c:userShapes>
</file>

<file path=xl/drawings/drawing4.xml><?xml version="1.0" encoding="utf-8"?>
<c:userShapes xmlns:c="http://schemas.openxmlformats.org/drawingml/2006/chart">
  <cdr:relSizeAnchor xmlns:cdr="http://schemas.openxmlformats.org/drawingml/2006/chartDrawing">
    <cdr:from>
      <cdr:x>0.20073</cdr:x>
      <cdr:y>0.75693</cdr:y>
    </cdr:from>
    <cdr:to>
      <cdr:x>0.44057</cdr:x>
      <cdr:y>0.84572</cdr:y>
    </cdr:to>
    <cdr:sp macro="" textlink="'Чарти 5-7'!$H$7">
      <cdr:nvSpPr>
        <cdr:cNvPr id="2" name="TextBox 1">
          <a:extLst xmlns:a="http://schemas.openxmlformats.org/drawingml/2006/main">
            <a:ext uri="{FF2B5EF4-FFF2-40B4-BE49-F238E27FC236}">
              <a16:creationId xmlns:a16="http://schemas.microsoft.com/office/drawing/2014/main" id="{67B87EAF-3EF7-4BDB-8DFC-F9D48FD5626D}"/>
            </a:ext>
          </a:extLst>
        </cdr:cNvPr>
        <cdr:cNvSpPr txBox="1"/>
      </cdr:nvSpPr>
      <cdr:spPr>
        <a:xfrm xmlns:a="http://schemas.openxmlformats.org/drawingml/2006/main">
          <a:off x="818754" y="2054606"/>
          <a:ext cx="978260" cy="241011"/>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EB45A344-9059-4E3C-9057-7FFE1F8A638C}" type="TxLink">
            <a:rPr lang="uk-UA" sz="600" b="1" i="0" u="none" strike="noStrike">
              <a:solidFill>
                <a:schemeClr val="accent5"/>
              </a:solidFill>
              <a:latin typeface="Montserrat"/>
            </a:rPr>
            <a:pPr algn="ctr"/>
            <a:t>Дефлятор ВВП в 2021 25,1%</a:t>
          </a:fld>
          <a:endParaRPr lang="ru-RU" sz="400" b="1">
            <a:solidFill>
              <a:schemeClr val="accent5"/>
            </a:solidFill>
          </a:endParaRPr>
        </a:p>
      </cdr:txBody>
    </cdr:sp>
  </cdr:relSizeAnchor>
  <cdr:relSizeAnchor xmlns:cdr="http://schemas.openxmlformats.org/drawingml/2006/chartDrawing">
    <cdr:from>
      <cdr:x>0.63869</cdr:x>
      <cdr:y>0.75697</cdr:y>
    </cdr:from>
    <cdr:to>
      <cdr:x>0.87852</cdr:x>
      <cdr:y>0.84576</cdr:y>
    </cdr:to>
    <cdr:sp macro="" textlink="'Чарти 5-7'!$H$8">
      <cdr:nvSpPr>
        <cdr:cNvPr id="3" name="TextBox 1">
          <a:extLst xmlns:a="http://schemas.openxmlformats.org/drawingml/2006/main">
            <a:ext uri="{FF2B5EF4-FFF2-40B4-BE49-F238E27FC236}">
              <a16:creationId xmlns:a16="http://schemas.microsoft.com/office/drawing/2014/main" id="{7C6909B8-ED4F-4109-B06A-D8E458ABDCC9}"/>
            </a:ext>
          </a:extLst>
        </cdr:cNvPr>
        <cdr:cNvSpPr txBox="1"/>
      </cdr:nvSpPr>
      <cdr:spPr>
        <a:xfrm xmlns:a="http://schemas.openxmlformats.org/drawingml/2006/main">
          <a:off x="2605082" y="2054714"/>
          <a:ext cx="978219" cy="241012"/>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8855FCC0-5D46-47FB-92E5-EFC67F16B884}" type="TxLink">
            <a:rPr lang="en-US" sz="600" b="1" i="0" u="none" strike="noStrike">
              <a:solidFill>
                <a:schemeClr val="accent5"/>
              </a:solidFill>
              <a:latin typeface="Montserrat"/>
            </a:rPr>
            <a:pPr algn="ctr"/>
            <a:t>Дефлятор ВВП в 2022 34,6%</a:t>
          </a:fld>
          <a:endParaRPr lang="ru-RU" sz="400" b="1">
            <a:solidFill>
              <a:schemeClr val="accent5"/>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0.1887</cdr:x>
      <cdr:y>0.64677</cdr:y>
    </cdr:from>
    <cdr:to>
      <cdr:x>0.43478</cdr:x>
      <cdr:y>0.81909</cdr:y>
    </cdr:to>
    <cdr:sp macro="" textlink="">
      <cdr:nvSpPr>
        <cdr:cNvPr id="2" name="Прямокутник 1">
          <a:extLst xmlns:a="http://schemas.openxmlformats.org/drawingml/2006/main">
            <a:ext uri="{FF2B5EF4-FFF2-40B4-BE49-F238E27FC236}">
              <a16:creationId xmlns:a16="http://schemas.microsoft.com/office/drawing/2014/main" id="{14FD4F14-F455-B909-A06D-3048F52820C3}"/>
            </a:ext>
          </a:extLst>
        </cdr:cNvPr>
        <cdr:cNvSpPr/>
      </cdr:nvSpPr>
      <cdr:spPr>
        <a:xfrm xmlns:a="http://schemas.openxmlformats.org/drawingml/2006/main">
          <a:off x="748242" y="1893704"/>
          <a:ext cx="975783" cy="504542"/>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p xmlns:a="http://schemas.openxmlformats.org/drawingml/2006/main">
          <a:endParaRPr lang="en-US"/>
        </a:p>
      </cdr:txBody>
    </cdr:sp>
  </cdr:relSizeAnchor>
  <cdr:relSizeAnchor xmlns:cdr="http://schemas.openxmlformats.org/drawingml/2006/chartDrawing">
    <cdr:from>
      <cdr:x>0.56043</cdr:x>
      <cdr:y>0.52057</cdr:y>
    </cdr:from>
    <cdr:to>
      <cdr:x>0.87956</cdr:x>
      <cdr:y>0.68521</cdr:y>
    </cdr:to>
    <cdr:sp macro="" textlink="">
      <cdr:nvSpPr>
        <cdr:cNvPr id="4" name="Прямокутник 3">
          <a:extLst xmlns:a="http://schemas.openxmlformats.org/drawingml/2006/main">
            <a:ext uri="{FF2B5EF4-FFF2-40B4-BE49-F238E27FC236}">
              <a16:creationId xmlns:a16="http://schemas.microsoft.com/office/drawing/2014/main" id="{F0180DEA-8B71-0553-DFC9-BA4286C6CE26}"/>
            </a:ext>
          </a:extLst>
        </cdr:cNvPr>
        <cdr:cNvSpPr/>
      </cdr:nvSpPr>
      <cdr:spPr>
        <a:xfrm xmlns:a="http://schemas.openxmlformats.org/drawingml/2006/main">
          <a:off x="2222243" y="1524198"/>
          <a:ext cx="1265430" cy="482056"/>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ru-RU" sz="600" b="1">
            <a:solidFill>
              <a:schemeClr val="accent1">
                <a:lumMod val="75000"/>
              </a:schemeClr>
            </a:solidFill>
          </a:endParaRPr>
        </a:p>
      </cdr:txBody>
    </cdr:sp>
  </cdr:relSizeAnchor>
  <cdr:relSizeAnchor xmlns:cdr="http://schemas.openxmlformats.org/drawingml/2006/chartDrawing">
    <cdr:from>
      <cdr:x>0.45153</cdr:x>
      <cdr:y>0.21784</cdr:y>
    </cdr:from>
    <cdr:to>
      <cdr:x>0.7723</cdr:x>
      <cdr:y>0.39335</cdr:y>
    </cdr:to>
    <cdr:sp macro="" textlink="">
      <cdr:nvSpPr>
        <cdr:cNvPr id="5" name="Прямокутник 4">
          <a:extLst xmlns:a="http://schemas.openxmlformats.org/drawingml/2006/main">
            <a:ext uri="{FF2B5EF4-FFF2-40B4-BE49-F238E27FC236}">
              <a16:creationId xmlns:a16="http://schemas.microsoft.com/office/drawing/2014/main" id="{864639DA-4847-9C16-7967-A33C34908730}"/>
            </a:ext>
          </a:extLst>
        </cdr:cNvPr>
        <cdr:cNvSpPr/>
      </cdr:nvSpPr>
      <cdr:spPr>
        <a:xfrm xmlns:a="http://schemas.openxmlformats.org/drawingml/2006/main">
          <a:off x="1838272" y="596988"/>
          <a:ext cx="1305876" cy="480977"/>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ru-RU" sz="600" b="1">
            <a:solidFill>
              <a:schemeClr val="accent1">
                <a:lumMod val="75000"/>
              </a:schemeClr>
            </a:solidFill>
          </a:endParaRPr>
        </a:p>
      </cdr:txBody>
    </cdr:sp>
  </cdr:relSizeAnchor>
  <cdr:relSizeAnchor xmlns:cdr="http://schemas.openxmlformats.org/drawingml/2006/chartDrawing">
    <cdr:from>
      <cdr:x>0.19667</cdr:x>
      <cdr:y>0.66999</cdr:y>
    </cdr:from>
    <cdr:to>
      <cdr:x>0.42789</cdr:x>
      <cdr:y>0.73354</cdr:y>
    </cdr:to>
    <cdr:sp macro="" textlink="">
      <cdr:nvSpPr>
        <cdr:cNvPr id="3" name="TextBox 2"/>
        <cdr:cNvSpPr txBox="1"/>
      </cdr:nvSpPr>
      <cdr:spPr>
        <a:xfrm xmlns:a="http://schemas.openxmlformats.org/drawingml/2006/main">
          <a:off x="798763" y="1832243"/>
          <a:ext cx="939132" cy="1737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uk-UA" sz="1100"/>
        </a:p>
      </cdr:txBody>
    </cdr:sp>
  </cdr:relSizeAnchor>
  <cdr:relSizeAnchor xmlns:cdr="http://schemas.openxmlformats.org/drawingml/2006/chartDrawing">
    <cdr:from>
      <cdr:x>0.17492</cdr:x>
      <cdr:y>0.63692</cdr:y>
    </cdr:from>
    <cdr:to>
      <cdr:x>0.48593</cdr:x>
      <cdr:y>0.68951</cdr:y>
    </cdr:to>
    <cdr:sp macro="" textlink="'Чарти 5-7'!$H$71">
      <cdr:nvSpPr>
        <cdr:cNvPr id="6" name="TextBox 5"/>
        <cdr:cNvSpPr txBox="1"/>
      </cdr:nvSpPr>
      <cdr:spPr>
        <a:xfrm xmlns:a="http://schemas.openxmlformats.org/drawingml/2006/main">
          <a:off x="712117" y="1745461"/>
          <a:ext cx="1266186" cy="14411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8632300-037F-4900-819D-BA40D492CB89}" type="TxLink">
            <a:rPr lang="uk-UA" sz="600" b="1" i="0" u="none" strike="noStrike">
              <a:solidFill>
                <a:schemeClr val="accent5"/>
              </a:solidFill>
              <a:latin typeface="Montserrat"/>
            </a:rPr>
            <a:pPr/>
            <a:t>В середньому за 2021 рік:</a:t>
          </a:fld>
          <a:endParaRPr lang="uk-UA" sz="600" b="1">
            <a:solidFill>
              <a:schemeClr val="accent5"/>
            </a:solidFill>
          </a:endParaRPr>
        </a:p>
      </cdr:txBody>
    </cdr:sp>
  </cdr:relSizeAnchor>
  <cdr:relSizeAnchor xmlns:cdr="http://schemas.openxmlformats.org/drawingml/2006/chartDrawing">
    <cdr:from>
      <cdr:x>0.17553</cdr:x>
      <cdr:y>0.67757</cdr:y>
    </cdr:from>
    <cdr:to>
      <cdr:x>0.48654</cdr:x>
      <cdr:y>0.73015</cdr:y>
    </cdr:to>
    <cdr:sp macro="" textlink="'Чарти 5-7'!$M$71">
      <cdr:nvSpPr>
        <cdr:cNvPr id="7" name="TextBox 1"/>
        <cdr:cNvSpPr txBox="1"/>
      </cdr:nvSpPr>
      <cdr:spPr>
        <a:xfrm xmlns:a="http://schemas.openxmlformats.org/drawingml/2006/main">
          <a:off x="714102" y="1845249"/>
          <a:ext cx="1265287" cy="14321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D3DD8ABB-0424-4DD4-A51B-9B3F7553F0AA}" type="TxLink">
            <a:rPr lang="en-US" sz="600" b="1" i="0" u="none" strike="noStrike">
              <a:solidFill>
                <a:schemeClr val="accent5"/>
              </a:solidFill>
              <a:latin typeface="Montserrat"/>
            </a:rPr>
            <a:pPr/>
            <a:t>14 тис. грн / $514</a:t>
          </a:fld>
          <a:endParaRPr lang="uk-UA" sz="600" b="1">
            <a:solidFill>
              <a:schemeClr val="accent5"/>
            </a:solidFill>
          </a:endParaRPr>
        </a:p>
      </cdr:txBody>
    </cdr:sp>
  </cdr:relSizeAnchor>
  <cdr:relSizeAnchor xmlns:cdr="http://schemas.openxmlformats.org/drawingml/2006/chartDrawing">
    <cdr:from>
      <cdr:x>0.17645</cdr:x>
      <cdr:y>0.71456</cdr:y>
    </cdr:from>
    <cdr:to>
      <cdr:x>0.38981</cdr:x>
      <cdr:y>0.77556</cdr:y>
    </cdr:to>
    <cdr:sp macro="" textlink="'Чарти 5-7'!$S$71">
      <cdr:nvSpPr>
        <cdr:cNvPr id="8" name="TextBox 1"/>
        <cdr:cNvSpPr txBox="1"/>
      </cdr:nvSpPr>
      <cdr:spPr>
        <a:xfrm xmlns:a="http://schemas.openxmlformats.org/drawingml/2006/main">
          <a:off x="717849" y="1945999"/>
          <a:ext cx="867999" cy="16612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A484E7FE-25FF-48E7-9086-DD2D6B2970CF}" type="TxLink">
            <a:rPr lang="uk-UA" sz="600" b="1" i="0" u="none" strike="noStrike">
              <a:solidFill>
                <a:schemeClr val="accent5"/>
              </a:solidFill>
              <a:latin typeface="Montserrat"/>
            </a:rPr>
            <a:pPr/>
            <a:t>в грн +20,9%</a:t>
          </a:fld>
          <a:endParaRPr lang="uk-UA" sz="600" b="1">
            <a:solidFill>
              <a:schemeClr val="accent5"/>
            </a:solidFill>
          </a:endParaRPr>
        </a:p>
      </cdr:txBody>
    </cdr:sp>
  </cdr:relSizeAnchor>
  <cdr:relSizeAnchor xmlns:cdr="http://schemas.openxmlformats.org/drawingml/2006/chartDrawing">
    <cdr:from>
      <cdr:x>0.17654</cdr:x>
      <cdr:y>0.75553</cdr:y>
    </cdr:from>
    <cdr:to>
      <cdr:x>0.42014</cdr:x>
      <cdr:y>0.81339</cdr:y>
    </cdr:to>
    <cdr:sp macro="" textlink="'Чарти 5-7'!$AA$71">
      <cdr:nvSpPr>
        <cdr:cNvPr id="9" name="TextBox 1"/>
        <cdr:cNvSpPr txBox="1"/>
      </cdr:nvSpPr>
      <cdr:spPr>
        <a:xfrm xmlns:a="http://schemas.openxmlformats.org/drawingml/2006/main">
          <a:off x="718741" y="2070519"/>
          <a:ext cx="991706" cy="15855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30CFD2-2C4B-460C-AC12-289011D93740}" type="TxLink">
            <a:rPr lang="uk-UA" sz="600" b="1" i="0" u="none" strike="noStrike">
              <a:solidFill>
                <a:schemeClr val="accent5"/>
              </a:solidFill>
              <a:latin typeface="Montserrat"/>
            </a:rPr>
            <a:pPr/>
            <a:t>в дол. екв.  19,4%</a:t>
          </a:fld>
          <a:endParaRPr lang="uk-UA" sz="100" b="1">
            <a:solidFill>
              <a:schemeClr val="accent5"/>
            </a:solidFill>
          </a:endParaRPr>
        </a:p>
      </cdr:txBody>
    </cdr:sp>
  </cdr:relSizeAnchor>
  <cdr:relSizeAnchor xmlns:cdr="http://schemas.openxmlformats.org/drawingml/2006/chartDrawing">
    <cdr:from>
      <cdr:x>0.43792</cdr:x>
      <cdr:y>0.20982</cdr:y>
    </cdr:from>
    <cdr:to>
      <cdr:x>0.80471</cdr:x>
      <cdr:y>0.25581</cdr:y>
    </cdr:to>
    <cdr:sp macro="" textlink="'Чарти 5-7'!$H$72">
      <cdr:nvSpPr>
        <cdr:cNvPr id="10" name="TextBox 1"/>
        <cdr:cNvSpPr txBox="1"/>
      </cdr:nvSpPr>
      <cdr:spPr>
        <a:xfrm xmlns:a="http://schemas.openxmlformats.org/drawingml/2006/main">
          <a:off x="1736461" y="614341"/>
          <a:ext cx="1454414" cy="1346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4D906691-8EF9-41B7-AB70-0347D2D4A4E8}" type="TxLink">
            <a:rPr lang="uk-UA" sz="600" b="1" i="0" u="none" strike="noStrike">
              <a:solidFill>
                <a:schemeClr val="accent5"/>
              </a:solidFill>
              <a:latin typeface="Montserrat"/>
            </a:rPr>
            <a:pPr/>
            <a:t>В середньому за 2022 рік:</a:t>
          </a:fld>
          <a:endParaRPr lang="uk-UA" sz="600" b="1">
            <a:solidFill>
              <a:schemeClr val="accent5"/>
            </a:solidFill>
          </a:endParaRPr>
        </a:p>
      </cdr:txBody>
    </cdr:sp>
  </cdr:relSizeAnchor>
  <cdr:relSizeAnchor xmlns:cdr="http://schemas.openxmlformats.org/drawingml/2006/chartDrawing">
    <cdr:from>
      <cdr:x>0.43854</cdr:x>
      <cdr:y>0.25047</cdr:y>
    </cdr:from>
    <cdr:to>
      <cdr:x>0.74955</cdr:x>
      <cdr:y>0.30306</cdr:y>
    </cdr:to>
    <cdr:sp macro="" textlink="'Чарти 5-7'!$M$72">
      <cdr:nvSpPr>
        <cdr:cNvPr id="11" name="TextBox 1"/>
        <cdr:cNvSpPr txBox="1"/>
      </cdr:nvSpPr>
      <cdr:spPr>
        <a:xfrm xmlns:a="http://schemas.openxmlformats.org/drawingml/2006/main">
          <a:off x="1785357" y="686406"/>
          <a:ext cx="1266186" cy="14411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E8464040-FC54-410A-BAE2-9FE7808A5EA1}" type="TxLink">
            <a:rPr lang="en-US" sz="600" b="1" i="0" u="none" strike="noStrike">
              <a:solidFill>
                <a:schemeClr val="accent5"/>
              </a:solidFill>
              <a:latin typeface="Montserrat"/>
            </a:rPr>
            <a:pPr/>
            <a:t>14,9 тис. грн / $458</a:t>
          </a:fld>
          <a:endParaRPr lang="uk-UA" sz="100" b="1">
            <a:solidFill>
              <a:schemeClr val="accent5"/>
            </a:solidFill>
          </a:endParaRPr>
        </a:p>
      </cdr:txBody>
    </cdr:sp>
  </cdr:relSizeAnchor>
  <cdr:relSizeAnchor xmlns:cdr="http://schemas.openxmlformats.org/drawingml/2006/chartDrawing">
    <cdr:from>
      <cdr:x>0.43946</cdr:x>
      <cdr:y>0.28746</cdr:y>
    </cdr:from>
    <cdr:to>
      <cdr:x>0.65282</cdr:x>
      <cdr:y>0.34846</cdr:y>
    </cdr:to>
    <cdr:sp macro="" textlink="'Чарти 5-7'!$S$72">
      <cdr:nvSpPr>
        <cdr:cNvPr id="12" name="TextBox 1"/>
        <cdr:cNvSpPr txBox="1"/>
      </cdr:nvSpPr>
      <cdr:spPr>
        <a:xfrm xmlns:a="http://schemas.openxmlformats.org/drawingml/2006/main">
          <a:off x="1789106" y="787789"/>
          <a:ext cx="868616" cy="16717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0C1902E-158F-4922-8C61-F1E8F8D1C8F7}" type="TxLink">
            <a:rPr lang="uk-UA" sz="600" b="1" i="0" u="none" strike="noStrike">
              <a:solidFill>
                <a:schemeClr val="accent5"/>
              </a:solidFill>
              <a:latin typeface="Montserrat"/>
            </a:rPr>
            <a:pPr/>
            <a:t>в грн +6,0%</a:t>
          </a:fld>
          <a:endParaRPr lang="uk-UA" sz="600" b="1">
            <a:solidFill>
              <a:schemeClr val="accent5"/>
            </a:solidFill>
          </a:endParaRPr>
        </a:p>
      </cdr:txBody>
    </cdr:sp>
  </cdr:relSizeAnchor>
  <cdr:relSizeAnchor xmlns:cdr="http://schemas.openxmlformats.org/drawingml/2006/chartDrawing">
    <cdr:from>
      <cdr:x>0.43955</cdr:x>
      <cdr:y>0.32844</cdr:y>
    </cdr:from>
    <cdr:to>
      <cdr:x>0.68314</cdr:x>
      <cdr:y>0.38629</cdr:y>
    </cdr:to>
    <cdr:sp macro="" textlink="'Чарти 5-7'!$AA$72">
      <cdr:nvSpPr>
        <cdr:cNvPr id="13" name="TextBox 1"/>
        <cdr:cNvSpPr txBox="1"/>
      </cdr:nvSpPr>
      <cdr:spPr>
        <a:xfrm xmlns:a="http://schemas.openxmlformats.org/drawingml/2006/main">
          <a:off x="1789488" y="900071"/>
          <a:ext cx="991706" cy="15855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fld id="{DB33E188-43A6-4117-86B5-9F41BE443F1E}" type="TxLink">
            <a:rPr lang="uk-UA" sz="600" b="1" i="0" u="none" strike="noStrike">
              <a:solidFill>
                <a:schemeClr val="accent5"/>
              </a:solidFill>
              <a:latin typeface="Montserrat"/>
              <a:ea typeface="+mn-ea"/>
              <a:cs typeface="+mn-cs"/>
            </a:rPr>
            <a:pPr marL="0" indent="0"/>
            <a:t>в дол. екв.  -11,0%</a:t>
          </a:fld>
          <a:endParaRPr lang="uk-UA" sz="600" b="1" i="0" u="none" strike="noStrike">
            <a:solidFill>
              <a:schemeClr val="accent5"/>
            </a:solidFill>
            <a:latin typeface="Montserrat"/>
            <a:ea typeface="+mn-ea"/>
            <a:cs typeface="+mn-cs"/>
          </a:endParaRPr>
        </a:p>
      </cdr:txBody>
    </cdr:sp>
  </cdr:relSizeAnchor>
  <cdr:relSizeAnchor xmlns:cdr="http://schemas.openxmlformats.org/drawingml/2006/chartDrawing">
    <cdr:from>
      <cdr:x>0.55607</cdr:x>
      <cdr:y>0.51055</cdr:y>
    </cdr:from>
    <cdr:to>
      <cdr:x>0.91281</cdr:x>
      <cdr:y>0.56485</cdr:y>
    </cdr:to>
    <cdr:sp macro="" textlink="'Чарти 5-7'!$H$73">
      <cdr:nvSpPr>
        <cdr:cNvPr id="14" name="TextBox 1"/>
        <cdr:cNvSpPr txBox="1"/>
      </cdr:nvSpPr>
      <cdr:spPr>
        <a:xfrm xmlns:a="http://schemas.openxmlformats.org/drawingml/2006/main">
          <a:off x="2204955" y="1494859"/>
          <a:ext cx="1414545" cy="15899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14F95627-FA48-48AC-A6D6-A9D79D627422}" type="TxLink">
            <a:rPr lang="uk-UA" sz="600" b="1" i="0" u="none" strike="noStrike">
              <a:solidFill>
                <a:schemeClr val="accent5"/>
              </a:solidFill>
              <a:latin typeface="Montserrat"/>
            </a:rPr>
            <a:pPr/>
            <a:t>В середньому за 2023 рік:</a:t>
          </a:fld>
          <a:endParaRPr lang="uk-UA" sz="100" b="1">
            <a:solidFill>
              <a:schemeClr val="accent5"/>
            </a:solidFill>
          </a:endParaRPr>
        </a:p>
      </cdr:txBody>
    </cdr:sp>
  </cdr:relSizeAnchor>
  <cdr:relSizeAnchor xmlns:cdr="http://schemas.openxmlformats.org/drawingml/2006/chartDrawing">
    <cdr:from>
      <cdr:x>0.55428</cdr:x>
      <cdr:y>0.54795</cdr:y>
    </cdr:from>
    <cdr:to>
      <cdr:x>0.86529</cdr:x>
      <cdr:y>0.60054</cdr:y>
    </cdr:to>
    <cdr:sp macro="" textlink="'Чарти 5-7'!$M$73">
      <cdr:nvSpPr>
        <cdr:cNvPr id="15" name="TextBox 1"/>
        <cdr:cNvSpPr txBox="1"/>
      </cdr:nvSpPr>
      <cdr:spPr>
        <a:xfrm xmlns:a="http://schemas.openxmlformats.org/drawingml/2006/main">
          <a:off x="2197849" y="1604356"/>
          <a:ext cx="1233231" cy="153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6FD73AAA-E94E-401B-BB8B-569F66343B24}" type="TxLink">
            <a:rPr lang="en-US" sz="600" b="1" i="0" u="none" strike="noStrike">
              <a:solidFill>
                <a:schemeClr val="accent5"/>
              </a:solidFill>
              <a:latin typeface="Montserrat"/>
            </a:rPr>
            <a:pPr/>
            <a:t>17,2 тис. грн / $469</a:t>
          </a:fld>
          <a:endParaRPr lang="uk-UA" sz="100" b="1">
            <a:solidFill>
              <a:schemeClr val="accent5"/>
            </a:solidFill>
          </a:endParaRPr>
        </a:p>
      </cdr:txBody>
    </cdr:sp>
  </cdr:relSizeAnchor>
  <cdr:relSizeAnchor xmlns:cdr="http://schemas.openxmlformats.org/drawingml/2006/chartDrawing">
    <cdr:from>
      <cdr:x>0.5576</cdr:x>
      <cdr:y>0.5882</cdr:y>
    </cdr:from>
    <cdr:to>
      <cdr:x>0.77096</cdr:x>
      <cdr:y>0.6492</cdr:y>
    </cdr:to>
    <cdr:sp macro="" textlink="'Чарти 5-7'!$S$73">
      <cdr:nvSpPr>
        <cdr:cNvPr id="16" name="TextBox 1"/>
        <cdr:cNvSpPr txBox="1"/>
      </cdr:nvSpPr>
      <cdr:spPr>
        <a:xfrm xmlns:a="http://schemas.openxmlformats.org/drawingml/2006/main">
          <a:off x="2270085" y="1611938"/>
          <a:ext cx="868616" cy="16717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6901718C-8398-477A-AD3F-24B598C976BC}" type="TxLink">
            <a:rPr lang="uk-UA" sz="600" b="1" i="0" u="none" strike="noStrike">
              <a:solidFill>
                <a:schemeClr val="accent5"/>
              </a:solidFill>
              <a:latin typeface="Montserrat"/>
            </a:rPr>
            <a:pPr/>
            <a:t>в грн +15,5%</a:t>
          </a:fld>
          <a:endParaRPr lang="uk-UA" sz="600" b="1">
            <a:solidFill>
              <a:schemeClr val="accent5"/>
            </a:solidFill>
          </a:endParaRPr>
        </a:p>
      </cdr:txBody>
    </cdr:sp>
  </cdr:relSizeAnchor>
  <cdr:relSizeAnchor xmlns:cdr="http://schemas.openxmlformats.org/drawingml/2006/chartDrawing">
    <cdr:from>
      <cdr:x>0.55769</cdr:x>
      <cdr:y>0.62917</cdr:y>
    </cdr:from>
    <cdr:to>
      <cdr:x>0.80129</cdr:x>
      <cdr:y>0.68702</cdr:y>
    </cdr:to>
    <cdr:sp macro="" textlink="'Чарти 5-7'!$AA$73">
      <cdr:nvSpPr>
        <cdr:cNvPr id="17" name="TextBox 1"/>
        <cdr:cNvSpPr txBox="1"/>
      </cdr:nvSpPr>
      <cdr:spPr>
        <a:xfrm xmlns:a="http://schemas.openxmlformats.org/drawingml/2006/main">
          <a:off x="2270467" y="1724220"/>
          <a:ext cx="991706" cy="15855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46843015-D6D1-40D9-8D5D-64AC254CB562}" type="TxLink">
            <a:rPr lang="uk-UA" sz="600" b="1" i="0" u="none" strike="noStrike">
              <a:solidFill>
                <a:schemeClr val="accent5"/>
              </a:solidFill>
              <a:latin typeface="Montserrat"/>
            </a:rPr>
            <a:pPr/>
            <a:t>в дол. екв.  2,5%</a:t>
          </a:fld>
          <a:endParaRPr lang="uk-UA" sz="600" b="1">
            <a:solidFill>
              <a:schemeClr val="accent5"/>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0.69814</cdr:x>
      <cdr:y>0.7521</cdr:y>
    </cdr:from>
    <cdr:to>
      <cdr:x>0.93798</cdr:x>
      <cdr:y>0.84089</cdr:y>
    </cdr:to>
    <cdr:sp macro="" textlink="'Чарти 5-7'!$H$10">
      <cdr:nvSpPr>
        <cdr:cNvPr id="2" name="TextBox 1">
          <a:extLst xmlns:a="http://schemas.openxmlformats.org/drawingml/2006/main">
            <a:ext uri="{FF2B5EF4-FFF2-40B4-BE49-F238E27FC236}">
              <a16:creationId xmlns:a16="http://schemas.microsoft.com/office/drawing/2014/main" id="{67B87EAF-3EF7-4BDB-8DFC-F9D48FD5626D}"/>
            </a:ext>
          </a:extLst>
        </cdr:cNvPr>
        <cdr:cNvSpPr txBox="1"/>
      </cdr:nvSpPr>
      <cdr:spPr>
        <a:xfrm xmlns:a="http://schemas.openxmlformats.org/drawingml/2006/main">
          <a:off x="2847579" y="2041509"/>
          <a:ext cx="978260" cy="241011"/>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588C9EFE-46F6-44A6-A856-66C3F07D9647}" type="TxLink">
            <a:rPr lang="uk-UA" sz="600" b="0" i="0" u="none" strike="noStrike">
              <a:solidFill>
                <a:schemeClr val="accent5"/>
              </a:solidFill>
              <a:latin typeface="Montserrat"/>
            </a:rPr>
            <a:pPr algn="ctr"/>
            <a:t>Дефлятор ВВП в 2024 10,6%</a:t>
          </a:fld>
          <a:endParaRPr lang="ru-RU" sz="200" b="0">
            <a:solidFill>
              <a:schemeClr val="accent5"/>
            </a:solidFill>
          </a:endParaRPr>
        </a:p>
      </cdr:txBody>
    </cdr:sp>
  </cdr:relSizeAnchor>
  <cdr:relSizeAnchor xmlns:cdr="http://schemas.openxmlformats.org/drawingml/2006/chartDrawing">
    <cdr:from>
      <cdr:x>0.11012</cdr:x>
      <cdr:y>0.75653</cdr:y>
    </cdr:from>
    <cdr:to>
      <cdr:x>0.34995</cdr:x>
      <cdr:y>0.84532</cdr:y>
    </cdr:to>
    <cdr:sp macro="" textlink="'Чарти 5-7'!$H$8">
      <cdr:nvSpPr>
        <cdr:cNvPr id="3" name="TextBox 1">
          <a:extLst xmlns:a="http://schemas.openxmlformats.org/drawingml/2006/main">
            <a:ext uri="{FF2B5EF4-FFF2-40B4-BE49-F238E27FC236}">
              <a16:creationId xmlns:a16="http://schemas.microsoft.com/office/drawing/2014/main" id="{7C6909B8-ED4F-4109-B06A-D8E458ABDCC9}"/>
            </a:ext>
          </a:extLst>
        </cdr:cNvPr>
        <cdr:cNvSpPr txBox="1"/>
      </cdr:nvSpPr>
      <cdr:spPr>
        <a:xfrm xmlns:a="http://schemas.openxmlformats.org/drawingml/2006/main">
          <a:off x="449150" y="2053525"/>
          <a:ext cx="978219" cy="241012"/>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8855FCC0-5D46-47FB-92E5-EFC67F16B884}" type="TxLink">
            <a:rPr lang="en-US" sz="600" b="0" i="0" u="none" strike="noStrike">
              <a:solidFill>
                <a:schemeClr val="accent5"/>
              </a:solidFill>
              <a:latin typeface="Montserrat"/>
            </a:rPr>
            <a:pPr algn="ctr"/>
            <a:t>Дефлятор ВВП в 2022 34,6%</a:t>
          </a:fld>
          <a:endParaRPr lang="ru-RU" sz="400" b="0">
            <a:solidFill>
              <a:schemeClr val="accent5"/>
            </a:solidFill>
          </a:endParaRPr>
        </a:p>
      </cdr:txBody>
    </cdr:sp>
  </cdr:relSizeAnchor>
  <cdr:relSizeAnchor xmlns:cdr="http://schemas.openxmlformats.org/drawingml/2006/chartDrawing">
    <cdr:from>
      <cdr:x>0.4087</cdr:x>
      <cdr:y>0.75101</cdr:y>
    </cdr:from>
    <cdr:to>
      <cdr:x>0.64853</cdr:x>
      <cdr:y>0.83979</cdr:y>
    </cdr:to>
    <cdr:sp macro="" textlink="'Чарти 5-7'!$H$9">
      <cdr:nvSpPr>
        <cdr:cNvPr id="4" name="TextBox 1">
          <a:extLst xmlns:a="http://schemas.openxmlformats.org/drawingml/2006/main">
            <a:ext uri="{FF2B5EF4-FFF2-40B4-BE49-F238E27FC236}">
              <a16:creationId xmlns:a16="http://schemas.microsoft.com/office/drawing/2014/main" id="{AB69A2EC-0738-A623-FD75-59F856D273E4}"/>
            </a:ext>
          </a:extLst>
        </cdr:cNvPr>
        <cdr:cNvSpPr txBox="1"/>
      </cdr:nvSpPr>
      <cdr:spPr>
        <a:xfrm xmlns:a="http://schemas.openxmlformats.org/drawingml/2006/main">
          <a:off x="1666991" y="2038543"/>
          <a:ext cx="978218" cy="240985"/>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774419A1-0CDD-468D-8713-F5DFA3308B8B}" type="TxLink">
            <a:rPr lang="en-US" sz="600" b="0" i="0" u="none" strike="noStrike">
              <a:solidFill>
                <a:schemeClr val="accent5"/>
              </a:solidFill>
              <a:latin typeface="Montserrat"/>
            </a:rPr>
            <a:pPr algn="ctr"/>
            <a:t>Дефлятор ВВП в 2023 20,8%</a:t>
          </a:fld>
          <a:endParaRPr lang="ru-RU" sz="400" b="0">
            <a:solidFill>
              <a:schemeClr val="accent5"/>
            </a:solidFill>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0.19241</cdr:x>
      <cdr:y>0.65016</cdr:y>
    </cdr:from>
    <cdr:to>
      <cdr:x>0.52464</cdr:x>
      <cdr:y>0.79625</cdr:y>
    </cdr:to>
    <cdr:grpSp>
      <cdr:nvGrpSpPr>
        <cdr:cNvPr id="9" name="Групувати 8">
          <a:extLst xmlns:a="http://schemas.openxmlformats.org/drawingml/2006/main">
            <a:ext uri="{FF2B5EF4-FFF2-40B4-BE49-F238E27FC236}">
              <a16:creationId xmlns:a16="http://schemas.microsoft.com/office/drawing/2014/main" id="{5BDE94DB-3D3D-5924-DB18-38A38C71F938}"/>
            </a:ext>
          </a:extLst>
        </cdr:cNvPr>
        <cdr:cNvGrpSpPr/>
      </cdr:nvGrpSpPr>
      <cdr:grpSpPr>
        <a:xfrm xmlns:a="http://schemas.openxmlformats.org/drawingml/2006/main">
          <a:off x="764487" y="1982244"/>
          <a:ext cx="1320024" cy="445407"/>
          <a:chOff x="0" y="0"/>
          <a:chExt cx="1154235" cy="426863"/>
        </a:xfrm>
      </cdr:grpSpPr>
      <cdr:sp macro="" textlink="">
        <cdr:nvSpPr>
          <cdr:cNvPr id="10" name="Прямокутник 9">
            <a:extLst xmlns:a="http://schemas.openxmlformats.org/drawingml/2006/main">
              <a:ext uri="{FF2B5EF4-FFF2-40B4-BE49-F238E27FC236}">
                <a16:creationId xmlns:a16="http://schemas.microsoft.com/office/drawing/2014/main" id="{900B3C95-0197-D080-AC44-9D9A868B308A}"/>
              </a:ext>
            </a:extLst>
          </cdr:cNvPr>
          <cdr:cNvSpPr/>
        </cdr:nvSpPr>
        <cdr:spPr>
          <a:xfrm xmlns:a="http://schemas.openxmlformats.org/drawingml/2006/main">
            <a:off x="0" y="0"/>
            <a:ext cx="1154235" cy="426863"/>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ru-RU" sz="600" b="1">
              <a:solidFill>
                <a:schemeClr val="accent1">
                  <a:lumMod val="50000"/>
                </a:schemeClr>
              </a:solidFill>
            </a:endParaRPr>
          </a:p>
        </cdr:txBody>
      </cdr:sp>
      <cdr:sp macro="" textlink="'Чарти 5-7'!$H$74">
        <cdr:nvSpPr>
          <cdr:cNvPr id="11" name="TextBox 1">
            <a:extLst xmlns:a="http://schemas.openxmlformats.org/drawingml/2006/main">
              <a:ext uri="{FF2B5EF4-FFF2-40B4-BE49-F238E27FC236}">
                <a16:creationId xmlns:a16="http://schemas.microsoft.com/office/drawing/2014/main" id="{5D3C1315-EEBF-B83E-966E-EBA91AA46A64}"/>
              </a:ext>
            </a:extLst>
          </cdr:cNvPr>
          <cdr:cNvSpPr txBox="1"/>
        </cdr:nvSpPr>
        <cdr:spPr>
          <a:xfrm xmlns:a="http://schemas.openxmlformats.org/drawingml/2006/main">
            <a:off x="26986" y="8617"/>
            <a:ext cx="1099030" cy="97646"/>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F83E141-5D5E-41FB-9CB2-F43B56657CA4}" type="TxLink">
              <a:rPr lang="uk-UA" sz="600" b="1" i="0" u="none" strike="noStrike">
                <a:solidFill>
                  <a:schemeClr val="accent1">
                    <a:lumMod val="50000"/>
                  </a:schemeClr>
                </a:solidFill>
                <a:latin typeface="Montserrat"/>
              </a:rPr>
              <a:pPr/>
              <a:t>В середньому за 2024 рік:</a:t>
            </a:fld>
            <a:endParaRPr lang="uk-UA" sz="100" b="1">
              <a:solidFill>
                <a:schemeClr val="accent1">
                  <a:lumMod val="50000"/>
                </a:schemeClr>
              </a:solidFill>
            </a:endParaRPr>
          </a:p>
        </cdr:txBody>
      </cdr:sp>
      <cdr:sp macro="" textlink="'Чарти 5-7'!$M$74">
        <cdr:nvSpPr>
          <cdr:cNvPr id="12" name="TextBox 1">
            <a:extLst xmlns:a="http://schemas.openxmlformats.org/drawingml/2006/main">
              <a:ext uri="{FF2B5EF4-FFF2-40B4-BE49-F238E27FC236}">
                <a16:creationId xmlns:a16="http://schemas.microsoft.com/office/drawing/2014/main" id="{C3A3A211-977F-05AC-B4FD-C8C9DE664184}"/>
              </a:ext>
            </a:extLst>
          </cdr:cNvPr>
          <cdr:cNvSpPr txBox="1"/>
        </cdr:nvSpPr>
        <cdr:spPr>
          <a:xfrm xmlns:a="http://schemas.openxmlformats.org/drawingml/2006/main">
            <a:off x="39729" y="111593"/>
            <a:ext cx="802709" cy="10223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921292C3-33ED-427C-9FFE-445F3CC4CD38}" type="TxLink">
              <a:rPr lang="en-US" sz="1100" b="0" i="0" u="none" strike="noStrike">
                <a:solidFill>
                  <a:srgbClr val="000000"/>
                </a:solidFill>
                <a:latin typeface="Montserrat"/>
              </a:rPr>
              <a:pPr/>
              <a:t>20,8 тис. грн / $519</a:t>
            </a:fld>
            <a:endParaRPr lang="uk-UA" sz="100" b="1">
              <a:solidFill>
                <a:schemeClr val="accent1">
                  <a:lumMod val="50000"/>
                </a:schemeClr>
              </a:solidFill>
            </a:endParaRPr>
          </a:p>
        </cdr:txBody>
      </cdr:sp>
      <cdr:sp macro="" textlink="'Чарти 5-7'!$S$74">
        <cdr:nvSpPr>
          <cdr:cNvPr id="13" name="TextBox 1">
            <a:extLst xmlns:a="http://schemas.openxmlformats.org/drawingml/2006/main">
              <a:ext uri="{FF2B5EF4-FFF2-40B4-BE49-F238E27FC236}">
                <a16:creationId xmlns:a16="http://schemas.microsoft.com/office/drawing/2014/main" id="{9ADDC88F-A10B-F32A-5404-128F12927660}"/>
              </a:ext>
            </a:extLst>
          </cdr:cNvPr>
          <cdr:cNvSpPr txBox="1"/>
        </cdr:nvSpPr>
        <cdr:spPr>
          <a:xfrm xmlns:a="http://schemas.openxmlformats.org/drawingml/2006/main">
            <a:off x="51102" y="206690"/>
            <a:ext cx="605921" cy="109319"/>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AC6F3FB4-0037-43E8-B858-C33B1851E3CA}" type="TxLink">
              <a:rPr lang="uk-UA" sz="600" b="0" i="1" u="none" strike="noStrike">
                <a:solidFill>
                  <a:schemeClr val="accent1">
                    <a:lumMod val="50000"/>
                  </a:schemeClr>
                </a:solidFill>
                <a:latin typeface="Montserrat"/>
              </a:rPr>
              <a:pPr/>
              <a:t>в грн +20,9%</a:t>
            </a:fld>
            <a:endParaRPr lang="uk-UA" sz="200" b="0" i="1">
              <a:solidFill>
                <a:schemeClr val="accent1">
                  <a:lumMod val="50000"/>
                </a:schemeClr>
              </a:solidFill>
            </a:endParaRPr>
          </a:p>
        </cdr:txBody>
      </cdr:sp>
      <cdr:sp macro="" textlink="'Чарти 5-7'!$AA$74">
        <cdr:nvSpPr>
          <cdr:cNvPr id="14" name="TextBox 1">
            <a:extLst xmlns:a="http://schemas.openxmlformats.org/drawingml/2006/main">
              <a:ext uri="{FF2B5EF4-FFF2-40B4-BE49-F238E27FC236}">
                <a16:creationId xmlns:a16="http://schemas.microsoft.com/office/drawing/2014/main" id="{66C0AE0F-B2FA-EDAA-F8E8-573F90043379}"/>
              </a:ext>
            </a:extLst>
          </cdr:cNvPr>
          <cdr:cNvSpPr txBox="1"/>
        </cdr:nvSpPr>
        <cdr:spPr>
          <a:xfrm xmlns:a="http://schemas.openxmlformats.org/drawingml/2006/main">
            <a:off x="46102" y="309252"/>
            <a:ext cx="681813" cy="108942"/>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6D9D0C6A-E9C8-4944-8A67-D07A18D1F331}" type="TxLink">
              <a:rPr lang="uk-UA" sz="600" b="0" i="1" u="none" strike="noStrike">
                <a:solidFill>
                  <a:schemeClr val="accent1">
                    <a:lumMod val="50000"/>
                  </a:schemeClr>
                </a:solidFill>
                <a:latin typeface="Montserrat"/>
              </a:rPr>
              <a:pPr/>
              <a:t>в дол. екв.  +10,6%</a:t>
            </a:fld>
            <a:endParaRPr lang="uk-UA" sz="100" b="0" i="1">
              <a:solidFill>
                <a:schemeClr val="accent1">
                  <a:lumMod val="50000"/>
                </a:schemeClr>
              </a:solidFill>
            </a:endParaRPr>
          </a:p>
        </cdr:txBody>
      </cdr:sp>
    </cdr:grpSp>
  </cdr:relSizeAnchor>
</c:userShapes>
</file>

<file path=xl/drawings/drawing8.xml><?xml version="1.0" encoding="utf-8"?>
<c:userShapes xmlns:c="http://schemas.openxmlformats.org/drawingml/2006/chart">
  <cdr:relSizeAnchor xmlns:cdr="http://schemas.openxmlformats.org/drawingml/2006/chartDrawing">
    <cdr:from>
      <cdr:x>0.19667</cdr:x>
      <cdr:y>0.66999</cdr:y>
    </cdr:from>
    <cdr:to>
      <cdr:x>0.42789</cdr:x>
      <cdr:y>0.73354</cdr:y>
    </cdr:to>
    <cdr:sp macro="" textlink="">
      <cdr:nvSpPr>
        <cdr:cNvPr id="3" name="TextBox 2"/>
        <cdr:cNvSpPr txBox="1"/>
      </cdr:nvSpPr>
      <cdr:spPr>
        <a:xfrm xmlns:a="http://schemas.openxmlformats.org/drawingml/2006/main">
          <a:off x="798763" y="1832243"/>
          <a:ext cx="939132" cy="1737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uk-UA" sz="1100"/>
        </a:p>
      </cdr:txBody>
    </cdr:sp>
  </cdr:relSizeAnchor>
  <cdr:relSizeAnchor xmlns:cdr="http://schemas.openxmlformats.org/drawingml/2006/chartDrawing">
    <cdr:from>
      <cdr:x>0.07739</cdr:x>
      <cdr:y>0.91103</cdr:y>
    </cdr:from>
    <cdr:to>
      <cdr:x>0.28943</cdr:x>
      <cdr:y>0.96033</cdr:y>
    </cdr:to>
    <cdr:sp macro="" textlink="'Чарти 5-7'!$M$71">
      <cdr:nvSpPr>
        <cdr:cNvPr id="2" name="TextBox 1">
          <a:extLst xmlns:a="http://schemas.openxmlformats.org/drawingml/2006/main">
            <a:ext uri="{FF2B5EF4-FFF2-40B4-BE49-F238E27FC236}">
              <a16:creationId xmlns:a16="http://schemas.microsoft.com/office/drawing/2014/main" id="{0B810935-2BA3-B02E-39FA-A4355955F16E}"/>
            </a:ext>
          </a:extLst>
        </cdr:cNvPr>
        <cdr:cNvSpPr txBox="1"/>
      </cdr:nvSpPr>
      <cdr:spPr>
        <a:xfrm xmlns:a="http://schemas.openxmlformats.org/drawingml/2006/main">
          <a:off x="393178" y="2707955"/>
          <a:ext cx="1077209" cy="146533"/>
        </a:xfrm>
        <a:prstGeom xmlns:a="http://schemas.openxmlformats.org/drawingml/2006/main" prst="rect">
          <a:avLst/>
        </a:prstGeom>
        <a:ln xmlns:a="http://schemas.openxmlformats.org/drawingml/2006/main" w="6350">
          <a:solidFill>
            <a:schemeClr val="accent1"/>
          </a:solidFill>
        </a:ln>
      </cdr:spPr>
      <cdr:txBody>
        <a:bodyPr xmlns:a="http://schemas.openxmlformats.org/drawingml/2006/main" wrap="non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E5792E14-B040-47BC-9217-AC7753A33CC3}" type="TxLink">
            <a:rPr lang="en-US" sz="600" b="1" i="0" u="none" strike="noStrike">
              <a:solidFill>
                <a:schemeClr val="accent5"/>
              </a:solidFill>
              <a:latin typeface="Montserrat"/>
            </a:rPr>
            <a:pPr algn="ctr"/>
            <a:t>14 тис. грн / $514</a:t>
          </a:fld>
          <a:endParaRPr lang="uk-UA" sz="600" b="1">
            <a:solidFill>
              <a:schemeClr val="accent5"/>
            </a:solidFill>
          </a:endParaRPr>
        </a:p>
      </cdr:txBody>
    </cdr:sp>
  </cdr:relSizeAnchor>
  <cdr:relSizeAnchor xmlns:cdr="http://schemas.openxmlformats.org/drawingml/2006/chartDrawing">
    <cdr:from>
      <cdr:x>0.29276</cdr:x>
      <cdr:y>0.91091</cdr:y>
    </cdr:from>
    <cdr:to>
      <cdr:x>0.50479</cdr:x>
      <cdr:y>0.96021</cdr:y>
    </cdr:to>
    <cdr:sp macro="" textlink="'Чарти 5-7'!$M$72">
      <cdr:nvSpPr>
        <cdr:cNvPr id="4" name="TextBox 1">
          <a:extLst xmlns:a="http://schemas.openxmlformats.org/drawingml/2006/main">
            <a:ext uri="{FF2B5EF4-FFF2-40B4-BE49-F238E27FC236}">
              <a16:creationId xmlns:a16="http://schemas.microsoft.com/office/drawing/2014/main" id="{E1BBB241-4398-BEE6-1840-030B8DD9B5EB}"/>
            </a:ext>
          </a:extLst>
        </cdr:cNvPr>
        <cdr:cNvSpPr txBox="1"/>
      </cdr:nvSpPr>
      <cdr:spPr>
        <a:xfrm xmlns:a="http://schemas.openxmlformats.org/drawingml/2006/main">
          <a:off x="1487285" y="2707589"/>
          <a:ext cx="1077210" cy="146533"/>
        </a:xfrm>
        <a:prstGeom xmlns:a="http://schemas.openxmlformats.org/drawingml/2006/main" prst="rect">
          <a:avLst/>
        </a:prstGeom>
        <a:ln xmlns:a="http://schemas.openxmlformats.org/drawingml/2006/main" w="6350">
          <a:solidFill>
            <a:schemeClr val="accent1"/>
          </a:solidFill>
        </a:ln>
      </cdr:spPr>
      <cdr:txBody>
        <a:bodyPr xmlns:a="http://schemas.openxmlformats.org/drawingml/2006/main" wrap="non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76D3913-B49A-4772-B804-FB42BBE3337E}" type="TxLink">
            <a:rPr lang="en-US" sz="600" b="1" i="0" u="none" strike="noStrike">
              <a:solidFill>
                <a:schemeClr val="accent5"/>
              </a:solidFill>
              <a:latin typeface="Montserrat"/>
            </a:rPr>
            <a:pPr algn="ctr"/>
            <a:t>14,9 тис. грн / $458</a:t>
          </a:fld>
          <a:endParaRPr lang="uk-UA" sz="600" b="1">
            <a:solidFill>
              <a:schemeClr val="accent5"/>
            </a:solidFill>
          </a:endParaRPr>
        </a:p>
      </cdr:txBody>
    </cdr:sp>
  </cdr:relSizeAnchor>
  <cdr:relSizeAnchor xmlns:cdr="http://schemas.openxmlformats.org/drawingml/2006/chartDrawing">
    <cdr:from>
      <cdr:x>0.50949</cdr:x>
      <cdr:y>0.91123</cdr:y>
    </cdr:from>
    <cdr:to>
      <cdr:x>0.72152</cdr:x>
      <cdr:y>0.96052</cdr:y>
    </cdr:to>
    <cdr:sp macro="" textlink="'Чарти 5-7'!$M$73">
      <cdr:nvSpPr>
        <cdr:cNvPr id="5" name="TextBox 1">
          <a:extLst xmlns:a="http://schemas.openxmlformats.org/drawingml/2006/main">
            <a:ext uri="{FF2B5EF4-FFF2-40B4-BE49-F238E27FC236}">
              <a16:creationId xmlns:a16="http://schemas.microsoft.com/office/drawing/2014/main" id="{D4795E23-7DA1-8EF4-F6C2-75D8A5CC0DD4}"/>
            </a:ext>
          </a:extLst>
        </cdr:cNvPr>
        <cdr:cNvSpPr txBox="1"/>
      </cdr:nvSpPr>
      <cdr:spPr>
        <a:xfrm xmlns:a="http://schemas.openxmlformats.org/drawingml/2006/main">
          <a:off x="2588329" y="2708530"/>
          <a:ext cx="1077210" cy="146533"/>
        </a:xfrm>
        <a:prstGeom xmlns:a="http://schemas.openxmlformats.org/drawingml/2006/main" prst="rect">
          <a:avLst/>
        </a:prstGeom>
        <a:ln xmlns:a="http://schemas.openxmlformats.org/drawingml/2006/main" w="6350">
          <a:solidFill>
            <a:schemeClr val="accent1"/>
          </a:solidFill>
        </a:ln>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522AF0BA-C759-457C-B3A7-326207D39A65}" type="TxLink">
            <a:rPr lang="en-US" sz="600" b="1" i="0" u="none" strike="noStrike">
              <a:solidFill>
                <a:schemeClr val="accent5"/>
              </a:solidFill>
              <a:latin typeface="Montserrat"/>
            </a:rPr>
            <a:pPr algn="ctr"/>
            <a:t>17,2 тис. грн / $469</a:t>
          </a:fld>
          <a:endParaRPr lang="uk-UA" sz="600" b="1">
            <a:solidFill>
              <a:schemeClr val="accent5"/>
            </a:solidFill>
          </a:endParaRPr>
        </a:p>
      </cdr:txBody>
    </cdr:sp>
  </cdr:relSizeAnchor>
  <cdr:relSizeAnchor xmlns:cdr="http://schemas.openxmlformats.org/drawingml/2006/chartDrawing">
    <cdr:from>
      <cdr:x>0.72506</cdr:x>
      <cdr:y>0.91042</cdr:y>
    </cdr:from>
    <cdr:to>
      <cdr:x>0.9371</cdr:x>
      <cdr:y>0.95972</cdr:y>
    </cdr:to>
    <cdr:sp macro="" textlink="'Чарти 5-7'!$M$74">
      <cdr:nvSpPr>
        <cdr:cNvPr id="6" name="TextBox 1">
          <a:extLst xmlns:a="http://schemas.openxmlformats.org/drawingml/2006/main">
            <a:ext uri="{FF2B5EF4-FFF2-40B4-BE49-F238E27FC236}">
              <a16:creationId xmlns:a16="http://schemas.microsoft.com/office/drawing/2014/main" id="{216098E6-0DAA-3323-68CA-E1B9B88826AF}"/>
            </a:ext>
          </a:extLst>
        </cdr:cNvPr>
        <cdr:cNvSpPr txBox="1"/>
      </cdr:nvSpPr>
      <cdr:spPr>
        <a:xfrm xmlns:a="http://schemas.openxmlformats.org/drawingml/2006/main">
          <a:off x="3683509" y="2706133"/>
          <a:ext cx="1077209" cy="146533"/>
        </a:xfrm>
        <a:prstGeom xmlns:a="http://schemas.openxmlformats.org/drawingml/2006/main" prst="rect">
          <a:avLst/>
        </a:prstGeom>
        <a:ln xmlns:a="http://schemas.openxmlformats.org/drawingml/2006/main" w="6350">
          <a:solidFill>
            <a:schemeClr val="accent1"/>
          </a:solidFill>
        </a:ln>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8AFE1BAF-809B-457E-81EC-9907D7252932}" type="TxLink">
            <a:rPr lang="en-US" sz="600" b="1" i="0" u="none" strike="noStrike">
              <a:solidFill>
                <a:schemeClr val="accent5"/>
              </a:solidFill>
              <a:latin typeface="Montserrat"/>
            </a:rPr>
            <a:pPr algn="ctr"/>
            <a:t>20,8 тис. грн / $519</a:t>
          </a:fld>
          <a:endParaRPr lang="uk-UA" sz="100" b="1">
            <a:solidFill>
              <a:schemeClr val="accent5"/>
            </a:solidFill>
          </a:endParaRPr>
        </a:p>
      </cdr:txBody>
    </cdr:sp>
  </cdr:relSizeAnchor>
</c:userShapes>
</file>

<file path=xl/drawings/drawing9.xml><?xml version="1.0" encoding="utf-8"?>
<xdr:wsDr xmlns:xdr="http://schemas.openxmlformats.org/drawingml/2006/spreadsheetDrawing" xmlns:a="http://schemas.openxmlformats.org/drawingml/2006/main">
  <xdr:absoluteAnchor>
    <xdr:pos x="12393704" y="3148853"/>
    <xdr:ext cx="4078800" cy="2714400"/>
    <xdr:graphicFrame macro="">
      <xdr:nvGraphicFramePr>
        <xdr:cNvPr id="2" name="Диаграмма 10">
          <a:extLst>
            <a:ext uri="{FF2B5EF4-FFF2-40B4-BE49-F238E27FC236}">
              <a16:creationId xmlns:a16="http://schemas.microsoft.com/office/drawing/2014/main" id="{AD086B71-9775-464F-9C5C-5B331E43A82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twoCellAnchor>
    <xdr:from>
      <xdr:col>17</xdr:col>
      <xdr:colOff>78443</xdr:colOff>
      <xdr:row>41</xdr:row>
      <xdr:rowOff>89645</xdr:rowOff>
    </xdr:from>
    <xdr:to>
      <xdr:col>23</xdr:col>
      <xdr:colOff>116467</xdr:colOff>
      <xdr:row>56</xdr:row>
      <xdr:rowOff>32322</xdr:rowOff>
    </xdr:to>
    <xdr:graphicFrame macro="">
      <xdr:nvGraphicFramePr>
        <xdr:cNvPr id="3" name="Діаграма 2">
          <a:extLst>
            <a:ext uri="{FF2B5EF4-FFF2-40B4-BE49-F238E27FC236}">
              <a16:creationId xmlns:a16="http://schemas.microsoft.com/office/drawing/2014/main" id="{B5AD4A1E-9F91-43BF-B1CA-D61AE8AF2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224116</xdr:colOff>
      <xdr:row>67</xdr:row>
      <xdr:rowOff>11207</xdr:rowOff>
    </xdr:from>
    <xdr:to>
      <xdr:col>22</xdr:col>
      <xdr:colOff>575735</xdr:colOff>
      <xdr:row>80</xdr:row>
      <xdr:rowOff>145535</xdr:rowOff>
    </xdr:to>
    <xdr:graphicFrame macro="">
      <xdr:nvGraphicFramePr>
        <xdr:cNvPr id="4" name="Діаграма 3">
          <a:extLst>
            <a:ext uri="{FF2B5EF4-FFF2-40B4-BE49-F238E27FC236}">
              <a16:creationId xmlns:a16="http://schemas.microsoft.com/office/drawing/2014/main" id="{74233FFE-0805-4FB4-BFDF-08E6684A7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593911</xdr:colOff>
      <xdr:row>83</xdr:row>
      <xdr:rowOff>212911</xdr:rowOff>
    </xdr:from>
    <xdr:to>
      <xdr:col>20</xdr:col>
      <xdr:colOff>513183</xdr:colOff>
      <xdr:row>97</xdr:row>
      <xdr:rowOff>192647</xdr:rowOff>
    </xdr:to>
    <xdr:graphicFrame macro="">
      <xdr:nvGraphicFramePr>
        <xdr:cNvPr id="5" name="Діаграма 4">
          <a:extLst>
            <a:ext uri="{FF2B5EF4-FFF2-40B4-BE49-F238E27FC236}">
              <a16:creationId xmlns:a16="http://schemas.microsoft.com/office/drawing/2014/main" id="{CAE0FCFA-64EC-42EA-B20B-616FD1B7C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302557</xdr:colOff>
      <xdr:row>108</xdr:row>
      <xdr:rowOff>67235</xdr:rowOff>
    </xdr:from>
    <xdr:to>
      <xdr:col>19</xdr:col>
      <xdr:colOff>328614</xdr:colOff>
      <xdr:row>121</xdr:row>
      <xdr:rowOff>94875</xdr:rowOff>
    </xdr:to>
    <xdr:graphicFrame macro="">
      <xdr:nvGraphicFramePr>
        <xdr:cNvPr id="6" name="Діаграма 5">
          <a:extLst>
            <a:ext uri="{FF2B5EF4-FFF2-40B4-BE49-F238E27FC236}">
              <a16:creationId xmlns:a16="http://schemas.microsoft.com/office/drawing/2014/main" id="{BD67AE7C-1EBB-400C-BAE8-61F7AC56F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0.69814</cdr:x>
      <cdr:y>0.7521</cdr:y>
    </cdr:from>
    <cdr:to>
      <cdr:x>0.93798</cdr:x>
      <cdr:y>0.84089</cdr:y>
    </cdr:to>
    <cdr:sp macro="" textlink="'Чарти 5-7'!$H$10">
      <cdr:nvSpPr>
        <cdr:cNvPr id="2" name="TextBox 1">
          <a:extLst xmlns:a="http://schemas.openxmlformats.org/drawingml/2006/main">
            <a:ext uri="{FF2B5EF4-FFF2-40B4-BE49-F238E27FC236}">
              <a16:creationId xmlns:a16="http://schemas.microsoft.com/office/drawing/2014/main" id="{67B87EAF-3EF7-4BDB-8DFC-F9D48FD5626D}"/>
            </a:ext>
          </a:extLst>
        </cdr:cNvPr>
        <cdr:cNvSpPr txBox="1"/>
      </cdr:nvSpPr>
      <cdr:spPr>
        <a:xfrm xmlns:a="http://schemas.openxmlformats.org/drawingml/2006/main">
          <a:off x="2847579" y="2041509"/>
          <a:ext cx="978260" cy="241011"/>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588C9EFE-46F6-44A6-A856-66C3F07D9647}" type="TxLink">
            <a:rPr lang="uk-UA" sz="600" b="0" i="0" u="none" strike="noStrike">
              <a:solidFill>
                <a:schemeClr val="accent5"/>
              </a:solidFill>
              <a:latin typeface="Montserrat"/>
            </a:rPr>
            <a:pPr algn="ctr"/>
            <a:t>Дефлятор ВВП в 2024 10,6%</a:t>
          </a:fld>
          <a:endParaRPr lang="ru-RU" sz="200" b="0">
            <a:solidFill>
              <a:schemeClr val="accent5"/>
            </a:solidFill>
          </a:endParaRPr>
        </a:p>
      </cdr:txBody>
    </cdr:sp>
  </cdr:relSizeAnchor>
  <cdr:relSizeAnchor xmlns:cdr="http://schemas.openxmlformats.org/drawingml/2006/chartDrawing">
    <cdr:from>
      <cdr:x>0.11012</cdr:x>
      <cdr:y>0.75653</cdr:y>
    </cdr:from>
    <cdr:to>
      <cdr:x>0.34995</cdr:x>
      <cdr:y>0.84532</cdr:y>
    </cdr:to>
    <cdr:sp macro="" textlink="'Чарти 5-7'!$H$8">
      <cdr:nvSpPr>
        <cdr:cNvPr id="3" name="TextBox 1">
          <a:extLst xmlns:a="http://schemas.openxmlformats.org/drawingml/2006/main">
            <a:ext uri="{FF2B5EF4-FFF2-40B4-BE49-F238E27FC236}">
              <a16:creationId xmlns:a16="http://schemas.microsoft.com/office/drawing/2014/main" id="{7C6909B8-ED4F-4109-B06A-D8E458ABDCC9}"/>
            </a:ext>
          </a:extLst>
        </cdr:cNvPr>
        <cdr:cNvSpPr txBox="1"/>
      </cdr:nvSpPr>
      <cdr:spPr>
        <a:xfrm xmlns:a="http://schemas.openxmlformats.org/drawingml/2006/main">
          <a:off x="449150" y="2053525"/>
          <a:ext cx="978219" cy="241012"/>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8855FCC0-5D46-47FB-92E5-EFC67F16B884}" type="TxLink">
            <a:rPr lang="en-US" sz="600" b="0" i="0" u="none" strike="noStrike">
              <a:solidFill>
                <a:schemeClr val="accent5"/>
              </a:solidFill>
              <a:latin typeface="Montserrat"/>
            </a:rPr>
            <a:pPr algn="ctr"/>
            <a:t>Дефлятор ВВП в 2022 34,6%</a:t>
          </a:fld>
          <a:endParaRPr lang="ru-RU" sz="400" b="0">
            <a:solidFill>
              <a:schemeClr val="accent5"/>
            </a:solidFill>
          </a:endParaRPr>
        </a:p>
      </cdr:txBody>
    </cdr:sp>
  </cdr:relSizeAnchor>
  <cdr:relSizeAnchor xmlns:cdr="http://schemas.openxmlformats.org/drawingml/2006/chartDrawing">
    <cdr:from>
      <cdr:x>0.4087</cdr:x>
      <cdr:y>0.75101</cdr:y>
    </cdr:from>
    <cdr:to>
      <cdr:x>0.64853</cdr:x>
      <cdr:y>0.83979</cdr:y>
    </cdr:to>
    <cdr:sp macro="" textlink="'Чарти 5-7'!$H$9">
      <cdr:nvSpPr>
        <cdr:cNvPr id="4" name="TextBox 1">
          <a:extLst xmlns:a="http://schemas.openxmlformats.org/drawingml/2006/main">
            <a:ext uri="{FF2B5EF4-FFF2-40B4-BE49-F238E27FC236}">
              <a16:creationId xmlns:a16="http://schemas.microsoft.com/office/drawing/2014/main" id="{AB69A2EC-0738-A623-FD75-59F856D273E4}"/>
            </a:ext>
          </a:extLst>
        </cdr:cNvPr>
        <cdr:cNvSpPr txBox="1"/>
      </cdr:nvSpPr>
      <cdr:spPr>
        <a:xfrm xmlns:a="http://schemas.openxmlformats.org/drawingml/2006/main">
          <a:off x="1666991" y="2038543"/>
          <a:ext cx="978218" cy="240985"/>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774419A1-0CDD-468D-8713-F5DFA3308B8B}" type="TxLink">
            <a:rPr lang="en-US" sz="600" b="0" i="0" u="none" strike="noStrike">
              <a:solidFill>
                <a:schemeClr val="accent5"/>
              </a:solidFill>
              <a:latin typeface="Montserrat"/>
            </a:rPr>
            <a:pPr algn="ctr"/>
            <a:t>Дефлятор ВВП в 2023 20,8%</a:t>
          </a:fld>
          <a:endParaRPr lang="ru-RU" sz="400" b="0">
            <a:solidFill>
              <a:schemeClr val="accent5"/>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0.19667</cdr:x>
      <cdr:y>0.66999</cdr:y>
    </cdr:from>
    <cdr:to>
      <cdr:x>0.42789</cdr:x>
      <cdr:y>0.73354</cdr:y>
    </cdr:to>
    <cdr:sp macro="" textlink="">
      <cdr:nvSpPr>
        <cdr:cNvPr id="3" name="TextBox 2"/>
        <cdr:cNvSpPr txBox="1"/>
      </cdr:nvSpPr>
      <cdr:spPr>
        <a:xfrm xmlns:a="http://schemas.openxmlformats.org/drawingml/2006/main">
          <a:off x="798763" y="1832243"/>
          <a:ext cx="939132" cy="1737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uk-UA" sz="1100"/>
        </a:p>
      </cdr:txBody>
    </cdr:sp>
  </cdr:relSizeAnchor>
  <cdr:relSizeAnchor xmlns:cdr="http://schemas.openxmlformats.org/drawingml/2006/chartDrawing">
    <cdr:from>
      <cdr:x>0.07739</cdr:x>
      <cdr:y>0.91103</cdr:y>
    </cdr:from>
    <cdr:to>
      <cdr:x>0.28943</cdr:x>
      <cdr:y>0.96033</cdr:y>
    </cdr:to>
    <cdr:sp macro="" textlink="'Чарти 5-7'!$M$71">
      <cdr:nvSpPr>
        <cdr:cNvPr id="2" name="TextBox 1">
          <a:extLst xmlns:a="http://schemas.openxmlformats.org/drawingml/2006/main">
            <a:ext uri="{FF2B5EF4-FFF2-40B4-BE49-F238E27FC236}">
              <a16:creationId xmlns:a16="http://schemas.microsoft.com/office/drawing/2014/main" id="{0B810935-2BA3-B02E-39FA-A4355955F16E}"/>
            </a:ext>
          </a:extLst>
        </cdr:cNvPr>
        <cdr:cNvSpPr txBox="1"/>
      </cdr:nvSpPr>
      <cdr:spPr>
        <a:xfrm xmlns:a="http://schemas.openxmlformats.org/drawingml/2006/main">
          <a:off x="393178" y="2707955"/>
          <a:ext cx="1077209" cy="146533"/>
        </a:xfrm>
        <a:prstGeom xmlns:a="http://schemas.openxmlformats.org/drawingml/2006/main" prst="rect">
          <a:avLst/>
        </a:prstGeom>
        <a:ln xmlns:a="http://schemas.openxmlformats.org/drawingml/2006/main" w="6350">
          <a:solidFill>
            <a:schemeClr val="accent1"/>
          </a:solidFill>
        </a:ln>
      </cdr:spPr>
      <cdr:txBody>
        <a:bodyPr xmlns:a="http://schemas.openxmlformats.org/drawingml/2006/main" wrap="non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E5792E14-B040-47BC-9217-AC7753A33CC3}" type="TxLink">
            <a:rPr lang="en-US" sz="600" b="1" i="0" u="none" strike="noStrike">
              <a:solidFill>
                <a:schemeClr val="accent5"/>
              </a:solidFill>
              <a:latin typeface="Montserrat"/>
            </a:rPr>
            <a:pPr algn="ctr"/>
            <a:t>14 тис. грн / $514</a:t>
          </a:fld>
          <a:endParaRPr lang="uk-UA" sz="600" b="1">
            <a:solidFill>
              <a:schemeClr val="accent5"/>
            </a:solidFill>
          </a:endParaRPr>
        </a:p>
      </cdr:txBody>
    </cdr:sp>
  </cdr:relSizeAnchor>
  <cdr:relSizeAnchor xmlns:cdr="http://schemas.openxmlformats.org/drawingml/2006/chartDrawing">
    <cdr:from>
      <cdr:x>0.29276</cdr:x>
      <cdr:y>0.91091</cdr:y>
    </cdr:from>
    <cdr:to>
      <cdr:x>0.50479</cdr:x>
      <cdr:y>0.96021</cdr:y>
    </cdr:to>
    <cdr:sp macro="" textlink="'Чарти 5-7'!$M$72">
      <cdr:nvSpPr>
        <cdr:cNvPr id="4" name="TextBox 1">
          <a:extLst xmlns:a="http://schemas.openxmlformats.org/drawingml/2006/main">
            <a:ext uri="{FF2B5EF4-FFF2-40B4-BE49-F238E27FC236}">
              <a16:creationId xmlns:a16="http://schemas.microsoft.com/office/drawing/2014/main" id="{E1BBB241-4398-BEE6-1840-030B8DD9B5EB}"/>
            </a:ext>
          </a:extLst>
        </cdr:cNvPr>
        <cdr:cNvSpPr txBox="1"/>
      </cdr:nvSpPr>
      <cdr:spPr>
        <a:xfrm xmlns:a="http://schemas.openxmlformats.org/drawingml/2006/main">
          <a:off x="1487285" y="2707589"/>
          <a:ext cx="1077210" cy="146533"/>
        </a:xfrm>
        <a:prstGeom xmlns:a="http://schemas.openxmlformats.org/drawingml/2006/main" prst="rect">
          <a:avLst/>
        </a:prstGeom>
        <a:ln xmlns:a="http://schemas.openxmlformats.org/drawingml/2006/main" w="6350">
          <a:solidFill>
            <a:schemeClr val="accent1"/>
          </a:solidFill>
        </a:ln>
      </cdr:spPr>
      <cdr:txBody>
        <a:bodyPr xmlns:a="http://schemas.openxmlformats.org/drawingml/2006/main" wrap="non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76D3913-B49A-4772-B804-FB42BBE3337E}" type="TxLink">
            <a:rPr lang="en-US" sz="600" b="1" i="0" u="none" strike="noStrike">
              <a:solidFill>
                <a:schemeClr val="accent5"/>
              </a:solidFill>
              <a:latin typeface="Montserrat"/>
            </a:rPr>
            <a:pPr algn="ctr"/>
            <a:t>14,9 тис. грн / $458</a:t>
          </a:fld>
          <a:endParaRPr lang="uk-UA" sz="600" b="1">
            <a:solidFill>
              <a:schemeClr val="accent5"/>
            </a:solidFill>
          </a:endParaRPr>
        </a:p>
      </cdr:txBody>
    </cdr:sp>
  </cdr:relSizeAnchor>
  <cdr:relSizeAnchor xmlns:cdr="http://schemas.openxmlformats.org/drawingml/2006/chartDrawing">
    <cdr:from>
      <cdr:x>0.50949</cdr:x>
      <cdr:y>0.91123</cdr:y>
    </cdr:from>
    <cdr:to>
      <cdr:x>0.72152</cdr:x>
      <cdr:y>0.96052</cdr:y>
    </cdr:to>
    <cdr:sp macro="" textlink="'Чарти 5-7'!$M$73">
      <cdr:nvSpPr>
        <cdr:cNvPr id="5" name="TextBox 1">
          <a:extLst xmlns:a="http://schemas.openxmlformats.org/drawingml/2006/main">
            <a:ext uri="{FF2B5EF4-FFF2-40B4-BE49-F238E27FC236}">
              <a16:creationId xmlns:a16="http://schemas.microsoft.com/office/drawing/2014/main" id="{D4795E23-7DA1-8EF4-F6C2-75D8A5CC0DD4}"/>
            </a:ext>
          </a:extLst>
        </cdr:cNvPr>
        <cdr:cNvSpPr txBox="1"/>
      </cdr:nvSpPr>
      <cdr:spPr>
        <a:xfrm xmlns:a="http://schemas.openxmlformats.org/drawingml/2006/main">
          <a:off x="2588329" y="2708530"/>
          <a:ext cx="1077210" cy="146533"/>
        </a:xfrm>
        <a:prstGeom xmlns:a="http://schemas.openxmlformats.org/drawingml/2006/main" prst="rect">
          <a:avLst/>
        </a:prstGeom>
        <a:ln xmlns:a="http://schemas.openxmlformats.org/drawingml/2006/main" w="6350">
          <a:solidFill>
            <a:schemeClr val="accent1"/>
          </a:solidFill>
        </a:ln>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522AF0BA-C759-457C-B3A7-326207D39A65}" type="TxLink">
            <a:rPr lang="en-US" sz="600" b="1" i="0" u="none" strike="noStrike">
              <a:solidFill>
                <a:schemeClr val="accent5"/>
              </a:solidFill>
              <a:latin typeface="Montserrat"/>
            </a:rPr>
            <a:pPr algn="ctr"/>
            <a:t>17,2 тис. грн / $469</a:t>
          </a:fld>
          <a:endParaRPr lang="uk-UA" sz="600" b="1">
            <a:solidFill>
              <a:schemeClr val="accent5"/>
            </a:solidFill>
          </a:endParaRPr>
        </a:p>
      </cdr:txBody>
    </cdr:sp>
  </cdr:relSizeAnchor>
  <cdr:relSizeAnchor xmlns:cdr="http://schemas.openxmlformats.org/drawingml/2006/chartDrawing">
    <cdr:from>
      <cdr:x>0.72506</cdr:x>
      <cdr:y>0.91042</cdr:y>
    </cdr:from>
    <cdr:to>
      <cdr:x>0.9371</cdr:x>
      <cdr:y>0.95972</cdr:y>
    </cdr:to>
    <cdr:sp macro="" textlink="'Чарти 5-7'!$M$74">
      <cdr:nvSpPr>
        <cdr:cNvPr id="6" name="TextBox 1">
          <a:extLst xmlns:a="http://schemas.openxmlformats.org/drawingml/2006/main">
            <a:ext uri="{FF2B5EF4-FFF2-40B4-BE49-F238E27FC236}">
              <a16:creationId xmlns:a16="http://schemas.microsoft.com/office/drawing/2014/main" id="{216098E6-0DAA-3323-68CA-E1B9B88826AF}"/>
            </a:ext>
          </a:extLst>
        </cdr:cNvPr>
        <cdr:cNvSpPr txBox="1"/>
      </cdr:nvSpPr>
      <cdr:spPr>
        <a:xfrm xmlns:a="http://schemas.openxmlformats.org/drawingml/2006/main">
          <a:off x="3683509" y="2706133"/>
          <a:ext cx="1077209" cy="146533"/>
        </a:xfrm>
        <a:prstGeom xmlns:a="http://schemas.openxmlformats.org/drawingml/2006/main" prst="rect">
          <a:avLst/>
        </a:prstGeom>
        <a:ln xmlns:a="http://schemas.openxmlformats.org/drawingml/2006/main" w="6350">
          <a:solidFill>
            <a:schemeClr val="accent1"/>
          </a:solidFill>
        </a:ln>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8AFE1BAF-809B-457E-81EC-9907D7252932}" type="TxLink">
            <a:rPr lang="en-US" sz="600" b="1" i="0" u="none" strike="noStrike">
              <a:solidFill>
                <a:schemeClr val="accent5"/>
              </a:solidFill>
              <a:latin typeface="Montserrat"/>
            </a:rPr>
            <a:pPr algn="ctr"/>
            <a:t>20,8 тис. грн / $519</a:t>
          </a:fld>
          <a:endParaRPr lang="uk-UA" sz="100" b="1">
            <a:solidFill>
              <a:schemeClr val="accent5"/>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26</xdr:col>
      <xdr:colOff>1335099</xdr:colOff>
      <xdr:row>5</xdr:row>
      <xdr:rowOff>113660</xdr:rowOff>
    </xdr:from>
    <xdr:to>
      <xdr:col>33</xdr:col>
      <xdr:colOff>784410</xdr:colOff>
      <xdr:row>23</xdr:row>
      <xdr:rowOff>156883</xdr:rowOff>
    </xdr:to>
    <xdr:graphicFrame macro="">
      <xdr:nvGraphicFramePr>
        <xdr:cNvPr id="2" name="Діаграма 1">
          <a:extLst>
            <a:ext uri="{FF2B5EF4-FFF2-40B4-BE49-F238E27FC236}">
              <a16:creationId xmlns:a16="http://schemas.microsoft.com/office/drawing/2014/main" id="{DA10963A-1C6A-48E5-B48B-75546BC21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39</xdr:col>
      <xdr:colOff>196032</xdr:colOff>
      <xdr:row>86</xdr:row>
      <xdr:rowOff>8485</xdr:rowOff>
    </xdr:from>
    <xdr:to>
      <xdr:col>57</xdr:col>
      <xdr:colOff>173613</xdr:colOff>
      <xdr:row>101</xdr:row>
      <xdr:rowOff>117342</xdr:rowOff>
    </xdr:to>
    <xdr:graphicFrame macro="">
      <xdr:nvGraphicFramePr>
        <xdr:cNvPr id="3" name="Діаграма 2">
          <a:extLst>
            <a:ext uri="{FF2B5EF4-FFF2-40B4-BE49-F238E27FC236}">
              <a16:creationId xmlns:a16="http://schemas.microsoft.com/office/drawing/2014/main" id="{0FED724D-BF02-4F35-AEEA-964B36D24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202386</xdr:colOff>
      <xdr:row>58</xdr:row>
      <xdr:rowOff>337937</xdr:rowOff>
    </xdr:from>
    <xdr:to>
      <xdr:col>46</xdr:col>
      <xdr:colOff>444913</xdr:colOff>
      <xdr:row>75</xdr:row>
      <xdr:rowOff>4242</xdr:rowOff>
    </xdr:to>
    <xdr:graphicFrame macro="">
      <xdr:nvGraphicFramePr>
        <xdr:cNvPr id="4" name="Діаграма 3">
          <a:extLst>
            <a:ext uri="{FF2B5EF4-FFF2-40B4-BE49-F238E27FC236}">
              <a16:creationId xmlns:a16="http://schemas.microsoft.com/office/drawing/2014/main" id="{BEDC4371-858B-4A97-ADE3-FEF6ABB03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229720</xdr:colOff>
      <xdr:row>72</xdr:row>
      <xdr:rowOff>64994</xdr:rowOff>
    </xdr:from>
    <xdr:to>
      <xdr:col>47</xdr:col>
      <xdr:colOff>336176</xdr:colOff>
      <xdr:row>95</xdr:row>
      <xdr:rowOff>21852</xdr:rowOff>
    </xdr:to>
    <xdr:graphicFrame macro="">
      <xdr:nvGraphicFramePr>
        <xdr:cNvPr id="5" name="Діаграма 4">
          <a:extLst>
            <a:ext uri="{FF2B5EF4-FFF2-40B4-BE49-F238E27FC236}">
              <a16:creationId xmlns:a16="http://schemas.microsoft.com/office/drawing/2014/main" id="{7A74109B-02BC-462C-AEF6-8BE87701E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394615</xdr:colOff>
      <xdr:row>60</xdr:row>
      <xdr:rowOff>166007</xdr:rowOff>
    </xdr:from>
    <xdr:to>
      <xdr:col>21</xdr:col>
      <xdr:colOff>367392</xdr:colOff>
      <xdr:row>77</xdr:row>
      <xdr:rowOff>149679</xdr:rowOff>
    </xdr:to>
    <xdr:graphicFrame macro="">
      <xdr:nvGraphicFramePr>
        <xdr:cNvPr id="6" name="Діаграма 5">
          <a:extLst>
            <a:ext uri="{FF2B5EF4-FFF2-40B4-BE49-F238E27FC236}">
              <a16:creationId xmlns:a16="http://schemas.microsoft.com/office/drawing/2014/main" id="{D3BFA17F-D605-4D22-854D-16FB487914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825091</xdr:colOff>
      <xdr:row>167</xdr:row>
      <xdr:rowOff>110094</xdr:rowOff>
    </xdr:from>
    <xdr:to>
      <xdr:col>52</xdr:col>
      <xdr:colOff>314203</xdr:colOff>
      <xdr:row>208</xdr:row>
      <xdr:rowOff>9895</xdr:rowOff>
    </xdr:to>
    <xdr:graphicFrame macro="">
      <xdr:nvGraphicFramePr>
        <xdr:cNvPr id="7" name="Діаграма 6">
          <a:extLst>
            <a:ext uri="{FF2B5EF4-FFF2-40B4-BE49-F238E27FC236}">
              <a16:creationId xmlns:a16="http://schemas.microsoft.com/office/drawing/2014/main" id="{D2392911-2A77-4C1D-8680-6DB4059A3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734786</xdr:colOff>
      <xdr:row>151</xdr:row>
      <xdr:rowOff>95252</xdr:rowOff>
    </xdr:from>
    <xdr:to>
      <xdr:col>41</xdr:col>
      <xdr:colOff>578922</xdr:colOff>
      <xdr:row>191</xdr:row>
      <xdr:rowOff>150916</xdr:rowOff>
    </xdr:to>
    <xdr:graphicFrame macro="">
      <xdr:nvGraphicFramePr>
        <xdr:cNvPr id="8" name="Діаграма 7">
          <a:extLst>
            <a:ext uri="{FF2B5EF4-FFF2-40B4-BE49-F238E27FC236}">
              <a16:creationId xmlns:a16="http://schemas.microsoft.com/office/drawing/2014/main" id="{530C1693-5F4A-4B16-B762-C34DEEDDE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64</xdr:col>
      <xdr:colOff>184316</xdr:colOff>
      <xdr:row>75</xdr:row>
      <xdr:rowOff>192755</xdr:rowOff>
    </xdr:from>
    <xdr:to>
      <xdr:col>79</xdr:col>
      <xdr:colOff>37109</xdr:colOff>
      <xdr:row>116</xdr:row>
      <xdr:rowOff>156444</xdr:rowOff>
    </xdr:to>
    <xdr:graphicFrame macro="">
      <xdr:nvGraphicFramePr>
        <xdr:cNvPr id="9" name="Діаграма 8">
          <a:extLst>
            <a:ext uri="{FF2B5EF4-FFF2-40B4-BE49-F238E27FC236}">
              <a16:creationId xmlns:a16="http://schemas.microsoft.com/office/drawing/2014/main" id="{70B3D524-94CD-44EB-980B-ADB823A18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314202</xdr:colOff>
      <xdr:row>209</xdr:row>
      <xdr:rowOff>59376</xdr:rowOff>
    </xdr:from>
    <xdr:to>
      <xdr:col>42</xdr:col>
      <xdr:colOff>330283</xdr:colOff>
      <xdr:row>249</xdr:row>
      <xdr:rowOff>122462</xdr:rowOff>
    </xdr:to>
    <xdr:graphicFrame macro="">
      <xdr:nvGraphicFramePr>
        <xdr:cNvPr id="10" name="Діаграма 9">
          <a:extLst>
            <a:ext uri="{FF2B5EF4-FFF2-40B4-BE49-F238E27FC236}">
              <a16:creationId xmlns:a16="http://schemas.microsoft.com/office/drawing/2014/main" id="{DC1D5BAE-C06C-4B65-A95F-41FCBE0D6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0</xdr:colOff>
      <xdr:row>197</xdr:row>
      <xdr:rowOff>0</xdr:rowOff>
    </xdr:from>
    <xdr:to>
      <xdr:col>56</xdr:col>
      <xdr:colOff>674171</xdr:colOff>
      <xdr:row>237</xdr:row>
      <xdr:rowOff>55664</xdr:rowOff>
    </xdr:to>
    <xdr:graphicFrame macro="">
      <xdr:nvGraphicFramePr>
        <xdr:cNvPr id="11" name="Діаграма 10">
          <a:extLst>
            <a:ext uri="{FF2B5EF4-FFF2-40B4-BE49-F238E27FC236}">
              <a16:creationId xmlns:a16="http://schemas.microsoft.com/office/drawing/2014/main" id="{15C28F02-46AA-4BAD-BACF-AA5E1C76A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45</xdr:col>
      <xdr:colOff>0</xdr:colOff>
      <xdr:row>242</xdr:row>
      <xdr:rowOff>0</xdr:rowOff>
    </xdr:from>
    <xdr:to>
      <xdr:col>56</xdr:col>
      <xdr:colOff>674171</xdr:colOff>
      <xdr:row>282</xdr:row>
      <xdr:rowOff>55664</xdr:rowOff>
    </xdr:to>
    <xdr:graphicFrame macro="">
      <xdr:nvGraphicFramePr>
        <xdr:cNvPr id="12" name="Діаграма 11">
          <a:extLst>
            <a:ext uri="{FF2B5EF4-FFF2-40B4-BE49-F238E27FC236}">
              <a16:creationId xmlns:a16="http://schemas.microsoft.com/office/drawing/2014/main" id="{E4D58053-DB15-4ACB-BB35-9182AD871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53</xdr:col>
      <xdr:colOff>459955</xdr:colOff>
      <xdr:row>151</xdr:row>
      <xdr:rowOff>47859</xdr:rowOff>
    </xdr:from>
    <xdr:to>
      <xdr:col>58</xdr:col>
      <xdr:colOff>478202</xdr:colOff>
      <xdr:row>169</xdr:row>
      <xdr:rowOff>75999</xdr:rowOff>
    </xdr:to>
    <xdr:graphicFrame macro="">
      <xdr:nvGraphicFramePr>
        <xdr:cNvPr id="13" name="Діаграма 12">
          <a:extLst>
            <a:ext uri="{FF2B5EF4-FFF2-40B4-BE49-F238E27FC236}">
              <a16:creationId xmlns:a16="http://schemas.microsoft.com/office/drawing/2014/main" id="{BD13A694-25B3-4BEB-8758-473FB452F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60</xdr:col>
      <xdr:colOff>346365</xdr:colOff>
      <xdr:row>145</xdr:row>
      <xdr:rowOff>86591</xdr:rowOff>
    </xdr:from>
    <xdr:to>
      <xdr:col>63</xdr:col>
      <xdr:colOff>121350</xdr:colOff>
      <xdr:row>164</xdr:row>
      <xdr:rowOff>82394</xdr:rowOff>
    </xdr:to>
    <xdr:graphicFrame macro="">
      <xdr:nvGraphicFramePr>
        <xdr:cNvPr id="14" name="Діаграма 13">
          <a:extLst>
            <a:ext uri="{FF2B5EF4-FFF2-40B4-BE49-F238E27FC236}">
              <a16:creationId xmlns:a16="http://schemas.microsoft.com/office/drawing/2014/main" id="{5470BBF0-5EB4-4334-8EB4-D7E9FBCC5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0.56857</cdr:x>
      <cdr:y>0.43292</cdr:y>
    </cdr:from>
    <cdr:to>
      <cdr:x>0.83737</cdr:x>
      <cdr:y>0.60283</cdr:y>
    </cdr:to>
    <cdr:sp macro="" textlink="">
      <cdr:nvSpPr>
        <cdr:cNvPr id="2" name="Прямокутник 1">
          <a:extLst xmlns:a="http://schemas.openxmlformats.org/drawingml/2006/main">
            <a:ext uri="{FF2B5EF4-FFF2-40B4-BE49-F238E27FC236}">
              <a16:creationId xmlns:a16="http://schemas.microsoft.com/office/drawing/2014/main" id="{66CD2F9A-5AE7-47DE-BA9B-64AB30ED498B}"/>
            </a:ext>
          </a:extLst>
        </cdr:cNvPr>
        <cdr:cNvSpPr/>
      </cdr:nvSpPr>
      <cdr:spPr>
        <a:xfrm xmlns:a="http://schemas.openxmlformats.org/drawingml/2006/main">
          <a:off x="7235152" y="2719936"/>
          <a:ext cx="3420476" cy="1067508"/>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r>
            <a:rPr lang="ru-RU" sz="1400" b="1">
              <a:solidFill>
                <a:schemeClr val="accent1">
                  <a:lumMod val="75000"/>
                </a:schemeClr>
              </a:solidFill>
            </a:rPr>
            <a:t>Грудень 2023 до грудня 2022:</a:t>
          </a:r>
          <a:endParaRPr lang="ru-RU" sz="1400" b="1" baseline="0">
            <a:solidFill>
              <a:schemeClr val="accent1">
                <a:lumMod val="75000"/>
              </a:schemeClr>
            </a:solidFill>
          </a:endParaRPr>
        </a:p>
        <a:p xmlns:a="http://schemas.openxmlformats.org/drawingml/2006/main">
          <a:r>
            <a:rPr lang="ru-RU" sz="1400" baseline="0">
              <a:solidFill>
                <a:schemeClr val="accent1">
                  <a:lumMod val="75000"/>
                </a:schemeClr>
              </a:solidFill>
            </a:rPr>
            <a:t>   в грн </a:t>
          </a:r>
          <a:r>
            <a:rPr lang="ru-RU" sz="1400" b="1" baseline="0">
              <a:solidFill>
                <a:schemeClr val="accent1">
                  <a:lumMod val="75000"/>
                </a:schemeClr>
              </a:solidFill>
            </a:rPr>
            <a:t>+24,2%</a:t>
          </a:r>
        </a:p>
        <a:p xmlns:a="http://schemas.openxmlformats.org/drawingml/2006/main">
          <a:r>
            <a:rPr lang="ru-RU" sz="1400" baseline="0">
              <a:solidFill>
                <a:schemeClr val="accent1">
                  <a:lumMod val="75000"/>
                </a:schemeClr>
              </a:solidFill>
            </a:rPr>
            <a:t>   у дол. еквіваленті В-1 </a:t>
          </a:r>
          <a:r>
            <a:rPr lang="uk-UA" sz="1400" b="1" baseline="0">
              <a:solidFill>
                <a:schemeClr val="accent1">
                  <a:lumMod val="75000"/>
                </a:schemeClr>
              </a:solidFill>
            </a:rPr>
            <a:t>+24,2</a:t>
          </a:r>
          <a:r>
            <a:rPr lang="ru-RU" sz="1400" b="1" baseline="0">
              <a:solidFill>
                <a:schemeClr val="accent1">
                  <a:lumMod val="75000"/>
                </a:schemeClr>
              </a:solidFill>
            </a:rPr>
            <a:t>%</a:t>
          </a:r>
        </a:p>
        <a:p xmlns:a="http://schemas.openxmlformats.org/drawingml/2006/main">
          <a:r>
            <a:rPr kumimoji="0" lang="ru-RU" sz="1400" b="0" i="0" u="none" strike="noStrike" kern="0" cap="none" spc="0" normalizeH="0" baseline="0" noProof="0">
              <a:ln>
                <a:noFill/>
              </a:ln>
              <a:solidFill>
                <a:srgbClr val="4CA2C1">
                  <a:lumMod val="75000"/>
                </a:srgbClr>
              </a:solidFill>
              <a:effectLst/>
              <a:uLnTx/>
              <a:uFillTx/>
              <a:latin typeface="+mn-lt"/>
              <a:ea typeface="+mn-ea"/>
              <a:cs typeface="+mn-cs"/>
            </a:rPr>
            <a:t>у дол. еквіваленті В-2 </a:t>
          </a:r>
          <a:r>
            <a:rPr kumimoji="0" lang="uk-UA" sz="1400" b="1" i="0" u="none" strike="noStrike" kern="0" cap="none" spc="0" normalizeH="0" baseline="0" noProof="0">
              <a:ln>
                <a:noFill/>
              </a:ln>
              <a:solidFill>
                <a:srgbClr val="4CA2C1">
                  <a:lumMod val="75000"/>
                </a:srgbClr>
              </a:solidFill>
              <a:effectLst/>
              <a:uLnTx/>
              <a:uFillTx/>
              <a:latin typeface="+mn-lt"/>
              <a:ea typeface="+mn-ea"/>
              <a:cs typeface="+mn-cs"/>
            </a:rPr>
            <a:t>+13,9</a:t>
          </a:r>
          <a:r>
            <a:rPr kumimoji="0" lang="ru-RU" sz="1400" b="1" i="0" u="none" strike="noStrike" kern="0" cap="none" spc="0" normalizeH="0" baseline="0" noProof="0">
              <a:ln>
                <a:noFill/>
              </a:ln>
              <a:solidFill>
                <a:srgbClr val="4CA2C1">
                  <a:lumMod val="75000"/>
                </a:srgbClr>
              </a:solidFill>
              <a:effectLst/>
              <a:uLnTx/>
              <a:uFillTx/>
              <a:latin typeface="+mn-lt"/>
              <a:ea typeface="+mn-ea"/>
              <a:cs typeface="+mn-cs"/>
            </a:rPr>
            <a:t>%</a:t>
          </a:r>
          <a:endParaRPr lang="ru-RU" sz="1400" b="1">
            <a:solidFill>
              <a:schemeClr val="accent1">
                <a:lumMod val="75000"/>
              </a:schemeClr>
            </a:solidFill>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0.10211</cdr:x>
      <cdr:y>0.71887</cdr:y>
    </cdr:from>
    <cdr:to>
      <cdr:x>0.34188</cdr:x>
      <cdr:y>0.8719</cdr:y>
    </cdr:to>
    <cdr:sp macro="" textlink="">
      <cdr:nvSpPr>
        <cdr:cNvPr id="2" name="Прямокутник 1">
          <a:extLst xmlns:a="http://schemas.openxmlformats.org/drawingml/2006/main">
            <a:ext uri="{FF2B5EF4-FFF2-40B4-BE49-F238E27FC236}">
              <a16:creationId xmlns:a16="http://schemas.microsoft.com/office/drawing/2014/main" id="{14FD4F14-F455-B909-A06D-3048F52820C3}"/>
            </a:ext>
          </a:extLst>
        </cdr:cNvPr>
        <cdr:cNvSpPr/>
      </cdr:nvSpPr>
      <cdr:spPr>
        <a:xfrm xmlns:a="http://schemas.openxmlformats.org/drawingml/2006/main">
          <a:off x="1302606" y="4735284"/>
          <a:ext cx="3058821" cy="1008000"/>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uk-UA" sz="1400" b="1" baseline="0">
              <a:solidFill>
                <a:schemeClr val="accent1">
                  <a:lumMod val="75000"/>
                </a:schemeClr>
              </a:solidFill>
            </a:rPr>
            <a:t>В середньому за 2021 рік</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a:t>
          </a:r>
          <a:r>
            <a:rPr lang="ru-RU" sz="1400" b="1" baseline="0">
              <a:solidFill>
                <a:schemeClr val="accent1">
                  <a:lumMod val="75000"/>
                </a:schemeClr>
              </a:solidFill>
            </a:rPr>
            <a:t>14 тис. грн / </a:t>
          </a:r>
          <a:r>
            <a:rPr lang="en-US" sz="1400" b="1" baseline="0">
              <a:solidFill>
                <a:schemeClr val="accent1">
                  <a:lumMod val="75000"/>
                </a:schemeClr>
              </a:solidFill>
            </a:rPr>
            <a:t>$514</a:t>
          </a:r>
          <a:endParaRPr lang="ru-RU" sz="1400" b="1" baseline="0">
            <a:solidFill>
              <a:schemeClr val="accent1">
                <a:lumMod val="75000"/>
              </a:schemeClr>
            </a:solidFill>
          </a:endParaRPr>
        </a:p>
        <a:p xmlns:a="http://schemas.openxmlformats.org/drawingml/2006/main">
          <a:r>
            <a:rPr lang="ru-RU" sz="1400" baseline="0">
              <a:solidFill>
                <a:schemeClr val="accent1">
                  <a:lumMod val="75000"/>
                </a:schemeClr>
              </a:solidFill>
            </a:rPr>
            <a:t> в грн </a:t>
          </a:r>
          <a:r>
            <a:rPr lang="ru-RU" sz="1400" b="1" baseline="0">
              <a:solidFill>
                <a:schemeClr val="accent1">
                  <a:lumMod val="75000"/>
                </a:schemeClr>
              </a:solidFill>
              <a:latin typeface="+mn-lt"/>
              <a:ea typeface="+mn-ea"/>
              <a:cs typeface="+mn-cs"/>
            </a:rPr>
            <a:t>+21</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в дол. еквіваленті </a:t>
          </a:r>
          <a:r>
            <a:rPr lang="uk-UA" sz="1400" b="1" baseline="0">
              <a:solidFill>
                <a:schemeClr val="accent1">
                  <a:lumMod val="75000"/>
                </a:schemeClr>
              </a:solidFill>
            </a:rPr>
            <a:t>+19,4%</a:t>
          </a:r>
          <a:endParaRPr lang="ru-RU" sz="1400" b="1">
            <a:solidFill>
              <a:schemeClr val="accent1">
                <a:lumMod val="75000"/>
              </a:schemeClr>
            </a:solidFill>
          </a:endParaRPr>
        </a:p>
      </cdr:txBody>
    </cdr:sp>
  </cdr:relSizeAnchor>
  <cdr:relSizeAnchor xmlns:cdr="http://schemas.openxmlformats.org/drawingml/2006/chartDrawing">
    <cdr:from>
      <cdr:x>0.67168</cdr:x>
      <cdr:y>0.50404</cdr:y>
    </cdr:from>
    <cdr:to>
      <cdr:x>0.92049</cdr:x>
      <cdr:y>0.65706</cdr:y>
    </cdr:to>
    <cdr:sp macro="" textlink="">
      <cdr:nvSpPr>
        <cdr:cNvPr id="4" name="Прямокутник 3">
          <a:extLst xmlns:a="http://schemas.openxmlformats.org/drawingml/2006/main">
            <a:ext uri="{FF2B5EF4-FFF2-40B4-BE49-F238E27FC236}">
              <a16:creationId xmlns:a16="http://schemas.microsoft.com/office/drawing/2014/main" id="{F0180DEA-8B71-0553-DFC9-BA4286C6CE26}"/>
            </a:ext>
          </a:extLst>
        </cdr:cNvPr>
        <cdr:cNvSpPr/>
      </cdr:nvSpPr>
      <cdr:spPr>
        <a:xfrm xmlns:a="http://schemas.openxmlformats.org/drawingml/2006/main">
          <a:off x="8568833" y="3320141"/>
          <a:ext cx="3174147" cy="1008000"/>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ru-RU" sz="1400" b="1">
              <a:solidFill>
                <a:schemeClr val="accent1">
                  <a:lumMod val="75000"/>
                </a:schemeClr>
              </a:solidFill>
            </a:rPr>
            <a:t>В середньому за 2023 рік:</a:t>
          </a:r>
          <a:endParaRPr lang="en-US" sz="1400" b="1">
            <a:solidFill>
              <a:schemeClr val="accent1">
                <a:lumMod val="75000"/>
              </a:schemeClr>
            </a:solidFill>
          </a:endParaRPr>
        </a:p>
        <a:p xmlns:a="http://schemas.openxmlformats.org/drawingml/2006/main">
          <a:r>
            <a:rPr lang="en-US" sz="1400" b="1">
              <a:solidFill>
                <a:schemeClr val="accent1">
                  <a:lumMod val="75000"/>
                </a:schemeClr>
              </a:solidFill>
            </a:rPr>
            <a:t>15,4 </a:t>
          </a:r>
          <a:r>
            <a:rPr lang="uk-UA" sz="1400" b="1">
              <a:solidFill>
                <a:schemeClr val="accent1">
                  <a:lumMod val="75000"/>
                </a:schemeClr>
              </a:solidFill>
            </a:rPr>
            <a:t>тис.</a:t>
          </a:r>
          <a:r>
            <a:rPr lang="uk-UA" sz="1400" b="1" baseline="0">
              <a:solidFill>
                <a:schemeClr val="accent1">
                  <a:lumMod val="75000"/>
                </a:schemeClr>
              </a:solidFill>
            </a:rPr>
            <a:t> грн / </a:t>
          </a:r>
          <a:r>
            <a:rPr lang="en-US" sz="1400" b="1" baseline="0">
              <a:solidFill>
                <a:schemeClr val="accent1">
                  <a:lumMod val="75000"/>
                </a:schemeClr>
              </a:solidFill>
            </a:rPr>
            <a:t>$400-430</a:t>
          </a:r>
          <a:endParaRPr lang="ru-RU" sz="1400" b="1">
            <a:solidFill>
              <a:schemeClr val="accent1">
                <a:lumMod val="75000"/>
              </a:schemeClr>
            </a:solidFill>
          </a:endParaRPr>
        </a:p>
        <a:p xmlns:a="http://schemas.openxmlformats.org/drawingml/2006/main">
          <a:r>
            <a:rPr lang="ru-RU" sz="1400" baseline="0">
              <a:solidFill>
                <a:schemeClr val="accent1">
                  <a:lumMod val="75000"/>
                </a:schemeClr>
              </a:solidFill>
            </a:rPr>
            <a:t>   в грн </a:t>
          </a:r>
          <a:r>
            <a:rPr lang="ru-RU" sz="1400" b="1" baseline="0">
              <a:solidFill>
                <a:schemeClr val="accent1">
                  <a:lumMod val="75000"/>
                </a:schemeClr>
              </a:solidFill>
            </a:rPr>
            <a:t>+7%</a:t>
          </a:r>
        </a:p>
        <a:p xmlns:a="http://schemas.openxmlformats.org/drawingml/2006/main">
          <a:r>
            <a:rPr lang="ru-RU" sz="1400" baseline="0">
              <a:solidFill>
                <a:schemeClr val="accent1">
                  <a:lumMod val="75000"/>
                </a:schemeClr>
              </a:solidFill>
            </a:rPr>
            <a:t>   в дол. еквіваленті </a:t>
          </a:r>
          <a:r>
            <a:rPr lang="en-US" sz="1400" b="1" baseline="0">
              <a:solidFill>
                <a:schemeClr val="accent1">
                  <a:lumMod val="75000"/>
                </a:schemeClr>
              </a:solidFill>
            </a:rPr>
            <a:t>-</a:t>
          </a:r>
          <a:r>
            <a:rPr lang="uk-UA" sz="1400" b="1" baseline="0">
              <a:solidFill>
                <a:schemeClr val="accent1">
                  <a:lumMod val="75000"/>
                </a:schemeClr>
              </a:solidFill>
            </a:rPr>
            <a:t>5</a:t>
          </a:r>
          <a:r>
            <a:rPr lang="ru-RU" sz="1400" b="1" baseline="0">
              <a:solidFill>
                <a:schemeClr val="accent1">
                  <a:lumMod val="75000"/>
                </a:schemeClr>
              </a:solidFill>
            </a:rPr>
            <a:t>-10%</a:t>
          </a:r>
          <a:endParaRPr lang="ru-RU" sz="1400" b="1">
            <a:solidFill>
              <a:schemeClr val="accent1">
                <a:lumMod val="75000"/>
              </a:schemeClr>
            </a:solidFill>
          </a:endParaRPr>
        </a:p>
      </cdr:txBody>
    </cdr:sp>
  </cdr:relSizeAnchor>
  <cdr:relSizeAnchor xmlns:cdr="http://schemas.openxmlformats.org/drawingml/2006/chartDrawing">
    <cdr:from>
      <cdr:x>0.40183</cdr:x>
      <cdr:y>0.19569</cdr:y>
    </cdr:from>
    <cdr:to>
      <cdr:x>0.6416</cdr:x>
      <cdr:y>0.34872</cdr:y>
    </cdr:to>
    <cdr:sp macro="" textlink="">
      <cdr:nvSpPr>
        <cdr:cNvPr id="5" name="Прямокутник 4">
          <a:extLst xmlns:a="http://schemas.openxmlformats.org/drawingml/2006/main">
            <a:ext uri="{FF2B5EF4-FFF2-40B4-BE49-F238E27FC236}">
              <a16:creationId xmlns:a16="http://schemas.microsoft.com/office/drawing/2014/main" id="{864639DA-4847-9C16-7967-A33C34908730}"/>
            </a:ext>
          </a:extLst>
        </cdr:cNvPr>
        <cdr:cNvSpPr/>
      </cdr:nvSpPr>
      <cdr:spPr>
        <a:xfrm xmlns:a="http://schemas.openxmlformats.org/drawingml/2006/main">
          <a:off x="5126265" y="1289049"/>
          <a:ext cx="3058821" cy="1008000"/>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uk-UA" sz="1400" b="1" baseline="0">
              <a:solidFill>
                <a:schemeClr val="accent1">
                  <a:lumMod val="75000"/>
                </a:schemeClr>
              </a:solidFill>
            </a:rPr>
            <a:t>В середньому за 202</a:t>
          </a:r>
          <a:r>
            <a:rPr lang="en-US" sz="1400" b="1" baseline="0">
              <a:solidFill>
                <a:schemeClr val="accent1">
                  <a:lumMod val="75000"/>
                </a:schemeClr>
              </a:solidFill>
            </a:rPr>
            <a:t>2</a:t>
          </a:r>
          <a:r>
            <a:rPr lang="uk-UA" sz="1400" b="1" baseline="0">
              <a:solidFill>
                <a:schemeClr val="accent1">
                  <a:lumMod val="75000"/>
                </a:schemeClr>
              </a:solidFill>
            </a:rPr>
            <a:t> рік</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a:t>
          </a:r>
          <a:r>
            <a:rPr lang="ru-RU" sz="1400" b="1" baseline="0">
              <a:solidFill>
                <a:schemeClr val="accent1">
                  <a:lumMod val="75000"/>
                </a:schemeClr>
              </a:solidFill>
            </a:rPr>
            <a:t>14</a:t>
          </a:r>
          <a:r>
            <a:rPr lang="en-US" sz="1400" b="1" baseline="0">
              <a:solidFill>
                <a:schemeClr val="accent1">
                  <a:lumMod val="75000"/>
                </a:schemeClr>
              </a:solidFill>
            </a:rPr>
            <a:t>,4</a:t>
          </a:r>
          <a:r>
            <a:rPr lang="ru-RU" sz="1400" b="1" baseline="0">
              <a:solidFill>
                <a:schemeClr val="accent1">
                  <a:lumMod val="75000"/>
                </a:schemeClr>
              </a:solidFill>
            </a:rPr>
            <a:t> тис. грн / </a:t>
          </a:r>
          <a:r>
            <a:rPr lang="en-US" sz="1400" b="1" baseline="0">
              <a:solidFill>
                <a:schemeClr val="accent1">
                  <a:lumMod val="75000"/>
                </a:schemeClr>
              </a:solidFill>
            </a:rPr>
            <a:t>$447</a:t>
          </a:r>
          <a:endParaRPr lang="ru-RU" sz="1400" b="1" baseline="0">
            <a:solidFill>
              <a:schemeClr val="accent1">
                <a:lumMod val="75000"/>
              </a:schemeClr>
            </a:solidFill>
          </a:endParaRPr>
        </a:p>
        <a:p xmlns:a="http://schemas.openxmlformats.org/drawingml/2006/main">
          <a:r>
            <a:rPr lang="ru-RU" sz="1400" baseline="0">
              <a:solidFill>
                <a:schemeClr val="accent1">
                  <a:lumMod val="75000"/>
                </a:schemeClr>
              </a:solidFill>
            </a:rPr>
            <a:t> в грн </a:t>
          </a:r>
          <a:r>
            <a:rPr lang="ru-RU" sz="1400" b="1" baseline="0">
              <a:solidFill>
                <a:schemeClr val="accent1">
                  <a:lumMod val="75000"/>
                </a:schemeClr>
              </a:solidFill>
              <a:latin typeface="+mn-lt"/>
              <a:ea typeface="+mn-ea"/>
              <a:cs typeface="+mn-cs"/>
            </a:rPr>
            <a:t>+2</a:t>
          </a:r>
          <a:r>
            <a:rPr lang="en-US" sz="1400" b="1" baseline="0">
              <a:solidFill>
                <a:schemeClr val="accent1">
                  <a:lumMod val="75000"/>
                </a:schemeClr>
              </a:solidFill>
              <a:latin typeface="+mn-lt"/>
              <a:ea typeface="+mn-ea"/>
              <a:cs typeface="+mn-cs"/>
            </a:rPr>
            <a:t>,7</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в дол. еквіваленті </a:t>
          </a:r>
          <a:r>
            <a:rPr lang="en-US" sz="1400" b="1" baseline="0">
              <a:solidFill>
                <a:schemeClr val="accent1">
                  <a:lumMod val="75000"/>
                </a:schemeClr>
              </a:solidFill>
            </a:rPr>
            <a:t>-13,2</a:t>
          </a:r>
          <a:r>
            <a:rPr lang="uk-UA" sz="1400" b="1" baseline="0">
              <a:solidFill>
                <a:schemeClr val="accent1">
                  <a:lumMod val="75000"/>
                </a:schemeClr>
              </a:solidFill>
            </a:rPr>
            <a:t>%</a:t>
          </a:r>
          <a:endParaRPr lang="ru-RU" sz="1400" b="1">
            <a:solidFill>
              <a:schemeClr val="accent1">
                <a:lumMod val="7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0.58551</cdr:x>
      <cdr:y>0.17146</cdr:y>
    </cdr:from>
    <cdr:to>
      <cdr:x>0.86179</cdr:x>
      <cdr:y>0.30779</cdr:y>
    </cdr:to>
    <cdr:sp macro="" textlink="">
      <cdr:nvSpPr>
        <cdr:cNvPr id="2" name="Прямокутник 1">
          <a:extLst xmlns:a="http://schemas.openxmlformats.org/drawingml/2006/main">
            <a:ext uri="{FF2B5EF4-FFF2-40B4-BE49-F238E27FC236}">
              <a16:creationId xmlns:a16="http://schemas.microsoft.com/office/drawing/2014/main" id="{363FA80A-C833-1B01-0FCE-2327AD0DF4AA}"/>
            </a:ext>
          </a:extLst>
        </cdr:cNvPr>
        <cdr:cNvSpPr/>
      </cdr:nvSpPr>
      <cdr:spPr>
        <a:xfrm xmlns:a="http://schemas.openxmlformats.org/drawingml/2006/main">
          <a:off x="7476763" y="1078491"/>
          <a:ext cx="3528000" cy="857594"/>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ru-RU" sz="1400" b="1">
              <a:solidFill>
                <a:schemeClr val="accent1">
                  <a:lumMod val="75000"/>
                </a:schemeClr>
              </a:solidFill>
            </a:rPr>
            <a:t>Грудень 2023 до</a:t>
          </a:r>
          <a:r>
            <a:rPr lang="ru-RU" sz="1400" b="1" baseline="0">
              <a:solidFill>
                <a:schemeClr val="accent1">
                  <a:lumMod val="75000"/>
                </a:schemeClr>
              </a:solidFill>
            </a:rPr>
            <a:t> грудня</a:t>
          </a:r>
          <a:r>
            <a:rPr lang="ru-RU" sz="1400" b="1">
              <a:solidFill>
                <a:schemeClr val="accent1">
                  <a:lumMod val="75000"/>
                </a:schemeClr>
              </a:solidFill>
            </a:rPr>
            <a:t> 2022</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в грн та долл. эквиваленте </a:t>
          </a:r>
          <a:r>
            <a:rPr lang="uk-UA" sz="1400" b="1" baseline="0">
              <a:solidFill>
                <a:schemeClr val="accent1">
                  <a:lumMod val="75000"/>
                </a:schemeClr>
              </a:solidFill>
            </a:rPr>
            <a:t>+24,2%</a:t>
          </a:r>
          <a:endParaRPr lang="ru-RU" sz="1400" b="1">
            <a:solidFill>
              <a:schemeClr val="accent1">
                <a:lumMod val="75000"/>
              </a:schemeClr>
            </a:solidFill>
          </a:endParaRPr>
        </a:p>
      </cdr:txBody>
    </cdr:sp>
  </cdr:relSizeAnchor>
  <cdr:relSizeAnchor xmlns:cdr="http://schemas.openxmlformats.org/drawingml/2006/chartDrawing">
    <cdr:from>
      <cdr:x>0.22204</cdr:x>
      <cdr:y>0.17159</cdr:y>
    </cdr:from>
    <cdr:to>
      <cdr:x>0.4619</cdr:x>
      <cdr:y>0.30822</cdr:y>
    </cdr:to>
    <cdr:sp macro="" textlink="">
      <cdr:nvSpPr>
        <cdr:cNvPr id="3" name="Прямокутник 2">
          <a:extLst xmlns:a="http://schemas.openxmlformats.org/drawingml/2006/main">
            <a:ext uri="{FF2B5EF4-FFF2-40B4-BE49-F238E27FC236}">
              <a16:creationId xmlns:a16="http://schemas.microsoft.com/office/drawing/2014/main" id="{15F8E9DB-5829-1FE8-F6D6-DC059E5E7F00}"/>
            </a:ext>
          </a:extLst>
        </cdr:cNvPr>
        <cdr:cNvSpPr/>
      </cdr:nvSpPr>
      <cdr:spPr>
        <a:xfrm xmlns:a="http://schemas.openxmlformats.org/drawingml/2006/main">
          <a:off x="2835372" y="1079349"/>
          <a:ext cx="3062967" cy="859436"/>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ru-RU" sz="1400" b="1">
              <a:solidFill>
                <a:schemeClr val="accent1">
                  <a:lumMod val="75000"/>
                </a:schemeClr>
              </a:solidFill>
            </a:rPr>
            <a:t>Грудень 2022 до</a:t>
          </a:r>
          <a:r>
            <a:rPr lang="ru-RU" sz="1400" b="1" baseline="0">
              <a:solidFill>
                <a:schemeClr val="accent1">
                  <a:lumMod val="75000"/>
                </a:schemeClr>
              </a:solidFill>
            </a:rPr>
            <a:t> грудня</a:t>
          </a:r>
          <a:r>
            <a:rPr lang="ru-RU" sz="1400" b="1">
              <a:solidFill>
                <a:schemeClr val="accent1">
                  <a:lumMod val="75000"/>
                </a:schemeClr>
              </a:solidFill>
            </a:rPr>
            <a:t> 2021</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в грн </a:t>
          </a:r>
          <a:r>
            <a:rPr lang="ru-RU" sz="1400" b="1" baseline="0">
              <a:solidFill>
                <a:schemeClr val="accent1">
                  <a:lumMod val="75000"/>
                </a:schemeClr>
              </a:solidFill>
            </a:rPr>
            <a:t>-10,9%</a:t>
          </a:r>
        </a:p>
        <a:p xmlns:a="http://schemas.openxmlformats.org/drawingml/2006/main">
          <a:r>
            <a:rPr lang="ru-RU" sz="1400" baseline="0">
              <a:solidFill>
                <a:schemeClr val="accent1">
                  <a:lumMod val="75000"/>
                </a:schemeClr>
              </a:solidFill>
            </a:rPr>
            <a:t>   в долл. эквиваленте </a:t>
          </a:r>
          <a:r>
            <a:rPr lang="en-US" sz="1400" b="1" baseline="0">
              <a:solidFill>
                <a:schemeClr val="accent1">
                  <a:lumMod val="75000"/>
                </a:schemeClr>
              </a:solidFill>
            </a:rPr>
            <a:t>-</a:t>
          </a:r>
          <a:r>
            <a:rPr lang="uk-UA" sz="1400" b="1" baseline="0">
              <a:solidFill>
                <a:schemeClr val="accent1">
                  <a:lumMod val="75000"/>
                </a:schemeClr>
              </a:solidFill>
            </a:rPr>
            <a:t>3</a:t>
          </a:r>
          <a:r>
            <a:rPr lang="ru-RU" sz="1400" b="1" baseline="0">
              <a:solidFill>
                <a:schemeClr val="accent1">
                  <a:lumMod val="75000"/>
                </a:schemeClr>
              </a:solidFill>
            </a:rPr>
            <a:t>3,7%</a:t>
          </a:r>
          <a:endParaRPr lang="ru-RU" sz="1400" b="1">
            <a:solidFill>
              <a:schemeClr val="accent1">
                <a:lumMod val="7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0.10958</cdr:x>
      <cdr:y>0.71474</cdr:y>
    </cdr:from>
    <cdr:to>
      <cdr:x>0.34935</cdr:x>
      <cdr:y>0.86777</cdr:y>
    </cdr:to>
    <cdr:sp macro="" textlink="">
      <cdr:nvSpPr>
        <cdr:cNvPr id="2" name="Прямокутник 1">
          <a:extLst xmlns:a="http://schemas.openxmlformats.org/drawingml/2006/main">
            <a:ext uri="{FF2B5EF4-FFF2-40B4-BE49-F238E27FC236}">
              <a16:creationId xmlns:a16="http://schemas.microsoft.com/office/drawing/2014/main" id="{14FD4F14-F455-B909-A06D-3048F52820C3}"/>
            </a:ext>
          </a:extLst>
        </cdr:cNvPr>
        <cdr:cNvSpPr/>
      </cdr:nvSpPr>
      <cdr:spPr>
        <a:xfrm xmlns:a="http://schemas.openxmlformats.org/drawingml/2006/main">
          <a:off x="1397899" y="4708049"/>
          <a:ext cx="3058822" cy="1008022"/>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uk-UA" sz="1400" b="1" baseline="0">
              <a:solidFill>
                <a:schemeClr val="accent1">
                  <a:lumMod val="75000"/>
                </a:schemeClr>
              </a:solidFill>
            </a:rPr>
            <a:t>В середньому за 2021 рік</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a:t>
          </a:r>
          <a:r>
            <a:rPr lang="ru-RU" sz="1400" b="1" baseline="0">
              <a:solidFill>
                <a:schemeClr val="accent1">
                  <a:lumMod val="75000"/>
                </a:schemeClr>
              </a:solidFill>
            </a:rPr>
            <a:t>14 тис. грн / </a:t>
          </a:r>
          <a:r>
            <a:rPr lang="en-US" sz="1400" b="1" baseline="0">
              <a:solidFill>
                <a:schemeClr val="accent1">
                  <a:lumMod val="75000"/>
                </a:schemeClr>
              </a:solidFill>
            </a:rPr>
            <a:t>$514</a:t>
          </a:r>
          <a:endParaRPr lang="ru-RU" sz="1400" b="1" baseline="0">
            <a:solidFill>
              <a:schemeClr val="accent1">
                <a:lumMod val="75000"/>
              </a:schemeClr>
            </a:solidFill>
          </a:endParaRPr>
        </a:p>
        <a:p xmlns:a="http://schemas.openxmlformats.org/drawingml/2006/main">
          <a:r>
            <a:rPr lang="ru-RU" sz="1400" baseline="0">
              <a:solidFill>
                <a:schemeClr val="accent1">
                  <a:lumMod val="75000"/>
                </a:schemeClr>
              </a:solidFill>
            </a:rPr>
            <a:t> в грн </a:t>
          </a:r>
          <a:r>
            <a:rPr lang="ru-RU" sz="1400" b="1" baseline="0">
              <a:solidFill>
                <a:schemeClr val="accent1">
                  <a:lumMod val="75000"/>
                </a:schemeClr>
              </a:solidFill>
              <a:latin typeface="+mn-lt"/>
              <a:ea typeface="+mn-ea"/>
              <a:cs typeface="+mn-cs"/>
            </a:rPr>
            <a:t>+21</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в дол. еквіваленті </a:t>
          </a:r>
          <a:r>
            <a:rPr lang="uk-UA" sz="1400" b="1" baseline="0">
              <a:solidFill>
                <a:schemeClr val="accent1">
                  <a:lumMod val="75000"/>
                </a:schemeClr>
              </a:solidFill>
            </a:rPr>
            <a:t>+19,4%</a:t>
          </a:r>
          <a:endParaRPr lang="ru-RU" sz="1400" b="1">
            <a:solidFill>
              <a:schemeClr val="accent1">
                <a:lumMod val="75000"/>
              </a:schemeClr>
            </a:solidFill>
          </a:endParaRPr>
        </a:p>
      </cdr:txBody>
    </cdr:sp>
  </cdr:relSizeAnchor>
  <cdr:relSizeAnchor xmlns:cdr="http://schemas.openxmlformats.org/drawingml/2006/chartDrawing">
    <cdr:from>
      <cdr:x>0.67168</cdr:x>
      <cdr:y>0.50404</cdr:y>
    </cdr:from>
    <cdr:to>
      <cdr:x>0.92049</cdr:x>
      <cdr:y>0.65706</cdr:y>
    </cdr:to>
    <cdr:sp macro="" textlink="">
      <cdr:nvSpPr>
        <cdr:cNvPr id="4" name="Прямокутник 3">
          <a:extLst xmlns:a="http://schemas.openxmlformats.org/drawingml/2006/main">
            <a:ext uri="{FF2B5EF4-FFF2-40B4-BE49-F238E27FC236}">
              <a16:creationId xmlns:a16="http://schemas.microsoft.com/office/drawing/2014/main" id="{F0180DEA-8B71-0553-DFC9-BA4286C6CE26}"/>
            </a:ext>
          </a:extLst>
        </cdr:cNvPr>
        <cdr:cNvSpPr/>
      </cdr:nvSpPr>
      <cdr:spPr>
        <a:xfrm xmlns:a="http://schemas.openxmlformats.org/drawingml/2006/main">
          <a:off x="8568833" y="3320141"/>
          <a:ext cx="3174147" cy="1008000"/>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ru-RU" sz="1400" b="1">
              <a:solidFill>
                <a:schemeClr val="accent1">
                  <a:lumMod val="75000"/>
                </a:schemeClr>
              </a:solidFill>
            </a:rPr>
            <a:t>В середньому за 2023 рік:</a:t>
          </a:r>
          <a:endParaRPr lang="en-US" sz="1400" b="1">
            <a:solidFill>
              <a:schemeClr val="accent1">
                <a:lumMod val="75000"/>
              </a:schemeClr>
            </a:solidFill>
          </a:endParaRPr>
        </a:p>
        <a:p xmlns:a="http://schemas.openxmlformats.org/drawingml/2006/main">
          <a:r>
            <a:rPr lang="en-US" sz="1400" b="1">
              <a:solidFill>
                <a:schemeClr val="accent1">
                  <a:lumMod val="75000"/>
                </a:schemeClr>
              </a:solidFill>
            </a:rPr>
            <a:t>16,3 </a:t>
          </a:r>
          <a:r>
            <a:rPr lang="uk-UA" sz="1400" b="1">
              <a:solidFill>
                <a:schemeClr val="accent1">
                  <a:lumMod val="75000"/>
                </a:schemeClr>
              </a:solidFill>
            </a:rPr>
            <a:t>тис.</a:t>
          </a:r>
          <a:r>
            <a:rPr lang="uk-UA" sz="1400" b="1" baseline="0">
              <a:solidFill>
                <a:schemeClr val="accent1">
                  <a:lumMod val="75000"/>
                </a:schemeClr>
              </a:solidFill>
            </a:rPr>
            <a:t> грн / </a:t>
          </a:r>
          <a:r>
            <a:rPr lang="en-US" sz="1400" b="1" baseline="0">
              <a:solidFill>
                <a:schemeClr val="accent1">
                  <a:lumMod val="75000"/>
                </a:schemeClr>
              </a:solidFill>
            </a:rPr>
            <a:t>$440-420</a:t>
          </a:r>
          <a:endParaRPr lang="ru-RU" sz="1400" b="1">
            <a:solidFill>
              <a:schemeClr val="accent1">
                <a:lumMod val="75000"/>
              </a:schemeClr>
            </a:solidFill>
          </a:endParaRPr>
        </a:p>
        <a:p xmlns:a="http://schemas.openxmlformats.org/drawingml/2006/main">
          <a:r>
            <a:rPr lang="ru-RU" sz="1400" baseline="0">
              <a:solidFill>
                <a:schemeClr val="accent1">
                  <a:lumMod val="75000"/>
                </a:schemeClr>
              </a:solidFill>
            </a:rPr>
            <a:t>   в грн </a:t>
          </a:r>
          <a:r>
            <a:rPr lang="ru-RU" sz="1400" b="1" baseline="0">
              <a:solidFill>
                <a:schemeClr val="accent1">
                  <a:lumMod val="75000"/>
                </a:schemeClr>
              </a:solidFill>
            </a:rPr>
            <a:t>+</a:t>
          </a:r>
          <a:r>
            <a:rPr lang="en-US" sz="1400" b="1" baseline="0">
              <a:solidFill>
                <a:schemeClr val="accent1">
                  <a:lumMod val="75000"/>
                </a:schemeClr>
              </a:solidFill>
            </a:rPr>
            <a:t>9,4</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в дол. еквіваленті </a:t>
          </a:r>
          <a:r>
            <a:rPr lang="en-US" sz="1400" b="1" baseline="0">
              <a:solidFill>
                <a:schemeClr val="accent1">
                  <a:lumMod val="75000"/>
                </a:schemeClr>
              </a:solidFill>
            </a:rPr>
            <a:t>-5</a:t>
          </a:r>
          <a:r>
            <a:rPr lang="ru-RU" sz="1400" b="1" baseline="0">
              <a:solidFill>
                <a:schemeClr val="accent1">
                  <a:lumMod val="75000"/>
                </a:schemeClr>
              </a:solidFill>
            </a:rPr>
            <a:t>-</a:t>
          </a:r>
          <a:r>
            <a:rPr lang="en-US" sz="1400" b="1" baseline="0">
              <a:solidFill>
                <a:schemeClr val="accent1">
                  <a:lumMod val="75000"/>
                </a:schemeClr>
              </a:solidFill>
            </a:rPr>
            <a:t>10</a:t>
          </a:r>
          <a:r>
            <a:rPr lang="ru-RU" sz="1400" b="1" baseline="0">
              <a:solidFill>
                <a:schemeClr val="accent1">
                  <a:lumMod val="75000"/>
                </a:schemeClr>
              </a:solidFill>
            </a:rPr>
            <a:t>%</a:t>
          </a:r>
          <a:endParaRPr lang="ru-RU" sz="1400" b="1">
            <a:solidFill>
              <a:schemeClr val="accent1">
                <a:lumMod val="75000"/>
              </a:schemeClr>
            </a:solidFill>
          </a:endParaRPr>
        </a:p>
      </cdr:txBody>
    </cdr:sp>
  </cdr:relSizeAnchor>
  <cdr:relSizeAnchor xmlns:cdr="http://schemas.openxmlformats.org/drawingml/2006/chartDrawing">
    <cdr:from>
      <cdr:x>0.40183</cdr:x>
      <cdr:y>0.1833</cdr:y>
    </cdr:from>
    <cdr:to>
      <cdr:x>0.6416</cdr:x>
      <cdr:y>0.33633</cdr:y>
    </cdr:to>
    <cdr:sp macro="" textlink="">
      <cdr:nvSpPr>
        <cdr:cNvPr id="5" name="Прямокутник 4">
          <a:extLst xmlns:a="http://schemas.openxmlformats.org/drawingml/2006/main">
            <a:ext uri="{FF2B5EF4-FFF2-40B4-BE49-F238E27FC236}">
              <a16:creationId xmlns:a16="http://schemas.microsoft.com/office/drawing/2014/main" id="{864639DA-4847-9C16-7967-A33C34908730}"/>
            </a:ext>
          </a:extLst>
        </cdr:cNvPr>
        <cdr:cNvSpPr/>
      </cdr:nvSpPr>
      <cdr:spPr>
        <a:xfrm xmlns:a="http://schemas.openxmlformats.org/drawingml/2006/main">
          <a:off x="5126271" y="1207385"/>
          <a:ext cx="3058822" cy="1008023"/>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uk-UA" sz="1400" b="1" baseline="0">
              <a:solidFill>
                <a:schemeClr val="accent1">
                  <a:lumMod val="75000"/>
                </a:schemeClr>
              </a:solidFill>
            </a:rPr>
            <a:t>В середньому за 202</a:t>
          </a:r>
          <a:r>
            <a:rPr lang="en-US" sz="1400" b="1" baseline="0">
              <a:solidFill>
                <a:schemeClr val="accent1">
                  <a:lumMod val="75000"/>
                </a:schemeClr>
              </a:solidFill>
            </a:rPr>
            <a:t>2</a:t>
          </a:r>
          <a:r>
            <a:rPr lang="uk-UA" sz="1400" b="1" baseline="0">
              <a:solidFill>
                <a:schemeClr val="accent1">
                  <a:lumMod val="75000"/>
                </a:schemeClr>
              </a:solidFill>
            </a:rPr>
            <a:t> рік</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a:t>
          </a:r>
          <a:r>
            <a:rPr lang="ru-RU" sz="1400" b="1" baseline="0">
              <a:solidFill>
                <a:schemeClr val="accent1">
                  <a:lumMod val="75000"/>
                </a:schemeClr>
              </a:solidFill>
            </a:rPr>
            <a:t>14</a:t>
          </a:r>
          <a:r>
            <a:rPr lang="en-US" sz="1400" b="1" baseline="0">
              <a:solidFill>
                <a:schemeClr val="accent1">
                  <a:lumMod val="75000"/>
                </a:schemeClr>
              </a:solidFill>
            </a:rPr>
            <a:t>,9</a:t>
          </a:r>
          <a:r>
            <a:rPr lang="ru-RU" sz="1400" b="1" baseline="0">
              <a:solidFill>
                <a:schemeClr val="accent1">
                  <a:lumMod val="75000"/>
                </a:schemeClr>
              </a:solidFill>
            </a:rPr>
            <a:t> тис. грн / </a:t>
          </a:r>
          <a:r>
            <a:rPr lang="en-US" sz="1400" b="1" baseline="0">
              <a:solidFill>
                <a:schemeClr val="accent1">
                  <a:lumMod val="75000"/>
                </a:schemeClr>
              </a:solidFill>
            </a:rPr>
            <a:t>$460</a:t>
          </a:r>
          <a:endParaRPr lang="ru-RU" sz="1400" b="1" baseline="0">
            <a:solidFill>
              <a:schemeClr val="accent1">
                <a:lumMod val="75000"/>
              </a:schemeClr>
            </a:solidFill>
          </a:endParaRPr>
        </a:p>
        <a:p xmlns:a="http://schemas.openxmlformats.org/drawingml/2006/main">
          <a:r>
            <a:rPr lang="ru-RU" sz="1400" baseline="0">
              <a:solidFill>
                <a:schemeClr val="accent1">
                  <a:lumMod val="75000"/>
                </a:schemeClr>
              </a:solidFill>
            </a:rPr>
            <a:t> в грн </a:t>
          </a:r>
          <a:r>
            <a:rPr lang="ru-RU" sz="1400" b="1" baseline="0">
              <a:solidFill>
                <a:schemeClr val="accent1">
                  <a:lumMod val="75000"/>
                </a:schemeClr>
              </a:solidFill>
              <a:latin typeface="+mn-lt"/>
              <a:ea typeface="+mn-ea"/>
              <a:cs typeface="+mn-cs"/>
            </a:rPr>
            <a:t>+</a:t>
          </a:r>
          <a:r>
            <a:rPr lang="en-US" sz="1400" b="1" baseline="0">
              <a:solidFill>
                <a:schemeClr val="accent1">
                  <a:lumMod val="75000"/>
                </a:schemeClr>
              </a:solidFill>
              <a:latin typeface="+mn-lt"/>
              <a:ea typeface="+mn-ea"/>
              <a:cs typeface="+mn-cs"/>
            </a:rPr>
            <a:t>6,1</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в дол. еквіваленті </a:t>
          </a:r>
          <a:r>
            <a:rPr lang="en-US" sz="1400" b="1" baseline="0">
              <a:solidFill>
                <a:schemeClr val="accent1">
                  <a:lumMod val="75000"/>
                </a:schemeClr>
              </a:solidFill>
            </a:rPr>
            <a:t>-10,5</a:t>
          </a:r>
          <a:r>
            <a:rPr lang="uk-UA" sz="1400" b="1" baseline="0">
              <a:solidFill>
                <a:schemeClr val="accent1">
                  <a:lumMod val="75000"/>
                </a:schemeClr>
              </a:solidFill>
            </a:rPr>
            <a:t>%</a:t>
          </a:r>
          <a:endParaRPr lang="ru-RU" sz="1400" b="1">
            <a:solidFill>
              <a:schemeClr val="accent1">
                <a:lumMod val="75000"/>
              </a:schemeClr>
            </a:solidFill>
          </a:endParaRPr>
        </a:p>
      </cdr:txBody>
    </cdr:sp>
  </cdr:relSizeAnchor>
</c:userShapes>
</file>

<file path=xl/drawings/drawing17.xml><?xml version="1.0" encoding="utf-8"?>
<c:userShapes xmlns:c="http://schemas.openxmlformats.org/drawingml/2006/chart">
  <cdr:relSizeAnchor xmlns:cdr="http://schemas.openxmlformats.org/drawingml/2006/chartDrawing">
    <cdr:from>
      <cdr:x>0.67168</cdr:x>
      <cdr:y>0.50404</cdr:y>
    </cdr:from>
    <cdr:to>
      <cdr:x>0.92049</cdr:x>
      <cdr:y>0.65706</cdr:y>
    </cdr:to>
    <cdr:sp macro="" textlink="">
      <cdr:nvSpPr>
        <cdr:cNvPr id="4" name="Прямокутник 3">
          <a:extLst xmlns:a="http://schemas.openxmlformats.org/drawingml/2006/main">
            <a:ext uri="{FF2B5EF4-FFF2-40B4-BE49-F238E27FC236}">
              <a16:creationId xmlns:a16="http://schemas.microsoft.com/office/drawing/2014/main" id="{F0180DEA-8B71-0553-DFC9-BA4286C6CE26}"/>
            </a:ext>
          </a:extLst>
        </cdr:cNvPr>
        <cdr:cNvSpPr/>
      </cdr:nvSpPr>
      <cdr:spPr>
        <a:xfrm xmlns:a="http://schemas.openxmlformats.org/drawingml/2006/main">
          <a:off x="8568833" y="3320141"/>
          <a:ext cx="3174147" cy="1008000"/>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ru-RU" sz="1400" b="1">
              <a:solidFill>
                <a:schemeClr val="accent1">
                  <a:lumMod val="75000"/>
                </a:schemeClr>
              </a:solidFill>
            </a:rPr>
            <a:t>В середньому за 2023 рік:</a:t>
          </a:r>
          <a:endParaRPr lang="en-US" sz="1400" b="1">
            <a:solidFill>
              <a:schemeClr val="accent1">
                <a:lumMod val="75000"/>
              </a:schemeClr>
            </a:solidFill>
          </a:endParaRPr>
        </a:p>
        <a:p xmlns:a="http://schemas.openxmlformats.org/drawingml/2006/main">
          <a:r>
            <a:rPr lang="en-US" sz="1400" b="1">
              <a:solidFill>
                <a:schemeClr val="accent1">
                  <a:lumMod val="75000"/>
                </a:schemeClr>
              </a:solidFill>
            </a:rPr>
            <a:t>16,3 </a:t>
          </a:r>
          <a:r>
            <a:rPr lang="uk-UA" sz="1400" b="1">
              <a:solidFill>
                <a:schemeClr val="accent1">
                  <a:lumMod val="75000"/>
                </a:schemeClr>
              </a:solidFill>
            </a:rPr>
            <a:t>тис.</a:t>
          </a:r>
          <a:r>
            <a:rPr lang="uk-UA" sz="1400" b="1" baseline="0">
              <a:solidFill>
                <a:schemeClr val="accent1">
                  <a:lumMod val="75000"/>
                </a:schemeClr>
              </a:solidFill>
            </a:rPr>
            <a:t> грн / </a:t>
          </a:r>
          <a:r>
            <a:rPr lang="en-US" sz="1400" b="1" baseline="0">
              <a:solidFill>
                <a:schemeClr val="accent1">
                  <a:lumMod val="75000"/>
                </a:schemeClr>
              </a:solidFill>
            </a:rPr>
            <a:t>$440-420</a:t>
          </a:r>
          <a:endParaRPr lang="ru-RU" sz="1400" b="1">
            <a:solidFill>
              <a:schemeClr val="accent1">
                <a:lumMod val="75000"/>
              </a:schemeClr>
            </a:solidFill>
          </a:endParaRPr>
        </a:p>
        <a:p xmlns:a="http://schemas.openxmlformats.org/drawingml/2006/main">
          <a:r>
            <a:rPr lang="ru-RU" sz="1400" baseline="0">
              <a:solidFill>
                <a:schemeClr val="accent1">
                  <a:lumMod val="75000"/>
                </a:schemeClr>
              </a:solidFill>
            </a:rPr>
            <a:t>   в грн </a:t>
          </a:r>
          <a:r>
            <a:rPr lang="ru-RU" sz="1400" b="1" baseline="0">
              <a:solidFill>
                <a:schemeClr val="accent1">
                  <a:lumMod val="75000"/>
                </a:schemeClr>
              </a:solidFill>
            </a:rPr>
            <a:t>+</a:t>
          </a:r>
          <a:r>
            <a:rPr lang="en-US" sz="1400" b="1" baseline="0">
              <a:solidFill>
                <a:schemeClr val="accent1">
                  <a:lumMod val="75000"/>
                </a:schemeClr>
              </a:solidFill>
            </a:rPr>
            <a:t>9,4</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в дол. еквіваленті </a:t>
          </a:r>
          <a:r>
            <a:rPr lang="en-US" sz="1400" b="1" baseline="0">
              <a:solidFill>
                <a:schemeClr val="accent1">
                  <a:lumMod val="75000"/>
                </a:schemeClr>
              </a:solidFill>
            </a:rPr>
            <a:t>-5</a:t>
          </a:r>
          <a:r>
            <a:rPr lang="ru-RU" sz="1400" b="1" baseline="0">
              <a:solidFill>
                <a:schemeClr val="accent1">
                  <a:lumMod val="75000"/>
                </a:schemeClr>
              </a:solidFill>
            </a:rPr>
            <a:t>-</a:t>
          </a:r>
          <a:r>
            <a:rPr lang="en-US" sz="1400" b="1" baseline="0">
              <a:solidFill>
                <a:schemeClr val="accent1">
                  <a:lumMod val="75000"/>
                </a:schemeClr>
              </a:solidFill>
            </a:rPr>
            <a:t>10</a:t>
          </a:r>
          <a:r>
            <a:rPr lang="ru-RU" sz="1400" b="1" baseline="0">
              <a:solidFill>
                <a:schemeClr val="accent1">
                  <a:lumMod val="75000"/>
                </a:schemeClr>
              </a:solidFill>
            </a:rPr>
            <a:t>%</a:t>
          </a:r>
          <a:endParaRPr lang="ru-RU" sz="1400" b="1">
            <a:solidFill>
              <a:schemeClr val="accent1">
                <a:lumMod val="75000"/>
              </a:schemeClr>
            </a:solidFill>
          </a:endParaRPr>
        </a:p>
      </cdr:txBody>
    </cdr:sp>
  </cdr:relSizeAnchor>
  <cdr:relSizeAnchor xmlns:cdr="http://schemas.openxmlformats.org/drawingml/2006/chartDrawing">
    <cdr:from>
      <cdr:x>0.40183</cdr:x>
      <cdr:y>0.1833</cdr:y>
    </cdr:from>
    <cdr:to>
      <cdr:x>0.6416</cdr:x>
      <cdr:y>0.33633</cdr:y>
    </cdr:to>
    <cdr:sp macro="" textlink="">
      <cdr:nvSpPr>
        <cdr:cNvPr id="5" name="Прямокутник 4">
          <a:extLst xmlns:a="http://schemas.openxmlformats.org/drawingml/2006/main">
            <a:ext uri="{FF2B5EF4-FFF2-40B4-BE49-F238E27FC236}">
              <a16:creationId xmlns:a16="http://schemas.microsoft.com/office/drawing/2014/main" id="{864639DA-4847-9C16-7967-A33C34908730}"/>
            </a:ext>
          </a:extLst>
        </cdr:cNvPr>
        <cdr:cNvSpPr/>
      </cdr:nvSpPr>
      <cdr:spPr>
        <a:xfrm xmlns:a="http://schemas.openxmlformats.org/drawingml/2006/main">
          <a:off x="5126271" y="1207385"/>
          <a:ext cx="3058822" cy="1008023"/>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uk-UA" sz="1400" b="1" baseline="0">
              <a:solidFill>
                <a:schemeClr val="accent1">
                  <a:lumMod val="75000"/>
                </a:schemeClr>
              </a:solidFill>
            </a:rPr>
            <a:t>В середньому за 202</a:t>
          </a:r>
          <a:r>
            <a:rPr lang="en-US" sz="1400" b="1" baseline="0">
              <a:solidFill>
                <a:schemeClr val="accent1">
                  <a:lumMod val="75000"/>
                </a:schemeClr>
              </a:solidFill>
            </a:rPr>
            <a:t>2</a:t>
          </a:r>
          <a:r>
            <a:rPr lang="uk-UA" sz="1400" b="1" baseline="0">
              <a:solidFill>
                <a:schemeClr val="accent1">
                  <a:lumMod val="75000"/>
                </a:schemeClr>
              </a:solidFill>
            </a:rPr>
            <a:t> рік</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a:t>
          </a:r>
          <a:r>
            <a:rPr lang="ru-RU" sz="1400" b="1" baseline="0">
              <a:solidFill>
                <a:schemeClr val="accent1">
                  <a:lumMod val="75000"/>
                </a:schemeClr>
              </a:solidFill>
            </a:rPr>
            <a:t>14</a:t>
          </a:r>
          <a:r>
            <a:rPr lang="en-US" sz="1400" b="1" baseline="0">
              <a:solidFill>
                <a:schemeClr val="accent1">
                  <a:lumMod val="75000"/>
                </a:schemeClr>
              </a:solidFill>
            </a:rPr>
            <a:t>,9</a:t>
          </a:r>
          <a:r>
            <a:rPr lang="ru-RU" sz="1400" b="1" baseline="0">
              <a:solidFill>
                <a:schemeClr val="accent1">
                  <a:lumMod val="75000"/>
                </a:schemeClr>
              </a:solidFill>
            </a:rPr>
            <a:t> тис. грн / </a:t>
          </a:r>
          <a:r>
            <a:rPr lang="en-US" sz="1400" b="1" baseline="0">
              <a:solidFill>
                <a:schemeClr val="accent1">
                  <a:lumMod val="75000"/>
                </a:schemeClr>
              </a:solidFill>
            </a:rPr>
            <a:t>$460</a:t>
          </a:r>
          <a:endParaRPr lang="ru-RU" sz="1400" b="1" baseline="0">
            <a:solidFill>
              <a:schemeClr val="accent1">
                <a:lumMod val="75000"/>
              </a:schemeClr>
            </a:solidFill>
          </a:endParaRPr>
        </a:p>
        <a:p xmlns:a="http://schemas.openxmlformats.org/drawingml/2006/main">
          <a:r>
            <a:rPr lang="ru-RU" sz="1400" baseline="0">
              <a:solidFill>
                <a:schemeClr val="accent1">
                  <a:lumMod val="75000"/>
                </a:schemeClr>
              </a:solidFill>
            </a:rPr>
            <a:t> в грн </a:t>
          </a:r>
          <a:r>
            <a:rPr lang="ru-RU" sz="1400" b="1" baseline="0">
              <a:solidFill>
                <a:schemeClr val="accent1">
                  <a:lumMod val="75000"/>
                </a:schemeClr>
              </a:solidFill>
              <a:latin typeface="+mn-lt"/>
              <a:ea typeface="+mn-ea"/>
              <a:cs typeface="+mn-cs"/>
            </a:rPr>
            <a:t>+</a:t>
          </a:r>
          <a:r>
            <a:rPr lang="en-US" sz="1400" b="1" baseline="0">
              <a:solidFill>
                <a:schemeClr val="accent1">
                  <a:lumMod val="75000"/>
                </a:schemeClr>
              </a:solidFill>
              <a:latin typeface="+mn-lt"/>
              <a:ea typeface="+mn-ea"/>
              <a:cs typeface="+mn-cs"/>
            </a:rPr>
            <a:t>6,1</a:t>
          </a:r>
          <a:r>
            <a:rPr lang="ru-RU" sz="1400" b="1" baseline="0">
              <a:solidFill>
                <a:schemeClr val="accent1">
                  <a:lumMod val="75000"/>
                </a:schemeClr>
              </a:solidFill>
            </a:rPr>
            <a:t>%</a:t>
          </a:r>
        </a:p>
        <a:p xmlns:a="http://schemas.openxmlformats.org/drawingml/2006/main">
          <a:r>
            <a:rPr lang="ru-RU" sz="1400" baseline="0">
              <a:solidFill>
                <a:schemeClr val="accent1">
                  <a:lumMod val="75000"/>
                </a:schemeClr>
              </a:solidFill>
            </a:rPr>
            <a:t> в дол. еквіваленті </a:t>
          </a:r>
          <a:r>
            <a:rPr lang="en-US" sz="1400" b="1" baseline="0">
              <a:solidFill>
                <a:schemeClr val="accent1">
                  <a:lumMod val="75000"/>
                </a:schemeClr>
              </a:solidFill>
            </a:rPr>
            <a:t>-10,5</a:t>
          </a:r>
          <a:r>
            <a:rPr lang="uk-UA" sz="1400" b="1" baseline="0">
              <a:solidFill>
                <a:schemeClr val="accent1">
                  <a:lumMod val="75000"/>
                </a:schemeClr>
              </a:solidFill>
            </a:rPr>
            <a:t>%</a:t>
          </a:r>
          <a:endParaRPr lang="ru-RU" sz="1400" b="1">
            <a:solidFill>
              <a:schemeClr val="accent1">
                <a:lumMod val="75000"/>
              </a:schemeClr>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0.19667</cdr:x>
      <cdr:y>0.66999</cdr:y>
    </cdr:from>
    <cdr:to>
      <cdr:x>0.42789</cdr:x>
      <cdr:y>0.73354</cdr:y>
    </cdr:to>
    <cdr:sp macro="" textlink="">
      <cdr:nvSpPr>
        <cdr:cNvPr id="3" name="TextBox 2"/>
        <cdr:cNvSpPr txBox="1"/>
      </cdr:nvSpPr>
      <cdr:spPr>
        <a:xfrm xmlns:a="http://schemas.openxmlformats.org/drawingml/2006/main">
          <a:off x="798763" y="1832243"/>
          <a:ext cx="939132" cy="1737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uk-UA" sz="1100"/>
        </a:p>
      </cdr:txBody>
    </cdr:sp>
  </cdr:relSizeAnchor>
</c:userShapes>
</file>

<file path=xl/drawings/drawing19.xml><?xml version="1.0" encoding="utf-8"?>
<c:userShapes xmlns:c="http://schemas.openxmlformats.org/drawingml/2006/chart">
  <cdr:relSizeAnchor xmlns:cdr="http://schemas.openxmlformats.org/drawingml/2006/chartDrawing">
    <cdr:from>
      <cdr:x>0.19241</cdr:x>
      <cdr:y>0.65016</cdr:y>
    </cdr:from>
    <cdr:to>
      <cdr:x>0.52464</cdr:x>
      <cdr:y>0.79625</cdr:y>
    </cdr:to>
    <cdr:grpSp>
      <cdr:nvGrpSpPr>
        <cdr:cNvPr id="9" name="Групувати 8">
          <a:extLst xmlns:a="http://schemas.openxmlformats.org/drawingml/2006/main">
            <a:ext uri="{FF2B5EF4-FFF2-40B4-BE49-F238E27FC236}">
              <a16:creationId xmlns:a16="http://schemas.microsoft.com/office/drawing/2014/main" id="{5BDE94DB-3D3D-5924-DB18-38A38C71F938}"/>
            </a:ext>
          </a:extLst>
        </cdr:cNvPr>
        <cdr:cNvGrpSpPr/>
      </cdr:nvGrpSpPr>
      <cdr:grpSpPr>
        <a:xfrm xmlns:a="http://schemas.openxmlformats.org/drawingml/2006/main">
          <a:off x="763095" y="1935245"/>
          <a:ext cx="1317619" cy="434847"/>
          <a:chOff x="0" y="0"/>
          <a:chExt cx="1154235" cy="426863"/>
        </a:xfrm>
      </cdr:grpSpPr>
      <cdr:sp macro="" textlink="">
        <cdr:nvSpPr>
          <cdr:cNvPr id="10" name="Прямокутник 9">
            <a:extLst xmlns:a="http://schemas.openxmlformats.org/drawingml/2006/main">
              <a:ext uri="{FF2B5EF4-FFF2-40B4-BE49-F238E27FC236}">
                <a16:creationId xmlns:a16="http://schemas.microsoft.com/office/drawing/2014/main" id="{900B3C95-0197-D080-AC44-9D9A868B308A}"/>
              </a:ext>
            </a:extLst>
          </cdr:cNvPr>
          <cdr:cNvSpPr/>
        </cdr:nvSpPr>
        <cdr:spPr>
          <a:xfrm xmlns:a="http://schemas.openxmlformats.org/drawingml/2006/main">
            <a:off x="0" y="0"/>
            <a:ext cx="1154235" cy="426863"/>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ru-RU" sz="600" b="1">
              <a:solidFill>
                <a:schemeClr val="accent1">
                  <a:lumMod val="50000"/>
                </a:schemeClr>
              </a:solidFill>
            </a:endParaRPr>
          </a:p>
        </cdr:txBody>
      </cdr:sp>
      <cdr:sp macro="" textlink="'Чарти 5-7'!$H$74">
        <cdr:nvSpPr>
          <cdr:cNvPr id="11" name="TextBox 1">
            <a:extLst xmlns:a="http://schemas.openxmlformats.org/drawingml/2006/main">
              <a:ext uri="{FF2B5EF4-FFF2-40B4-BE49-F238E27FC236}">
                <a16:creationId xmlns:a16="http://schemas.microsoft.com/office/drawing/2014/main" id="{5D3C1315-EEBF-B83E-966E-EBA91AA46A64}"/>
              </a:ext>
            </a:extLst>
          </cdr:cNvPr>
          <cdr:cNvSpPr txBox="1"/>
        </cdr:nvSpPr>
        <cdr:spPr>
          <a:xfrm xmlns:a="http://schemas.openxmlformats.org/drawingml/2006/main">
            <a:off x="26986" y="8617"/>
            <a:ext cx="1099030" cy="97646"/>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F83E141-5D5E-41FB-9CB2-F43B56657CA4}" type="TxLink">
              <a:rPr lang="uk-UA" sz="600" b="1" i="0" u="none" strike="noStrike">
                <a:solidFill>
                  <a:schemeClr val="accent1">
                    <a:lumMod val="50000"/>
                  </a:schemeClr>
                </a:solidFill>
                <a:latin typeface="Montserrat"/>
              </a:rPr>
              <a:pPr/>
              <a:t>В середньому за 2024 рік:</a:t>
            </a:fld>
            <a:endParaRPr lang="uk-UA" sz="100" b="1">
              <a:solidFill>
                <a:schemeClr val="accent1">
                  <a:lumMod val="50000"/>
                </a:schemeClr>
              </a:solidFill>
            </a:endParaRPr>
          </a:p>
        </cdr:txBody>
      </cdr:sp>
      <cdr:sp macro="" textlink="'Чарти 5-7'!$M$74">
        <cdr:nvSpPr>
          <cdr:cNvPr id="12" name="TextBox 1">
            <a:extLst xmlns:a="http://schemas.openxmlformats.org/drawingml/2006/main">
              <a:ext uri="{FF2B5EF4-FFF2-40B4-BE49-F238E27FC236}">
                <a16:creationId xmlns:a16="http://schemas.microsoft.com/office/drawing/2014/main" id="{C3A3A211-977F-05AC-B4FD-C8C9DE664184}"/>
              </a:ext>
            </a:extLst>
          </cdr:cNvPr>
          <cdr:cNvSpPr txBox="1"/>
        </cdr:nvSpPr>
        <cdr:spPr>
          <a:xfrm xmlns:a="http://schemas.openxmlformats.org/drawingml/2006/main">
            <a:off x="39729" y="111593"/>
            <a:ext cx="802709" cy="10223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6A071113-079E-4F8D-9F1E-830CE15DCB55}" type="TxLink">
              <a:rPr lang="en-US" sz="600" b="1" i="0" u="none" strike="noStrike">
                <a:solidFill>
                  <a:schemeClr val="accent1">
                    <a:lumMod val="50000"/>
                  </a:schemeClr>
                </a:solidFill>
                <a:latin typeface="Montserrat"/>
              </a:rPr>
              <a:pPr/>
              <a:t>20,8 тис. грн / $519</a:t>
            </a:fld>
            <a:endParaRPr lang="uk-UA" sz="100" b="1">
              <a:solidFill>
                <a:schemeClr val="accent1">
                  <a:lumMod val="50000"/>
                </a:schemeClr>
              </a:solidFill>
            </a:endParaRPr>
          </a:p>
        </cdr:txBody>
      </cdr:sp>
      <cdr:sp macro="" textlink="'Чарти 5-7'!$S$74">
        <cdr:nvSpPr>
          <cdr:cNvPr id="13" name="TextBox 1">
            <a:extLst xmlns:a="http://schemas.openxmlformats.org/drawingml/2006/main">
              <a:ext uri="{FF2B5EF4-FFF2-40B4-BE49-F238E27FC236}">
                <a16:creationId xmlns:a16="http://schemas.microsoft.com/office/drawing/2014/main" id="{9ADDC88F-A10B-F32A-5404-128F12927660}"/>
              </a:ext>
            </a:extLst>
          </cdr:cNvPr>
          <cdr:cNvSpPr txBox="1"/>
        </cdr:nvSpPr>
        <cdr:spPr>
          <a:xfrm xmlns:a="http://schemas.openxmlformats.org/drawingml/2006/main">
            <a:off x="51102" y="206690"/>
            <a:ext cx="605921" cy="109319"/>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AC6F3FB4-0037-43E8-B858-C33B1851E3CA}" type="TxLink">
              <a:rPr lang="uk-UA" sz="600" b="0" i="1" u="none" strike="noStrike">
                <a:solidFill>
                  <a:schemeClr val="accent1">
                    <a:lumMod val="50000"/>
                  </a:schemeClr>
                </a:solidFill>
                <a:latin typeface="Montserrat"/>
              </a:rPr>
              <a:pPr/>
              <a:t>в грн +20,9%</a:t>
            </a:fld>
            <a:endParaRPr lang="uk-UA" sz="200" b="0" i="1">
              <a:solidFill>
                <a:schemeClr val="accent1">
                  <a:lumMod val="50000"/>
                </a:schemeClr>
              </a:solidFill>
            </a:endParaRPr>
          </a:p>
        </cdr:txBody>
      </cdr:sp>
      <cdr:sp macro="" textlink="'Чарти 5-7'!$AA$74">
        <cdr:nvSpPr>
          <cdr:cNvPr id="14" name="TextBox 1">
            <a:extLst xmlns:a="http://schemas.openxmlformats.org/drawingml/2006/main">
              <a:ext uri="{FF2B5EF4-FFF2-40B4-BE49-F238E27FC236}">
                <a16:creationId xmlns:a16="http://schemas.microsoft.com/office/drawing/2014/main" id="{66C0AE0F-B2FA-EDAA-F8E8-573F90043379}"/>
              </a:ext>
            </a:extLst>
          </cdr:cNvPr>
          <cdr:cNvSpPr txBox="1"/>
        </cdr:nvSpPr>
        <cdr:spPr>
          <a:xfrm xmlns:a="http://schemas.openxmlformats.org/drawingml/2006/main">
            <a:off x="46102" y="309252"/>
            <a:ext cx="681813" cy="108942"/>
          </a:xfrm>
          <a:prstGeom xmlns:a="http://schemas.openxmlformats.org/drawingml/2006/main" prst="rect">
            <a:avLst/>
          </a:prstGeom>
        </cdr:spPr>
        <cdr:txBody>
          <a:bodyPr xmlns:a="http://schemas.openxmlformats.org/drawingml/2006/main" wrap="non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6D9D0C6A-E9C8-4944-8A67-D07A18D1F331}" type="TxLink">
              <a:rPr lang="uk-UA" sz="600" b="0" i="1" u="none" strike="noStrike">
                <a:solidFill>
                  <a:schemeClr val="accent1">
                    <a:lumMod val="50000"/>
                  </a:schemeClr>
                </a:solidFill>
                <a:latin typeface="Montserrat"/>
              </a:rPr>
              <a:pPr/>
              <a:t>в дол. екв.  +10,6%</a:t>
            </a:fld>
            <a:endParaRPr lang="uk-UA" sz="100" b="0" i="1">
              <a:solidFill>
                <a:schemeClr val="accent1">
                  <a:lumMod val="50000"/>
                </a:schemeClr>
              </a:solidFill>
            </a:endParaRPr>
          </a:p>
        </cdr:txBody>
      </cdr:sp>
    </cdr:grpSp>
  </cdr:relSizeAnchor>
</c:userShapes>
</file>

<file path=xl/drawings/drawing20.xml><?xml version="1.0" encoding="utf-8"?>
<xdr:wsDr xmlns:xdr="http://schemas.openxmlformats.org/drawingml/2006/spreadsheetDrawing" xmlns:a="http://schemas.openxmlformats.org/drawingml/2006/main">
  <xdr:twoCellAnchor>
    <xdr:from>
      <xdr:col>15</xdr:col>
      <xdr:colOff>61911</xdr:colOff>
      <xdr:row>13</xdr:row>
      <xdr:rowOff>33337</xdr:rowOff>
    </xdr:from>
    <xdr:to>
      <xdr:col>21</xdr:col>
      <xdr:colOff>523874</xdr:colOff>
      <xdr:row>27</xdr:row>
      <xdr:rowOff>180975</xdr:rowOff>
    </xdr:to>
    <xdr:graphicFrame macro="">
      <xdr:nvGraphicFramePr>
        <xdr:cNvPr id="2" name="Діаграма 1">
          <a:extLst>
            <a:ext uri="{FF2B5EF4-FFF2-40B4-BE49-F238E27FC236}">
              <a16:creationId xmlns:a16="http://schemas.microsoft.com/office/drawing/2014/main" id="{478D5ACA-862D-E499-19DF-14AC05CA3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5</xdr:col>
      <xdr:colOff>123825</xdr:colOff>
      <xdr:row>8</xdr:row>
      <xdr:rowOff>46159</xdr:rowOff>
    </xdr:from>
    <xdr:to>
      <xdr:col>10</xdr:col>
      <xdr:colOff>509587</xdr:colOff>
      <xdr:row>21</xdr:row>
      <xdr:rowOff>79496</xdr:rowOff>
    </xdr:to>
    <xdr:graphicFrame macro="">
      <xdr:nvGraphicFramePr>
        <xdr:cNvPr id="2" name="Діаграма 1">
          <a:extLst>
            <a:ext uri="{FF2B5EF4-FFF2-40B4-BE49-F238E27FC236}">
              <a16:creationId xmlns:a16="http://schemas.microsoft.com/office/drawing/2014/main" id="{267A6592-228D-883E-0113-8BC0866CB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9</xdr:col>
      <xdr:colOff>16085</xdr:colOff>
      <xdr:row>3</xdr:row>
      <xdr:rowOff>147321</xdr:rowOff>
    </xdr:from>
    <xdr:to>
      <xdr:col>15</xdr:col>
      <xdr:colOff>514350</xdr:colOff>
      <xdr:row>15</xdr:row>
      <xdr:rowOff>209550</xdr:rowOff>
    </xdr:to>
    <xdr:graphicFrame macro="">
      <xdr:nvGraphicFramePr>
        <xdr:cNvPr id="2" name="Chart 3">
          <a:extLst>
            <a:ext uri="{FF2B5EF4-FFF2-40B4-BE49-F238E27FC236}">
              <a16:creationId xmlns:a16="http://schemas.microsoft.com/office/drawing/2014/main" id="{EC2EDEF7-5A41-4AC9-9FC0-726AA9CA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9</xdr:col>
      <xdr:colOff>342900</xdr:colOff>
      <xdr:row>3</xdr:row>
      <xdr:rowOff>152401</xdr:rowOff>
    </xdr:from>
    <xdr:to>
      <xdr:col>14</xdr:col>
      <xdr:colOff>355600</xdr:colOff>
      <xdr:row>15</xdr:row>
      <xdr:rowOff>135468</xdr:rowOff>
    </xdr:to>
    <xdr:graphicFrame macro="">
      <xdr:nvGraphicFramePr>
        <xdr:cNvPr id="2" name="Chart 1">
          <a:extLst>
            <a:ext uri="{FF2B5EF4-FFF2-40B4-BE49-F238E27FC236}">
              <a16:creationId xmlns:a16="http://schemas.microsoft.com/office/drawing/2014/main" id="{2D8367E0-CDB6-441C-BF3E-5AE210B05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absoluteAnchor>
    <xdr:pos x="4933950" y="1219200"/>
    <xdr:ext cx="9301370" cy="6071152"/>
    <xdr:graphicFrame macro="">
      <xdr:nvGraphicFramePr>
        <xdr:cNvPr id="2" name="Діаграма 1">
          <a:extLst>
            <a:ext uri="{FF2B5EF4-FFF2-40B4-BE49-F238E27FC236}">
              <a16:creationId xmlns:a16="http://schemas.microsoft.com/office/drawing/2014/main" id="{91777A82-AA1B-49E7-80F5-FBC10A634FB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5.xml><?xml version="1.0" encoding="utf-8"?>
<xdr:wsDr xmlns:xdr="http://schemas.openxmlformats.org/drawingml/2006/spreadsheetDrawing" xmlns:a="http://schemas.openxmlformats.org/drawingml/2006/main">
  <xdr:twoCellAnchor editAs="oneCell">
    <xdr:from>
      <xdr:col>29</xdr:col>
      <xdr:colOff>1197426</xdr:colOff>
      <xdr:row>167</xdr:row>
      <xdr:rowOff>184098</xdr:rowOff>
    </xdr:from>
    <xdr:to>
      <xdr:col>33</xdr:col>
      <xdr:colOff>143163</xdr:colOff>
      <xdr:row>177</xdr:row>
      <xdr:rowOff>125277</xdr:rowOff>
    </xdr:to>
    <xdr:pic>
      <xdr:nvPicPr>
        <xdr:cNvPr id="2" name="Picture 7">
          <a:extLst>
            <a:ext uri="{FF2B5EF4-FFF2-40B4-BE49-F238E27FC236}">
              <a16:creationId xmlns:a16="http://schemas.microsoft.com/office/drawing/2014/main" id="{60029BCC-9DE2-4D04-8981-FB93B9F81208}"/>
            </a:ext>
          </a:extLst>
        </xdr:cNvPr>
        <xdr:cNvPicPr>
          <a:picLocks noChangeAspect="1"/>
        </xdr:cNvPicPr>
      </xdr:nvPicPr>
      <xdr:blipFill>
        <a:blip xmlns:r="http://schemas.openxmlformats.org/officeDocument/2006/relationships" r:embed="rId1"/>
        <a:stretch>
          <a:fillRect/>
        </a:stretch>
      </xdr:blipFill>
      <xdr:spPr>
        <a:xfrm>
          <a:off x="41650101" y="40322448"/>
          <a:ext cx="5337012" cy="2503404"/>
        </a:xfrm>
        <a:prstGeom prst="rect">
          <a:avLst/>
        </a:prstGeom>
      </xdr:spPr>
    </xdr:pic>
    <xdr:clientData/>
  </xdr:twoCellAnchor>
  <xdr:twoCellAnchor editAs="oneCell">
    <xdr:from>
      <xdr:col>7</xdr:col>
      <xdr:colOff>1755322</xdr:colOff>
      <xdr:row>170</xdr:row>
      <xdr:rowOff>171290</xdr:rowOff>
    </xdr:from>
    <xdr:to>
      <xdr:col>12</xdr:col>
      <xdr:colOff>605152</xdr:colOff>
      <xdr:row>183</xdr:row>
      <xdr:rowOff>84938</xdr:rowOff>
    </xdr:to>
    <xdr:pic>
      <xdr:nvPicPr>
        <xdr:cNvPr id="3" name="Рисунок 2">
          <a:extLst>
            <a:ext uri="{FF2B5EF4-FFF2-40B4-BE49-F238E27FC236}">
              <a16:creationId xmlns:a16="http://schemas.microsoft.com/office/drawing/2014/main" id="{BC44BB7D-0706-4433-8F13-6282CB96CF1F}"/>
            </a:ext>
          </a:extLst>
        </xdr:cNvPr>
        <xdr:cNvPicPr>
          <a:picLocks noChangeAspect="1"/>
        </xdr:cNvPicPr>
      </xdr:nvPicPr>
      <xdr:blipFill>
        <a:blip xmlns:r="http://schemas.openxmlformats.org/officeDocument/2006/relationships" r:embed="rId2"/>
        <a:stretch>
          <a:fillRect/>
        </a:stretch>
      </xdr:blipFill>
      <xdr:spPr>
        <a:xfrm>
          <a:off x="9118147" y="41024015"/>
          <a:ext cx="7365180" cy="3133098"/>
        </a:xfrm>
        <a:prstGeom prst="rect">
          <a:avLst/>
        </a:prstGeom>
      </xdr:spPr>
    </xdr:pic>
    <xdr:clientData/>
  </xdr:twoCellAnchor>
  <xdr:twoCellAnchor editAs="oneCell">
    <xdr:from>
      <xdr:col>10</xdr:col>
      <xdr:colOff>476252</xdr:colOff>
      <xdr:row>164</xdr:row>
      <xdr:rowOff>13607</xdr:rowOff>
    </xdr:from>
    <xdr:to>
      <xdr:col>16</xdr:col>
      <xdr:colOff>873787</xdr:colOff>
      <xdr:row>192</xdr:row>
      <xdr:rowOff>19072</xdr:rowOff>
    </xdr:to>
    <xdr:pic>
      <xdr:nvPicPr>
        <xdr:cNvPr id="4" name="Рисунок 3">
          <a:extLst>
            <a:ext uri="{FF2B5EF4-FFF2-40B4-BE49-F238E27FC236}">
              <a16:creationId xmlns:a16="http://schemas.microsoft.com/office/drawing/2014/main" id="{0FDD88D4-B149-4CD4-A942-68061B616C13}"/>
            </a:ext>
          </a:extLst>
        </xdr:cNvPr>
        <xdr:cNvPicPr>
          <a:picLocks noChangeAspect="1"/>
        </xdr:cNvPicPr>
      </xdr:nvPicPr>
      <xdr:blipFill>
        <a:blip xmlns:r="http://schemas.openxmlformats.org/officeDocument/2006/relationships" r:embed="rId3"/>
        <a:stretch>
          <a:fillRect/>
        </a:stretch>
      </xdr:blipFill>
      <xdr:spPr>
        <a:xfrm>
          <a:off x="12681859" y="39692036"/>
          <a:ext cx="9255785" cy="705396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54</xdr:col>
      <xdr:colOff>191697</xdr:colOff>
      <xdr:row>109</xdr:row>
      <xdr:rowOff>45304</xdr:rowOff>
    </xdr:from>
    <xdr:to>
      <xdr:col>57</xdr:col>
      <xdr:colOff>321403</xdr:colOff>
      <xdr:row>120</xdr:row>
      <xdr:rowOff>150474</xdr:rowOff>
    </xdr:to>
    <xdr:pic>
      <xdr:nvPicPr>
        <xdr:cNvPr id="2" name="Picture 1">
          <a:extLst>
            <a:ext uri="{FF2B5EF4-FFF2-40B4-BE49-F238E27FC236}">
              <a16:creationId xmlns:a16="http://schemas.microsoft.com/office/drawing/2014/main" id="{D0FB2927-EED4-402E-98ED-12F823AC67FC}"/>
            </a:ext>
          </a:extLst>
        </xdr:cNvPr>
        <xdr:cNvPicPr>
          <a:picLocks noChangeAspect="1"/>
        </xdr:cNvPicPr>
      </xdr:nvPicPr>
      <xdr:blipFill>
        <a:blip xmlns:r="http://schemas.openxmlformats.org/officeDocument/2006/relationships" r:embed="rId1"/>
        <a:stretch>
          <a:fillRect/>
        </a:stretch>
      </xdr:blipFill>
      <xdr:spPr>
        <a:xfrm>
          <a:off x="65152197" y="26211840"/>
          <a:ext cx="5205172" cy="2649705"/>
        </a:xfrm>
        <a:prstGeom prst="rect">
          <a:avLst/>
        </a:prstGeom>
        <a:ln w="25400">
          <a:solidFill>
            <a:srgbClr val="FF0000"/>
          </a:solidFill>
        </a:ln>
      </xdr:spPr>
    </xdr:pic>
    <xdr:clientData/>
  </xdr:twoCellAnchor>
  <xdr:twoCellAnchor>
    <xdr:from>
      <xdr:col>27</xdr:col>
      <xdr:colOff>207810</xdr:colOff>
      <xdr:row>230</xdr:row>
      <xdr:rowOff>93268</xdr:rowOff>
    </xdr:from>
    <xdr:to>
      <xdr:col>36</xdr:col>
      <xdr:colOff>1200032</xdr:colOff>
      <xdr:row>251</xdr:row>
      <xdr:rowOff>148176</xdr:rowOff>
    </xdr:to>
    <xdr:graphicFrame macro="">
      <xdr:nvGraphicFramePr>
        <xdr:cNvPr id="3" name="Chart 3">
          <a:extLst>
            <a:ext uri="{FF2B5EF4-FFF2-40B4-BE49-F238E27FC236}">
              <a16:creationId xmlns:a16="http://schemas.microsoft.com/office/drawing/2014/main" id="{5651C0E2-CE40-4B72-93F9-5875169486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50</xdr:col>
      <xdr:colOff>192536</xdr:colOff>
      <xdr:row>124</xdr:row>
      <xdr:rowOff>13609</xdr:rowOff>
    </xdr:from>
    <xdr:to>
      <xdr:col>54</xdr:col>
      <xdr:colOff>544286</xdr:colOff>
      <xdr:row>137</xdr:row>
      <xdr:rowOff>83246</xdr:rowOff>
    </xdr:to>
    <xdr:graphicFrame macro="">
      <xdr:nvGraphicFramePr>
        <xdr:cNvPr id="4" name="Chart 6">
          <a:extLst>
            <a:ext uri="{FF2B5EF4-FFF2-40B4-BE49-F238E27FC236}">
              <a16:creationId xmlns:a16="http://schemas.microsoft.com/office/drawing/2014/main" id="{E1374455-234F-46AF-B615-A9FD3185B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1447459</xdr:colOff>
      <xdr:row>241</xdr:row>
      <xdr:rowOff>24150</xdr:rowOff>
    </xdr:from>
    <xdr:to>
      <xdr:col>22</xdr:col>
      <xdr:colOff>715628</xdr:colOff>
      <xdr:row>253</xdr:row>
      <xdr:rowOff>124149</xdr:rowOff>
    </xdr:to>
    <xdr:pic>
      <xdr:nvPicPr>
        <xdr:cNvPr id="5" name="Picture 8">
          <a:extLst>
            <a:ext uri="{FF2B5EF4-FFF2-40B4-BE49-F238E27FC236}">
              <a16:creationId xmlns:a16="http://schemas.microsoft.com/office/drawing/2014/main" id="{A462CD12-68B9-4DBC-83EB-62D3C32D7BA0}"/>
            </a:ext>
          </a:extLst>
        </xdr:cNvPr>
        <xdr:cNvPicPr>
          <a:picLocks noChangeAspect="1"/>
        </xdr:cNvPicPr>
      </xdr:nvPicPr>
      <xdr:blipFill>
        <a:blip xmlns:r="http://schemas.openxmlformats.org/officeDocument/2006/relationships" r:embed="rId4"/>
        <a:stretch>
          <a:fillRect/>
        </a:stretch>
      </xdr:blipFill>
      <xdr:spPr>
        <a:xfrm>
          <a:off x="24647638" y="51037329"/>
          <a:ext cx="5636311" cy="2875855"/>
        </a:xfrm>
        <a:prstGeom prst="rect">
          <a:avLst/>
        </a:prstGeom>
        <a:ln w="25400">
          <a:solidFill>
            <a:srgbClr val="FF0000"/>
          </a:solidFill>
        </a:ln>
      </xdr:spPr>
    </xdr:pic>
    <xdr:clientData/>
  </xdr:twoCellAnchor>
  <xdr:twoCellAnchor>
    <xdr:from>
      <xdr:col>13</xdr:col>
      <xdr:colOff>1428749</xdr:colOff>
      <xdr:row>44</xdr:row>
      <xdr:rowOff>0</xdr:rowOff>
    </xdr:from>
    <xdr:to>
      <xdr:col>24</xdr:col>
      <xdr:colOff>739588</xdr:colOff>
      <xdr:row>65</xdr:row>
      <xdr:rowOff>144554</xdr:rowOff>
    </xdr:to>
    <xdr:graphicFrame macro="">
      <xdr:nvGraphicFramePr>
        <xdr:cNvPr id="6" name="Діаграма 5">
          <a:extLst>
            <a:ext uri="{FF2B5EF4-FFF2-40B4-BE49-F238E27FC236}">
              <a16:creationId xmlns:a16="http://schemas.microsoft.com/office/drawing/2014/main" id="{AB303141-F716-45FB-95A6-CCF36672C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176892</xdr:colOff>
      <xdr:row>145</xdr:row>
      <xdr:rowOff>0</xdr:rowOff>
    </xdr:from>
    <xdr:to>
      <xdr:col>67</xdr:col>
      <xdr:colOff>671551</xdr:colOff>
      <xdr:row>163</xdr:row>
      <xdr:rowOff>74600</xdr:rowOff>
    </xdr:to>
    <xdr:graphicFrame macro="">
      <xdr:nvGraphicFramePr>
        <xdr:cNvPr id="7" name="Діаграма 6">
          <a:extLst>
            <a:ext uri="{FF2B5EF4-FFF2-40B4-BE49-F238E27FC236}">
              <a16:creationId xmlns:a16="http://schemas.microsoft.com/office/drawing/2014/main" id="{E5590EB8-AB55-419C-BB09-EB3215401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1113584</xdr:colOff>
      <xdr:row>249</xdr:row>
      <xdr:rowOff>701</xdr:rowOff>
    </xdr:from>
    <xdr:to>
      <xdr:col>50</xdr:col>
      <xdr:colOff>830640</xdr:colOff>
      <xdr:row>270</xdr:row>
      <xdr:rowOff>143156</xdr:rowOff>
    </xdr:to>
    <xdr:graphicFrame macro="">
      <xdr:nvGraphicFramePr>
        <xdr:cNvPr id="8" name="Chart 3">
          <a:extLst>
            <a:ext uri="{FF2B5EF4-FFF2-40B4-BE49-F238E27FC236}">
              <a16:creationId xmlns:a16="http://schemas.microsoft.com/office/drawing/2014/main" id="{8F23DEFF-C31B-49D5-BDB0-62AAFD7BE8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22</xdr:col>
      <xdr:colOff>1870581</xdr:colOff>
      <xdr:row>240</xdr:row>
      <xdr:rowOff>51727</xdr:rowOff>
    </xdr:from>
    <xdr:to>
      <xdr:col>29</xdr:col>
      <xdr:colOff>167161</xdr:colOff>
      <xdr:row>254</xdr:row>
      <xdr:rowOff>43767</xdr:rowOff>
    </xdr:to>
    <xdr:pic>
      <xdr:nvPicPr>
        <xdr:cNvPr id="9" name="Рисунок 8">
          <a:extLst>
            <a:ext uri="{FF2B5EF4-FFF2-40B4-BE49-F238E27FC236}">
              <a16:creationId xmlns:a16="http://schemas.microsoft.com/office/drawing/2014/main" id="{82A5B2EC-D20F-4397-BC14-FBA347A69C69}"/>
            </a:ext>
          </a:extLst>
        </xdr:cNvPr>
        <xdr:cNvPicPr>
          <a:picLocks noChangeAspect="1"/>
        </xdr:cNvPicPr>
      </xdr:nvPicPr>
      <xdr:blipFill>
        <a:blip xmlns:r="http://schemas.openxmlformats.org/officeDocument/2006/relationships" r:embed="rId8"/>
        <a:stretch>
          <a:fillRect/>
        </a:stretch>
      </xdr:blipFill>
      <xdr:spPr>
        <a:xfrm>
          <a:off x="31438902" y="50833584"/>
          <a:ext cx="7018759" cy="3230540"/>
        </a:xfrm>
        <a:prstGeom prst="rect">
          <a:avLst/>
        </a:prstGeom>
      </xdr:spPr>
    </xdr:pic>
    <xdr:clientData/>
  </xdr:twoCellAnchor>
  <xdr:twoCellAnchor editAs="oneCell">
    <xdr:from>
      <xdr:col>27</xdr:col>
      <xdr:colOff>5100</xdr:colOff>
      <xdr:row>211</xdr:row>
      <xdr:rowOff>73139</xdr:rowOff>
    </xdr:from>
    <xdr:to>
      <xdr:col>33</xdr:col>
      <xdr:colOff>219780</xdr:colOff>
      <xdr:row>224</xdr:row>
      <xdr:rowOff>206418</xdr:rowOff>
    </xdr:to>
    <xdr:pic>
      <xdr:nvPicPr>
        <xdr:cNvPr id="10" name="Рисунок 9">
          <a:extLst>
            <a:ext uri="{FF2B5EF4-FFF2-40B4-BE49-F238E27FC236}">
              <a16:creationId xmlns:a16="http://schemas.microsoft.com/office/drawing/2014/main" id="{2AA07DFE-DA28-49F1-BE0C-9A9D0090FDA4}"/>
            </a:ext>
          </a:extLst>
        </xdr:cNvPr>
        <xdr:cNvPicPr>
          <a:picLocks noChangeAspect="1"/>
        </xdr:cNvPicPr>
      </xdr:nvPicPr>
      <xdr:blipFill>
        <a:blip xmlns:r="http://schemas.openxmlformats.org/officeDocument/2006/relationships" r:embed="rId9"/>
        <a:stretch>
          <a:fillRect/>
        </a:stretch>
      </xdr:blipFill>
      <xdr:spPr>
        <a:xfrm>
          <a:off x="37125386" y="43398282"/>
          <a:ext cx="6610038" cy="3589493"/>
        </a:xfrm>
        <a:prstGeom prst="rect">
          <a:avLst/>
        </a:prstGeom>
      </xdr:spPr>
    </xdr:pic>
    <xdr:clientData/>
  </xdr:twoCellAnchor>
  <xdr:twoCellAnchor editAs="oneCell">
    <xdr:from>
      <xdr:col>23</xdr:col>
      <xdr:colOff>344982</xdr:colOff>
      <xdr:row>225</xdr:row>
      <xdr:rowOff>164184</xdr:rowOff>
    </xdr:from>
    <xdr:to>
      <xdr:col>29</xdr:col>
      <xdr:colOff>269185</xdr:colOff>
      <xdr:row>237</xdr:row>
      <xdr:rowOff>188982</xdr:rowOff>
    </xdr:to>
    <xdr:pic>
      <xdr:nvPicPr>
        <xdr:cNvPr id="11" name="Рисунок 10">
          <a:extLst>
            <a:ext uri="{FF2B5EF4-FFF2-40B4-BE49-F238E27FC236}">
              <a16:creationId xmlns:a16="http://schemas.microsoft.com/office/drawing/2014/main" id="{8EA0FC8A-017B-4444-8F59-BC6091E07BC8}"/>
            </a:ext>
          </a:extLst>
        </xdr:cNvPr>
        <xdr:cNvPicPr>
          <a:picLocks noChangeAspect="1"/>
        </xdr:cNvPicPr>
      </xdr:nvPicPr>
      <xdr:blipFill>
        <a:blip xmlns:r="http://schemas.openxmlformats.org/officeDocument/2006/relationships" r:embed="rId10"/>
        <a:stretch>
          <a:fillRect/>
        </a:stretch>
      </xdr:blipFill>
      <xdr:spPr>
        <a:xfrm>
          <a:off x="31886339" y="47176863"/>
          <a:ext cx="6673346" cy="3100011"/>
        </a:xfrm>
        <a:prstGeom prst="rect">
          <a:avLst/>
        </a:prstGeom>
      </xdr:spPr>
    </xdr:pic>
    <xdr:clientData/>
  </xdr:twoCellAnchor>
  <xdr:twoCellAnchor editAs="oneCell">
    <xdr:from>
      <xdr:col>19</xdr:col>
      <xdr:colOff>980717</xdr:colOff>
      <xdr:row>230</xdr:row>
      <xdr:rowOff>209109</xdr:rowOff>
    </xdr:from>
    <xdr:to>
      <xdr:col>23</xdr:col>
      <xdr:colOff>511559</xdr:colOff>
      <xdr:row>244</xdr:row>
      <xdr:rowOff>82529</xdr:rowOff>
    </xdr:to>
    <xdr:pic>
      <xdr:nvPicPr>
        <xdr:cNvPr id="12" name="Рисунок 11">
          <a:extLst>
            <a:ext uri="{FF2B5EF4-FFF2-40B4-BE49-F238E27FC236}">
              <a16:creationId xmlns:a16="http://schemas.microsoft.com/office/drawing/2014/main" id="{DF8D4E87-0CFC-4E28-A4F1-B09AF31FF922}"/>
            </a:ext>
          </a:extLst>
        </xdr:cNvPr>
        <xdr:cNvPicPr>
          <a:picLocks noChangeAspect="1"/>
        </xdr:cNvPicPr>
      </xdr:nvPicPr>
      <xdr:blipFill>
        <a:blip xmlns:r="http://schemas.openxmlformats.org/officeDocument/2006/relationships" r:embed="rId11"/>
        <a:stretch>
          <a:fillRect/>
        </a:stretch>
      </xdr:blipFill>
      <xdr:spPr>
        <a:xfrm>
          <a:off x="27364967" y="48623323"/>
          <a:ext cx="6279985" cy="3179957"/>
        </a:xfrm>
        <a:prstGeom prst="rect">
          <a:avLst/>
        </a:prstGeom>
      </xdr:spPr>
    </xdr:pic>
    <xdr:clientData/>
  </xdr:twoCellAnchor>
  <xdr:twoCellAnchor editAs="oneCell">
    <xdr:from>
      <xdr:col>15</xdr:col>
      <xdr:colOff>353788</xdr:colOff>
      <xdr:row>223</xdr:row>
      <xdr:rowOff>100052</xdr:rowOff>
    </xdr:from>
    <xdr:to>
      <xdr:col>19</xdr:col>
      <xdr:colOff>431582</xdr:colOff>
      <xdr:row>237</xdr:row>
      <xdr:rowOff>154286</xdr:rowOff>
    </xdr:to>
    <xdr:pic>
      <xdr:nvPicPr>
        <xdr:cNvPr id="13" name="Рисунок 12">
          <a:extLst>
            <a:ext uri="{FF2B5EF4-FFF2-40B4-BE49-F238E27FC236}">
              <a16:creationId xmlns:a16="http://schemas.microsoft.com/office/drawing/2014/main" id="{5AB2BBD0-16E2-44DE-9B30-367752FC9290}"/>
            </a:ext>
          </a:extLst>
        </xdr:cNvPr>
        <xdr:cNvPicPr>
          <a:picLocks noChangeAspect="1"/>
        </xdr:cNvPicPr>
      </xdr:nvPicPr>
      <xdr:blipFill>
        <a:blip xmlns:r="http://schemas.openxmlformats.org/officeDocument/2006/relationships" r:embed="rId12"/>
        <a:stretch>
          <a:fillRect/>
        </a:stretch>
      </xdr:blipFill>
      <xdr:spPr>
        <a:xfrm>
          <a:off x="20369895" y="46663695"/>
          <a:ext cx="6445937" cy="3592091"/>
        </a:xfrm>
        <a:prstGeom prst="rect">
          <a:avLst/>
        </a:prstGeom>
      </xdr:spPr>
    </xdr:pic>
    <xdr:clientData/>
  </xdr:twoCellAnchor>
  <xdr:twoCellAnchor editAs="oneCell">
    <xdr:from>
      <xdr:col>34</xdr:col>
      <xdr:colOff>888464</xdr:colOff>
      <xdr:row>230</xdr:row>
      <xdr:rowOff>109456</xdr:rowOff>
    </xdr:from>
    <xdr:to>
      <xdr:col>43</xdr:col>
      <xdr:colOff>173527</xdr:colOff>
      <xdr:row>252</xdr:row>
      <xdr:rowOff>172728</xdr:rowOff>
    </xdr:to>
    <xdr:pic>
      <xdr:nvPicPr>
        <xdr:cNvPr id="14" name="Рисунок 13" descr="Нет описания.">
          <a:extLst>
            <a:ext uri="{FF2B5EF4-FFF2-40B4-BE49-F238E27FC236}">
              <a16:creationId xmlns:a16="http://schemas.microsoft.com/office/drawing/2014/main" id="{06BBAC67-AC9D-B314-AC30-42073097CAC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5234143" y="48510063"/>
          <a:ext cx="11164098" cy="5220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570700</xdr:colOff>
      <xdr:row>214</xdr:row>
      <xdr:rowOff>133669</xdr:rowOff>
    </xdr:from>
    <xdr:to>
      <xdr:col>25</xdr:col>
      <xdr:colOff>739774</xdr:colOff>
      <xdr:row>229</xdr:row>
      <xdr:rowOff>141138</xdr:rowOff>
    </xdr:to>
    <xdr:pic>
      <xdr:nvPicPr>
        <xdr:cNvPr id="15" name="Рисунок 14">
          <a:extLst>
            <a:ext uri="{FF2B5EF4-FFF2-40B4-BE49-F238E27FC236}">
              <a16:creationId xmlns:a16="http://schemas.microsoft.com/office/drawing/2014/main" id="{3908B3F8-861A-1B7C-E44B-2942D45A7B48}"/>
            </a:ext>
          </a:extLst>
        </xdr:cNvPr>
        <xdr:cNvPicPr>
          <a:picLocks noChangeAspect="1"/>
        </xdr:cNvPicPr>
      </xdr:nvPicPr>
      <xdr:blipFill>
        <a:blip xmlns:r="http://schemas.openxmlformats.org/officeDocument/2006/relationships" r:embed="rId14"/>
        <a:stretch>
          <a:fillRect/>
        </a:stretch>
      </xdr:blipFill>
      <xdr:spPr>
        <a:xfrm>
          <a:off x="30139021" y="44615419"/>
          <a:ext cx="7476109" cy="3708613"/>
        </a:xfrm>
        <a:prstGeom prst="rect">
          <a:avLst/>
        </a:prstGeom>
      </xdr:spPr>
    </xdr:pic>
    <xdr:clientData/>
  </xdr:twoCellAnchor>
  <xdr:twoCellAnchor editAs="oneCell">
    <xdr:from>
      <xdr:col>24</xdr:col>
      <xdr:colOff>1564021</xdr:colOff>
      <xdr:row>215</xdr:row>
      <xdr:rowOff>147277</xdr:rowOff>
    </xdr:from>
    <xdr:to>
      <xdr:col>32</xdr:col>
      <xdr:colOff>1230999</xdr:colOff>
      <xdr:row>230</xdr:row>
      <xdr:rowOff>112801</xdr:rowOff>
    </xdr:to>
    <xdr:pic>
      <xdr:nvPicPr>
        <xdr:cNvPr id="16" name="Рисунок 15">
          <a:extLst>
            <a:ext uri="{FF2B5EF4-FFF2-40B4-BE49-F238E27FC236}">
              <a16:creationId xmlns:a16="http://schemas.microsoft.com/office/drawing/2014/main" id="{248BC31B-9FB8-800B-7A92-5EFA9CC3CB64}"/>
            </a:ext>
          </a:extLst>
        </xdr:cNvPr>
        <xdr:cNvPicPr>
          <a:picLocks noChangeAspect="1"/>
        </xdr:cNvPicPr>
      </xdr:nvPicPr>
      <xdr:blipFill>
        <a:blip xmlns:r="http://schemas.openxmlformats.org/officeDocument/2006/relationships" r:embed="rId15"/>
        <a:stretch>
          <a:fillRect/>
        </a:stretch>
      </xdr:blipFill>
      <xdr:spPr>
        <a:xfrm>
          <a:off x="35078414" y="44846741"/>
          <a:ext cx="8076190" cy="3666667"/>
        </a:xfrm>
        <a:prstGeom prst="rect">
          <a:avLst/>
        </a:prstGeom>
      </xdr:spPr>
    </xdr:pic>
    <xdr:clientData/>
  </xdr:twoCellAnchor>
  <xdr:twoCellAnchor>
    <xdr:from>
      <xdr:col>9</xdr:col>
      <xdr:colOff>163181</xdr:colOff>
      <xdr:row>276</xdr:row>
      <xdr:rowOff>79284</xdr:rowOff>
    </xdr:from>
    <xdr:to>
      <xdr:col>12</xdr:col>
      <xdr:colOff>1953547</xdr:colOff>
      <xdr:row>293</xdr:row>
      <xdr:rowOff>130190</xdr:rowOff>
    </xdr:to>
    <xdr:graphicFrame macro="">
      <xdr:nvGraphicFramePr>
        <xdr:cNvPr id="17" name="Діаграма 16">
          <a:extLst>
            <a:ext uri="{FF2B5EF4-FFF2-40B4-BE49-F238E27FC236}">
              <a16:creationId xmlns:a16="http://schemas.microsoft.com/office/drawing/2014/main" id="{F3980971-D1E9-D53F-9F2C-A01C8D9655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editAs="oneCell">
    <xdr:from>
      <xdr:col>29</xdr:col>
      <xdr:colOff>1197426</xdr:colOff>
      <xdr:row>202</xdr:row>
      <xdr:rowOff>184098</xdr:rowOff>
    </xdr:from>
    <xdr:to>
      <xdr:col>33</xdr:col>
      <xdr:colOff>143163</xdr:colOff>
      <xdr:row>212</xdr:row>
      <xdr:rowOff>125277</xdr:rowOff>
    </xdr:to>
    <xdr:pic>
      <xdr:nvPicPr>
        <xdr:cNvPr id="2" name="Picture 7">
          <a:extLst>
            <a:ext uri="{FF2B5EF4-FFF2-40B4-BE49-F238E27FC236}">
              <a16:creationId xmlns:a16="http://schemas.microsoft.com/office/drawing/2014/main" id="{FCAB24DD-4473-462B-9397-A5CF068FBE26}"/>
            </a:ext>
          </a:extLst>
        </xdr:cNvPr>
        <xdr:cNvPicPr>
          <a:picLocks noChangeAspect="1"/>
        </xdr:cNvPicPr>
      </xdr:nvPicPr>
      <xdr:blipFill>
        <a:blip xmlns:r="http://schemas.openxmlformats.org/officeDocument/2006/relationships" r:embed="rId1"/>
        <a:stretch>
          <a:fillRect/>
        </a:stretch>
      </xdr:blipFill>
      <xdr:spPr>
        <a:xfrm>
          <a:off x="35256105" y="34923134"/>
          <a:ext cx="5341094" cy="2553750"/>
        </a:xfrm>
        <a:prstGeom prst="rect">
          <a:avLst/>
        </a:prstGeom>
      </xdr:spPr>
    </xdr:pic>
    <xdr:clientData/>
  </xdr:twoCellAnchor>
  <xdr:twoCellAnchor editAs="oneCell">
    <xdr:from>
      <xdr:col>7</xdr:col>
      <xdr:colOff>544286</xdr:colOff>
      <xdr:row>211</xdr:row>
      <xdr:rowOff>116861</xdr:rowOff>
    </xdr:from>
    <xdr:to>
      <xdr:col>11</xdr:col>
      <xdr:colOff>1217473</xdr:colOff>
      <xdr:row>225</xdr:row>
      <xdr:rowOff>57724</xdr:rowOff>
    </xdr:to>
    <xdr:pic>
      <xdr:nvPicPr>
        <xdr:cNvPr id="3" name="Рисунок 2">
          <a:extLst>
            <a:ext uri="{FF2B5EF4-FFF2-40B4-BE49-F238E27FC236}">
              <a16:creationId xmlns:a16="http://schemas.microsoft.com/office/drawing/2014/main" id="{1C181E4E-50FC-48ED-BDC7-8748076F6B29}"/>
            </a:ext>
          </a:extLst>
        </xdr:cNvPr>
        <xdr:cNvPicPr>
          <a:picLocks noChangeAspect="1"/>
        </xdr:cNvPicPr>
      </xdr:nvPicPr>
      <xdr:blipFill>
        <a:blip xmlns:r="http://schemas.openxmlformats.org/officeDocument/2006/relationships" r:embed="rId2"/>
        <a:stretch>
          <a:fillRect/>
        </a:stretch>
      </xdr:blipFill>
      <xdr:spPr>
        <a:xfrm>
          <a:off x="7905750" y="43142647"/>
          <a:ext cx="7340687" cy="3179363"/>
        </a:xfrm>
        <a:prstGeom prst="rect">
          <a:avLst/>
        </a:prstGeom>
      </xdr:spPr>
    </xdr:pic>
    <xdr:clientData/>
  </xdr:twoCellAnchor>
  <xdr:twoCellAnchor editAs="oneCell">
    <xdr:from>
      <xdr:col>13</xdr:col>
      <xdr:colOff>408215</xdr:colOff>
      <xdr:row>198</xdr:row>
      <xdr:rowOff>163286</xdr:rowOff>
    </xdr:from>
    <xdr:to>
      <xdr:col>21</xdr:col>
      <xdr:colOff>1145929</xdr:colOff>
      <xdr:row>226</xdr:row>
      <xdr:rowOff>155144</xdr:rowOff>
    </xdr:to>
    <xdr:pic>
      <xdr:nvPicPr>
        <xdr:cNvPr id="4" name="Рисунок 3">
          <a:extLst>
            <a:ext uri="{FF2B5EF4-FFF2-40B4-BE49-F238E27FC236}">
              <a16:creationId xmlns:a16="http://schemas.microsoft.com/office/drawing/2014/main" id="{8D7E1B40-136C-79C5-DFAF-0D2285DFC48F}"/>
            </a:ext>
          </a:extLst>
        </xdr:cNvPr>
        <xdr:cNvPicPr>
          <a:picLocks noChangeAspect="1"/>
        </xdr:cNvPicPr>
      </xdr:nvPicPr>
      <xdr:blipFill>
        <a:blip xmlns:r="http://schemas.openxmlformats.org/officeDocument/2006/relationships" r:embed="rId3"/>
        <a:stretch>
          <a:fillRect/>
        </a:stretch>
      </xdr:blipFill>
      <xdr:spPr>
        <a:xfrm>
          <a:off x="18083894" y="39487929"/>
          <a:ext cx="9255785" cy="705396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59</xdr:col>
      <xdr:colOff>811367</xdr:colOff>
      <xdr:row>0</xdr:row>
      <xdr:rowOff>556212</xdr:rowOff>
    </xdr:from>
    <xdr:to>
      <xdr:col>66</xdr:col>
      <xdr:colOff>244648</xdr:colOff>
      <xdr:row>10</xdr:row>
      <xdr:rowOff>139053</xdr:rowOff>
    </xdr:to>
    <xdr:pic>
      <xdr:nvPicPr>
        <xdr:cNvPr id="2" name="Picture 1">
          <a:extLst>
            <a:ext uri="{FF2B5EF4-FFF2-40B4-BE49-F238E27FC236}">
              <a16:creationId xmlns:a16="http://schemas.microsoft.com/office/drawing/2014/main" id="{ED6D74BD-5287-4569-AE1C-EBFE1308FC20}"/>
            </a:ext>
          </a:extLst>
        </xdr:cNvPr>
        <xdr:cNvPicPr>
          <a:picLocks noChangeAspect="1"/>
        </xdr:cNvPicPr>
      </xdr:nvPicPr>
      <xdr:blipFill>
        <a:blip xmlns:r="http://schemas.openxmlformats.org/officeDocument/2006/relationships" r:embed="rId1"/>
        <a:stretch>
          <a:fillRect/>
        </a:stretch>
      </xdr:blipFill>
      <xdr:spPr>
        <a:xfrm>
          <a:off x="60605955" y="556212"/>
          <a:ext cx="5237928" cy="2507576"/>
        </a:xfrm>
        <a:prstGeom prst="rect">
          <a:avLst/>
        </a:prstGeom>
        <a:ln w="25400">
          <a:solidFill>
            <a:schemeClr val="accent1"/>
          </a:solidFill>
        </a:ln>
      </xdr:spPr>
    </xdr:pic>
    <xdr:clientData/>
  </xdr:twoCellAnchor>
  <xdr:twoCellAnchor editAs="oneCell">
    <xdr:from>
      <xdr:col>52</xdr:col>
      <xdr:colOff>488497</xdr:colOff>
      <xdr:row>1</xdr:row>
      <xdr:rowOff>46605</xdr:rowOff>
    </xdr:from>
    <xdr:to>
      <xdr:col>59</xdr:col>
      <xdr:colOff>3415</xdr:colOff>
      <xdr:row>11</xdr:row>
      <xdr:rowOff>5481</xdr:rowOff>
    </xdr:to>
    <xdr:pic>
      <xdr:nvPicPr>
        <xdr:cNvPr id="3" name="Picture 2">
          <a:extLst>
            <a:ext uri="{FF2B5EF4-FFF2-40B4-BE49-F238E27FC236}">
              <a16:creationId xmlns:a16="http://schemas.microsoft.com/office/drawing/2014/main" id="{FD9D5C2C-A130-4035-88D3-68ECA94BD2B2}"/>
            </a:ext>
          </a:extLst>
        </xdr:cNvPr>
        <xdr:cNvPicPr>
          <a:picLocks noChangeAspect="1"/>
        </xdr:cNvPicPr>
      </xdr:nvPicPr>
      <xdr:blipFill>
        <a:blip xmlns:r="http://schemas.openxmlformats.org/officeDocument/2006/relationships" r:embed="rId2"/>
        <a:stretch>
          <a:fillRect/>
        </a:stretch>
      </xdr:blipFill>
      <xdr:spPr>
        <a:xfrm>
          <a:off x="48704047" y="732405"/>
          <a:ext cx="5315643" cy="2435376"/>
        </a:xfrm>
        <a:prstGeom prst="rect">
          <a:avLst/>
        </a:prstGeom>
        <a:ln w="25400">
          <a:solidFill>
            <a:schemeClr val="accent1"/>
          </a:solidFill>
        </a:ln>
      </xdr:spPr>
    </xdr:pic>
    <xdr:clientData/>
  </xdr:twoCellAnchor>
  <xdr:twoCellAnchor editAs="oneCell">
    <xdr:from>
      <xdr:col>43</xdr:col>
      <xdr:colOff>434066</xdr:colOff>
      <xdr:row>1</xdr:row>
      <xdr:rowOff>53407</xdr:rowOff>
    </xdr:from>
    <xdr:to>
      <xdr:col>49</xdr:col>
      <xdr:colOff>665406</xdr:colOff>
      <xdr:row>11</xdr:row>
      <xdr:rowOff>157859</xdr:rowOff>
    </xdr:to>
    <xdr:pic>
      <xdr:nvPicPr>
        <xdr:cNvPr id="4" name="Picture 3">
          <a:extLst>
            <a:ext uri="{FF2B5EF4-FFF2-40B4-BE49-F238E27FC236}">
              <a16:creationId xmlns:a16="http://schemas.microsoft.com/office/drawing/2014/main" id="{24D04B25-06BC-46AF-8EF0-0DBB033E2837}"/>
            </a:ext>
          </a:extLst>
        </xdr:cNvPr>
        <xdr:cNvPicPr>
          <a:picLocks noChangeAspect="1"/>
        </xdr:cNvPicPr>
      </xdr:nvPicPr>
      <xdr:blipFill>
        <a:blip xmlns:r="http://schemas.openxmlformats.org/officeDocument/2006/relationships" r:embed="rId3"/>
        <a:stretch>
          <a:fillRect/>
        </a:stretch>
      </xdr:blipFill>
      <xdr:spPr>
        <a:xfrm>
          <a:off x="41191541" y="739207"/>
          <a:ext cx="5203389" cy="2580952"/>
        </a:xfrm>
        <a:prstGeom prst="rect">
          <a:avLst/>
        </a:prstGeom>
        <a:ln w="25400">
          <a:solidFill>
            <a:schemeClr val="accent1"/>
          </a:solidFill>
        </a:ln>
      </xdr:spPr>
    </xdr:pic>
    <xdr:clientData/>
  </xdr:twoCellAnchor>
  <xdr:twoCellAnchor>
    <xdr:from>
      <xdr:col>45</xdr:col>
      <xdr:colOff>172810</xdr:colOff>
      <xdr:row>14</xdr:row>
      <xdr:rowOff>107497</xdr:rowOff>
    </xdr:from>
    <xdr:to>
      <xdr:col>63</xdr:col>
      <xdr:colOff>171241</xdr:colOff>
      <xdr:row>39</xdr:row>
      <xdr:rowOff>125651</xdr:rowOff>
    </xdr:to>
    <xdr:graphicFrame macro="">
      <xdr:nvGraphicFramePr>
        <xdr:cNvPr id="5" name="Chart 5">
          <a:extLst>
            <a:ext uri="{FF2B5EF4-FFF2-40B4-BE49-F238E27FC236}">
              <a16:creationId xmlns:a16="http://schemas.microsoft.com/office/drawing/2014/main" id="{17A70871-AD3A-4F13-92A1-C04126391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526595</xdr:colOff>
      <xdr:row>39</xdr:row>
      <xdr:rowOff>153947</xdr:rowOff>
    </xdr:from>
    <xdr:to>
      <xdr:col>65</xdr:col>
      <xdr:colOff>14287</xdr:colOff>
      <xdr:row>91</xdr:row>
      <xdr:rowOff>91168</xdr:rowOff>
    </xdr:to>
    <xdr:graphicFrame macro="">
      <xdr:nvGraphicFramePr>
        <xdr:cNvPr id="6" name="Chart 8">
          <a:extLst>
            <a:ext uri="{FF2B5EF4-FFF2-40B4-BE49-F238E27FC236}">
              <a16:creationId xmlns:a16="http://schemas.microsoft.com/office/drawing/2014/main" id="{31AF7873-B971-47B6-86AD-7CC3C50CC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48</xdr:col>
      <xdr:colOff>245482</xdr:colOff>
      <xdr:row>91</xdr:row>
      <xdr:rowOff>99579</xdr:rowOff>
    </xdr:from>
    <xdr:to>
      <xdr:col>68</xdr:col>
      <xdr:colOff>397884</xdr:colOff>
      <xdr:row>129</xdr:row>
      <xdr:rowOff>4329</xdr:rowOff>
    </xdr:to>
    <xdr:graphicFrame macro="">
      <xdr:nvGraphicFramePr>
        <xdr:cNvPr id="7" name="Chart 9">
          <a:extLst>
            <a:ext uri="{FF2B5EF4-FFF2-40B4-BE49-F238E27FC236}">
              <a16:creationId xmlns:a16="http://schemas.microsoft.com/office/drawing/2014/main" id="{AFF1D516-884B-4D33-93C7-A3089C42A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303360</xdr:colOff>
      <xdr:row>48</xdr:row>
      <xdr:rowOff>7205</xdr:rowOff>
    </xdr:from>
    <xdr:to>
      <xdr:col>31</xdr:col>
      <xdr:colOff>1032144</xdr:colOff>
      <xdr:row>61</xdr:row>
      <xdr:rowOff>121812</xdr:rowOff>
    </xdr:to>
    <xdr:pic>
      <xdr:nvPicPr>
        <xdr:cNvPr id="8" name="Рисунок 7">
          <a:extLst>
            <a:ext uri="{FF2B5EF4-FFF2-40B4-BE49-F238E27FC236}">
              <a16:creationId xmlns:a16="http://schemas.microsoft.com/office/drawing/2014/main" id="{A9CA67E6-513D-4C32-BFBD-EB87FAFBC576}"/>
            </a:ext>
          </a:extLst>
        </xdr:cNvPr>
        <xdr:cNvPicPr>
          <a:picLocks noChangeAspect="1"/>
        </xdr:cNvPicPr>
      </xdr:nvPicPr>
      <xdr:blipFill rotWithShape="1">
        <a:blip xmlns:r="http://schemas.openxmlformats.org/officeDocument/2006/relationships" r:embed="rId7"/>
        <a:srcRect l="13085" t="38709" r="44764" b="24828"/>
        <a:stretch/>
      </xdr:blipFill>
      <xdr:spPr>
        <a:xfrm>
          <a:off x="21639360" y="11637230"/>
          <a:ext cx="6396159" cy="3138609"/>
        </a:xfrm>
        <a:prstGeom prst="rect">
          <a:avLst/>
        </a:prstGeom>
        <a:ln>
          <a:solidFill>
            <a:srgbClr val="FF0000"/>
          </a:solidFill>
        </a:ln>
      </xdr:spPr>
    </xdr:pic>
    <xdr:clientData/>
  </xdr:twoCellAnchor>
  <xdr:twoCellAnchor editAs="oneCell">
    <xdr:from>
      <xdr:col>30</xdr:col>
      <xdr:colOff>640332</xdr:colOff>
      <xdr:row>47</xdr:row>
      <xdr:rowOff>156079</xdr:rowOff>
    </xdr:from>
    <xdr:to>
      <xdr:col>35</xdr:col>
      <xdr:colOff>1275230</xdr:colOff>
      <xdr:row>63</xdr:row>
      <xdr:rowOff>69641</xdr:rowOff>
    </xdr:to>
    <xdr:pic>
      <xdr:nvPicPr>
        <xdr:cNvPr id="9" name="Рисунок 8">
          <a:extLst>
            <a:ext uri="{FF2B5EF4-FFF2-40B4-BE49-F238E27FC236}">
              <a16:creationId xmlns:a16="http://schemas.microsoft.com/office/drawing/2014/main" id="{15637369-7B68-4E0B-9434-70914700C8E6}"/>
            </a:ext>
          </a:extLst>
        </xdr:cNvPr>
        <xdr:cNvPicPr>
          <a:picLocks noChangeAspect="1"/>
        </xdr:cNvPicPr>
      </xdr:nvPicPr>
      <xdr:blipFill rotWithShape="1">
        <a:blip xmlns:r="http://schemas.openxmlformats.org/officeDocument/2006/relationships" r:embed="rId8"/>
        <a:srcRect l="12865" t="40742" r="42578" b="23354"/>
        <a:stretch/>
      </xdr:blipFill>
      <xdr:spPr>
        <a:xfrm>
          <a:off x="26491182" y="11557504"/>
          <a:ext cx="7978672" cy="3619900"/>
        </a:xfrm>
        <a:prstGeom prst="rect">
          <a:avLst/>
        </a:prstGeom>
        <a:ln>
          <a:solidFill>
            <a:srgbClr val="FF0000"/>
          </a:solidFill>
        </a:ln>
      </xdr:spPr>
    </xdr:pic>
    <xdr:clientData/>
  </xdr:twoCellAnchor>
  <xdr:absoluteAnchor>
    <xdr:pos x="17332298" y="30990668"/>
    <xdr:ext cx="9306393" cy="6081947"/>
    <xdr:graphicFrame macro="">
      <xdr:nvGraphicFramePr>
        <xdr:cNvPr id="10" name="Диаграмма 10">
          <a:extLst>
            <a:ext uri="{FF2B5EF4-FFF2-40B4-BE49-F238E27FC236}">
              <a16:creationId xmlns:a16="http://schemas.microsoft.com/office/drawing/2014/main" id="{8B9E46D1-75E7-44E1-B523-F5090463063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absoluteAnchor>
  <xdr:absoluteAnchor>
    <xdr:pos x="21659444" y="24971000"/>
    <xdr:ext cx="9306393" cy="6081947"/>
    <xdr:graphicFrame macro="">
      <xdr:nvGraphicFramePr>
        <xdr:cNvPr id="11" name="Диаграмма 10">
          <a:extLst>
            <a:ext uri="{FF2B5EF4-FFF2-40B4-BE49-F238E27FC236}">
              <a16:creationId xmlns:a16="http://schemas.microsoft.com/office/drawing/2014/main" id="{211BE80D-C93E-43E8-A348-EEAB0F61B10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absoluteAnchor>
  <xdr:absoluteAnchor>
    <xdr:pos x="24616557" y="15340198"/>
    <xdr:ext cx="9306393" cy="6081947"/>
    <xdr:graphicFrame macro="">
      <xdr:nvGraphicFramePr>
        <xdr:cNvPr id="12" name="Диаграмма 10">
          <a:extLst>
            <a:ext uri="{FF2B5EF4-FFF2-40B4-BE49-F238E27FC236}">
              <a16:creationId xmlns:a16="http://schemas.microsoft.com/office/drawing/2014/main" id="{D087E68C-93FF-4AE2-B315-7F57D34B5A6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absoluteAnchor>
  <xdr:absoluteAnchor>
    <xdr:pos x="15841546" y="15601250"/>
    <xdr:ext cx="4078800" cy="2714400"/>
    <xdr:graphicFrame macro="">
      <xdr:nvGraphicFramePr>
        <xdr:cNvPr id="14" name="Диаграмма 10">
          <a:extLst>
            <a:ext uri="{FF2B5EF4-FFF2-40B4-BE49-F238E27FC236}">
              <a16:creationId xmlns:a16="http://schemas.microsoft.com/office/drawing/2014/main" id="{D230CC74-FDC2-4CA8-872F-004C161E475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absoluteAnchor>
</xdr:wsDr>
</file>

<file path=xl/drawings/drawing29.xml><?xml version="1.0" encoding="utf-8"?>
<c:userShapes xmlns:c="http://schemas.openxmlformats.org/drawingml/2006/chart">
  <cdr:relSizeAnchor xmlns:cdr="http://schemas.openxmlformats.org/drawingml/2006/chartDrawing">
    <cdr:from>
      <cdr:x>0.62248</cdr:x>
      <cdr:y>0.76759</cdr:y>
    </cdr:from>
    <cdr:to>
      <cdr:x>0.88858</cdr:x>
      <cdr:y>0.87498</cdr:y>
    </cdr:to>
    <cdr:sp macro="" textlink="">
      <cdr:nvSpPr>
        <cdr:cNvPr id="2" name="TextBox 1">
          <a:extLst xmlns:a="http://schemas.openxmlformats.org/drawingml/2006/main">
            <a:ext uri="{FF2B5EF4-FFF2-40B4-BE49-F238E27FC236}">
              <a16:creationId xmlns:a16="http://schemas.microsoft.com/office/drawing/2014/main" id="{67B87EAF-3EF7-4BDB-8DFC-F9D48FD5626D}"/>
            </a:ext>
          </a:extLst>
        </cdr:cNvPr>
        <cdr:cNvSpPr txBox="1"/>
      </cdr:nvSpPr>
      <cdr:spPr>
        <a:xfrm xmlns:a="http://schemas.openxmlformats.org/drawingml/2006/main">
          <a:off x="5793044" y="4668425"/>
          <a:ext cx="2476431" cy="653140"/>
        </a:xfrm>
        <a:prstGeom xmlns:a="http://schemas.openxmlformats.org/drawingml/2006/main" prst="rect">
          <a:avLst/>
        </a:prstGeom>
        <a:solidFill xmlns:a="http://schemas.openxmlformats.org/drawingml/2006/main">
          <a:schemeClr val="bg1"/>
        </a:solidFill>
        <a:ln xmlns:a="http://schemas.openxmlformats.org/drawingml/2006/main">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600" b="0">
              <a:solidFill>
                <a:schemeClr val="accent5"/>
              </a:solidFill>
            </a:rPr>
            <a:t>Дефлятор ВВП в 2021  </a:t>
          </a:r>
          <a:r>
            <a:rPr lang="ru-RU" sz="1600" b="1">
              <a:solidFill>
                <a:schemeClr val="accent5"/>
              </a:solidFill>
            </a:rPr>
            <a:t>2</a:t>
          </a:r>
          <a:r>
            <a:rPr lang="en-US" sz="1600" b="1">
              <a:solidFill>
                <a:schemeClr val="accent5"/>
              </a:solidFill>
            </a:rPr>
            <a:t>7,3</a:t>
          </a:r>
          <a:r>
            <a:rPr lang="ru-RU" sz="1600" b="1">
              <a:solidFill>
                <a:schemeClr val="accent5"/>
              </a:solidFill>
            </a:rPr>
            <a:t>%</a:t>
          </a:r>
        </a:p>
      </cdr:txBody>
    </cdr:sp>
  </cdr:relSizeAnchor>
</c:userShapes>
</file>

<file path=xl/drawings/drawing30.xml><?xml version="1.0" encoding="utf-8"?>
<c:userShapes xmlns:c="http://schemas.openxmlformats.org/drawingml/2006/chart">
  <cdr:relSizeAnchor xmlns:cdr="http://schemas.openxmlformats.org/drawingml/2006/chartDrawing">
    <cdr:from>
      <cdr:x>0.3937</cdr:x>
      <cdr:y>0.76095</cdr:y>
    </cdr:from>
    <cdr:to>
      <cdr:x>0.6598</cdr:x>
      <cdr:y>0.87655</cdr:y>
    </cdr:to>
    <cdr:sp macro="" textlink="">
      <cdr:nvSpPr>
        <cdr:cNvPr id="2" name="TextBox 1">
          <a:extLst xmlns:a="http://schemas.openxmlformats.org/drawingml/2006/main">
            <a:ext uri="{FF2B5EF4-FFF2-40B4-BE49-F238E27FC236}">
              <a16:creationId xmlns:a16="http://schemas.microsoft.com/office/drawing/2014/main" id="{67B87EAF-3EF7-4BDB-8DFC-F9D48FD5626D}"/>
            </a:ext>
          </a:extLst>
        </cdr:cNvPr>
        <cdr:cNvSpPr txBox="1"/>
      </cdr:nvSpPr>
      <cdr:spPr>
        <a:xfrm xmlns:a="http://schemas.openxmlformats.org/drawingml/2006/main">
          <a:off x="3663927" y="4628029"/>
          <a:ext cx="2476431" cy="703123"/>
        </a:xfrm>
        <a:prstGeom xmlns:a="http://schemas.openxmlformats.org/drawingml/2006/main" prst="rect">
          <a:avLst/>
        </a:prstGeom>
        <a:solidFill xmlns:a="http://schemas.openxmlformats.org/drawingml/2006/main">
          <a:schemeClr val="bg1"/>
        </a:solidFill>
        <a:ln xmlns:a="http://schemas.openxmlformats.org/drawingml/2006/main">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600" b="0">
              <a:solidFill>
                <a:schemeClr val="accent5"/>
              </a:solidFill>
            </a:rPr>
            <a:t>Дефлятор ВВП в 2021  </a:t>
          </a:r>
          <a:r>
            <a:rPr lang="ru-RU" sz="1600" b="1">
              <a:solidFill>
                <a:schemeClr val="accent5"/>
              </a:solidFill>
            </a:rPr>
            <a:t>2</a:t>
          </a:r>
          <a:r>
            <a:rPr lang="en-US" sz="1600" b="1">
              <a:solidFill>
                <a:schemeClr val="accent5"/>
              </a:solidFill>
            </a:rPr>
            <a:t>7,4</a:t>
          </a:r>
          <a:r>
            <a:rPr lang="ru-RU" sz="1600" b="1">
              <a:solidFill>
                <a:schemeClr val="accent5"/>
              </a:solidFill>
            </a:rPr>
            <a:t>%</a:t>
          </a:r>
        </a:p>
      </cdr:txBody>
    </cdr:sp>
  </cdr:relSizeAnchor>
  <cdr:relSizeAnchor xmlns:cdr="http://schemas.openxmlformats.org/drawingml/2006/chartDrawing">
    <cdr:from>
      <cdr:x>0.66617</cdr:x>
      <cdr:y>0.40303</cdr:y>
    </cdr:from>
    <cdr:to>
      <cdr:x>0.93309</cdr:x>
      <cdr:y>0.51042</cdr:y>
    </cdr:to>
    <cdr:sp macro="" textlink="">
      <cdr:nvSpPr>
        <cdr:cNvPr id="3" name="TextBox 1">
          <a:extLst xmlns:a="http://schemas.openxmlformats.org/drawingml/2006/main">
            <a:ext uri="{FF2B5EF4-FFF2-40B4-BE49-F238E27FC236}">
              <a16:creationId xmlns:a16="http://schemas.microsoft.com/office/drawing/2014/main" id="{7C6909B8-ED4F-4109-B06A-D8E458ABDCC9}"/>
            </a:ext>
          </a:extLst>
        </cdr:cNvPr>
        <cdr:cNvSpPr txBox="1"/>
      </cdr:nvSpPr>
      <cdr:spPr>
        <a:xfrm xmlns:a="http://schemas.openxmlformats.org/drawingml/2006/main">
          <a:off x="6199617" y="2451217"/>
          <a:ext cx="2484062" cy="653141"/>
        </a:xfrm>
        <a:prstGeom xmlns:a="http://schemas.openxmlformats.org/drawingml/2006/main" prst="rect">
          <a:avLst/>
        </a:prstGeom>
        <a:solidFill xmlns:a="http://schemas.openxmlformats.org/drawingml/2006/main">
          <a:schemeClr val="bg1"/>
        </a:solidFill>
        <a:ln xmlns:a="http://schemas.openxmlformats.org/drawingml/2006/main">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600" b="0">
              <a:solidFill>
                <a:schemeClr val="accent5"/>
              </a:solidFill>
            </a:rPr>
            <a:t>Дефлятор ВВП в 2022  </a:t>
          </a:r>
          <a:r>
            <a:rPr lang="en-US" sz="1600" b="1">
              <a:solidFill>
                <a:schemeClr val="accent5"/>
              </a:solidFill>
            </a:rPr>
            <a:t>3</a:t>
          </a:r>
          <a:r>
            <a:rPr lang="uk-UA" sz="1600" b="1">
              <a:solidFill>
                <a:schemeClr val="accent5"/>
              </a:solidFill>
            </a:rPr>
            <a:t>7</a:t>
          </a:r>
          <a:r>
            <a:rPr lang="en-US" sz="1600" b="1">
              <a:solidFill>
                <a:schemeClr val="accent5"/>
              </a:solidFill>
            </a:rPr>
            <a:t>,</a:t>
          </a:r>
          <a:r>
            <a:rPr lang="uk-UA" sz="1600" b="1">
              <a:solidFill>
                <a:schemeClr val="accent5"/>
              </a:solidFill>
            </a:rPr>
            <a:t>6</a:t>
          </a:r>
          <a:r>
            <a:rPr lang="ru-RU" sz="1600" b="1">
              <a:solidFill>
                <a:schemeClr val="accent5"/>
              </a:solidFill>
            </a:rPr>
            <a:t>%</a:t>
          </a:r>
        </a:p>
      </cdr:txBody>
    </cdr:sp>
  </cdr:relSizeAnchor>
</c:userShapes>
</file>

<file path=xl/drawings/drawing31.xml><?xml version="1.0" encoding="utf-8"?>
<c:userShapes xmlns:c="http://schemas.openxmlformats.org/drawingml/2006/chart">
  <cdr:relSizeAnchor xmlns:cdr="http://schemas.openxmlformats.org/drawingml/2006/chartDrawing">
    <cdr:from>
      <cdr:x>0.14221</cdr:x>
      <cdr:y>0.24637</cdr:y>
    </cdr:from>
    <cdr:to>
      <cdr:x>0.40831</cdr:x>
      <cdr:y>0.36197</cdr:y>
    </cdr:to>
    <cdr:sp macro="" textlink="">
      <cdr:nvSpPr>
        <cdr:cNvPr id="2" name="TextBox 1">
          <a:extLst xmlns:a="http://schemas.openxmlformats.org/drawingml/2006/main">
            <a:ext uri="{FF2B5EF4-FFF2-40B4-BE49-F238E27FC236}">
              <a16:creationId xmlns:a16="http://schemas.microsoft.com/office/drawing/2014/main" id="{67B87EAF-3EF7-4BDB-8DFC-F9D48FD5626D}"/>
            </a:ext>
          </a:extLst>
        </cdr:cNvPr>
        <cdr:cNvSpPr txBox="1"/>
      </cdr:nvSpPr>
      <cdr:spPr>
        <a:xfrm xmlns:a="http://schemas.openxmlformats.org/drawingml/2006/main">
          <a:off x="1323498" y="1498415"/>
          <a:ext cx="2476431" cy="703073"/>
        </a:xfrm>
        <a:prstGeom xmlns:a="http://schemas.openxmlformats.org/drawingml/2006/main" prst="rect">
          <a:avLst/>
        </a:prstGeom>
        <a:solidFill xmlns:a="http://schemas.openxmlformats.org/drawingml/2006/main">
          <a:schemeClr val="bg1"/>
        </a:solidFill>
        <a:ln xmlns:a="http://schemas.openxmlformats.org/drawingml/2006/main">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600" b="0">
              <a:solidFill>
                <a:schemeClr val="accent5"/>
              </a:solidFill>
            </a:rPr>
            <a:t>Дефлятор ВВП в 2021  </a:t>
          </a:r>
          <a:r>
            <a:rPr lang="ru-RU" sz="1600" b="1">
              <a:solidFill>
                <a:schemeClr val="accent5"/>
              </a:solidFill>
            </a:rPr>
            <a:t>2</a:t>
          </a:r>
          <a:r>
            <a:rPr lang="uk-UA" sz="1600" b="1">
              <a:solidFill>
                <a:schemeClr val="accent5"/>
              </a:solidFill>
            </a:rPr>
            <a:t>5</a:t>
          </a:r>
          <a:r>
            <a:rPr lang="en-US" sz="1600" b="1">
              <a:solidFill>
                <a:schemeClr val="accent5"/>
              </a:solidFill>
            </a:rPr>
            <a:t>,</a:t>
          </a:r>
          <a:r>
            <a:rPr lang="uk-UA" sz="1600" b="1">
              <a:solidFill>
                <a:schemeClr val="accent5"/>
              </a:solidFill>
            </a:rPr>
            <a:t>1</a:t>
          </a:r>
          <a:r>
            <a:rPr lang="ru-RU" sz="1600" b="1">
              <a:solidFill>
                <a:schemeClr val="accent5"/>
              </a:solidFill>
            </a:rPr>
            <a:t>%</a:t>
          </a:r>
        </a:p>
      </cdr:txBody>
    </cdr:sp>
  </cdr:relSizeAnchor>
  <cdr:relSizeAnchor xmlns:cdr="http://schemas.openxmlformats.org/drawingml/2006/chartDrawing">
    <cdr:from>
      <cdr:x>0.64477</cdr:x>
      <cdr:y>0.40079</cdr:y>
    </cdr:from>
    <cdr:to>
      <cdr:x>0.91169</cdr:x>
      <cdr:y>0.50818</cdr:y>
    </cdr:to>
    <cdr:sp macro="" textlink="">
      <cdr:nvSpPr>
        <cdr:cNvPr id="3" name="TextBox 1">
          <a:extLst xmlns:a="http://schemas.openxmlformats.org/drawingml/2006/main">
            <a:ext uri="{FF2B5EF4-FFF2-40B4-BE49-F238E27FC236}">
              <a16:creationId xmlns:a16="http://schemas.microsoft.com/office/drawing/2014/main" id="{7C6909B8-ED4F-4109-B06A-D8E458ABDCC9}"/>
            </a:ext>
          </a:extLst>
        </cdr:cNvPr>
        <cdr:cNvSpPr txBox="1"/>
      </cdr:nvSpPr>
      <cdr:spPr>
        <a:xfrm xmlns:a="http://schemas.openxmlformats.org/drawingml/2006/main">
          <a:off x="6000525" y="2437570"/>
          <a:ext cx="2484062" cy="653140"/>
        </a:xfrm>
        <a:prstGeom xmlns:a="http://schemas.openxmlformats.org/drawingml/2006/main" prst="rect">
          <a:avLst/>
        </a:prstGeom>
        <a:solidFill xmlns:a="http://schemas.openxmlformats.org/drawingml/2006/main">
          <a:schemeClr val="bg1"/>
        </a:solidFill>
        <a:ln xmlns:a="http://schemas.openxmlformats.org/drawingml/2006/main">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600" b="0">
              <a:solidFill>
                <a:schemeClr val="accent5"/>
              </a:solidFill>
            </a:rPr>
            <a:t>Дефлятор ВВП в 2022  </a:t>
          </a:r>
          <a:r>
            <a:rPr lang="en-US" sz="1600" b="1">
              <a:solidFill>
                <a:schemeClr val="accent5"/>
              </a:solidFill>
            </a:rPr>
            <a:t>3</a:t>
          </a:r>
          <a:r>
            <a:rPr lang="uk-UA" sz="1600" b="1">
              <a:solidFill>
                <a:schemeClr val="accent5"/>
              </a:solidFill>
            </a:rPr>
            <a:t>7,3</a:t>
          </a:r>
          <a:r>
            <a:rPr lang="ru-RU" sz="1600" b="1">
              <a:solidFill>
                <a:schemeClr val="accent5"/>
              </a:solidFill>
            </a:rPr>
            <a:t>%</a:t>
          </a:r>
        </a:p>
      </cdr:txBody>
    </cdr:sp>
  </cdr:relSizeAnchor>
</c:userShapes>
</file>

<file path=xl/drawings/drawing32.xml><?xml version="1.0" encoding="utf-8"?>
<c:userShapes xmlns:c="http://schemas.openxmlformats.org/drawingml/2006/chart">
  <cdr:relSizeAnchor xmlns:cdr="http://schemas.openxmlformats.org/drawingml/2006/chartDrawing">
    <cdr:from>
      <cdr:x>0.69814</cdr:x>
      <cdr:y>0.7521</cdr:y>
    </cdr:from>
    <cdr:to>
      <cdr:x>0.93798</cdr:x>
      <cdr:y>0.84089</cdr:y>
    </cdr:to>
    <cdr:sp macro="" textlink="'Чарти 5-7'!$H$7">
      <cdr:nvSpPr>
        <cdr:cNvPr id="2" name="TextBox 1">
          <a:extLst xmlns:a="http://schemas.openxmlformats.org/drawingml/2006/main">
            <a:ext uri="{FF2B5EF4-FFF2-40B4-BE49-F238E27FC236}">
              <a16:creationId xmlns:a16="http://schemas.microsoft.com/office/drawing/2014/main" id="{67B87EAF-3EF7-4BDB-8DFC-F9D48FD5626D}"/>
            </a:ext>
          </a:extLst>
        </cdr:cNvPr>
        <cdr:cNvSpPr txBox="1"/>
      </cdr:nvSpPr>
      <cdr:spPr>
        <a:xfrm xmlns:a="http://schemas.openxmlformats.org/drawingml/2006/main">
          <a:off x="2847579" y="2041509"/>
          <a:ext cx="978260" cy="241011"/>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EB45A344-9059-4E3C-9057-7FFE1F8A638C}" type="TxLink">
            <a:rPr lang="uk-UA" sz="600" b="1" i="0" u="none" strike="noStrike">
              <a:solidFill>
                <a:schemeClr val="accent5"/>
              </a:solidFill>
              <a:latin typeface="Montserrat"/>
            </a:rPr>
            <a:pPr algn="ctr"/>
            <a:t>Дефлятор ВВП в 2021 25,1%</a:t>
          </a:fld>
          <a:endParaRPr lang="ru-RU" sz="400" b="1">
            <a:solidFill>
              <a:schemeClr val="accent5"/>
            </a:solidFill>
          </a:endParaRPr>
        </a:p>
      </cdr:txBody>
    </cdr:sp>
  </cdr:relSizeAnchor>
  <cdr:relSizeAnchor xmlns:cdr="http://schemas.openxmlformats.org/drawingml/2006/chartDrawing">
    <cdr:from>
      <cdr:x>0.1191</cdr:x>
      <cdr:y>0.75653</cdr:y>
    </cdr:from>
    <cdr:to>
      <cdr:x>0.35893</cdr:x>
      <cdr:y>0.84532</cdr:y>
    </cdr:to>
    <cdr:sp macro="" textlink="'Чарти 5-7'!$H$8">
      <cdr:nvSpPr>
        <cdr:cNvPr id="3" name="TextBox 1">
          <a:extLst xmlns:a="http://schemas.openxmlformats.org/drawingml/2006/main">
            <a:ext uri="{FF2B5EF4-FFF2-40B4-BE49-F238E27FC236}">
              <a16:creationId xmlns:a16="http://schemas.microsoft.com/office/drawing/2014/main" id="{7C6909B8-ED4F-4109-B06A-D8E458ABDCC9}"/>
            </a:ext>
          </a:extLst>
        </cdr:cNvPr>
        <cdr:cNvSpPr txBox="1"/>
      </cdr:nvSpPr>
      <cdr:spPr>
        <a:xfrm xmlns:a="http://schemas.openxmlformats.org/drawingml/2006/main">
          <a:off x="485770" y="2053524"/>
          <a:ext cx="978219" cy="241012"/>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8855FCC0-5D46-47FB-92E5-EFC67F16B884}" type="TxLink">
            <a:rPr lang="en-US" sz="600" b="1" i="0" u="none" strike="noStrike">
              <a:solidFill>
                <a:schemeClr val="accent5"/>
              </a:solidFill>
              <a:latin typeface="Montserrat"/>
            </a:rPr>
            <a:pPr algn="ctr"/>
            <a:t>Дефлятор ВВП в 2022 34,6%</a:t>
          </a:fld>
          <a:endParaRPr lang="ru-RU" sz="400" b="1">
            <a:solidFill>
              <a:schemeClr val="accent5"/>
            </a:solidFill>
          </a:endParaRPr>
        </a:p>
      </cdr:txBody>
    </cdr:sp>
  </cdr:relSizeAnchor>
  <cdr:relSizeAnchor xmlns:cdr="http://schemas.openxmlformats.org/drawingml/2006/chartDrawing">
    <cdr:from>
      <cdr:x>0.4069</cdr:x>
      <cdr:y>0.75371</cdr:y>
    </cdr:from>
    <cdr:to>
      <cdr:x>0.64673</cdr:x>
      <cdr:y>0.84249</cdr:y>
    </cdr:to>
    <cdr:sp macro="" textlink="'Чарти 5-7'!$H$9">
      <cdr:nvSpPr>
        <cdr:cNvPr id="4" name="TextBox 1">
          <a:extLst xmlns:a="http://schemas.openxmlformats.org/drawingml/2006/main">
            <a:ext uri="{FF2B5EF4-FFF2-40B4-BE49-F238E27FC236}">
              <a16:creationId xmlns:a16="http://schemas.microsoft.com/office/drawing/2014/main" id="{AB69A2EC-0738-A623-FD75-59F856D273E4}"/>
            </a:ext>
          </a:extLst>
        </cdr:cNvPr>
        <cdr:cNvSpPr txBox="1"/>
      </cdr:nvSpPr>
      <cdr:spPr>
        <a:xfrm xmlns:a="http://schemas.openxmlformats.org/drawingml/2006/main">
          <a:off x="1659665" y="2045858"/>
          <a:ext cx="978219" cy="240984"/>
        </a:xfrm>
        <a:prstGeom xmlns:a="http://schemas.openxmlformats.org/drawingml/2006/main" prst="rect">
          <a:avLst/>
        </a:prstGeom>
        <a:solidFill xmlns:a="http://schemas.openxmlformats.org/drawingml/2006/main">
          <a:schemeClr val="bg1"/>
        </a:solidFill>
        <a:ln xmlns:a="http://schemas.openxmlformats.org/drawingml/2006/main" w="6350">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774419A1-0CDD-468D-8713-F5DFA3308B8B}" type="TxLink">
            <a:rPr lang="en-US" sz="600" b="1" i="0" u="none" strike="noStrike">
              <a:solidFill>
                <a:schemeClr val="accent5"/>
              </a:solidFill>
              <a:latin typeface="Montserrat"/>
            </a:rPr>
            <a:pPr algn="ctr"/>
            <a:t>Дефлятор ВВП в 2023 20,8%</a:t>
          </a:fld>
          <a:endParaRPr lang="ru-RU" sz="400" b="1">
            <a:solidFill>
              <a:schemeClr val="accent5"/>
            </a:solidFill>
          </a:endParaRPr>
        </a:p>
      </cdr:txBody>
    </cdr:sp>
  </cdr:relSizeAnchor>
</c:userShapes>
</file>

<file path=xl/drawings/drawing33.xml><?xml version="1.0" encoding="utf-8"?>
<xdr:wsDr xmlns:xdr="http://schemas.openxmlformats.org/drawingml/2006/spreadsheetDrawing" xmlns:a="http://schemas.openxmlformats.org/drawingml/2006/main">
  <xdr:twoCellAnchor editAs="oneCell">
    <xdr:from>
      <xdr:col>57</xdr:col>
      <xdr:colOff>598455</xdr:colOff>
      <xdr:row>0</xdr:row>
      <xdr:rowOff>455359</xdr:rowOff>
    </xdr:from>
    <xdr:to>
      <xdr:col>64</xdr:col>
      <xdr:colOff>31736</xdr:colOff>
      <xdr:row>10</xdr:row>
      <xdr:rowOff>38200</xdr:rowOff>
    </xdr:to>
    <xdr:pic>
      <xdr:nvPicPr>
        <xdr:cNvPr id="2" name="Picture 1">
          <a:extLst>
            <a:ext uri="{FF2B5EF4-FFF2-40B4-BE49-F238E27FC236}">
              <a16:creationId xmlns:a16="http://schemas.microsoft.com/office/drawing/2014/main" id="{194A06E3-7415-40E7-9D9A-DFB7960A6E3F}"/>
            </a:ext>
          </a:extLst>
        </xdr:cNvPr>
        <xdr:cNvPicPr>
          <a:picLocks noChangeAspect="1"/>
        </xdr:cNvPicPr>
      </xdr:nvPicPr>
      <xdr:blipFill>
        <a:blip xmlns:r="http://schemas.openxmlformats.org/officeDocument/2006/relationships" r:embed="rId1"/>
        <a:stretch>
          <a:fillRect/>
        </a:stretch>
      </xdr:blipFill>
      <xdr:spPr>
        <a:xfrm>
          <a:off x="57196005" y="455359"/>
          <a:ext cx="5234006" cy="2516541"/>
        </a:xfrm>
        <a:prstGeom prst="rect">
          <a:avLst/>
        </a:prstGeom>
        <a:ln w="25400">
          <a:solidFill>
            <a:schemeClr val="accent1"/>
          </a:solidFill>
        </a:ln>
      </xdr:spPr>
    </xdr:pic>
    <xdr:clientData/>
  </xdr:twoCellAnchor>
  <xdr:twoCellAnchor editAs="oneCell">
    <xdr:from>
      <xdr:col>48</xdr:col>
      <xdr:colOff>488497</xdr:colOff>
      <xdr:row>1</xdr:row>
      <xdr:rowOff>46605</xdr:rowOff>
    </xdr:from>
    <xdr:to>
      <xdr:col>55</xdr:col>
      <xdr:colOff>3415</xdr:colOff>
      <xdr:row>11</xdr:row>
      <xdr:rowOff>5481</xdr:rowOff>
    </xdr:to>
    <xdr:pic>
      <xdr:nvPicPr>
        <xdr:cNvPr id="3" name="Picture 2">
          <a:extLst>
            <a:ext uri="{FF2B5EF4-FFF2-40B4-BE49-F238E27FC236}">
              <a16:creationId xmlns:a16="http://schemas.microsoft.com/office/drawing/2014/main" id="{A52BAFA7-B64E-42BF-BC46-692605AFC4BB}"/>
            </a:ext>
          </a:extLst>
        </xdr:cNvPr>
        <xdr:cNvPicPr>
          <a:picLocks noChangeAspect="1"/>
        </xdr:cNvPicPr>
      </xdr:nvPicPr>
      <xdr:blipFill>
        <a:blip xmlns:r="http://schemas.openxmlformats.org/officeDocument/2006/relationships" r:embed="rId2"/>
        <a:stretch>
          <a:fillRect/>
        </a:stretch>
      </xdr:blipFill>
      <xdr:spPr>
        <a:xfrm>
          <a:off x="49627972" y="732405"/>
          <a:ext cx="5315643" cy="2435376"/>
        </a:xfrm>
        <a:prstGeom prst="rect">
          <a:avLst/>
        </a:prstGeom>
        <a:ln w="25400">
          <a:solidFill>
            <a:schemeClr val="accent1"/>
          </a:solidFill>
        </a:ln>
      </xdr:spPr>
    </xdr:pic>
    <xdr:clientData/>
  </xdr:twoCellAnchor>
  <xdr:twoCellAnchor editAs="oneCell">
    <xdr:from>
      <xdr:col>39</xdr:col>
      <xdr:colOff>434066</xdr:colOff>
      <xdr:row>1</xdr:row>
      <xdr:rowOff>53407</xdr:rowOff>
    </xdr:from>
    <xdr:to>
      <xdr:col>45</xdr:col>
      <xdr:colOff>665405</xdr:colOff>
      <xdr:row>11</xdr:row>
      <xdr:rowOff>157859</xdr:rowOff>
    </xdr:to>
    <xdr:pic>
      <xdr:nvPicPr>
        <xdr:cNvPr id="4" name="Picture 3">
          <a:extLst>
            <a:ext uri="{FF2B5EF4-FFF2-40B4-BE49-F238E27FC236}">
              <a16:creationId xmlns:a16="http://schemas.microsoft.com/office/drawing/2014/main" id="{7A3A39F2-CBFD-4F96-8117-A8FEC0B0B87E}"/>
            </a:ext>
          </a:extLst>
        </xdr:cNvPr>
        <xdr:cNvPicPr>
          <a:picLocks noChangeAspect="1"/>
        </xdr:cNvPicPr>
      </xdr:nvPicPr>
      <xdr:blipFill>
        <a:blip xmlns:r="http://schemas.openxmlformats.org/officeDocument/2006/relationships" r:embed="rId3"/>
        <a:stretch>
          <a:fillRect/>
        </a:stretch>
      </xdr:blipFill>
      <xdr:spPr>
        <a:xfrm>
          <a:off x="42115466" y="739207"/>
          <a:ext cx="5203389" cy="2580952"/>
        </a:xfrm>
        <a:prstGeom prst="rect">
          <a:avLst/>
        </a:prstGeom>
        <a:ln w="25400">
          <a:solidFill>
            <a:schemeClr val="accent1"/>
          </a:solidFill>
        </a:ln>
      </xdr:spPr>
    </xdr:pic>
    <xdr:clientData/>
  </xdr:twoCellAnchor>
  <xdr:twoCellAnchor>
    <xdr:from>
      <xdr:col>41</xdr:col>
      <xdr:colOff>172810</xdr:colOff>
      <xdr:row>14</xdr:row>
      <xdr:rowOff>107497</xdr:rowOff>
    </xdr:from>
    <xdr:to>
      <xdr:col>59</xdr:col>
      <xdr:colOff>171241</xdr:colOff>
      <xdr:row>39</xdr:row>
      <xdr:rowOff>125651</xdr:rowOff>
    </xdr:to>
    <xdr:graphicFrame macro="">
      <xdr:nvGraphicFramePr>
        <xdr:cNvPr id="5" name="Chart 5">
          <a:extLst>
            <a:ext uri="{FF2B5EF4-FFF2-40B4-BE49-F238E27FC236}">
              <a16:creationId xmlns:a16="http://schemas.microsoft.com/office/drawing/2014/main" id="{AF063500-98E6-4578-A803-F0AC589890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41</xdr:col>
      <xdr:colOff>526595</xdr:colOff>
      <xdr:row>39</xdr:row>
      <xdr:rowOff>153947</xdr:rowOff>
    </xdr:from>
    <xdr:to>
      <xdr:col>61</xdr:col>
      <xdr:colOff>14287</xdr:colOff>
      <xdr:row>85</xdr:row>
      <xdr:rowOff>91168</xdr:rowOff>
    </xdr:to>
    <xdr:graphicFrame macro="">
      <xdr:nvGraphicFramePr>
        <xdr:cNvPr id="6" name="Chart 8">
          <a:extLst>
            <a:ext uri="{FF2B5EF4-FFF2-40B4-BE49-F238E27FC236}">
              <a16:creationId xmlns:a16="http://schemas.microsoft.com/office/drawing/2014/main" id="{4172442A-7D61-4AA6-9B1F-464987E176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245482</xdr:colOff>
      <xdr:row>85</xdr:row>
      <xdr:rowOff>99579</xdr:rowOff>
    </xdr:from>
    <xdr:to>
      <xdr:col>64</xdr:col>
      <xdr:colOff>397884</xdr:colOff>
      <xdr:row>123</xdr:row>
      <xdr:rowOff>4329</xdr:rowOff>
    </xdr:to>
    <xdr:graphicFrame macro="">
      <xdr:nvGraphicFramePr>
        <xdr:cNvPr id="7" name="Chart 9">
          <a:extLst>
            <a:ext uri="{FF2B5EF4-FFF2-40B4-BE49-F238E27FC236}">
              <a16:creationId xmlns:a16="http://schemas.microsoft.com/office/drawing/2014/main" id="{2F1850D1-EAD2-43E8-90DC-31A1FFFDF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303360</xdr:colOff>
      <xdr:row>48</xdr:row>
      <xdr:rowOff>7205</xdr:rowOff>
    </xdr:from>
    <xdr:to>
      <xdr:col>27</xdr:col>
      <xdr:colOff>1032145</xdr:colOff>
      <xdr:row>61</xdr:row>
      <xdr:rowOff>121812</xdr:rowOff>
    </xdr:to>
    <xdr:pic>
      <xdr:nvPicPr>
        <xdr:cNvPr id="8" name="Рисунок 7">
          <a:extLst>
            <a:ext uri="{FF2B5EF4-FFF2-40B4-BE49-F238E27FC236}">
              <a16:creationId xmlns:a16="http://schemas.microsoft.com/office/drawing/2014/main" id="{AF187BD9-1299-419D-B64E-9B6294E1E26F}"/>
            </a:ext>
          </a:extLst>
        </xdr:cNvPr>
        <xdr:cNvPicPr>
          <a:picLocks noChangeAspect="1"/>
        </xdr:cNvPicPr>
      </xdr:nvPicPr>
      <xdr:blipFill rotWithShape="1">
        <a:blip xmlns:r="http://schemas.openxmlformats.org/officeDocument/2006/relationships" r:embed="rId7"/>
        <a:srcRect l="13085" t="38709" r="44764" b="24828"/>
        <a:stretch/>
      </xdr:blipFill>
      <xdr:spPr>
        <a:xfrm>
          <a:off x="22563285" y="11627705"/>
          <a:ext cx="6396160" cy="3124507"/>
        </a:xfrm>
        <a:prstGeom prst="rect">
          <a:avLst/>
        </a:prstGeom>
        <a:ln>
          <a:solidFill>
            <a:srgbClr val="FF0000"/>
          </a:solidFill>
        </a:ln>
      </xdr:spPr>
    </xdr:pic>
    <xdr:clientData/>
  </xdr:twoCellAnchor>
  <xdr:twoCellAnchor editAs="oneCell">
    <xdr:from>
      <xdr:col>26</xdr:col>
      <xdr:colOff>640332</xdr:colOff>
      <xdr:row>47</xdr:row>
      <xdr:rowOff>156079</xdr:rowOff>
    </xdr:from>
    <xdr:to>
      <xdr:col>31</xdr:col>
      <xdr:colOff>1275230</xdr:colOff>
      <xdr:row>63</xdr:row>
      <xdr:rowOff>69641</xdr:rowOff>
    </xdr:to>
    <xdr:pic>
      <xdr:nvPicPr>
        <xdr:cNvPr id="9" name="Рисунок 8">
          <a:extLst>
            <a:ext uri="{FF2B5EF4-FFF2-40B4-BE49-F238E27FC236}">
              <a16:creationId xmlns:a16="http://schemas.microsoft.com/office/drawing/2014/main" id="{BE02C395-3F0F-41A5-ACC9-E188E328F9C3}"/>
            </a:ext>
          </a:extLst>
        </xdr:cNvPr>
        <xdr:cNvPicPr>
          <a:picLocks noChangeAspect="1"/>
        </xdr:cNvPicPr>
      </xdr:nvPicPr>
      <xdr:blipFill rotWithShape="1">
        <a:blip xmlns:r="http://schemas.openxmlformats.org/officeDocument/2006/relationships" r:embed="rId8"/>
        <a:srcRect l="12865" t="40742" r="42578" b="23354"/>
        <a:stretch/>
      </xdr:blipFill>
      <xdr:spPr>
        <a:xfrm>
          <a:off x="27415107" y="11547979"/>
          <a:ext cx="7978673" cy="3609262"/>
        </a:xfrm>
        <a:prstGeom prst="rect">
          <a:avLst/>
        </a:prstGeom>
        <a:ln>
          <a:solidFill>
            <a:srgbClr val="FF0000"/>
          </a:solidFill>
        </a:ln>
      </xdr:spPr>
    </xdr:pic>
    <xdr:clientData/>
  </xdr:twoCellAnchor>
  <xdr:absoluteAnchor>
    <xdr:pos x="17332298" y="30990668"/>
    <xdr:ext cx="9306393" cy="6081947"/>
    <xdr:graphicFrame macro="">
      <xdr:nvGraphicFramePr>
        <xdr:cNvPr id="10" name="Диаграмма 10">
          <a:extLst>
            <a:ext uri="{FF2B5EF4-FFF2-40B4-BE49-F238E27FC236}">
              <a16:creationId xmlns:a16="http://schemas.microsoft.com/office/drawing/2014/main" id="{11D764E4-B2F9-4AA9-B297-9EF13ED6805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absoluteAnchor>
  <xdr:absoluteAnchor>
    <xdr:pos x="21659444" y="24971000"/>
    <xdr:ext cx="9306393" cy="6081947"/>
    <xdr:graphicFrame macro="">
      <xdr:nvGraphicFramePr>
        <xdr:cNvPr id="11" name="Диаграмма 10">
          <a:extLst>
            <a:ext uri="{FF2B5EF4-FFF2-40B4-BE49-F238E27FC236}">
              <a16:creationId xmlns:a16="http://schemas.microsoft.com/office/drawing/2014/main" id="{83585898-3806-4F19-A6B0-D50B5C8EFB6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absoluteAnchor>
  <xdr:absoluteAnchor>
    <xdr:pos x="24616557" y="15340198"/>
    <xdr:ext cx="9306393" cy="6081947"/>
    <xdr:graphicFrame macro="">
      <xdr:nvGraphicFramePr>
        <xdr:cNvPr id="12" name="Диаграмма 10">
          <a:extLst>
            <a:ext uri="{FF2B5EF4-FFF2-40B4-BE49-F238E27FC236}">
              <a16:creationId xmlns:a16="http://schemas.microsoft.com/office/drawing/2014/main" id="{F1A82417-EAF0-4653-949F-69970994A7E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0.62248</cdr:x>
      <cdr:y>0.76759</cdr:y>
    </cdr:from>
    <cdr:to>
      <cdr:x>0.88858</cdr:x>
      <cdr:y>0.87498</cdr:y>
    </cdr:to>
    <cdr:sp macro="" textlink="">
      <cdr:nvSpPr>
        <cdr:cNvPr id="2" name="TextBox 1">
          <a:extLst xmlns:a="http://schemas.openxmlformats.org/drawingml/2006/main">
            <a:ext uri="{FF2B5EF4-FFF2-40B4-BE49-F238E27FC236}">
              <a16:creationId xmlns:a16="http://schemas.microsoft.com/office/drawing/2014/main" id="{67B87EAF-3EF7-4BDB-8DFC-F9D48FD5626D}"/>
            </a:ext>
          </a:extLst>
        </cdr:cNvPr>
        <cdr:cNvSpPr txBox="1"/>
      </cdr:nvSpPr>
      <cdr:spPr>
        <a:xfrm xmlns:a="http://schemas.openxmlformats.org/drawingml/2006/main">
          <a:off x="5793044" y="4668425"/>
          <a:ext cx="2476431" cy="653140"/>
        </a:xfrm>
        <a:prstGeom xmlns:a="http://schemas.openxmlformats.org/drawingml/2006/main" prst="rect">
          <a:avLst/>
        </a:prstGeom>
        <a:solidFill xmlns:a="http://schemas.openxmlformats.org/drawingml/2006/main">
          <a:schemeClr val="bg1"/>
        </a:solidFill>
        <a:ln xmlns:a="http://schemas.openxmlformats.org/drawingml/2006/main">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600" b="0">
              <a:solidFill>
                <a:schemeClr val="accent5"/>
              </a:solidFill>
            </a:rPr>
            <a:t>Дефлятор ВВП в 2021  </a:t>
          </a:r>
          <a:r>
            <a:rPr lang="ru-RU" sz="1600" b="1">
              <a:solidFill>
                <a:schemeClr val="accent5"/>
              </a:solidFill>
            </a:rPr>
            <a:t>2</a:t>
          </a:r>
          <a:r>
            <a:rPr lang="en-US" sz="1600" b="1">
              <a:solidFill>
                <a:schemeClr val="accent5"/>
              </a:solidFill>
            </a:rPr>
            <a:t>7,3</a:t>
          </a:r>
          <a:r>
            <a:rPr lang="ru-RU" sz="1600" b="1">
              <a:solidFill>
                <a:schemeClr val="accent5"/>
              </a:solidFill>
            </a:rPr>
            <a:t>%</a:t>
          </a:r>
        </a:p>
      </cdr:txBody>
    </cdr:sp>
  </cdr:relSizeAnchor>
</c:userShapes>
</file>

<file path=xl/drawings/drawing35.xml><?xml version="1.0" encoding="utf-8"?>
<c:userShapes xmlns:c="http://schemas.openxmlformats.org/drawingml/2006/chart">
  <cdr:relSizeAnchor xmlns:cdr="http://schemas.openxmlformats.org/drawingml/2006/chartDrawing">
    <cdr:from>
      <cdr:x>0.3937</cdr:x>
      <cdr:y>0.76095</cdr:y>
    </cdr:from>
    <cdr:to>
      <cdr:x>0.6598</cdr:x>
      <cdr:y>0.87655</cdr:y>
    </cdr:to>
    <cdr:sp macro="" textlink="">
      <cdr:nvSpPr>
        <cdr:cNvPr id="2" name="TextBox 1">
          <a:extLst xmlns:a="http://schemas.openxmlformats.org/drawingml/2006/main">
            <a:ext uri="{FF2B5EF4-FFF2-40B4-BE49-F238E27FC236}">
              <a16:creationId xmlns:a16="http://schemas.microsoft.com/office/drawing/2014/main" id="{67B87EAF-3EF7-4BDB-8DFC-F9D48FD5626D}"/>
            </a:ext>
          </a:extLst>
        </cdr:cNvPr>
        <cdr:cNvSpPr txBox="1"/>
      </cdr:nvSpPr>
      <cdr:spPr>
        <a:xfrm xmlns:a="http://schemas.openxmlformats.org/drawingml/2006/main">
          <a:off x="3663927" y="4628029"/>
          <a:ext cx="2476431" cy="703123"/>
        </a:xfrm>
        <a:prstGeom xmlns:a="http://schemas.openxmlformats.org/drawingml/2006/main" prst="rect">
          <a:avLst/>
        </a:prstGeom>
        <a:solidFill xmlns:a="http://schemas.openxmlformats.org/drawingml/2006/main">
          <a:schemeClr val="bg1"/>
        </a:solidFill>
        <a:ln xmlns:a="http://schemas.openxmlformats.org/drawingml/2006/main">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600" b="0">
              <a:solidFill>
                <a:schemeClr val="accent5"/>
              </a:solidFill>
            </a:rPr>
            <a:t>Дефлятор ВВП в 2021  </a:t>
          </a:r>
          <a:r>
            <a:rPr lang="ru-RU" sz="1600" b="1">
              <a:solidFill>
                <a:schemeClr val="accent5"/>
              </a:solidFill>
            </a:rPr>
            <a:t>2</a:t>
          </a:r>
          <a:r>
            <a:rPr lang="en-US" sz="1600" b="1">
              <a:solidFill>
                <a:schemeClr val="accent5"/>
              </a:solidFill>
            </a:rPr>
            <a:t>7,4</a:t>
          </a:r>
          <a:r>
            <a:rPr lang="ru-RU" sz="1600" b="1">
              <a:solidFill>
                <a:schemeClr val="accent5"/>
              </a:solidFill>
            </a:rPr>
            <a:t>%</a:t>
          </a:r>
        </a:p>
      </cdr:txBody>
    </cdr:sp>
  </cdr:relSizeAnchor>
  <cdr:relSizeAnchor xmlns:cdr="http://schemas.openxmlformats.org/drawingml/2006/chartDrawing">
    <cdr:from>
      <cdr:x>0.66617</cdr:x>
      <cdr:y>0.40303</cdr:y>
    </cdr:from>
    <cdr:to>
      <cdr:x>0.93309</cdr:x>
      <cdr:y>0.51042</cdr:y>
    </cdr:to>
    <cdr:sp macro="" textlink="">
      <cdr:nvSpPr>
        <cdr:cNvPr id="3" name="TextBox 1">
          <a:extLst xmlns:a="http://schemas.openxmlformats.org/drawingml/2006/main">
            <a:ext uri="{FF2B5EF4-FFF2-40B4-BE49-F238E27FC236}">
              <a16:creationId xmlns:a16="http://schemas.microsoft.com/office/drawing/2014/main" id="{7C6909B8-ED4F-4109-B06A-D8E458ABDCC9}"/>
            </a:ext>
          </a:extLst>
        </cdr:cNvPr>
        <cdr:cNvSpPr txBox="1"/>
      </cdr:nvSpPr>
      <cdr:spPr>
        <a:xfrm xmlns:a="http://schemas.openxmlformats.org/drawingml/2006/main">
          <a:off x="6199617" y="2451217"/>
          <a:ext cx="2484062" cy="653141"/>
        </a:xfrm>
        <a:prstGeom xmlns:a="http://schemas.openxmlformats.org/drawingml/2006/main" prst="rect">
          <a:avLst/>
        </a:prstGeom>
        <a:solidFill xmlns:a="http://schemas.openxmlformats.org/drawingml/2006/main">
          <a:schemeClr val="bg1"/>
        </a:solidFill>
        <a:ln xmlns:a="http://schemas.openxmlformats.org/drawingml/2006/main">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600" b="0">
              <a:solidFill>
                <a:schemeClr val="accent5"/>
              </a:solidFill>
            </a:rPr>
            <a:t>Дефлятор ВВП в 2022  </a:t>
          </a:r>
          <a:r>
            <a:rPr lang="en-US" sz="1600" b="1">
              <a:solidFill>
                <a:schemeClr val="accent5"/>
              </a:solidFill>
            </a:rPr>
            <a:t>3</a:t>
          </a:r>
          <a:r>
            <a:rPr lang="uk-UA" sz="1600" b="1">
              <a:solidFill>
                <a:schemeClr val="accent5"/>
              </a:solidFill>
            </a:rPr>
            <a:t>7</a:t>
          </a:r>
          <a:r>
            <a:rPr lang="en-US" sz="1600" b="1">
              <a:solidFill>
                <a:schemeClr val="accent5"/>
              </a:solidFill>
            </a:rPr>
            <a:t>,</a:t>
          </a:r>
          <a:r>
            <a:rPr lang="uk-UA" sz="1600" b="1">
              <a:solidFill>
                <a:schemeClr val="accent5"/>
              </a:solidFill>
            </a:rPr>
            <a:t>6</a:t>
          </a:r>
          <a:r>
            <a:rPr lang="ru-RU" sz="1600" b="1">
              <a:solidFill>
                <a:schemeClr val="accent5"/>
              </a:solidFill>
            </a:rPr>
            <a:t>%</a:t>
          </a:r>
        </a:p>
      </cdr:txBody>
    </cdr:sp>
  </cdr:relSizeAnchor>
</c:userShapes>
</file>

<file path=xl/drawings/drawing36.xml><?xml version="1.0" encoding="utf-8"?>
<c:userShapes xmlns:c="http://schemas.openxmlformats.org/drawingml/2006/chart">
  <cdr:relSizeAnchor xmlns:cdr="http://schemas.openxmlformats.org/drawingml/2006/chartDrawing">
    <cdr:from>
      <cdr:x>0.14221</cdr:x>
      <cdr:y>0.24637</cdr:y>
    </cdr:from>
    <cdr:to>
      <cdr:x>0.40831</cdr:x>
      <cdr:y>0.36197</cdr:y>
    </cdr:to>
    <cdr:sp macro="" textlink="">
      <cdr:nvSpPr>
        <cdr:cNvPr id="2" name="TextBox 1">
          <a:extLst xmlns:a="http://schemas.openxmlformats.org/drawingml/2006/main">
            <a:ext uri="{FF2B5EF4-FFF2-40B4-BE49-F238E27FC236}">
              <a16:creationId xmlns:a16="http://schemas.microsoft.com/office/drawing/2014/main" id="{67B87EAF-3EF7-4BDB-8DFC-F9D48FD5626D}"/>
            </a:ext>
          </a:extLst>
        </cdr:cNvPr>
        <cdr:cNvSpPr txBox="1"/>
      </cdr:nvSpPr>
      <cdr:spPr>
        <a:xfrm xmlns:a="http://schemas.openxmlformats.org/drawingml/2006/main">
          <a:off x="1323498" y="1498415"/>
          <a:ext cx="2476431" cy="703073"/>
        </a:xfrm>
        <a:prstGeom xmlns:a="http://schemas.openxmlformats.org/drawingml/2006/main" prst="rect">
          <a:avLst/>
        </a:prstGeom>
        <a:solidFill xmlns:a="http://schemas.openxmlformats.org/drawingml/2006/main">
          <a:schemeClr val="bg1"/>
        </a:solidFill>
        <a:ln xmlns:a="http://schemas.openxmlformats.org/drawingml/2006/main">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600" b="0">
              <a:solidFill>
                <a:schemeClr val="accent5"/>
              </a:solidFill>
            </a:rPr>
            <a:t>Дефлятор ВВП в 2021  </a:t>
          </a:r>
          <a:r>
            <a:rPr lang="ru-RU" sz="1600" b="1">
              <a:solidFill>
                <a:schemeClr val="accent5"/>
              </a:solidFill>
            </a:rPr>
            <a:t>2</a:t>
          </a:r>
          <a:r>
            <a:rPr lang="uk-UA" sz="1600" b="1">
              <a:solidFill>
                <a:schemeClr val="accent5"/>
              </a:solidFill>
            </a:rPr>
            <a:t>5</a:t>
          </a:r>
          <a:r>
            <a:rPr lang="en-US" sz="1600" b="1">
              <a:solidFill>
                <a:schemeClr val="accent5"/>
              </a:solidFill>
            </a:rPr>
            <a:t>,</a:t>
          </a:r>
          <a:r>
            <a:rPr lang="uk-UA" sz="1600" b="1">
              <a:solidFill>
                <a:schemeClr val="accent5"/>
              </a:solidFill>
            </a:rPr>
            <a:t>1</a:t>
          </a:r>
          <a:r>
            <a:rPr lang="ru-RU" sz="1600" b="1">
              <a:solidFill>
                <a:schemeClr val="accent5"/>
              </a:solidFill>
            </a:rPr>
            <a:t>%</a:t>
          </a:r>
        </a:p>
      </cdr:txBody>
    </cdr:sp>
  </cdr:relSizeAnchor>
  <cdr:relSizeAnchor xmlns:cdr="http://schemas.openxmlformats.org/drawingml/2006/chartDrawing">
    <cdr:from>
      <cdr:x>0.64477</cdr:x>
      <cdr:y>0.40079</cdr:y>
    </cdr:from>
    <cdr:to>
      <cdr:x>0.91169</cdr:x>
      <cdr:y>0.50818</cdr:y>
    </cdr:to>
    <cdr:sp macro="" textlink="">
      <cdr:nvSpPr>
        <cdr:cNvPr id="3" name="TextBox 1">
          <a:extLst xmlns:a="http://schemas.openxmlformats.org/drawingml/2006/main">
            <a:ext uri="{FF2B5EF4-FFF2-40B4-BE49-F238E27FC236}">
              <a16:creationId xmlns:a16="http://schemas.microsoft.com/office/drawing/2014/main" id="{7C6909B8-ED4F-4109-B06A-D8E458ABDCC9}"/>
            </a:ext>
          </a:extLst>
        </cdr:cNvPr>
        <cdr:cNvSpPr txBox="1"/>
      </cdr:nvSpPr>
      <cdr:spPr>
        <a:xfrm xmlns:a="http://schemas.openxmlformats.org/drawingml/2006/main">
          <a:off x="6000525" y="2437570"/>
          <a:ext cx="2484062" cy="653140"/>
        </a:xfrm>
        <a:prstGeom xmlns:a="http://schemas.openxmlformats.org/drawingml/2006/main" prst="rect">
          <a:avLst/>
        </a:prstGeom>
        <a:solidFill xmlns:a="http://schemas.openxmlformats.org/drawingml/2006/main">
          <a:schemeClr val="bg1"/>
        </a:solidFill>
        <a:ln xmlns:a="http://schemas.openxmlformats.org/drawingml/2006/main">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600" b="0">
              <a:solidFill>
                <a:schemeClr val="accent5"/>
              </a:solidFill>
            </a:rPr>
            <a:t>Дефлятор ВВП в 2022  </a:t>
          </a:r>
          <a:r>
            <a:rPr lang="en-US" sz="1600" b="1">
              <a:solidFill>
                <a:schemeClr val="accent5"/>
              </a:solidFill>
            </a:rPr>
            <a:t>3</a:t>
          </a:r>
          <a:r>
            <a:rPr lang="uk-UA" sz="1600" b="1">
              <a:solidFill>
                <a:schemeClr val="accent5"/>
              </a:solidFill>
            </a:rPr>
            <a:t>7,3</a:t>
          </a:r>
          <a:r>
            <a:rPr lang="ru-RU" sz="1600" b="1">
              <a:solidFill>
                <a:schemeClr val="accent5"/>
              </a:solidFill>
            </a:rPr>
            <a:t>%</a:t>
          </a:r>
        </a:p>
      </cdr:txBody>
    </cdr:sp>
  </cdr:relSizeAnchor>
</c:userShapes>
</file>

<file path=xl/drawings/drawing37.xml><?xml version="1.0" encoding="utf-8"?>
<xdr:wsDr xmlns:xdr="http://schemas.openxmlformats.org/drawingml/2006/spreadsheetDrawing" xmlns:a="http://schemas.openxmlformats.org/drawingml/2006/main">
  <xdr:twoCellAnchor>
    <xdr:from>
      <xdr:col>24</xdr:col>
      <xdr:colOff>938893</xdr:colOff>
      <xdr:row>5</xdr:row>
      <xdr:rowOff>149680</xdr:rowOff>
    </xdr:from>
    <xdr:to>
      <xdr:col>29</xdr:col>
      <xdr:colOff>13607</xdr:colOff>
      <xdr:row>21</xdr:row>
      <xdr:rowOff>81643</xdr:rowOff>
    </xdr:to>
    <xdr:graphicFrame macro="">
      <xdr:nvGraphicFramePr>
        <xdr:cNvPr id="5" name="Діаграма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379952</xdr:colOff>
      <xdr:row>139</xdr:row>
      <xdr:rowOff>64378</xdr:rowOff>
    </xdr:from>
    <xdr:to>
      <xdr:col>44</xdr:col>
      <xdr:colOff>782447</xdr:colOff>
      <xdr:row>156</xdr:row>
      <xdr:rowOff>96796</xdr:rowOff>
    </xdr:to>
    <xdr:graphicFrame macro="">
      <xdr:nvGraphicFramePr>
        <xdr:cNvPr id="7" name="Діаграма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130470</xdr:colOff>
      <xdr:row>124</xdr:row>
      <xdr:rowOff>37938</xdr:rowOff>
    </xdr:from>
    <xdr:to>
      <xdr:col>13</xdr:col>
      <xdr:colOff>693964</xdr:colOff>
      <xdr:row>157</xdr:row>
      <xdr:rowOff>95249</xdr:rowOff>
    </xdr:to>
    <xdr:graphicFrame macro="">
      <xdr:nvGraphicFramePr>
        <xdr:cNvPr id="2" name="Діагра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553092</xdr:colOff>
      <xdr:row>124</xdr:row>
      <xdr:rowOff>27214</xdr:rowOff>
    </xdr:from>
    <xdr:to>
      <xdr:col>24</xdr:col>
      <xdr:colOff>2707821</xdr:colOff>
      <xdr:row>156</xdr:row>
      <xdr:rowOff>18091</xdr:rowOff>
    </xdr:to>
    <xdr:graphicFrame macro="">
      <xdr:nvGraphicFramePr>
        <xdr:cNvPr id="6" name="Діаграма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437901</xdr:colOff>
      <xdr:row>160</xdr:row>
      <xdr:rowOff>106382</xdr:rowOff>
    </xdr:from>
    <xdr:to>
      <xdr:col>24</xdr:col>
      <xdr:colOff>4567052</xdr:colOff>
      <xdr:row>197</xdr:row>
      <xdr:rowOff>79169</xdr:rowOff>
    </xdr:to>
    <xdr:graphicFrame macro="">
      <xdr:nvGraphicFramePr>
        <xdr:cNvPr id="8" name="Діаграма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162</xdr:row>
      <xdr:rowOff>0</xdr:rowOff>
    </xdr:from>
    <xdr:to>
      <xdr:col>13</xdr:col>
      <xdr:colOff>563494</xdr:colOff>
      <xdr:row>195</xdr:row>
      <xdr:rowOff>57311</xdr:rowOff>
    </xdr:to>
    <xdr:graphicFrame macro="">
      <xdr:nvGraphicFramePr>
        <xdr:cNvPr id="9" name="Діаграма 8">
          <a:extLst>
            <a:ext uri="{FF2B5EF4-FFF2-40B4-BE49-F238E27FC236}">
              <a16:creationId xmlns:a16="http://schemas.microsoft.com/office/drawing/2014/main" id="{719F61E6-03E5-468B-A757-9857E85E8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173689</xdr:colOff>
      <xdr:row>57</xdr:row>
      <xdr:rowOff>85165</xdr:rowOff>
    </xdr:from>
    <xdr:to>
      <xdr:col>41</xdr:col>
      <xdr:colOff>431424</xdr:colOff>
      <xdr:row>72</xdr:row>
      <xdr:rowOff>71718</xdr:rowOff>
    </xdr:to>
    <xdr:graphicFrame macro="">
      <xdr:nvGraphicFramePr>
        <xdr:cNvPr id="3" name="Діаграма 2">
          <a:extLst>
            <a:ext uri="{FF2B5EF4-FFF2-40B4-BE49-F238E27FC236}">
              <a16:creationId xmlns:a16="http://schemas.microsoft.com/office/drawing/2014/main" id="{36097625-DCF1-4CBF-AD28-0C85AFEFB8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41</xdr:col>
      <xdr:colOff>661146</xdr:colOff>
      <xdr:row>57</xdr:row>
      <xdr:rowOff>145676</xdr:rowOff>
    </xdr:from>
    <xdr:to>
      <xdr:col>47</xdr:col>
      <xdr:colOff>941294</xdr:colOff>
      <xdr:row>73</xdr:row>
      <xdr:rowOff>78441</xdr:rowOff>
    </xdr:to>
    <xdr:graphicFrame macro="">
      <xdr:nvGraphicFramePr>
        <xdr:cNvPr id="11" name="Діаграма 10">
          <a:extLst>
            <a:ext uri="{FF2B5EF4-FFF2-40B4-BE49-F238E27FC236}">
              <a16:creationId xmlns:a16="http://schemas.microsoft.com/office/drawing/2014/main" id="{D99F6353-D40E-4F1D-9E56-D19C684E2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46</xdr:col>
      <xdr:colOff>881062</xdr:colOff>
      <xdr:row>75</xdr:row>
      <xdr:rowOff>47626</xdr:rowOff>
    </xdr:from>
    <xdr:to>
      <xdr:col>58</xdr:col>
      <xdr:colOff>920681</xdr:colOff>
      <xdr:row>107</xdr:row>
      <xdr:rowOff>57313</xdr:rowOff>
    </xdr:to>
    <xdr:graphicFrame macro="">
      <xdr:nvGraphicFramePr>
        <xdr:cNvPr id="12" name="Діаграма 11">
          <a:extLst>
            <a:ext uri="{FF2B5EF4-FFF2-40B4-BE49-F238E27FC236}">
              <a16:creationId xmlns:a16="http://schemas.microsoft.com/office/drawing/2014/main" id="{71B8FF18-7559-4C53-866F-165490E84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47</xdr:col>
      <xdr:colOff>0</xdr:colOff>
      <xdr:row>109</xdr:row>
      <xdr:rowOff>0</xdr:rowOff>
    </xdr:from>
    <xdr:to>
      <xdr:col>59</xdr:col>
      <xdr:colOff>39619</xdr:colOff>
      <xdr:row>139</xdr:row>
      <xdr:rowOff>118543</xdr:rowOff>
    </xdr:to>
    <xdr:graphicFrame macro="">
      <xdr:nvGraphicFramePr>
        <xdr:cNvPr id="13" name="Діаграма 12">
          <a:extLst>
            <a:ext uri="{FF2B5EF4-FFF2-40B4-BE49-F238E27FC236}">
              <a16:creationId xmlns:a16="http://schemas.microsoft.com/office/drawing/2014/main" id="{5CB45E17-03BB-42A2-B782-65138AF7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1360723</xdr:colOff>
      <xdr:row>206</xdr:row>
      <xdr:rowOff>125186</xdr:rowOff>
    </xdr:from>
    <xdr:to>
      <xdr:col>12</xdr:col>
      <xdr:colOff>680358</xdr:colOff>
      <xdr:row>247</xdr:row>
      <xdr:rowOff>122465</xdr:rowOff>
    </xdr:to>
    <xdr:graphicFrame macro="">
      <xdr:nvGraphicFramePr>
        <xdr:cNvPr id="4" name="Діаграма 3">
          <a:extLst>
            <a:ext uri="{FF2B5EF4-FFF2-40B4-BE49-F238E27FC236}">
              <a16:creationId xmlns:a16="http://schemas.microsoft.com/office/drawing/2014/main" id="{35274434-0B7C-43CB-9CEF-3E6026055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0.67671</cdr:x>
      <cdr:y>0.65215</cdr:y>
    </cdr:from>
    <cdr:to>
      <cdr:x>0.9131</cdr:x>
      <cdr:y>0.82206</cdr:y>
    </cdr:to>
    <cdr:sp macro="" textlink="">
      <cdr:nvSpPr>
        <cdr:cNvPr id="2" name="Прямокутник 1">
          <a:extLst xmlns:a="http://schemas.openxmlformats.org/drawingml/2006/main">
            <a:ext uri="{FF2B5EF4-FFF2-40B4-BE49-F238E27FC236}">
              <a16:creationId xmlns:a16="http://schemas.microsoft.com/office/drawing/2014/main" id="{66CD2F9A-5AE7-47DE-BA9B-64AB30ED498B}"/>
            </a:ext>
          </a:extLst>
        </cdr:cNvPr>
        <cdr:cNvSpPr/>
      </cdr:nvSpPr>
      <cdr:spPr>
        <a:xfrm xmlns:a="http://schemas.openxmlformats.org/drawingml/2006/main">
          <a:off x="8919882" y="3413633"/>
          <a:ext cx="3115979" cy="889382"/>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ru-RU" sz="1600" b="1">
              <a:solidFill>
                <a:schemeClr val="accent1">
                  <a:lumMod val="75000"/>
                </a:schemeClr>
              </a:solidFill>
            </a:rPr>
            <a:t>Среднегодовой</a:t>
          </a:r>
          <a:r>
            <a:rPr lang="ru-RU" sz="1600" b="1" baseline="0">
              <a:solidFill>
                <a:schemeClr val="accent1">
                  <a:lumMod val="75000"/>
                </a:schemeClr>
              </a:solidFill>
            </a:rPr>
            <a:t> прирост:</a:t>
          </a:r>
        </a:p>
        <a:p xmlns:a="http://schemas.openxmlformats.org/drawingml/2006/main">
          <a:r>
            <a:rPr lang="ru-RU" sz="1600" baseline="0">
              <a:solidFill>
                <a:schemeClr val="accent1">
                  <a:lumMod val="75000"/>
                </a:schemeClr>
              </a:solidFill>
            </a:rPr>
            <a:t>   в грн </a:t>
          </a:r>
          <a:r>
            <a:rPr lang="ru-RU" sz="1600" b="1" baseline="0">
              <a:solidFill>
                <a:schemeClr val="accent1">
                  <a:lumMod val="75000"/>
                </a:schemeClr>
              </a:solidFill>
            </a:rPr>
            <a:t>+20%</a:t>
          </a:r>
        </a:p>
        <a:p xmlns:a="http://schemas.openxmlformats.org/drawingml/2006/main">
          <a:r>
            <a:rPr lang="ru-RU" sz="1600" baseline="0">
              <a:solidFill>
                <a:schemeClr val="accent1">
                  <a:lumMod val="75000"/>
                </a:schemeClr>
              </a:solidFill>
            </a:rPr>
            <a:t>   в долл. эквиваленте </a:t>
          </a:r>
          <a:r>
            <a:rPr lang="ru-RU" sz="1600" b="1" baseline="0">
              <a:solidFill>
                <a:schemeClr val="accent1">
                  <a:lumMod val="75000"/>
                </a:schemeClr>
              </a:solidFill>
            </a:rPr>
            <a:t>+19%</a:t>
          </a:r>
          <a:endParaRPr lang="ru-RU" sz="1600" b="1">
            <a:solidFill>
              <a:schemeClr val="accent1">
                <a:lumMod val="75000"/>
              </a:schemeClr>
            </a:solidFill>
          </a:endParaRPr>
        </a:p>
      </cdr:txBody>
    </cdr:sp>
  </cdr:relSizeAnchor>
</c:userShapes>
</file>

<file path=xl/drawings/drawing39.xml><?xml version="1.0" encoding="utf-8"?>
<xdr:wsDr xmlns:xdr="http://schemas.openxmlformats.org/drawingml/2006/spreadsheetDrawing" xmlns:a="http://schemas.openxmlformats.org/drawingml/2006/main">
  <xdr:twoCellAnchor>
    <xdr:from>
      <xdr:col>26</xdr:col>
      <xdr:colOff>1335099</xdr:colOff>
      <xdr:row>5</xdr:row>
      <xdr:rowOff>113660</xdr:rowOff>
    </xdr:from>
    <xdr:to>
      <xdr:col>33</xdr:col>
      <xdr:colOff>784410</xdr:colOff>
      <xdr:row>23</xdr:row>
      <xdr:rowOff>156883</xdr:rowOff>
    </xdr:to>
    <xdr:graphicFrame macro="">
      <xdr:nvGraphicFramePr>
        <xdr:cNvPr id="2" name="Діаграма 1">
          <a:extLst>
            <a:ext uri="{FF2B5EF4-FFF2-40B4-BE49-F238E27FC236}">
              <a16:creationId xmlns:a16="http://schemas.microsoft.com/office/drawing/2014/main" id="{6CD26580-01BC-4F15-8A8E-F44104F79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39</xdr:col>
      <xdr:colOff>250459</xdr:colOff>
      <xdr:row>92</xdr:row>
      <xdr:rowOff>144557</xdr:rowOff>
    </xdr:from>
    <xdr:to>
      <xdr:col>57</xdr:col>
      <xdr:colOff>228040</xdr:colOff>
      <xdr:row>107</xdr:row>
      <xdr:rowOff>144557</xdr:rowOff>
    </xdr:to>
    <xdr:graphicFrame macro="">
      <xdr:nvGraphicFramePr>
        <xdr:cNvPr id="3" name="Діаграма 2">
          <a:extLst>
            <a:ext uri="{FF2B5EF4-FFF2-40B4-BE49-F238E27FC236}">
              <a16:creationId xmlns:a16="http://schemas.microsoft.com/office/drawing/2014/main" id="{42198B4F-DE5B-4450-A390-C38D9578E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202386</xdr:colOff>
      <xdr:row>58</xdr:row>
      <xdr:rowOff>337937</xdr:rowOff>
    </xdr:from>
    <xdr:to>
      <xdr:col>46</xdr:col>
      <xdr:colOff>444913</xdr:colOff>
      <xdr:row>75</xdr:row>
      <xdr:rowOff>4242</xdr:rowOff>
    </xdr:to>
    <xdr:graphicFrame macro="">
      <xdr:nvGraphicFramePr>
        <xdr:cNvPr id="7" name="Діаграма 6">
          <a:extLst>
            <a:ext uri="{FF2B5EF4-FFF2-40B4-BE49-F238E27FC236}">
              <a16:creationId xmlns:a16="http://schemas.microsoft.com/office/drawing/2014/main" id="{4AA8A356-3D69-48D4-919D-749BBF18A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229720</xdr:colOff>
      <xdr:row>72</xdr:row>
      <xdr:rowOff>64994</xdr:rowOff>
    </xdr:from>
    <xdr:to>
      <xdr:col>47</xdr:col>
      <xdr:colOff>336176</xdr:colOff>
      <xdr:row>90</xdr:row>
      <xdr:rowOff>21852</xdr:rowOff>
    </xdr:to>
    <xdr:graphicFrame macro="">
      <xdr:nvGraphicFramePr>
        <xdr:cNvPr id="8" name="Діаграма 7">
          <a:extLst>
            <a:ext uri="{FF2B5EF4-FFF2-40B4-BE49-F238E27FC236}">
              <a16:creationId xmlns:a16="http://schemas.microsoft.com/office/drawing/2014/main" id="{B1AAE456-A067-4F2B-913B-4965EEA192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394615</xdr:colOff>
      <xdr:row>60</xdr:row>
      <xdr:rowOff>166007</xdr:rowOff>
    </xdr:from>
    <xdr:to>
      <xdr:col>21</xdr:col>
      <xdr:colOff>367392</xdr:colOff>
      <xdr:row>77</xdr:row>
      <xdr:rowOff>149679</xdr:rowOff>
    </xdr:to>
    <xdr:graphicFrame macro="">
      <xdr:nvGraphicFramePr>
        <xdr:cNvPr id="11" name="Діаграма 10">
          <a:extLst>
            <a:ext uri="{FF2B5EF4-FFF2-40B4-BE49-F238E27FC236}">
              <a16:creationId xmlns:a16="http://schemas.microsoft.com/office/drawing/2014/main" id="{B911E5E0-392B-49D3-9534-411B3C1F7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278329</xdr:colOff>
      <xdr:row>141</xdr:row>
      <xdr:rowOff>144732</xdr:rowOff>
    </xdr:from>
    <xdr:to>
      <xdr:col>36</xdr:col>
      <xdr:colOff>774368</xdr:colOff>
      <xdr:row>182</xdr:row>
      <xdr:rowOff>28451</xdr:rowOff>
    </xdr:to>
    <xdr:graphicFrame macro="">
      <xdr:nvGraphicFramePr>
        <xdr:cNvPr id="13" name="Діаграма 12">
          <a:extLst>
            <a:ext uri="{FF2B5EF4-FFF2-40B4-BE49-F238E27FC236}">
              <a16:creationId xmlns:a16="http://schemas.microsoft.com/office/drawing/2014/main" id="{F3E3F30B-7F13-4FA4-A4DC-CC10578EA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0.xml><?xml version="1.0" encoding="utf-8"?>
<c:userShapes xmlns:c="http://schemas.openxmlformats.org/drawingml/2006/chart">
  <cdr:relSizeAnchor xmlns:cdr="http://schemas.openxmlformats.org/drawingml/2006/chartDrawing">
    <cdr:from>
      <cdr:x>0.58689</cdr:x>
      <cdr:y>0.49569</cdr:y>
    </cdr:from>
    <cdr:to>
      <cdr:x>0.85566</cdr:x>
      <cdr:y>0.6656</cdr:y>
    </cdr:to>
    <cdr:sp macro="" textlink="">
      <cdr:nvSpPr>
        <cdr:cNvPr id="2" name="Прямокутник 1">
          <a:extLst xmlns:a="http://schemas.openxmlformats.org/drawingml/2006/main">
            <a:ext uri="{FF2B5EF4-FFF2-40B4-BE49-F238E27FC236}">
              <a16:creationId xmlns:a16="http://schemas.microsoft.com/office/drawing/2014/main" id="{66CD2F9A-5AE7-47DE-BA9B-64AB30ED498B}"/>
            </a:ext>
          </a:extLst>
        </cdr:cNvPr>
        <cdr:cNvSpPr/>
      </cdr:nvSpPr>
      <cdr:spPr>
        <a:xfrm xmlns:a="http://schemas.openxmlformats.org/drawingml/2006/main">
          <a:off x="7802187" y="3109995"/>
          <a:ext cx="3573051" cy="1066036"/>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r>
            <a:rPr lang="ru-RU" sz="1600" b="1">
              <a:solidFill>
                <a:schemeClr val="accent1">
                  <a:lumMod val="75000"/>
                </a:schemeClr>
              </a:solidFill>
            </a:rPr>
            <a:t>Декабрь 2022 к декабрю 2021</a:t>
          </a:r>
          <a:r>
            <a:rPr lang="ru-RU" sz="1600" b="1" baseline="0">
              <a:solidFill>
                <a:schemeClr val="accent1">
                  <a:lumMod val="75000"/>
                </a:schemeClr>
              </a:solidFill>
            </a:rPr>
            <a:t>:</a:t>
          </a:r>
        </a:p>
        <a:p xmlns:a="http://schemas.openxmlformats.org/drawingml/2006/main">
          <a:r>
            <a:rPr lang="ru-RU" sz="1600" baseline="0">
              <a:solidFill>
                <a:schemeClr val="accent1">
                  <a:lumMod val="75000"/>
                </a:schemeClr>
              </a:solidFill>
            </a:rPr>
            <a:t>   в грн </a:t>
          </a:r>
          <a:r>
            <a:rPr lang="ru-RU" sz="1600" b="1" baseline="0">
              <a:solidFill>
                <a:schemeClr val="accent1">
                  <a:lumMod val="75000"/>
                </a:schemeClr>
              </a:solidFill>
            </a:rPr>
            <a:t>-10,9%</a:t>
          </a:r>
        </a:p>
        <a:p xmlns:a="http://schemas.openxmlformats.org/drawingml/2006/main">
          <a:r>
            <a:rPr lang="ru-RU" sz="1600" baseline="0">
              <a:solidFill>
                <a:schemeClr val="accent1">
                  <a:lumMod val="75000"/>
                </a:schemeClr>
              </a:solidFill>
            </a:rPr>
            <a:t>   в долл. эквиваленте </a:t>
          </a:r>
          <a:r>
            <a:rPr lang="en-US" sz="1600" b="1" baseline="0">
              <a:solidFill>
                <a:schemeClr val="accent1">
                  <a:lumMod val="75000"/>
                </a:schemeClr>
              </a:solidFill>
            </a:rPr>
            <a:t>-</a:t>
          </a:r>
          <a:r>
            <a:rPr lang="uk-UA" sz="1600" b="1" baseline="0">
              <a:solidFill>
                <a:schemeClr val="accent1">
                  <a:lumMod val="75000"/>
                </a:schemeClr>
              </a:solidFill>
            </a:rPr>
            <a:t>3</a:t>
          </a:r>
          <a:r>
            <a:rPr lang="ru-RU" sz="1600" b="1" baseline="0">
              <a:solidFill>
                <a:schemeClr val="accent1">
                  <a:lumMod val="75000"/>
                </a:schemeClr>
              </a:solidFill>
            </a:rPr>
            <a:t>3,7%</a:t>
          </a:r>
          <a:endParaRPr lang="ru-RU" sz="1600" b="1">
            <a:solidFill>
              <a:schemeClr val="accent1">
                <a:lumMod val="75000"/>
              </a:schemeClr>
            </a:solidFill>
          </a:endParaRPr>
        </a:p>
      </cdr:txBody>
    </cdr:sp>
  </cdr:relSizeAnchor>
</c:userShapes>
</file>

<file path=xl/drawings/drawing41.xml><?xml version="1.0" encoding="utf-8"?>
<xdr:wsDr xmlns:xdr="http://schemas.openxmlformats.org/drawingml/2006/spreadsheetDrawing" xmlns:a="http://schemas.openxmlformats.org/drawingml/2006/main">
  <xdr:twoCellAnchor editAs="oneCell">
    <xdr:from>
      <xdr:col>56</xdr:col>
      <xdr:colOff>598455</xdr:colOff>
      <xdr:row>0</xdr:row>
      <xdr:rowOff>455359</xdr:rowOff>
    </xdr:from>
    <xdr:to>
      <xdr:col>63</xdr:col>
      <xdr:colOff>31736</xdr:colOff>
      <xdr:row>10</xdr:row>
      <xdr:rowOff>38200</xdr:rowOff>
    </xdr:to>
    <xdr:pic>
      <xdr:nvPicPr>
        <xdr:cNvPr id="2" name="Picture 1">
          <a:extLst>
            <a:ext uri="{FF2B5EF4-FFF2-40B4-BE49-F238E27FC236}">
              <a16:creationId xmlns:a16="http://schemas.microsoft.com/office/drawing/2014/main" id="{3FA3ED81-7544-4D82-ABE3-71E681D5AC7A}"/>
            </a:ext>
          </a:extLst>
        </xdr:cNvPr>
        <xdr:cNvPicPr>
          <a:picLocks noChangeAspect="1"/>
        </xdr:cNvPicPr>
      </xdr:nvPicPr>
      <xdr:blipFill>
        <a:blip xmlns:r="http://schemas.openxmlformats.org/officeDocument/2006/relationships" r:embed="rId1"/>
        <a:stretch>
          <a:fillRect/>
        </a:stretch>
      </xdr:blipFill>
      <xdr:spPr>
        <a:xfrm>
          <a:off x="54538530" y="455359"/>
          <a:ext cx="5300681" cy="2516541"/>
        </a:xfrm>
        <a:prstGeom prst="rect">
          <a:avLst/>
        </a:prstGeom>
        <a:ln w="25400">
          <a:solidFill>
            <a:schemeClr val="accent1"/>
          </a:solidFill>
        </a:ln>
      </xdr:spPr>
    </xdr:pic>
    <xdr:clientData/>
  </xdr:twoCellAnchor>
  <xdr:twoCellAnchor editAs="oneCell">
    <xdr:from>
      <xdr:col>47</xdr:col>
      <xdr:colOff>488497</xdr:colOff>
      <xdr:row>1</xdr:row>
      <xdr:rowOff>46605</xdr:rowOff>
    </xdr:from>
    <xdr:to>
      <xdr:col>54</xdr:col>
      <xdr:colOff>3415</xdr:colOff>
      <xdr:row>11</xdr:row>
      <xdr:rowOff>5481</xdr:rowOff>
    </xdr:to>
    <xdr:pic>
      <xdr:nvPicPr>
        <xdr:cNvPr id="3" name="Picture 2">
          <a:extLst>
            <a:ext uri="{FF2B5EF4-FFF2-40B4-BE49-F238E27FC236}">
              <a16:creationId xmlns:a16="http://schemas.microsoft.com/office/drawing/2014/main" id="{EB18DB49-708E-41FA-BEF2-801FBC0DB3BF}"/>
            </a:ext>
          </a:extLst>
        </xdr:cNvPr>
        <xdr:cNvPicPr>
          <a:picLocks noChangeAspect="1"/>
        </xdr:cNvPicPr>
      </xdr:nvPicPr>
      <xdr:blipFill>
        <a:blip xmlns:r="http://schemas.openxmlformats.org/officeDocument/2006/relationships" r:embed="rId2"/>
        <a:stretch>
          <a:fillRect/>
        </a:stretch>
      </xdr:blipFill>
      <xdr:spPr>
        <a:xfrm>
          <a:off x="46884772" y="732405"/>
          <a:ext cx="5344218" cy="2421769"/>
        </a:xfrm>
        <a:prstGeom prst="rect">
          <a:avLst/>
        </a:prstGeom>
        <a:ln w="25400">
          <a:solidFill>
            <a:schemeClr val="accent1"/>
          </a:solidFill>
        </a:ln>
      </xdr:spPr>
    </xdr:pic>
    <xdr:clientData/>
  </xdr:twoCellAnchor>
  <xdr:twoCellAnchor editAs="oneCell">
    <xdr:from>
      <xdr:col>38</xdr:col>
      <xdr:colOff>434066</xdr:colOff>
      <xdr:row>1</xdr:row>
      <xdr:rowOff>53407</xdr:rowOff>
    </xdr:from>
    <xdr:to>
      <xdr:col>44</xdr:col>
      <xdr:colOff>665405</xdr:colOff>
      <xdr:row>11</xdr:row>
      <xdr:rowOff>157859</xdr:rowOff>
    </xdr:to>
    <xdr:pic>
      <xdr:nvPicPr>
        <xdr:cNvPr id="4" name="Picture 3">
          <a:extLst>
            <a:ext uri="{FF2B5EF4-FFF2-40B4-BE49-F238E27FC236}">
              <a16:creationId xmlns:a16="http://schemas.microsoft.com/office/drawing/2014/main" id="{48C027F3-8FC9-4BD3-B906-D6A3C73CD6F1}"/>
            </a:ext>
          </a:extLst>
        </xdr:cNvPr>
        <xdr:cNvPicPr>
          <a:picLocks noChangeAspect="1"/>
        </xdr:cNvPicPr>
      </xdr:nvPicPr>
      <xdr:blipFill>
        <a:blip xmlns:r="http://schemas.openxmlformats.org/officeDocument/2006/relationships" r:embed="rId3"/>
        <a:stretch>
          <a:fillRect/>
        </a:stretch>
      </xdr:blipFill>
      <xdr:spPr>
        <a:xfrm>
          <a:off x="39286541" y="739207"/>
          <a:ext cx="5317690" cy="2580952"/>
        </a:xfrm>
        <a:prstGeom prst="rect">
          <a:avLst/>
        </a:prstGeom>
        <a:ln w="25400">
          <a:solidFill>
            <a:schemeClr val="accent1"/>
          </a:solidFill>
        </a:ln>
      </xdr:spPr>
    </xdr:pic>
    <xdr:clientData/>
  </xdr:twoCellAnchor>
  <xdr:twoCellAnchor>
    <xdr:from>
      <xdr:col>40</xdr:col>
      <xdr:colOff>172810</xdr:colOff>
      <xdr:row>14</xdr:row>
      <xdr:rowOff>107497</xdr:rowOff>
    </xdr:from>
    <xdr:to>
      <xdr:col>58</xdr:col>
      <xdr:colOff>171241</xdr:colOff>
      <xdr:row>39</xdr:row>
      <xdr:rowOff>125651</xdr:rowOff>
    </xdr:to>
    <xdr:graphicFrame macro="">
      <xdr:nvGraphicFramePr>
        <xdr:cNvPr id="5" name="Chart 5">
          <a:extLst>
            <a:ext uri="{FF2B5EF4-FFF2-40B4-BE49-F238E27FC236}">
              <a16:creationId xmlns:a16="http://schemas.microsoft.com/office/drawing/2014/main" id="{2B5EC9AD-6AC4-4C29-8D27-FC301A5A0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526595</xdr:colOff>
      <xdr:row>39</xdr:row>
      <xdr:rowOff>153947</xdr:rowOff>
    </xdr:from>
    <xdr:to>
      <xdr:col>60</xdr:col>
      <xdr:colOff>14287</xdr:colOff>
      <xdr:row>71</xdr:row>
      <xdr:rowOff>91168</xdr:rowOff>
    </xdr:to>
    <xdr:graphicFrame macro="">
      <xdr:nvGraphicFramePr>
        <xdr:cNvPr id="6" name="Chart 8">
          <a:extLst>
            <a:ext uri="{FF2B5EF4-FFF2-40B4-BE49-F238E27FC236}">
              <a16:creationId xmlns:a16="http://schemas.microsoft.com/office/drawing/2014/main" id="{3EBD208B-56A5-4C8C-807F-F774F2662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245482</xdr:colOff>
      <xdr:row>71</xdr:row>
      <xdr:rowOff>99579</xdr:rowOff>
    </xdr:from>
    <xdr:to>
      <xdr:col>63</xdr:col>
      <xdr:colOff>397884</xdr:colOff>
      <xdr:row>104</xdr:row>
      <xdr:rowOff>4329</xdr:rowOff>
    </xdr:to>
    <xdr:graphicFrame macro="">
      <xdr:nvGraphicFramePr>
        <xdr:cNvPr id="7" name="Chart 9">
          <a:extLst>
            <a:ext uri="{FF2B5EF4-FFF2-40B4-BE49-F238E27FC236}">
              <a16:creationId xmlns:a16="http://schemas.microsoft.com/office/drawing/2014/main" id="{4E7CB1FF-1AC5-4D37-8496-C1F92BF68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303360</xdr:colOff>
      <xdr:row>48</xdr:row>
      <xdr:rowOff>7205</xdr:rowOff>
    </xdr:from>
    <xdr:to>
      <xdr:col>26</xdr:col>
      <xdr:colOff>1032144</xdr:colOff>
      <xdr:row>61</xdr:row>
      <xdr:rowOff>21614</xdr:rowOff>
    </xdr:to>
    <xdr:pic>
      <xdr:nvPicPr>
        <xdr:cNvPr id="8" name="Рисунок 7">
          <a:extLst>
            <a:ext uri="{FF2B5EF4-FFF2-40B4-BE49-F238E27FC236}">
              <a16:creationId xmlns:a16="http://schemas.microsoft.com/office/drawing/2014/main" id="{AE480872-6DDF-4AB2-ADFC-54AA4009C719}"/>
            </a:ext>
          </a:extLst>
        </xdr:cNvPr>
        <xdr:cNvPicPr>
          <a:picLocks noChangeAspect="1"/>
        </xdr:cNvPicPr>
      </xdr:nvPicPr>
      <xdr:blipFill rotWithShape="1">
        <a:blip xmlns:r="http://schemas.openxmlformats.org/officeDocument/2006/relationships" r:embed="rId7"/>
        <a:srcRect l="13085" t="38709" r="44764" b="24828"/>
        <a:stretch/>
      </xdr:blipFill>
      <xdr:spPr>
        <a:xfrm>
          <a:off x="21616948" y="11459617"/>
          <a:ext cx="6398961" cy="3107232"/>
        </a:xfrm>
        <a:prstGeom prst="rect">
          <a:avLst/>
        </a:prstGeom>
        <a:ln>
          <a:solidFill>
            <a:srgbClr val="FF0000"/>
          </a:solidFill>
        </a:ln>
      </xdr:spPr>
    </xdr:pic>
    <xdr:clientData/>
  </xdr:twoCellAnchor>
  <xdr:twoCellAnchor editAs="oneCell">
    <xdr:from>
      <xdr:col>25</xdr:col>
      <xdr:colOff>640332</xdr:colOff>
      <xdr:row>47</xdr:row>
      <xdr:rowOff>156079</xdr:rowOff>
    </xdr:from>
    <xdr:to>
      <xdr:col>30</xdr:col>
      <xdr:colOff>1275229</xdr:colOff>
      <xdr:row>62</xdr:row>
      <xdr:rowOff>194579</xdr:rowOff>
    </xdr:to>
    <xdr:pic>
      <xdr:nvPicPr>
        <xdr:cNvPr id="9" name="Рисунок 8">
          <a:extLst>
            <a:ext uri="{FF2B5EF4-FFF2-40B4-BE49-F238E27FC236}">
              <a16:creationId xmlns:a16="http://schemas.microsoft.com/office/drawing/2014/main" id="{00887BE0-F0C7-4385-B7AA-1116397C575B}"/>
            </a:ext>
          </a:extLst>
        </xdr:cNvPr>
        <xdr:cNvPicPr>
          <a:picLocks noChangeAspect="1"/>
        </xdr:cNvPicPr>
      </xdr:nvPicPr>
      <xdr:blipFill rotWithShape="1">
        <a:blip xmlns:r="http://schemas.openxmlformats.org/officeDocument/2006/relationships" r:embed="rId8"/>
        <a:srcRect l="12865" t="40742" r="42578" b="23354"/>
        <a:stretch/>
      </xdr:blipFill>
      <xdr:spPr>
        <a:xfrm>
          <a:off x="26469891" y="11384373"/>
          <a:ext cx="7974750" cy="3579559"/>
        </a:xfrm>
        <a:prstGeom prst="rect">
          <a:avLst/>
        </a:prstGeom>
        <a:ln>
          <a:solidFill>
            <a:srgbClr val="FF0000"/>
          </a:solidFill>
        </a:ln>
      </xdr:spPr>
    </xdr:pic>
    <xdr:clientData/>
  </xdr:twoCellAnchor>
  <xdr:absoluteAnchor>
    <xdr:pos x="12035119" y="16181295"/>
    <xdr:ext cx="9306393" cy="6081947"/>
    <xdr:graphicFrame macro="">
      <xdr:nvGraphicFramePr>
        <xdr:cNvPr id="12" name="Диаграмма 10">
          <a:extLst>
            <a:ext uri="{FF2B5EF4-FFF2-40B4-BE49-F238E27FC236}">
              <a16:creationId xmlns:a16="http://schemas.microsoft.com/office/drawing/2014/main" id="{192DB4C8-E697-409F-8DCD-88989F36435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absoluteAnchor>
  <xdr:absoluteAnchor>
    <xdr:pos x="11710147" y="22960853"/>
    <xdr:ext cx="9306393" cy="6081947"/>
    <xdr:graphicFrame macro="">
      <xdr:nvGraphicFramePr>
        <xdr:cNvPr id="11" name="Диаграмма 10">
          <a:extLst>
            <a:ext uri="{FF2B5EF4-FFF2-40B4-BE49-F238E27FC236}">
              <a16:creationId xmlns:a16="http://schemas.microsoft.com/office/drawing/2014/main" id="{4B1C41AB-638F-4D31-8804-EB5794ECD63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0.62248</cdr:x>
      <cdr:y>0.76759</cdr:y>
    </cdr:from>
    <cdr:to>
      <cdr:x>0.88858</cdr:x>
      <cdr:y>0.87498</cdr:y>
    </cdr:to>
    <cdr:sp macro="" textlink="">
      <cdr:nvSpPr>
        <cdr:cNvPr id="2" name="TextBox 1">
          <a:extLst xmlns:a="http://schemas.openxmlformats.org/drawingml/2006/main">
            <a:ext uri="{FF2B5EF4-FFF2-40B4-BE49-F238E27FC236}">
              <a16:creationId xmlns:a16="http://schemas.microsoft.com/office/drawing/2014/main" id="{67B87EAF-3EF7-4BDB-8DFC-F9D48FD5626D}"/>
            </a:ext>
          </a:extLst>
        </cdr:cNvPr>
        <cdr:cNvSpPr txBox="1"/>
      </cdr:nvSpPr>
      <cdr:spPr>
        <a:xfrm xmlns:a="http://schemas.openxmlformats.org/drawingml/2006/main">
          <a:off x="5793044" y="4668425"/>
          <a:ext cx="2476431" cy="653140"/>
        </a:xfrm>
        <a:prstGeom xmlns:a="http://schemas.openxmlformats.org/drawingml/2006/main" prst="rect">
          <a:avLst/>
        </a:prstGeom>
        <a:solidFill xmlns:a="http://schemas.openxmlformats.org/drawingml/2006/main">
          <a:schemeClr val="bg1"/>
        </a:solidFill>
        <a:ln xmlns:a="http://schemas.openxmlformats.org/drawingml/2006/main">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600" b="0">
              <a:solidFill>
                <a:schemeClr val="accent5"/>
              </a:solidFill>
            </a:rPr>
            <a:t>Дефлятор ВВП в 2021  </a:t>
          </a:r>
          <a:r>
            <a:rPr lang="ru-RU" sz="1600" b="1">
              <a:solidFill>
                <a:schemeClr val="accent5"/>
              </a:solidFill>
            </a:rPr>
            <a:t>2</a:t>
          </a:r>
          <a:r>
            <a:rPr lang="en-US" sz="1600" b="1">
              <a:solidFill>
                <a:schemeClr val="accent5"/>
              </a:solidFill>
            </a:rPr>
            <a:t>7,3</a:t>
          </a:r>
          <a:r>
            <a:rPr lang="ru-RU" sz="1600" b="1">
              <a:solidFill>
                <a:schemeClr val="accent5"/>
              </a:solidFill>
            </a:rPr>
            <a:t>%</a:t>
          </a:r>
        </a:p>
      </cdr:txBody>
    </cdr:sp>
  </cdr:relSizeAnchor>
</c:userShapes>
</file>

<file path=xl/drawings/drawing43.xml><?xml version="1.0" encoding="utf-8"?>
<c:userShapes xmlns:c="http://schemas.openxmlformats.org/drawingml/2006/chart">
  <cdr:relSizeAnchor xmlns:cdr="http://schemas.openxmlformats.org/drawingml/2006/chartDrawing">
    <cdr:from>
      <cdr:x>0.3937</cdr:x>
      <cdr:y>0.76095</cdr:y>
    </cdr:from>
    <cdr:to>
      <cdr:x>0.6598</cdr:x>
      <cdr:y>0.87655</cdr:y>
    </cdr:to>
    <cdr:sp macro="" textlink="">
      <cdr:nvSpPr>
        <cdr:cNvPr id="2" name="TextBox 1">
          <a:extLst xmlns:a="http://schemas.openxmlformats.org/drawingml/2006/main">
            <a:ext uri="{FF2B5EF4-FFF2-40B4-BE49-F238E27FC236}">
              <a16:creationId xmlns:a16="http://schemas.microsoft.com/office/drawing/2014/main" id="{67B87EAF-3EF7-4BDB-8DFC-F9D48FD5626D}"/>
            </a:ext>
          </a:extLst>
        </cdr:cNvPr>
        <cdr:cNvSpPr txBox="1"/>
      </cdr:nvSpPr>
      <cdr:spPr>
        <a:xfrm xmlns:a="http://schemas.openxmlformats.org/drawingml/2006/main">
          <a:off x="3663927" y="4628029"/>
          <a:ext cx="2476431" cy="703123"/>
        </a:xfrm>
        <a:prstGeom xmlns:a="http://schemas.openxmlformats.org/drawingml/2006/main" prst="rect">
          <a:avLst/>
        </a:prstGeom>
        <a:solidFill xmlns:a="http://schemas.openxmlformats.org/drawingml/2006/main">
          <a:schemeClr val="bg1"/>
        </a:solidFill>
        <a:ln xmlns:a="http://schemas.openxmlformats.org/drawingml/2006/main">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600" b="0">
              <a:solidFill>
                <a:schemeClr val="accent5"/>
              </a:solidFill>
            </a:rPr>
            <a:t>Дефлятор ВВП в 2021  </a:t>
          </a:r>
          <a:r>
            <a:rPr lang="ru-RU" sz="1600" b="1">
              <a:solidFill>
                <a:schemeClr val="accent5"/>
              </a:solidFill>
            </a:rPr>
            <a:t>2</a:t>
          </a:r>
          <a:r>
            <a:rPr lang="en-US" sz="1600" b="1">
              <a:solidFill>
                <a:schemeClr val="accent5"/>
              </a:solidFill>
            </a:rPr>
            <a:t>7,4</a:t>
          </a:r>
          <a:r>
            <a:rPr lang="ru-RU" sz="1600" b="1">
              <a:solidFill>
                <a:schemeClr val="accent5"/>
              </a:solidFill>
            </a:rPr>
            <a:t>%</a:t>
          </a:r>
        </a:p>
      </cdr:txBody>
    </cdr:sp>
  </cdr:relSizeAnchor>
  <cdr:relSizeAnchor xmlns:cdr="http://schemas.openxmlformats.org/drawingml/2006/chartDrawing">
    <cdr:from>
      <cdr:x>0.69541</cdr:x>
      <cdr:y>0.33815</cdr:y>
    </cdr:from>
    <cdr:to>
      <cdr:x>0.96233</cdr:x>
      <cdr:y>0.44554</cdr:y>
    </cdr:to>
    <cdr:sp macro="" textlink="">
      <cdr:nvSpPr>
        <cdr:cNvPr id="3" name="TextBox 1">
          <a:extLst xmlns:a="http://schemas.openxmlformats.org/drawingml/2006/main">
            <a:ext uri="{FF2B5EF4-FFF2-40B4-BE49-F238E27FC236}">
              <a16:creationId xmlns:a16="http://schemas.microsoft.com/office/drawing/2014/main" id="{7C6909B8-ED4F-4109-B06A-D8E458ABDCC9}"/>
            </a:ext>
          </a:extLst>
        </cdr:cNvPr>
        <cdr:cNvSpPr txBox="1"/>
      </cdr:nvSpPr>
      <cdr:spPr>
        <a:xfrm xmlns:a="http://schemas.openxmlformats.org/drawingml/2006/main">
          <a:off x="6471737" y="2056639"/>
          <a:ext cx="2484062" cy="653140"/>
        </a:xfrm>
        <a:prstGeom xmlns:a="http://schemas.openxmlformats.org/drawingml/2006/main" prst="rect">
          <a:avLst/>
        </a:prstGeom>
        <a:solidFill xmlns:a="http://schemas.openxmlformats.org/drawingml/2006/main">
          <a:schemeClr val="bg1"/>
        </a:solidFill>
        <a:ln xmlns:a="http://schemas.openxmlformats.org/drawingml/2006/main">
          <a:solidFill>
            <a:schemeClr val="accent5"/>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600" b="0">
              <a:solidFill>
                <a:schemeClr val="accent5"/>
              </a:solidFill>
            </a:rPr>
            <a:t>Дефлятор ВВП в 2022  </a:t>
          </a:r>
          <a:r>
            <a:rPr lang="ru-RU" sz="1600" b="1">
              <a:solidFill>
                <a:schemeClr val="accent5"/>
              </a:solidFill>
            </a:rPr>
            <a:t>1</a:t>
          </a:r>
          <a:r>
            <a:rPr lang="en-US" sz="1600" b="1">
              <a:solidFill>
                <a:schemeClr val="accent5"/>
              </a:solidFill>
            </a:rPr>
            <a:t>2</a:t>
          </a:r>
          <a:r>
            <a:rPr lang="ru-RU" sz="1600" b="1">
              <a:solidFill>
                <a:schemeClr val="accent5"/>
              </a:solidFill>
            </a:rPr>
            <a:t>%</a:t>
          </a:r>
        </a:p>
      </cdr:txBody>
    </cdr:sp>
  </cdr:relSizeAnchor>
</c:userShapes>
</file>

<file path=xl/drawings/drawing44.xml><?xml version="1.0" encoding="utf-8"?>
<xdr:wsDr xmlns:xdr="http://schemas.openxmlformats.org/drawingml/2006/spreadsheetDrawing" xmlns:a="http://schemas.openxmlformats.org/drawingml/2006/main">
  <xdr:twoCellAnchor>
    <xdr:from>
      <xdr:col>18</xdr:col>
      <xdr:colOff>476258</xdr:colOff>
      <xdr:row>49</xdr:row>
      <xdr:rowOff>227240</xdr:rowOff>
    </xdr:from>
    <xdr:to>
      <xdr:col>30</xdr:col>
      <xdr:colOff>693965</xdr:colOff>
      <xdr:row>76</xdr:row>
      <xdr:rowOff>81643</xdr:rowOff>
    </xdr:to>
    <xdr:graphicFrame macro="">
      <xdr:nvGraphicFramePr>
        <xdr:cNvPr id="2" name="Діаграма 1">
          <a:extLst>
            <a:ext uri="{FF2B5EF4-FFF2-40B4-BE49-F238E27FC236}">
              <a16:creationId xmlns:a16="http://schemas.microsoft.com/office/drawing/2014/main" id="{40497E77-8D65-447E-BC2B-52BDF65E14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367392</xdr:colOff>
      <xdr:row>73</xdr:row>
      <xdr:rowOff>204107</xdr:rowOff>
    </xdr:from>
    <xdr:to>
      <xdr:col>15</xdr:col>
      <xdr:colOff>585098</xdr:colOff>
      <xdr:row>100</xdr:row>
      <xdr:rowOff>58511</xdr:rowOff>
    </xdr:to>
    <xdr:graphicFrame macro="">
      <xdr:nvGraphicFramePr>
        <xdr:cNvPr id="3" name="Діаграма 2">
          <a:extLst>
            <a:ext uri="{FF2B5EF4-FFF2-40B4-BE49-F238E27FC236}">
              <a16:creationId xmlns:a16="http://schemas.microsoft.com/office/drawing/2014/main" id="{270671AB-B584-4DB4-B6E0-846D2DD94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2</xdr:col>
      <xdr:colOff>3071812</xdr:colOff>
      <xdr:row>140</xdr:row>
      <xdr:rowOff>176212</xdr:rowOff>
    </xdr:from>
    <xdr:to>
      <xdr:col>11</xdr:col>
      <xdr:colOff>66146</xdr:colOff>
      <xdr:row>167</xdr:row>
      <xdr:rowOff>52917</xdr:rowOff>
    </xdr:to>
    <xdr:graphicFrame macro="">
      <xdr:nvGraphicFramePr>
        <xdr:cNvPr id="2" name="Діаграма 1">
          <a:extLst>
            <a:ext uri="{FF2B5EF4-FFF2-40B4-BE49-F238E27FC236}">
              <a16:creationId xmlns:a16="http://schemas.microsoft.com/office/drawing/2014/main" id="{BE61C139-C65A-4072-8B68-CF8FD8C6D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c:userShapes xmlns:c="http://schemas.openxmlformats.org/drawingml/2006/chart">
  <cdr:relSizeAnchor xmlns:cdr="http://schemas.openxmlformats.org/drawingml/2006/chartDrawing">
    <cdr:from>
      <cdr:x>0.38693</cdr:x>
      <cdr:y>0.75093</cdr:y>
    </cdr:from>
    <cdr:to>
      <cdr:x>0.70422</cdr:x>
      <cdr:y>0.90438</cdr:y>
    </cdr:to>
    <cdr:sp macro="" textlink="">
      <cdr:nvSpPr>
        <cdr:cNvPr id="2" name="Прямокутник 1">
          <a:extLst xmlns:a="http://schemas.openxmlformats.org/drawingml/2006/main">
            <a:ext uri="{FF2B5EF4-FFF2-40B4-BE49-F238E27FC236}">
              <a16:creationId xmlns:a16="http://schemas.microsoft.com/office/drawing/2014/main" id="{80812C3E-3AD2-48A2-9EDB-788AFC7ADAD9}"/>
            </a:ext>
          </a:extLst>
        </cdr:cNvPr>
        <cdr:cNvSpPr/>
      </cdr:nvSpPr>
      <cdr:spPr>
        <a:xfrm xmlns:a="http://schemas.openxmlformats.org/drawingml/2006/main">
          <a:off x="3807354" y="4467225"/>
          <a:ext cx="3122084" cy="912813"/>
        </a:xfrm>
        <a:prstGeom xmlns:a="http://schemas.openxmlformats.org/drawingml/2006/main" prst="rect">
          <a:avLst/>
        </a:prstGeom>
        <a:solidFill xmlns:a="http://schemas.openxmlformats.org/drawingml/2006/main">
          <a:schemeClr val="bg1"/>
        </a:solidFill>
        <a:ln xmlns:a="http://schemas.openxmlformats.org/drawingml/2006/main">
          <a:solidFill>
            <a:schemeClr val="accent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uk-UA" sz="1600" b="1">
              <a:solidFill>
                <a:schemeClr val="accent1">
                  <a:lumMod val="50000"/>
                </a:schemeClr>
              </a:solidFill>
            </a:rPr>
            <a:t>-397 тыс.</a:t>
          </a:r>
          <a:r>
            <a:rPr lang="uk-UA" sz="1600">
              <a:solidFill>
                <a:schemeClr val="accent1">
                  <a:lumMod val="50000"/>
                </a:schemeClr>
              </a:solidFill>
            </a:rPr>
            <a:t> </a:t>
          </a:r>
          <a:endParaRPr lang="en-US" sz="1600">
            <a:solidFill>
              <a:schemeClr val="accent1">
                <a:lumMod val="50000"/>
              </a:schemeClr>
            </a:solidFill>
          </a:endParaRPr>
        </a:p>
        <a:p xmlns:a="http://schemas.openxmlformats.org/drawingml/2006/main">
          <a:pPr algn="ctr"/>
          <a:r>
            <a:rPr lang="uk-UA" sz="1600">
              <a:solidFill>
                <a:schemeClr val="accent1">
                  <a:lumMod val="50000"/>
                </a:schemeClr>
              </a:solidFill>
            </a:rPr>
            <a:t>штатных сотрудников с начала пандемии </a:t>
          </a:r>
          <a:r>
            <a:rPr lang="en-US" sz="1600">
              <a:solidFill>
                <a:schemeClr val="accent1">
                  <a:lumMod val="50000"/>
                </a:schemeClr>
              </a:solidFill>
            </a:rPr>
            <a:t>COVID-19</a:t>
          </a:r>
          <a:endParaRPr lang="uk-UA" sz="1600">
            <a:solidFill>
              <a:schemeClr val="accent1">
                <a:lumMod val="50000"/>
              </a:schemeClr>
            </a:solidFill>
          </a:endParaRPr>
        </a:p>
      </cdr:txBody>
    </cdr:sp>
  </cdr:relSizeAnchor>
</c:userShapes>
</file>

<file path=xl/drawings/drawing47.xml><?xml version="1.0" encoding="utf-8"?>
<xdr:wsDr xmlns:xdr="http://schemas.openxmlformats.org/drawingml/2006/spreadsheetDrawing" xmlns:a="http://schemas.openxmlformats.org/drawingml/2006/main">
  <xdr:twoCellAnchor editAs="oneCell">
    <xdr:from>
      <xdr:col>18</xdr:col>
      <xdr:colOff>476250</xdr:colOff>
      <xdr:row>7</xdr:row>
      <xdr:rowOff>154781</xdr:rowOff>
    </xdr:from>
    <xdr:to>
      <xdr:col>24</xdr:col>
      <xdr:colOff>768480</xdr:colOff>
      <xdr:row>18</xdr:row>
      <xdr:rowOff>142564</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3573125" y="726281"/>
          <a:ext cx="5292855" cy="2476190"/>
        </a:xfrm>
        <a:prstGeom prst="rect">
          <a:avLst/>
        </a:prstGeom>
        <a:ln w="25400">
          <a:solidFill>
            <a:schemeClr val="accent1"/>
          </a:solidFill>
        </a:ln>
      </xdr:spPr>
    </xdr:pic>
    <xdr:clientData/>
  </xdr:twoCellAnchor>
  <xdr:twoCellAnchor editAs="oneCell">
    <xdr:from>
      <xdr:col>19</xdr:col>
      <xdr:colOff>104775</xdr:colOff>
      <xdr:row>22</xdr:row>
      <xdr:rowOff>90489</xdr:rowOff>
    </xdr:from>
    <xdr:to>
      <xdr:col>25</xdr:col>
      <xdr:colOff>425576</xdr:colOff>
      <xdr:row>33</xdr:row>
      <xdr:rowOff>21131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3808869" y="3519489"/>
          <a:ext cx="5321426" cy="2419048"/>
        </a:xfrm>
        <a:prstGeom prst="rect">
          <a:avLst/>
        </a:prstGeom>
        <a:ln w="25400">
          <a:solidFill>
            <a:schemeClr val="accent1"/>
          </a:solidFill>
        </a:ln>
      </xdr:spPr>
    </xdr:pic>
    <xdr:clientData/>
  </xdr:twoCellAnchor>
  <xdr:twoCellAnchor editAs="oneCell">
    <xdr:from>
      <xdr:col>19</xdr:col>
      <xdr:colOff>188118</xdr:colOff>
      <xdr:row>36</xdr:row>
      <xdr:rowOff>21431</xdr:rowOff>
    </xdr:from>
    <xdr:to>
      <xdr:col>25</xdr:col>
      <xdr:colOff>470824</xdr:colOff>
      <xdr:row>47</xdr:row>
      <xdr:rowOff>113977</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3892212" y="6117431"/>
          <a:ext cx="5283331" cy="2580952"/>
        </a:xfrm>
        <a:prstGeom prst="rect">
          <a:avLst/>
        </a:prstGeom>
        <a:ln w="25400">
          <a:solidFill>
            <a:schemeClr val="accent1"/>
          </a:solidFill>
        </a:ln>
      </xdr:spPr>
    </xdr:pic>
    <xdr:clientData/>
  </xdr:twoCellAnchor>
  <xdr:twoCellAnchor editAs="oneCell">
    <xdr:from>
      <xdr:col>3</xdr:col>
      <xdr:colOff>166685</xdr:colOff>
      <xdr:row>45</xdr:row>
      <xdr:rowOff>130970</xdr:rowOff>
    </xdr:from>
    <xdr:to>
      <xdr:col>9</xdr:col>
      <xdr:colOff>83344</xdr:colOff>
      <xdr:row>59</xdr:row>
      <xdr:rowOff>127888</xdr:rowOff>
    </xdr:to>
    <xdr:pic>
      <xdr:nvPicPr>
        <xdr:cNvPr id="5" name="Picture 7">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2500310" y="8703470"/>
          <a:ext cx="6953252" cy="3163980"/>
        </a:xfrm>
        <a:prstGeom prst="rect">
          <a:avLst/>
        </a:prstGeom>
        <a:ln w="25400">
          <a:solidFill>
            <a:srgbClr val="FF0000"/>
          </a:solidFill>
        </a:ln>
      </xdr:spPr>
    </xdr:pic>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19</xdr:row>
      <xdr:rowOff>2721</xdr:rowOff>
    </xdr:from>
    <xdr:to>
      <xdr:col>7</xdr:col>
      <xdr:colOff>285750</xdr:colOff>
      <xdr:row>33</xdr:row>
      <xdr:rowOff>133350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289461</xdr:colOff>
      <xdr:row>29</xdr:row>
      <xdr:rowOff>19482</xdr:rowOff>
    </xdr:from>
    <xdr:to>
      <xdr:col>27</xdr:col>
      <xdr:colOff>250782</xdr:colOff>
      <xdr:row>62</xdr:row>
      <xdr:rowOff>131339</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c:userShapes xmlns:c="http://schemas.openxmlformats.org/drawingml/2006/chart">
  <cdr:relSizeAnchor xmlns:cdr="http://schemas.openxmlformats.org/drawingml/2006/chartDrawing">
    <cdr:from>
      <cdr:x>0.67223</cdr:x>
      <cdr:y>0.58898</cdr:y>
    </cdr:from>
    <cdr:to>
      <cdr:x>0.95965</cdr:x>
      <cdr:y>0.79221</cdr:y>
    </cdr:to>
    <cdr:sp macro="" textlink="">
      <cdr:nvSpPr>
        <cdr:cNvPr id="3" name="Rounded Rectangle 2"/>
        <cdr:cNvSpPr/>
      </cdr:nvSpPr>
      <cdr:spPr>
        <a:xfrm xmlns:a="http://schemas.openxmlformats.org/drawingml/2006/main">
          <a:off x="7510833" y="3904013"/>
          <a:ext cx="3211286" cy="1347107"/>
        </a:xfrm>
        <a:prstGeom xmlns:a="http://schemas.openxmlformats.org/drawingml/2006/main" prst="roundRect">
          <a:avLst/>
        </a:prstGeom>
        <a:solidFill xmlns:a="http://schemas.openxmlformats.org/drawingml/2006/main">
          <a:schemeClr val="bg1"/>
        </a:solidFill>
        <a:ln xmlns:a="http://schemas.openxmlformats.org/drawingml/2006/main">
          <a:solidFill>
            <a:schemeClr val="bg1">
              <a:lumMod val="65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uk-UA" sz="1800" b="1">
              <a:solidFill>
                <a:sysClr val="windowText" lastClr="000000"/>
              </a:solidFill>
            </a:rPr>
            <a:t>Прогнозний середньорічний курс на</a:t>
          </a:r>
          <a:r>
            <a:rPr lang="uk-UA" sz="1800" b="1" baseline="0">
              <a:solidFill>
                <a:sysClr val="windowText" lastClr="000000"/>
              </a:solidFill>
            </a:rPr>
            <a:t> 2019 рік</a:t>
          </a:r>
        </a:p>
        <a:p xmlns:a="http://schemas.openxmlformats.org/drawingml/2006/main">
          <a:pPr algn="ctr"/>
          <a:endParaRPr lang="uk-UA" sz="1050" b="1" baseline="0">
            <a:solidFill>
              <a:sysClr val="windowText" lastClr="000000"/>
            </a:solidFill>
          </a:endParaRPr>
        </a:p>
        <a:p xmlns:a="http://schemas.openxmlformats.org/drawingml/2006/main">
          <a:pPr algn="ctr"/>
          <a:r>
            <a:rPr lang="uk-UA" sz="2000" b="1" baseline="0">
              <a:solidFill>
                <a:sysClr val="windowText" lastClr="000000"/>
              </a:solidFill>
            </a:rPr>
            <a:t>27,84 грн/дол. США</a:t>
          </a:r>
        </a:p>
        <a:p xmlns:a="http://schemas.openxmlformats.org/drawingml/2006/main">
          <a:endParaRPr lang="uk-UA" sz="1800" b="1">
            <a:solidFill>
              <a:sysClr val="windowText" lastClr="000000"/>
            </a:solidFill>
          </a:endParaRPr>
        </a:p>
      </cdr:txBody>
    </cdr:sp>
  </cdr:relSizeAnchor>
</c:userShapes>
</file>

<file path=xl/drawings/drawing50.xml><?xml version="1.0" encoding="utf-8"?>
<xdr:wsDr xmlns:xdr="http://schemas.openxmlformats.org/drawingml/2006/spreadsheetDrawing" xmlns:a="http://schemas.openxmlformats.org/drawingml/2006/main">
  <xdr:twoCellAnchor editAs="oneCell">
    <xdr:from>
      <xdr:col>2</xdr:col>
      <xdr:colOff>158079</xdr:colOff>
      <xdr:row>135</xdr:row>
      <xdr:rowOff>89329</xdr:rowOff>
    </xdr:from>
    <xdr:to>
      <xdr:col>8</xdr:col>
      <xdr:colOff>357523</xdr:colOff>
      <xdr:row>146</xdr:row>
      <xdr:rowOff>135269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382722" y="26514400"/>
          <a:ext cx="5261301" cy="2590476"/>
        </a:xfrm>
        <a:prstGeom prst="rect">
          <a:avLst/>
        </a:prstGeom>
        <a:ln w="25400">
          <a:solidFill>
            <a:srgbClr val="FF0000"/>
          </a:solid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WORK\S2\VICTOR\&#1042;&#1042;&#1055;\PI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i0fs01.nbu.bank.gov.ua\work\&#1052;&#1086;&#1103;%20&#1087;&#1072;&#1087;&#1082;&#1072;\&#1052;&#1040;&#1050;&#1056;&#1054;&#1055;&#1056;&#1054;&#1043;&#1053;&#1054;&#1047;\4%20&#1082;&#1074;&#1072;&#1088;&#1090;&#1072;&#1083;%202005\&#1052;&#1086;&#1103;%20&#1087;&#1072;&#1087;&#1082;&#1072;\&#1055;&#1056;&#1054;&#1043;&#1053;&#1054;&#1047;\&#1042;&#1042;&#1055;\My%20Documents\MY%20DOCUMENTS\Foreign%20affairs\Database\Matrix.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portal.bank.gov.ua/&#1057;&#1074;&#1077;&#1090;&#1072;/&#1041;&#1102;&#1083;&#1077;&#1090;&#1077;&#1085;&#1100;/926_1SR-2SR_&#1073;&#1102;&#1083;&#1077;&#1090;&#1077;&#1085;&#1100;(&#1086;&#1087;&#1077;&#1088;&#1072;&#1094;&#1110;&#111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J:\WIN\TEMP\MFLOW9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ebswn01s\ICS$\576\576FSI_2008Q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c66291\AppData\Local\Microsoft\Windows\Temporary%20Internet%20Files\Content.Outlook\N5VFYPAI\Forecast_Tables%202013-IV%202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sportal.bank.gov.ua/sites/Monetary/Shared%20Documents/IR_Q2%202020/CPI_2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Data\_CPI\&#1052;&#1086;&#1103;%20&#1087;&#1072;&#1087;&#1082;&#1072;\CPI\_temp\_Data\CP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sportal.bank.gov.ua/Nbu-100/vol1/MANI/&#1052;&#1086;&#1080;%20&#1092;&#1072;&#1081;&#1083;&#1099;/&#1064;&#1072;&#1073;&#1083;&#1086;&#1085;&#1099;%20&#1048;&#1083;&#1100;&#1085;&#1080;&#1094;&#1082;&#1086;&#1081;/&#1052;&#1086;&#1080;%20&#1076;&#1086;&#1082;&#1091;&#1084;&#1077;&#1085;&#1090;&#1099;/&#1041;&#1102;&#1083;&#1077;&#1090;&#1077;&#1085;&#1100;/&#1056;&#1086;&#1079;&#1088;&#1072;&#1093;&#1091;&#1085;&#1086;&#1082;%20&#1087;&#1086;&#1082;&#1072;&#1079;&#1085;&#1080;&#1082;&#1110;&#1074;%20&#1084;&#1086;&#1085;.%20&#1089;&#1090;-&#1082;&#1080;/&#1056;&#1086;&#1079;&#1088;&#1072;&#1093;&#1091;&#1085;&#1086;&#1082;%20&#1084;&#1091;&#1083;&#1100;&#1090;&#1080;&#1087;&#1083;&#1110;&#1082;&#1072;&#1090;&#1086;&#1088;&#107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intranet.imf.org/departments/STA/collaboration/STASIDP/Documents/CDIS%20Report%20Form%20ITT%20(Pilo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www-intranet.imf.org/Documents%20and%20Settings/tgaleza/Local%20Settings/Temporary%20Internet%20Files/OLK10B/Copy%20of%201931PI_200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X:\EX_SEC_STATISTICS\K327\YAKIMENKO\&#1044;&#1048;&#1057;&#1058;&#1040;&#1053;&#1057;\&#1052;&#1042;&#1060;\2021\III_2021\&#1054;&#1090;&#1087;&#1088;&#1072;&#1074;&#1082;&#1072;\926BOPBPM6.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sportal.bank.gov.ua/GROST/BULET/&#1058;&#1072;&#1073;%20&#1076;&#1083;&#1103;%20&#1086;&#1090;&#1087;&#1088;&#1072;&#1074;&#1082;&#1080;%20&#1074;%20&#1088;&#1077;&#1076;&#1072;&#1094;&#1080;&#1102;/2008/05/000011.XLS" TargetMode="External"/></Relationships>
</file>

<file path=xl/externalLinks/_rels/externalLink14.xml.rels><?xml version="1.0" encoding="UTF-8" standalone="yes"?>
<Relationships xmlns="http://schemas.openxmlformats.org/package/2006/relationships"><Relationship Id="rId2" Type="http://schemas.microsoft.com/office/2019/04/relationships/externalLinkLongPath" Target="file:///Y:\Users\c66291\AppData\Local\Microsoft\Windows\Temporary%20Internet%20Files\Content.Outlook\N5VFYPAI\&#1052;&#1086;&#1103;%20&#1087;&#1072;&#1087;&#1082;&#1072;\FORECAST\QUARTAL\2013\03.2013\&#1052;&#1086;&#1103;%20&#1087;&#1072;&#1087;&#1082;&#1072;\FORECAST\QUARTAL\2012\4.2012\&#1052;&#1086;&#1103;%20&#1087;&#1072;&#1087;&#1082;&#1072;\FORECAST\QUARTAL\2010\2.2010\&#1052;&#1086;&#1103;%20&#1087;&#1072;&#1087;&#1082;&#1072;\MAIN_M.xls?EB73BFEF" TargetMode="External"/><Relationship Id="rId1" Type="http://schemas.openxmlformats.org/officeDocument/2006/relationships/externalLinkPath" Target="file:///\\EB73BFEF\MAIN_M.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Nbu-250\vol5\Old\Inna\&#1055;&#1054;&#1055;&#1045;&#1056;_&#1044;&#1040;&#1053;\2010\03\&#1041;&#1077;&#1088;&#1077;&#1079;&#1077;&#1085;&#1100;\Old\&#1052;&#1086;&#1080;%20&#1076;&#1086;&#1082;&#1091;&#1084;&#1077;&#1085;&#1090;&#1099;\My%20eBooks\03_Robochi%20faily\2008\Cur%20Acc\09\Documents%20and%20Settings\CSONG\Local%20Settings\Temporary%20Internet%20Files\OLK3\BOPuk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ata2\eu1\MAIL_DOU\COMMON\&#1042;&#1072;&#1083;&#1102;&#1090;&#1085;&#1099;&#1081;\&#1084;&#1072;&#1081;%202009%20-%20&#1095;&#1080;&#1089;&#1090;&#1082;&#1072;%20&#1086;&#1073;&#1097;&#1077;&#1081;%20&#1090;&#1072;&#1073;&#1083;&#1080;&#1094;&#1099;.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www-intranet.imf.org/departments/STA/collaboration/STASIDP/Documents/ITT%20for%20CDI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Users\S.Nikolaienko\Downloads\&#1050;&#1091;&#1088;&#1080;&#1083;&#1082;&#1072;\&#1042;&#1080;&#1088;&#1086;&#1073;&#1085;&#1080;&#1094;&#1090;&#1074;&#1086;%20(&#1061;&#1110;&#1084;&#1110;&#1111;)%20&#1087;&#1088;&#1086;&#1084;&#1080;&#1089;&#1083;&#1086;&#1074;&#1086;&#1111;%20&#1087;&#1088;&#1086;&#1076;&#1091;&#1082;&#1094;&#1110;&#111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sportal.bank.gov.ua/Nbu-100/vol1/&#1052;&#1086;&#1080;%20&#1076;&#1086;&#1082;&#1091;&#1084;&#1077;&#1085;&#1090;&#1099;/&#1040;&#1088;&#1093;&#1080;&#1074;/&#1047;&#1041;&#1047;%20&#1050;&#1041;&#1059;%20&#1079;&#1072;%2098%20&#108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www-int.imf.org/depts/pdr/Policies/Access/ExternalSustainTable_standard.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W:\Old\Inna\&#1055;&#1054;&#1055;&#1045;&#1056;_&#1044;&#1040;&#1053;\2010\03\&#1041;&#1077;&#1088;&#1077;&#1079;&#1077;&#1085;&#1100;\Old\&#1052;&#1086;&#1080;%20&#1076;&#1086;&#1082;&#1091;&#1084;&#1077;&#1085;&#1090;&#1099;\My%20eBooks\03_Robochi%20faily\2008\Cur%20Acc\09\WINDOWS\TEMP\ukr2001%2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W:\Old\Inna\&#1055;&#1054;&#1055;&#1045;&#1056;_&#1044;&#1040;&#1053;\2010\03\&#1041;&#1077;&#1088;&#1077;&#1079;&#1077;&#1085;&#1100;\Old\&#1052;&#1086;&#1080;%20&#1076;&#1086;&#1082;&#1091;&#1084;&#1077;&#1085;&#1090;&#1099;\My%20eBooks\03_Robochi%20faily\2008\Cur%20Acc\09\WINDOWS.98\TEMP\&#1043;&#1072;&#1083;&#1100;%20-%20&#1090;&#1072;&#1073;&#1083;.%20(17%20&#1096;&#1090;.).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1050;&#1042;&#1045;&#1044;-&#1096;&#1072;&#1073;&#1083;&#1086;&#1085;1"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www-intranet.imf.org/departments/STA/about_sta/divisions/stasi/STASIIMS/STASIDP/Documents/FA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Irina\share\My%20Documents\Ukraine\Reporting\ukrbopcmdec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bank.gov.ua/&#1052;&#1086;&#1080;%20&#1076;&#1086;&#1082;&#1091;&#1084;&#1077;&#1085;&#1090;&#1099;/&#1040;&#1088;&#1093;&#1110;&#1074;/&#1076;17-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sportal.bank.gov.ua/disk%20d/old%20d1/My%20Documents/IR/2018/IV/&#1090;&#1072;&#1073;&#1083;_&#1076;&#1086;%20&#1079;&#1072;&#1087;&#1080;&#1089;_11.12_&#1087;&#1086;&#1089;&#1083;&#1077;&#1076;.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sportal.bank.gov.ua/Nbu-100/vol1/&#1052;&#1086;&#1080;%20&#1076;&#1086;&#1082;&#1091;&#1084;&#1077;&#1085;&#1090;&#1099;/&#1040;&#1088;&#1093;&#1080;&#1074;/&#1047;&#1041;&#1041;&#1057;&#1059;%20&#1085;&#1072;%2001.11.99%20&#1088;%20&#1079;&#1072;%20&#1089;&#1077;&#1082;&#1090;&#1086;&#1088;&#1072;&#1084;&#1080;%20&#1077;&#1082;&#1086;&#1085;&#1086;&#1084;&#1110;&#1082;&#108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sportal.bank.gov.ua/E:/&#1090;16.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bank.gov.ua/&#1052;&#1086;&#1080;%20&#1076;&#1086;&#1082;&#1091;&#1084;&#1077;&#1085;&#1090;&#1099;/&#1040;&#1088;&#1093;&#1110;&#1074;/&#1090;17-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bank.gov.ua/&#1052;&#1086;&#1080;%20&#1076;&#1086;&#1082;&#1091;&#1084;&#1077;&#1085;&#1090;&#1099;/&#1041;&#1102;&#1083;&#1077;&#1090;&#1077;&#1085;&#1100;/&#1052;&#1072;&#1082;&#1077;&#1090;&#1099;%20&#1090;&#1072;&#1073;&#1083;&#1080;&#1094;%20&#1074;%20&#1073;&#1102;&#1083;&#1077;&#1090;&#1077;&#1085;&#1100;/&#1052;&#1072;&#1082;&#1077;&#1090;&#1080;%20&#1090;&#1072;&#1073;&#1083;&#1080;&#1094;&#1100;%20&#1074;%20&#1073;&#1102;&#1083;&#1077;&#1090;&#1077;&#1085;&#1100;/&#1085;&#1072;%202001%20&#1088;&#1110;&#108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bank.gov.ua/&#1052;&#1086;&#1080;%20&#1076;&#1086;&#1082;&#1091;&#1084;&#1077;&#1085;&#1090;&#1099;/&#1040;&#1088;&#1093;&#1110;&#1074;/&#1090;17&#1084;&#1073;2000.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1060;&#1072;&#1081;&#1083;&#1080;%20&#1087;&#1086;%20&#1088;&#1086;&#1073;&#1086;&#1090;&#1110;%2016.03.2020/Monthly%202022%20(War)/Monthly%20&#1046;&#1086;&#1074;&#1090;&#1077;&#1085;&#1100;%202023/&#1056;&#1077;&#1075;&#1088;&#1077;&#1089;&#1110;&#1111;_&#1087;&#1086;_&#1087;&#1088;&#1086;&#1075;&#1085;&#1086;&#1079;&#1091;_&#1110;&#1085;&#1092;&#1083;&#1103;&#1094;&#1110;&#1111;_&#1110;_&#1047;&#1055;_05&#1030;10&#1030;202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1047;&#1072;&#1075;&#1088;&#1091;&#1079;&#1082;&#1080;%20Google%20Chrome%2011I02I2021/Tables_Charts_2023-Q2.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Users\Volodymyr\Desktop\monthly%20oct%204\&#1055;&#1041;%20&#1095;&#1072;&#1088;&#1090;&#1080;%206-19,%20&#1090;&#1072;&#1073;&#1083;&#1080;&#1094;&#1103;%20&#1055;&#1083;&#1072;&#1090;&#1077;&#1078;&#1085;&#1099;&#1081;-&#1073;&#1072;&#1083;&#1072;&#1085;&#1089;-October-V7.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1060;&#1072;&#1081;&#1083;&#1080;%20&#1087;&#1086;%20&#1088;&#1086;&#1073;&#1086;&#1090;&#1110;%2016.03.2020/Weekly%202022/Weekly%2005I09I2022/&#1057;&#1074;&#1110;&#1090;&#1086;&#1074;&#1110;_&#1089;&#1080;&#1088;&#1086;&#1074;&#1080;&#1085;&#1085;&#1110;_&#1082;&#1086;&#1085;&#1077;&#1095;_&#1090;&#1072;&#1073;&#1083;_&#1087;&#1088;&#1080;&#1087;&#1091;&#1097;&#1077;&#1085;&#1100;_05&#1030;09&#1030;2022.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1060;&#1072;&#1081;&#1083;&#1080;%20&#1087;&#1086;%20&#1088;&#1086;&#1073;&#1086;&#1090;&#1110;%2016.03.2020/Weekly%202022/Weekly%2017I10I2022/&#1057;&#1074;&#1110;&#1090;&#1086;&#1074;&#1110;_&#1089;&#1080;&#1088;&#1086;&#1074;&#1080;&#1085;&#1085;&#1110;_&#1082;&#1086;&#1085;&#1077;&#1095;_&#1090;&#1072;&#1073;&#1083;_&#1087;&#1088;&#1080;&#1087;&#1091;&#1097;&#1077;&#1085;&#1100;_17&#1030;10&#1030;2022.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1060;&#1072;&#1081;&#1083;&#1080;%20&#1087;&#1086;%20&#1088;&#1086;&#1073;&#1086;&#1090;&#1110;%2016.03.2020/Monthly%202022%20(War)/Monthly%20&#1043;&#1088;&#1091;&#1076;&#1077;&#1085;&#1100;%202023/&#1056;&#1077;&#1075;&#1088;&#1077;&#1089;&#1110;&#1111;_&#1087;&#1086;_&#1087;&#1088;&#1086;&#1075;&#1085;&#1086;&#1079;&#1091;_&#1110;&#1085;&#1092;&#1083;&#1103;&#1094;&#1110;&#1111;_&#1110;_&#1047;&#1055;_05&#1030;12&#1030;2023.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1060;&#1072;&#1081;&#1083;&#1080;%20&#1087;&#1086;%20&#1088;&#1086;&#1073;&#1086;&#1090;&#1110;%2016.03.2020/Weekly%202022/Weekly%2005I06I2023/&#1043;&#1088;&#1086;&#1096;&#1086;&#1074;&#1072;%20&#1084;&#1072;&#1089;&#1072;%20&#1110;%20&#1052;&#1042;%20-%2010&#1030;06&#103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sheetName val="Real GDP &amp; Real IP (u)"/>
      <sheetName val="Real GDP &amp; Real IP (e)"/>
      <sheetName val="GDP_gr"/>
    </sheetNames>
    <sheetDataSet>
      <sheetData sheetId="0"/>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s"/>
      <sheetName val="C"/>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таб 3.1.5"/>
      <sheetName val="табл 3.1.6"/>
      <sheetName val="таб 3.1.7"/>
      <sheetName val="депозит_корп"/>
      <sheetName val="таб 3.1.8"/>
      <sheetName val="інші_ депозит_корп"/>
      <sheetName val="НБУ (2)"/>
      <sheetName val="НБУ"/>
      <sheetName val="2SR"/>
      <sheetName val="1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Execute Macros"/>
      <sheetName val="Annual Transfer"/>
      <sheetName val="Quarterly Transfer"/>
      <sheetName val="Annual Assumptions"/>
      <sheetName val="Quarterly Assumptions"/>
      <sheetName val="Annual MacroFlow"/>
      <sheetName val="Quarterly MacroFlow"/>
      <sheetName val="Annual Tables"/>
      <sheetName val="MFLOW96"/>
      <sheetName val="F1data"/>
      <sheetName val="F2data"/>
      <sheetName val="Execute_Macros"/>
      <sheetName val="Annual_Transfer"/>
      <sheetName val="Quarterly_Transfer"/>
      <sheetName val="Annual_Assumptions"/>
      <sheetName val="Quarterly_Assumptions"/>
      <sheetName val="Annual_MacroFlow"/>
      <sheetName val="Quarterly_MacroFlow"/>
      <sheetName val="Annual_Tables"/>
      <sheetName val="#REF"/>
      <sheetName val="MFLOW96.XLS"/>
    </sheetNames>
    <definedNames>
      <definedName name="[Macros Import].qbop"/>
    </defined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verPage"/>
      <sheetName val="CoverPage_TS"/>
      <sheetName val="PeriodicityInfo"/>
      <sheetName val="Table A"/>
      <sheetName val="Table A_TS"/>
      <sheetName val="Annex Tables A.1-A.3"/>
      <sheetName val="Annex Tables A.1-A.3_TS"/>
      <sheetName val="Annex Tables A.4-A.5"/>
      <sheetName val="Annex Tables A.4-A.5_TS"/>
      <sheetName val="Table B"/>
      <sheetName val="Table B(Suppl.)"/>
      <sheetName val="Guide References"/>
      <sheetName val="Master"/>
      <sheetName val="Deviations"/>
      <sheetName val="DevRanges"/>
      <sheetName val="InterAdjustments"/>
      <sheetName val="InterAdjustRanges"/>
      <sheetName val="SI1–Reg. Cap."/>
      <sheetName val="SI2–RWA"/>
      <sheetName val="SI3–NPL"/>
      <sheetName val="SI4–Res. Real Estate P"/>
      <sheetName val="SI5–Comm. Real Estate P"/>
      <sheetName val="Fin. Structure"/>
      <sheetName val="Table F1"/>
      <sheetName val="Table F2"/>
      <sheetName val="Table F3"/>
      <sheetName val="Table F4"/>
      <sheetName val="Table F5"/>
      <sheetName val="Table F6"/>
      <sheetName val="Table F7"/>
      <sheetName val="AdditionalInfo"/>
      <sheetName val="Validation Summary"/>
      <sheetName val="Report Form"/>
      <sheetName val="Contr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
          <cell r="C1" t="str">
            <v>Singapore</v>
          </cell>
        </row>
        <row r="5">
          <cell r="C5">
            <v>127</v>
          </cell>
        </row>
        <row r="8">
          <cell r="C8" t="str">
            <v>Q:4:2008</v>
          </cell>
        </row>
        <row r="17">
          <cell r="H17" t="str">
            <v>Lead Agency</v>
          </cell>
        </row>
        <row r="18">
          <cell r="H18" t="str">
            <v>Co-Lead Agency</v>
          </cell>
        </row>
        <row r="19">
          <cell r="H19" t="str">
            <v>Other Responsible Agency</v>
          </cell>
        </row>
        <row r="20">
          <cell r="J20" t="str">
            <v>Coordinator Name</v>
          </cell>
        </row>
        <row r="21">
          <cell r="J21" t="str">
            <v>Contact Person Name</v>
          </cell>
        </row>
        <row r="42">
          <cell r="V42" t="str">
            <v>Thousands</v>
          </cell>
        </row>
        <row r="43">
          <cell r="V43" t="str">
            <v>Millions</v>
          </cell>
        </row>
        <row r="44">
          <cell r="V44" t="str">
            <v>Billions</v>
          </cell>
        </row>
        <row r="45">
          <cell r="V45" t="str">
            <v>Trillions</v>
          </cell>
        </row>
        <row r="330">
          <cell r="BA330" t="str">
            <v xml:space="preserve"> </v>
          </cell>
        </row>
        <row r="331">
          <cell r="BA331" t="str">
            <v>AFGHANIS</v>
          </cell>
        </row>
        <row r="332">
          <cell r="BA332" t="str">
            <v>ALGERIAN DINARS</v>
          </cell>
        </row>
        <row r="333">
          <cell r="BA333" t="str">
            <v>ARGENTINE PESOS</v>
          </cell>
        </row>
        <row r="334">
          <cell r="BA334" t="str">
            <v>ARUBAN FLORINS</v>
          </cell>
        </row>
        <row r="335">
          <cell r="BA335" t="str">
            <v>AUSTRALIAN DOLLARS</v>
          </cell>
        </row>
        <row r="336">
          <cell r="BA336" t="str">
            <v>BAHAMIAN DOLLARS</v>
          </cell>
        </row>
        <row r="337">
          <cell r="BA337" t="str">
            <v>BAHRAIN DINARS</v>
          </cell>
        </row>
        <row r="338">
          <cell r="BA338" t="str">
            <v>BAHT</v>
          </cell>
        </row>
        <row r="339">
          <cell r="BA339" t="str">
            <v>BALBOAS</v>
          </cell>
        </row>
        <row r="340">
          <cell r="BA340" t="str">
            <v>BARBADOS DOLLARS</v>
          </cell>
        </row>
        <row r="341">
          <cell r="BA341" t="str">
            <v>BELARUSIAN RUBELS</v>
          </cell>
        </row>
        <row r="342">
          <cell r="BA342" t="str">
            <v>BELIZE DOLLARS</v>
          </cell>
        </row>
        <row r="343">
          <cell r="BA343" t="str">
            <v>BERMUDA DOLLARS</v>
          </cell>
        </row>
        <row r="344">
          <cell r="BA344" t="str">
            <v>BIRR</v>
          </cell>
        </row>
        <row r="345">
          <cell r="BA345" t="str">
            <v>BOLIVARES</v>
          </cell>
        </row>
        <row r="346">
          <cell r="BA346" t="str">
            <v>BOLIVIANOS</v>
          </cell>
        </row>
        <row r="347">
          <cell r="BA347" t="str">
            <v>BRUNEI DOLLARS</v>
          </cell>
        </row>
        <row r="348">
          <cell r="BA348" t="str">
            <v>BURUNDI FRANCS</v>
          </cell>
        </row>
        <row r="349">
          <cell r="BA349" t="str">
            <v>CANADIAN DOLLARS</v>
          </cell>
        </row>
        <row r="350">
          <cell r="BA350" t="str">
            <v>CAYMAN IS. DOLLARS</v>
          </cell>
        </row>
        <row r="351">
          <cell r="BA351" t="str">
            <v>CEDIS</v>
          </cell>
        </row>
        <row r="352">
          <cell r="BA352" t="str">
            <v>CFA FRANCS</v>
          </cell>
        </row>
        <row r="353">
          <cell r="BA353" t="str">
            <v>CFP FRANCS</v>
          </cell>
        </row>
        <row r="354">
          <cell r="BA354" t="str">
            <v>CHILEAN PESOS</v>
          </cell>
        </row>
        <row r="355">
          <cell r="BA355" t="str">
            <v>COLOMBIAN PESOS</v>
          </cell>
        </row>
        <row r="356">
          <cell r="BA356" t="str">
            <v>COLONES</v>
          </cell>
        </row>
        <row r="357">
          <cell r="BA357" t="str">
            <v>COMORIAN FRANCS</v>
          </cell>
        </row>
        <row r="358">
          <cell r="BA358" t="str">
            <v>CONGO FRANCS</v>
          </cell>
        </row>
        <row r="359">
          <cell r="BA359" t="str">
            <v>CONVERTIBLE MARKA</v>
          </cell>
        </row>
        <row r="360">
          <cell r="BA360" t="str">
            <v>CORDOBAS</v>
          </cell>
        </row>
        <row r="361">
          <cell r="BA361" t="str">
            <v>CUBAN PESOS</v>
          </cell>
        </row>
        <row r="362">
          <cell r="BA362" t="str">
            <v>CYPRUS POUNDS</v>
          </cell>
        </row>
        <row r="363">
          <cell r="BA363" t="str">
            <v>DALASIS</v>
          </cell>
        </row>
        <row r="364">
          <cell r="BA364" t="str">
            <v>DANISH KRONER</v>
          </cell>
        </row>
        <row r="365">
          <cell r="BA365" t="str">
            <v>DENARS</v>
          </cell>
        </row>
        <row r="366">
          <cell r="BA366" t="str">
            <v>DINARS</v>
          </cell>
        </row>
        <row r="367">
          <cell r="BA367" t="str">
            <v>DIRHAMS</v>
          </cell>
        </row>
        <row r="368">
          <cell r="BA368" t="str">
            <v>DJIBOUTI FRANCS</v>
          </cell>
        </row>
        <row r="369">
          <cell r="BA369" t="str">
            <v>DOBRAS</v>
          </cell>
        </row>
        <row r="370">
          <cell r="BA370" t="str">
            <v>DOMINICAN PESOS</v>
          </cell>
        </row>
        <row r="371">
          <cell r="BA371" t="str">
            <v>DONG</v>
          </cell>
        </row>
        <row r="372">
          <cell r="BA372" t="str">
            <v>DRAMS</v>
          </cell>
        </row>
        <row r="373">
          <cell r="BA373" t="str">
            <v>E.CARIBBEAN DOLLARS</v>
          </cell>
        </row>
        <row r="374">
          <cell r="BA374" t="str">
            <v>EGYPTIAN POUNDS</v>
          </cell>
        </row>
        <row r="375">
          <cell r="BA375" t="str">
            <v>EMALANGENI</v>
          </cell>
        </row>
        <row r="376">
          <cell r="BA376" t="str">
            <v>ESCUDOS</v>
          </cell>
        </row>
        <row r="377">
          <cell r="BA377" t="str">
            <v>EUROS</v>
          </cell>
        </row>
        <row r="378">
          <cell r="BA378" t="str">
            <v>FALKLAND IS. POUNDS</v>
          </cell>
        </row>
        <row r="379">
          <cell r="BA379" t="str">
            <v>FIJI DOLLARS</v>
          </cell>
        </row>
        <row r="380">
          <cell r="BA380" t="str">
            <v>FORINT</v>
          </cell>
        </row>
        <row r="381">
          <cell r="BA381" t="str">
            <v>FR. FRANCS/SP. PESETAS</v>
          </cell>
        </row>
        <row r="382">
          <cell r="BA382" t="str">
            <v>FRENCH FRANCS</v>
          </cell>
        </row>
        <row r="383">
          <cell r="BA383" t="str">
            <v>GIBRALTAR POUNDS</v>
          </cell>
        </row>
        <row r="384">
          <cell r="BA384" t="str">
            <v>GOURDES</v>
          </cell>
        </row>
        <row r="385">
          <cell r="BA385" t="str">
            <v>GUARANIES</v>
          </cell>
        </row>
        <row r="386">
          <cell r="BA386" t="str">
            <v>GUILDERS</v>
          </cell>
        </row>
        <row r="387">
          <cell r="BA387" t="str">
            <v>GUINEAN FRANCS</v>
          </cell>
        </row>
        <row r="388">
          <cell r="BA388" t="str">
            <v>GUYANA DOLLARS</v>
          </cell>
        </row>
        <row r="389">
          <cell r="BA389" t="str">
            <v>HONG KONG DOLLARS</v>
          </cell>
        </row>
        <row r="390">
          <cell r="BA390" t="str">
            <v>HRYVNIAS</v>
          </cell>
        </row>
        <row r="391">
          <cell r="BA391" t="str">
            <v>INDIAN RUPEES</v>
          </cell>
        </row>
        <row r="392">
          <cell r="BA392" t="str">
            <v>JAMAICA DOLLARS</v>
          </cell>
        </row>
        <row r="393">
          <cell r="BA393" t="str">
            <v>JORDANIAN DINARS</v>
          </cell>
        </row>
        <row r="394">
          <cell r="BA394" t="str">
            <v>KENYA SHILLINGS</v>
          </cell>
        </row>
        <row r="395">
          <cell r="BA395" t="str">
            <v>KINA</v>
          </cell>
        </row>
        <row r="396">
          <cell r="BA396" t="str">
            <v>KIP</v>
          </cell>
        </row>
        <row r="397">
          <cell r="BA397" t="str">
            <v>KORUNY</v>
          </cell>
        </row>
        <row r="398">
          <cell r="BA398" t="str">
            <v>KRONER</v>
          </cell>
        </row>
        <row r="399">
          <cell r="BA399" t="str">
            <v>KRONUR</v>
          </cell>
        </row>
        <row r="400">
          <cell r="BA400" t="str">
            <v>KROONI</v>
          </cell>
        </row>
        <row r="401">
          <cell r="BA401" t="str">
            <v>KUNAS</v>
          </cell>
        </row>
        <row r="402">
          <cell r="BA402" t="str">
            <v>KUWAITI DINARS</v>
          </cell>
        </row>
        <row r="403">
          <cell r="BA403" t="str">
            <v>KWACHA</v>
          </cell>
        </row>
        <row r="404">
          <cell r="BA404" t="str">
            <v>KWANZAS</v>
          </cell>
        </row>
        <row r="405">
          <cell r="BA405" t="str">
            <v>KYATS</v>
          </cell>
        </row>
        <row r="406">
          <cell r="BA406" t="str">
            <v>LARI</v>
          </cell>
        </row>
        <row r="407">
          <cell r="BA407" t="str">
            <v>LATS</v>
          </cell>
        </row>
        <row r="408">
          <cell r="BA408" t="str">
            <v>LEBANESE POUNDS</v>
          </cell>
        </row>
        <row r="409">
          <cell r="BA409" t="str">
            <v>LEI</v>
          </cell>
        </row>
        <row r="410">
          <cell r="BA410" t="str">
            <v>LEKS</v>
          </cell>
        </row>
        <row r="411">
          <cell r="BA411" t="str">
            <v>LEMPIRAS</v>
          </cell>
        </row>
        <row r="412">
          <cell r="BA412" t="str">
            <v>LEONES</v>
          </cell>
        </row>
        <row r="413">
          <cell r="BA413" t="str">
            <v>LEVA</v>
          </cell>
        </row>
        <row r="414">
          <cell r="BA414" t="str">
            <v>LIBERIAN DOLLARS</v>
          </cell>
        </row>
        <row r="415">
          <cell r="BA415" t="str">
            <v>LIBYAN DINARS</v>
          </cell>
        </row>
        <row r="416">
          <cell r="BA416" t="str">
            <v>LITAI</v>
          </cell>
        </row>
        <row r="417">
          <cell r="BA417" t="str">
            <v>MALAGASY ARIARY</v>
          </cell>
        </row>
        <row r="418">
          <cell r="BA418" t="str">
            <v>MALOTI</v>
          </cell>
        </row>
        <row r="419">
          <cell r="BA419" t="str">
            <v>MALTESE LIRI</v>
          </cell>
        </row>
        <row r="420">
          <cell r="BA420" t="str">
            <v>MANAT</v>
          </cell>
        </row>
        <row r="421">
          <cell r="BA421" t="str">
            <v>MAURITIAN RUPEES</v>
          </cell>
        </row>
        <row r="422">
          <cell r="BA422" t="str">
            <v>METICAIS</v>
          </cell>
        </row>
        <row r="423">
          <cell r="BA423" t="str">
            <v>MEXICAN PESOS</v>
          </cell>
        </row>
        <row r="424">
          <cell r="BA424" t="str">
            <v>NAIRA</v>
          </cell>
        </row>
        <row r="425">
          <cell r="BA425" t="str">
            <v>NAKFA</v>
          </cell>
        </row>
        <row r="426">
          <cell r="BA426" t="str">
            <v>NAMIBIA DOLLARS</v>
          </cell>
        </row>
        <row r="427">
          <cell r="BA427" t="str">
            <v>NEPALESE RUPEES</v>
          </cell>
        </row>
        <row r="428">
          <cell r="BA428" t="str">
            <v>NEW LIRAS</v>
          </cell>
        </row>
        <row r="429">
          <cell r="BA429" t="str">
            <v>NEW SHEQALIM</v>
          </cell>
        </row>
        <row r="430">
          <cell r="BA430" t="str">
            <v>NEW TAIWAN DOLLARS</v>
          </cell>
        </row>
        <row r="431">
          <cell r="BA431" t="str">
            <v>NEW ZEALAND DOLLARS</v>
          </cell>
        </row>
        <row r="432">
          <cell r="BA432" t="str">
            <v>NGULTRUM</v>
          </cell>
        </row>
        <row r="433">
          <cell r="BA433" t="str">
            <v>NORWEGIAN KRONER</v>
          </cell>
        </row>
        <row r="434">
          <cell r="BA434" t="str">
            <v>NUEVOS SOLES</v>
          </cell>
        </row>
        <row r="435">
          <cell r="BA435" t="str">
            <v>OUGUIYAS</v>
          </cell>
        </row>
        <row r="436">
          <cell r="BA436" t="str">
            <v>PA'ANGA</v>
          </cell>
        </row>
        <row r="437">
          <cell r="BA437" t="str">
            <v>PAKISTAN RUPEES</v>
          </cell>
        </row>
        <row r="438">
          <cell r="BA438" t="str">
            <v>PATACAS</v>
          </cell>
        </row>
        <row r="439">
          <cell r="BA439" t="str">
            <v>PHILIPPINE PESOS</v>
          </cell>
        </row>
        <row r="440">
          <cell r="BA440" t="str">
            <v>POUNDS STERLING</v>
          </cell>
        </row>
        <row r="441">
          <cell r="BA441" t="str">
            <v>PULA</v>
          </cell>
        </row>
        <row r="442">
          <cell r="BA442" t="str">
            <v>QATAR RIYALS</v>
          </cell>
        </row>
        <row r="443">
          <cell r="BA443" t="str">
            <v>QUETZALES</v>
          </cell>
        </row>
        <row r="444">
          <cell r="BA444" t="str">
            <v>RAND</v>
          </cell>
        </row>
        <row r="445">
          <cell r="BA445" t="str">
            <v>REAIS</v>
          </cell>
        </row>
        <row r="446">
          <cell r="BA446" t="str">
            <v>RIALS</v>
          </cell>
        </row>
        <row r="447">
          <cell r="BA447" t="str">
            <v>RIALS OMANI</v>
          </cell>
        </row>
        <row r="448">
          <cell r="BA448" t="str">
            <v>RIEL</v>
          </cell>
        </row>
        <row r="449">
          <cell r="BA449" t="str">
            <v>RINGGIT</v>
          </cell>
        </row>
        <row r="450">
          <cell r="BA450" t="str">
            <v>RUFIYAA</v>
          </cell>
        </row>
        <row r="451">
          <cell r="BA451" t="str">
            <v>RUPIAH</v>
          </cell>
        </row>
        <row r="452">
          <cell r="BA452" t="str">
            <v>RUSSIAN RUBLES</v>
          </cell>
        </row>
        <row r="453">
          <cell r="BA453" t="str">
            <v>RWANDA FRANCS</v>
          </cell>
        </row>
        <row r="454">
          <cell r="BA454" t="str">
            <v>SAUDI ARABIAN RIYALS</v>
          </cell>
        </row>
        <row r="455">
          <cell r="BA455" t="str">
            <v>SERBIAN DINARS</v>
          </cell>
        </row>
        <row r="456">
          <cell r="BA456" t="str">
            <v>SEYCHELLES RUPEES</v>
          </cell>
        </row>
        <row r="457">
          <cell r="BA457" t="str">
            <v>SINGAPORE DOLLARS</v>
          </cell>
        </row>
        <row r="458">
          <cell r="BA458" t="str">
            <v>SOLOMON ISL DOLLARS</v>
          </cell>
        </row>
        <row r="459">
          <cell r="BA459" t="str">
            <v>SOMALI SHILLINGS</v>
          </cell>
        </row>
        <row r="460">
          <cell r="BA460" t="str">
            <v>SOMS</v>
          </cell>
        </row>
        <row r="461">
          <cell r="BA461" t="str">
            <v>SRI LANKA RUPEES</v>
          </cell>
        </row>
        <row r="462">
          <cell r="BA462" t="str">
            <v>SUDANESE DINARS</v>
          </cell>
        </row>
        <row r="463">
          <cell r="BA463" t="str">
            <v>SUM</v>
          </cell>
        </row>
        <row r="464">
          <cell r="BA464" t="str">
            <v>SURINAME DOLLAR</v>
          </cell>
        </row>
        <row r="465">
          <cell r="BA465" t="str">
            <v>SWEDISH KRONOR</v>
          </cell>
        </row>
        <row r="466">
          <cell r="BA466" t="str">
            <v>SWISS FRANCS</v>
          </cell>
        </row>
        <row r="467">
          <cell r="BA467" t="str">
            <v>SYRIAN POUNDS</v>
          </cell>
        </row>
        <row r="468">
          <cell r="BA468" t="str">
            <v>TAJIK SOMONI</v>
          </cell>
        </row>
        <row r="469">
          <cell r="BA469" t="str">
            <v>TAKA</v>
          </cell>
        </row>
        <row r="470">
          <cell r="BA470" t="str">
            <v>TALA</v>
          </cell>
        </row>
        <row r="471">
          <cell r="BA471" t="str">
            <v>TANZANIA SHILLINGS</v>
          </cell>
        </row>
        <row r="472">
          <cell r="BA472" t="str">
            <v>TENGE</v>
          </cell>
        </row>
        <row r="473">
          <cell r="BA473" t="str">
            <v>TOGROGS</v>
          </cell>
        </row>
        <row r="474">
          <cell r="BA474" t="str">
            <v>TOLARS</v>
          </cell>
        </row>
        <row r="475">
          <cell r="BA475" t="str">
            <v>TT DOLLARS</v>
          </cell>
        </row>
        <row r="476">
          <cell r="BA476" t="str">
            <v>TUNISIAN DINARS</v>
          </cell>
        </row>
        <row r="477">
          <cell r="BA477" t="str">
            <v>U.S. DOLLARS</v>
          </cell>
        </row>
        <row r="478">
          <cell r="BA478" t="str">
            <v>UGANDA SHILLINGS</v>
          </cell>
        </row>
        <row r="479">
          <cell r="BA479" t="str">
            <v>URUGUAYAN PESOS</v>
          </cell>
        </row>
        <row r="480">
          <cell r="BA480" t="str">
            <v>VATU</v>
          </cell>
        </row>
        <row r="481">
          <cell r="BA481" t="str">
            <v>WON</v>
          </cell>
        </row>
        <row r="482">
          <cell r="BA482" t="str">
            <v>YEMENI RIAL</v>
          </cell>
        </row>
        <row r="483">
          <cell r="BA483" t="str">
            <v>YEN</v>
          </cell>
        </row>
        <row r="484">
          <cell r="BA484" t="str">
            <v>YUAN</v>
          </cell>
        </row>
        <row r="485">
          <cell r="BA485" t="str">
            <v>ZAMBIAN KWACHA</v>
          </cell>
        </row>
        <row r="486">
          <cell r="BA486" t="str">
            <v>ZIMBABWE DOLLARS</v>
          </cell>
        </row>
        <row r="487">
          <cell r="BA487" t="str">
            <v>ZLOTYS</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ТАБЛ"/>
      <sheetName val="ТАБЛ (ном)"/>
      <sheetName val="ТАБЛ квед"/>
      <sheetName val="1"/>
      <sheetName val="табл в макропрогноз"/>
      <sheetName val="внески"/>
      <sheetName val="1 (факт)"/>
      <sheetName val="про-ть"/>
      <sheetName val="2"/>
      <sheetName val="ЗВЕД"/>
      <sheetName val="табл для прогноз"/>
      <sheetName val="індекс-дефлятор (Стельмах)"/>
      <sheetName val="cpi-wpi"/>
      <sheetName val="Main (2)"/>
      <sheetName val="TableVA (2)"/>
      <sheetName val="C"/>
      <sheetName val="Data"/>
      <sheetName val="Macro"/>
      <sheetName val="Budget"/>
      <sheetName val="M2N"/>
      <sheetName val="Forecast"/>
      <sheetName val="Program"/>
      <sheetName val="M2"/>
      <sheetName val="IMF"/>
      <sheetName val="Investori"/>
      <sheetName val="IMF05"/>
      <sheetName val="Poezdki Tigipka"/>
      <sheetName val="CPI"/>
      <sheetName val="GDP"/>
      <sheetName val="EXER"/>
      <sheetName val="INCOME"/>
      <sheetName val="WAGES"/>
      <sheetName val="FINRES"/>
      <sheetName val="TRADE"/>
      <sheetName val="RER"/>
      <sheetName val="BUDG"/>
      <sheetName val="MONN"/>
      <sheetName val="MONR"/>
      <sheetName val="CRED"/>
      <sheetName val="Links"/>
      <sheetName val="Velos"/>
      <sheetName val="INF"/>
      <sheetName val="INFyav"/>
      <sheetName val="Forec"/>
      <sheetName val="INFy96"/>
      <sheetName val="Scaling"/>
      <sheetName val="InfRpi99"/>
      <sheetName val="InfRpi00"/>
      <sheetName val="CPIRPI"/>
      <sheetName val="INF92"/>
      <sheetName val="INF96"/>
      <sheetName val="Pro"/>
      <sheetName val="1292"/>
      <sheetName val="1292 (2)"/>
      <sheetName val="1293"/>
      <sheetName val="1293 (2)"/>
      <sheetName val="Test"/>
      <sheetName val=""/>
      <sheetName val="Лист1"/>
      <sheetName val="Work"/>
      <sheetName val="ANALYS"/>
      <sheetName val="DISTR"/>
      <sheetName val="QUAR"/>
      <sheetName val="YEAR"/>
      <sheetName val="F2005"/>
      <sheetName val="MEMP_v"/>
      <sheetName val="vav1"/>
      <sheetName val="MBM3"/>
      <sheetName val="v_m"/>
      <sheetName val="multM3_95"/>
      <sheetName val="passBS"/>
      <sheetName val="passBS98"/>
      <sheetName val="Magr"/>
      <sheetName val="M0Dep"/>
      <sheetName val="M0Dep%"/>
      <sheetName val="rMonAgr"/>
      <sheetName val="nercpi"/>
      <sheetName val="rer95"/>
      <sheetName val="v_q"/>
      <sheetName val="m_q96"/>
      <sheetName val="v_y"/>
      <sheetName val="m_y"/>
      <sheetName val="m_y_iM3"/>
      <sheetName val="minf"/>
      <sheetName val="inf_iM3 "/>
      <sheetName val="dol_y"/>
      <sheetName val="Dep"/>
      <sheetName val="depho"/>
      <sheetName val="rdep99"/>
      <sheetName val="rdep00"/>
      <sheetName val="Distr1%"/>
      <sheetName val="Distr2%"/>
      <sheetName val="DEPnFD"/>
      <sheetName val="DDnTDn"/>
      <sheetName val="DDfTDf+"/>
      <sheetName val="BuSav"/>
      <sheetName val="BuHo_nf"/>
      <sheetName val="DDTDbuho"/>
      <sheetName val="DDho"/>
      <sheetName val="TDho"/>
      <sheetName val="DDbu+"/>
      <sheetName val="TDbu+"/>
      <sheetName val="AnR"/>
      <sheetName val="AnRgr"/>
      <sheetName val="Inf_an"/>
      <sheetName val="Inf_cum2000"/>
      <sheetName val="Inf_an2000"/>
      <sheetName val="ERER_an"/>
      <sheetName val="COMP"/>
      <sheetName val="2001"/>
      <sheetName val="2002"/>
      <sheetName val="2003"/>
      <sheetName val="2004"/>
      <sheetName val="2005"/>
      <sheetName val="2006"/>
      <sheetName val="94-06"/>
      <sheetName val="Macro (2)"/>
      <sheetName val="M2_T"/>
      <sheetName val="ProgramC"/>
      <sheetName val="кварт02_01_02 (2)"/>
      <sheetName val="кварт24_01_02"/>
      <sheetName val="кварт02_01_02 (%)"/>
      <sheetName val="кварт02_01_02"/>
      <sheetName val="14 11 % "/>
      <sheetName val="2001-2002"/>
      <sheetName val="2001_9_11"/>
      <sheetName val="ср97-2002 "/>
      <sheetName val="срав_кв_МЄ"/>
      <sheetName val="ControlSheet"/>
      <sheetName val="FSUOUT"/>
      <sheetName val="labels"/>
      <sheetName val="DEPf"/>
      <sheetName val="BoP-year"/>
      <sheetName val="BoP-status quo_14.06.2013"/>
      <sheetName val="BoP-status quo_08.04.2013"/>
      <sheetName val="Instructions"/>
      <sheetName val="Input_external"/>
      <sheetName val="Table"/>
      <sheetName val="Table_SR"/>
      <sheetName val="ChartPanel"/>
      <sheetName val="Chartdata"/>
      <sheetName val="Table_GEF"/>
      <sheetName val="A1_historical"/>
      <sheetName val="B1_irate"/>
      <sheetName val="B2_GDP"/>
      <sheetName val="B3_CAB"/>
      <sheetName val="B4_Combined"/>
      <sheetName val="B5_Depreciation"/>
      <sheetName val="Contr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refreshError="1">
        <row r="3">
          <cell r="E3">
            <v>2004</v>
          </cell>
        </row>
        <row r="6">
          <cell r="L6">
            <v>2</v>
          </cell>
        </row>
        <row r="7">
          <cell r="L7">
            <v>3</v>
          </cell>
        </row>
        <row r="9">
          <cell r="L9">
            <v>5</v>
          </cell>
        </row>
        <row r="11">
          <cell r="L11">
            <v>7</v>
          </cell>
        </row>
        <row r="12">
          <cell r="L12">
            <v>8</v>
          </cell>
        </row>
        <row r="13">
          <cell r="L13">
            <v>9</v>
          </cell>
        </row>
        <row r="14">
          <cell r="G14">
            <v>8</v>
          </cell>
          <cell r="L14">
            <v>10</v>
          </cell>
        </row>
        <row r="15">
          <cell r="G15" t="str">
            <v>серпень</v>
          </cell>
          <cell r="L15">
            <v>11</v>
          </cell>
        </row>
        <row r="16">
          <cell r="L16">
            <v>12</v>
          </cell>
        </row>
        <row r="17">
          <cell r="L17">
            <v>13</v>
          </cell>
        </row>
        <row r="18">
          <cell r="L18">
            <v>14</v>
          </cell>
        </row>
        <row r="19">
          <cell r="L19">
            <v>15</v>
          </cell>
        </row>
        <row r="20">
          <cell r="L20">
            <v>16</v>
          </cell>
        </row>
        <row r="21">
          <cell r="L21">
            <v>17</v>
          </cell>
        </row>
        <row r="22">
          <cell r="L22">
            <v>18</v>
          </cell>
        </row>
        <row r="23">
          <cell r="L23">
            <v>19</v>
          </cell>
        </row>
        <row r="24">
          <cell r="L24">
            <v>20</v>
          </cell>
        </row>
        <row r="25">
          <cell r="L25">
            <v>21</v>
          </cell>
        </row>
        <row r="26">
          <cell r="L26">
            <v>23</v>
          </cell>
        </row>
        <row r="27">
          <cell r="L27">
            <v>25</v>
          </cell>
        </row>
        <row r="28">
          <cell r="L28">
            <v>27</v>
          </cell>
        </row>
        <row r="29">
          <cell r="L29">
            <v>29</v>
          </cell>
        </row>
        <row r="30">
          <cell r="L30">
            <v>30</v>
          </cell>
        </row>
        <row r="31">
          <cell r="L31">
            <v>31</v>
          </cell>
        </row>
        <row r="32">
          <cell r="L32">
            <v>32</v>
          </cell>
        </row>
        <row r="33">
          <cell r="L33">
            <v>33</v>
          </cell>
        </row>
        <row r="34">
          <cell r="L34">
            <v>34</v>
          </cell>
        </row>
        <row r="35">
          <cell r="L35">
            <v>35</v>
          </cell>
        </row>
        <row r="40">
          <cell r="L40">
            <v>40</v>
          </cell>
        </row>
        <row r="41">
          <cell r="L41">
            <v>41</v>
          </cell>
        </row>
        <row r="42">
          <cell r="L42">
            <v>42</v>
          </cell>
        </row>
        <row r="43">
          <cell r="L43">
            <v>43</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
          <cell r="D2">
            <v>2</v>
          </cell>
          <cell r="V2">
            <v>2</v>
          </cell>
        </row>
        <row r="12">
          <cell r="J12">
            <v>20</v>
          </cell>
        </row>
        <row r="37">
          <cell r="AD37">
            <v>37</v>
          </cell>
        </row>
        <row r="42">
          <cell r="AD42">
            <v>42</v>
          </cell>
        </row>
      </sheetData>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row r="71">
          <cell r="B71" t="str">
            <v xml:space="preserve">Algeria             </v>
          </cell>
        </row>
        <row r="72">
          <cell r="B72" t="str">
            <v xml:space="preserve">Antigua and Barbuda </v>
          </cell>
        </row>
        <row r="73">
          <cell r="B73" t="str">
            <v>Argentina</v>
          </cell>
        </row>
        <row r="74">
          <cell r="B74" t="str">
            <v>Armenia</v>
          </cell>
        </row>
        <row r="75">
          <cell r="B75" t="str">
            <v>Azerbaijan</v>
          </cell>
        </row>
        <row r="76">
          <cell r="B76" t="str">
            <v xml:space="preserve">Bahamas, The        </v>
          </cell>
        </row>
        <row r="77">
          <cell r="B77" t="str">
            <v>Bahrain, Kingdom of</v>
          </cell>
        </row>
        <row r="78">
          <cell r="B78" t="str">
            <v xml:space="preserve">Barbados            </v>
          </cell>
        </row>
        <row r="79">
          <cell r="B79" t="str">
            <v>Belarus</v>
          </cell>
        </row>
        <row r="80">
          <cell r="B80" t="str">
            <v xml:space="preserve">Belize              </v>
          </cell>
        </row>
        <row r="81">
          <cell r="B81" t="str">
            <v>Bosnia &amp; Herzegovina</v>
          </cell>
        </row>
        <row r="82">
          <cell r="B82" t="str">
            <v xml:space="preserve">Botswana            </v>
          </cell>
        </row>
        <row r="83">
          <cell r="B83" t="str">
            <v>Brazil</v>
          </cell>
        </row>
        <row r="84">
          <cell r="B84" t="str">
            <v xml:space="preserve">Brunei Darussalam   </v>
          </cell>
        </row>
        <row r="85">
          <cell r="B85" t="str">
            <v xml:space="preserve">Bulgaria            </v>
          </cell>
        </row>
        <row r="86">
          <cell r="B86" t="str">
            <v>Chile</v>
          </cell>
        </row>
        <row r="87">
          <cell r="B87" t="str">
            <v>China,P.R.: Mainland</v>
          </cell>
        </row>
        <row r="88">
          <cell r="B88" t="str">
            <v>Colombia</v>
          </cell>
        </row>
        <row r="89">
          <cell r="B89" t="str">
            <v xml:space="preserve">Costa Rica          </v>
          </cell>
        </row>
        <row r="90">
          <cell r="B90" t="str">
            <v>Croatia</v>
          </cell>
        </row>
        <row r="91">
          <cell r="B91" t="str">
            <v>Czech Rep</v>
          </cell>
        </row>
        <row r="92">
          <cell r="B92" t="str">
            <v>Dominican Republic</v>
          </cell>
        </row>
        <row r="93">
          <cell r="B93" t="str">
            <v>Ecuador</v>
          </cell>
        </row>
        <row r="94">
          <cell r="B94" t="str">
            <v xml:space="preserve">Egypt               </v>
          </cell>
        </row>
        <row r="95">
          <cell r="B95" t="str">
            <v xml:space="preserve">El Salvador         </v>
          </cell>
        </row>
        <row r="96">
          <cell r="B96" t="str">
            <v xml:space="preserve">Equatorial Guinea   </v>
          </cell>
        </row>
        <row r="97">
          <cell r="B97" t="str">
            <v xml:space="preserve">Estonia             </v>
          </cell>
        </row>
        <row r="98">
          <cell r="B98" t="str">
            <v xml:space="preserve">Fiji                </v>
          </cell>
        </row>
        <row r="99">
          <cell r="B99" t="str">
            <v xml:space="preserve">Gabon               </v>
          </cell>
        </row>
        <row r="100">
          <cell r="B100" t="str">
            <v xml:space="preserve">Guatemala           </v>
          </cell>
        </row>
        <row r="101">
          <cell r="B101" t="str">
            <v xml:space="preserve">Hungary             </v>
          </cell>
        </row>
        <row r="102">
          <cell r="B102" t="str">
            <v>Iceland</v>
          </cell>
        </row>
        <row r="103">
          <cell r="B103" t="str">
            <v>India</v>
          </cell>
        </row>
        <row r="104">
          <cell r="B104" t="str">
            <v xml:space="preserve">Indonesia           </v>
          </cell>
        </row>
        <row r="105">
          <cell r="B105" t="str">
            <v>Iran, I.R. of</v>
          </cell>
        </row>
        <row r="106">
          <cell r="B106" t="str">
            <v xml:space="preserve">Iraq                </v>
          </cell>
        </row>
        <row r="107">
          <cell r="B107" t="str">
            <v>Jamaica</v>
          </cell>
        </row>
        <row r="108">
          <cell r="B108" t="str">
            <v>Jordan</v>
          </cell>
        </row>
        <row r="109">
          <cell r="B109" t="str">
            <v xml:space="preserve">Kazakhstan          </v>
          </cell>
        </row>
        <row r="110">
          <cell r="B110" t="str">
            <v>Kuwait</v>
          </cell>
        </row>
        <row r="111">
          <cell r="B111" t="str">
            <v xml:space="preserve">Latvia              </v>
          </cell>
        </row>
        <row r="112">
          <cell r="B112" t="str">
            <v xml:space="preserve">Lebanon             </v>
          </cell>
        </row>
        <row r="113">
          <cell r="B113" t="str">
            <v xml:space="preserve">Libya               </v>
          </cell>
        </row>
        <row r="114">
          <cell r="B114" t="str">
            <v xml:space="preserve">Lithuania           </v>
          </cell>
        </row>
        <row r="115">
          <cell r="B115" t="str">
            <v>Macedonia, FYR</v>
          </cell>
        </row>
        <row r="116">
          <cell r="B116" t="str">
            <v xml:space="preserve">Malaysia            </v>
          </cell>
        </row>
        <row r="117">
          <cell r="B117" t="str">
            <v>Maldives</v>
          </cell>
        </row>
        <row r="118">
          <cell r="B118" t="str">
            <v>Mauritius</v>
          </cell>
        </row>
        <row r="119">
          <cell r="B119" t="str">
            <v>Mexico</v>
          </cell>
        </row>
        <row r="120">
          <cell r="B120" t="str">
            <v>Montenegro, Rep. of</v>
          </cell>
        </row>
        <row r="121">
          <cell r="B121" t="str">
            <v xml:space="preserve">Morocco             </v>
          </cell>
        </row>
        <row r="122">
          <cell r="B122" t="str">
            <v xml:space="preserve">Namibia             </v>
          </cell>
        </row>
        <row r="123">
          <cell r="B123" t="str">
            <v xml:space="preserve">Oman                </v>
          </cell>
        </row>
        <row r="124">
          <cell r="B124" t="str">
            <v>Pakistan</v>
          </cell>
        </row>
        <row r="125">
          <cell r="B125" t="str">
            <v xml:space="preserve">Panama              </v>
          </cell>
        </row>
        <row r="126">
          <cell r="B126" t="str">
            <v xml:space="preserve">Paraguay            </v>
          </cell>
        </row>
        <row r="127">
          <cell r="B127" t="str">
            <v>Peru</v>
          </cell>
        </row>
        <row r="128">
          <cell r="B128" t="str">
            <v>Philippines</v>
          </cell>
        </row>
        <row r="129">
          <cell r="B129" t="str">
            <v xml:space="preserve">Poland              </v>
          </cell>
        </row>
        <row r="130">
          <cell r="B130" t="str">
            <v>Qatar</v>
          </cell>
        </row>
        <row r="131">
          <cell r="B131" t="str">
            <v>Romania</v>
          </cell>
        </row>
        <row r="132">
          <cell r="B132" t="str">
            <v>Russia</v>
          </cell>
        </row>
        <row r="133">
          <cell r="B133" t="str">
            <v>Saudi Arabia</v>
          </cell>
        </row>
        <row r="134">
          <cell r="B134" t="str">
            <v>Serbia, Republic of</v>
          </cell>
        </row>
        <row r="135">
          <cell r="B135" t="str">
            <v>Seychelles</v>
          </cell>
        </row>
        <row r="136">
          <cell r="B136" t="str">
            <v xml:space="preserve">Slovak Republic     </v>
          </cell>
        </row>
        <row r="137">
          <cell r="B137" t="str">
            <v xml:space="preserve">Solomon Islands     </v>
          </cell>
        </row>
        <row r="138">
          <cell r="B138" t="str">
            <v xml:space="preserve">South Africa        </v>
          </cell>
        </row>
        <row r="139">
          <cell r="B139" t="str">
            <v xml:space="preserve">St. Kitts and Nevis </v>
          </cell>
        </row>
        <row r="140">
          <cell r="B140" t="str">
            <v>Suriname</v>
          </cell>
        </row>
        <row r="141">
          <cell r="B141" t="str">
            <v xml:space="preserve">Swaziland           </v>
          </cell>
        </row>
        <row r="142">
          <cell r="B142" t="str">
            <v>Syrian Arab Republic</v>
          </cell>
        </row>
        <row r="143">
          <cell r="B143" t="str">
            <v>Thailand</v>
          </cell>
        </row>
        <row r="144">
          <cell r="B144" t="str">
            <v>Trinidad and Tobago</v>
          </cell>
        </row>
        <row r="145">
          <cell r="B145" t="str">
            <v>Tunisia</v>
          </cell>
        </row>
        <row r="146">
          <cell r="B146" t="str">
            <v>Turkey</v>
          </cell>
        </row>
        <row r="147">
          <cell r="B147" t="str">
            <v xml:space="preserve">Turkmenistan        </v>
          </cell>
        </row>
        <row r="148">
          <cell r="B148" t="str">
            <v>Ukraine</v>
          </cell>
        </row>
        <row r="149">
          <cell r="B149" t="str">
            <v>United Arab Emirates</v>
          </cell>
        </row>
        <row r="150">
          <cell r="B150" t="str">
            <v>Uruguay</v>
          </cell>
        </row>
        <row r="151">
          <cell r="B151" t="str">
            <v>Uzbekistan</v>
          </cell>
        </row>
        <row r="152">
          <cell r="B152" t="str">
            <v>Venezuela, Rep. Bol.</v>
          </cell>
        </row>
      </sheetData>
      <sheetData sheetId="136"/>
      <sheetData sheetId="137"/>
      <sheetData sheetId="138"/>
      <sheetData sheetId="139" refreshError="1"/>
      <sheetData sheetId="140" refreshError="1"/>
      <sheetData sheetId="141" refreshError="1"/>
      <sheetData sheetId="142"/>
      <sheetData sheetId="143"/>
      <sheetData sheetId="144"/>
      <sheetData sheetId="145"/>
      <sheetData sheetId="146"/>
      <sheetData sheetId="147"/>
      <sheetData sheetId="1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s"/>
      <sheetName val="C"/>
      <sheetName val="W"/>
      <sheetName val="CPI"/>
      <sheetName val="CPI_Detail"/>
      <sheetName val="CPI_Group"/>
      <sheetName val="WPI_Detail"/>
      <sheetName val="CPIGz"/>
      <sheetName val="CPIGCz"/>
      <sheetName val="CPIG12z"/>
      <sheetName val="INF_Table"/>
      <sheetName val="SA"/>
      <sheetName val="CPI_TableAll"/>
      <sheetName val="Estimate"/>
      <sheetName val="TG"/>
      <sheetName val="INF_Table2"/>
      <sheetName val="CPI_Table"/>
      <sheetName val="CPI_Table_E"/>
      <sheetName val="WPI_Table"/>
      <sheetName val="EstimateAlt"/>
      <sheetName val="CPIC"/>
      <sheetName val="CPIz"/>
      <sheetName val="CPICz"/>
      <sheetName val="Mov12z"/>
      <sheetName val="Mov12"/>
      <sheetName val="CPID"/>
      <sheetName val="CPIDz"/>
      <sheetName val="T_CPI_Y"/>
      <sheetName val="T_CPI_M"/>
      <sheetName val="T_WPI_M"/>
      <sheetName val="T_WPI_MV"/>
      <sheetName val="T_WPI_C"/>
      <sheetName val="T_WPI_CV"/>
      <sheetName val="T_CPI_P"/>
      <sheetName val="CPIQ"/>
      <sheetName val="CoreSet"/>
      <sheetName val="CoreTable"/>
      <sheetName val="Core1"/>
      <sheetName val="Core2"/>
      <sheetName val="Core3"/>
      <sheetName val="Core4"/>
      <sheetName val="Core"/>
      <sheetName val="CoreCPI"/>
      <sheetName val="CoreAdm"/>
      <sheetName val="CoreMarket"/>
      <sheetName val="CoreSrc"/>
      <sheetName val="I"/>
      <sheetName val="Tc"/>
      <sheetName val="Desc"/>
      <sheetName val="gdp"/>
    </sheetNames>
    <sheetDataSet>
      <sheetData sheetId="0" refreshError="1">
        <row r="10">
          <cell r="B10">
            <v>12</v>
          </cell>
        </row>
        <row r="19">
          <cell r="B19">
            <v>21</v>
          </cell>
        </row>
        <row r="55">
          <cell r="B55">
            <v>57</v>
          </cell>
        </row>
        <row r="73">
          <cell r="B73">
            <v>75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
      <sheetName val="CPI_Detail_Old"/>
      <sheetName val="CPI_Detail"/>
      <sheetName val="CPI_Group"/>
      <sheetName val="WPI_Detail"/>
      <sheetName val="CPIGz"/>
      <sheetName val="CPIGCz"/>
      <sheetName val="CPIG12z"/>
      <sheetName val="INF_Table"/>
      <sheetName val="CPI_Table"/>
      <sheetName val="WPI_Table"/>
      <sheetName val="Estimate"/>
      <sheetName val="Graph"/>
      <sheetName val="CPI"/>
      <sheetName val="CPIC"/>
      <sheetName val="CPIz"/>
      <sheetName val="CPICz"/>
      <sheetName val="Mov12z"/>
      <sheetName val="Mov12"/>
      <sheetName val="CPIDz"/>
      <sheetName val="CPID"/>
      <sheetName val="Mov36"/>
      <sheetName val="ZvitCPI"/>
      <sheetName val="ZvitWPI"/>
      <sheetName val="ZvitCORE"/>
      <sheetName val="CPIMA"/>
      <sheetName val="CPIMAC"/>
      <sheetName val="T_CPI_Y"/>
      <sheetName val="T_CPI_M"/>
      <sheetName val="T_CPI_P_Old"/>
      <sheetName val="T_WPI_M"/>
      <sheetName val="T_WPI_MV"/>
      <sheetName val="T_WPI_C"/>
      <sheetName val="T_WPI_CV"/>
      <sheetName val="T_CPI_P"/>
      <sheetName val="CPIQ"/>
      <sheetName val="Forecast"/>
      <sheetName val="I"/>
      <sheetName val="Shock"/>
      <sheetName val="Exog"/>
      <sheetName val="Q"/>
      <sheetName val="Rates"/>
      <sheetName val="Core"/>
      <sheetName val="CoreCPI"/>
      <sheetName val="CoreCPITM"/>
      <sheetName val="Links"/>
      <sheetName val="T"/>
      <sheetName val="Desc"/>
      <sheetName val="CPI_Table_E"/>
      <sheetName val="CoreSet"/>
      <sheetName val="CoreTable"/>
      <sheetName val="Core1"/>
      <sheetName val="Core2"/>
      <sheetName val="Core3"/>
      <sheetName val="Core4"/>
      <sheetName val="CPIQ (2)"/>
      <sheetName val="TG"/>
      <sheetName val="Tc"/>
      <sheetName val="WPIcalc"/>
      <sheetName val="W"/>
      <sheetName val="SA"/>
      <sheetName val="CPI_TableAll"/>
      <sheetName val="INF_Table2"/>
      <sheetName val="EstimateAlt"/>
      <sheetName val="CoreAdm"/>
      <sheetName val="CoreMarket"/>
      <sheetName val="CoreSrc"/>
      <sheetName val="1s"/>
      <sheetName val="2sr"/>
      <sheetName val="Control"/>
    </sheetNames>
    <sheetDataSet>
      <sheetData sheetId="0">
        <row r="2">
          <cell r="A2">
            <v>2</v>
          </cell>
        </row>
        <row r="3">
          <cell r="E3">
            <v>2005</v>
          </cell>
        </row>
      </sheetData>
      <sheetData sheetId="1">
        <row r="10">
          <cell r="B10">
            <v>12</v>
          </cell>
        </row>
      </sheetData>
      <sheetData sheetId="2"/>
      <sheetData sheetId="3"/>
      <sheetData sheetId="4"/>
      <sheetData sheetId="5"/>
      <sheetData sheetId="6"/>
      <sheetData sheetId="7"/>
      <sheetData sheetId="8"/>
      <sheetData sheetId="9"/>
      <sheetData sheetId="10">
        <row r="2">
          <cell r="A2">
            <v>2</v>
          </cell>
        </row>
      </sheetData>
      <sheetData sheetId="11"/>
      <sheetData sheetId="12">
        <row r="2">
          <cell r="A2">
            <v>2</v>
          </cell>
        </row>
      </sheetData>
      <sheetData sheetId="13">
        <row r="21">
          <cell r="B21">
            <v>23</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B10">
            <v>12</v>
          </cell>
        </row>
      </sheetData>
      <sheetData sheetId="42"/>
      <sheetData sheetId="43"/>
      <sheetData sheetId="44"/>
      <sheetData sheetId="45">
        <row r="2">
          <cell r="B2">
            <v>2</v>
          </cell>
        </row>
        <row r="20">
          <cell r="B20">
            <v>22</v>
          </cell>
        </row>
        <row r="21">
          <cell r="B21">
            <v>23</v>
          </cell>
        </row>
        <row r="22">
          <cell r="B22">
            <v>24</v>
          </cell>
        </row>
        <row r="23">
          <cell r="B23">
            <v>25</v>
          </cell>
        </row>
        <row r="24">
          <cell r="B24">
            <v>26</v>
          </cell>
        </row>
        <row r="25">
          <cell r="B25">
            <v>27</v>
          </cell>
        </row>
        <row r="26">
          <cell r="B26">
            <v>28</v>
          </cell>
        </row>
        <row r="27">
          <cell r="B27">
            <v>29</v>
          </cell>
        </row>
        <row r="28">
          <cell r="B28">
            <v>30</v>
          </cell>
        </row>
        <row r="29">
          <cell r="B29">
            <v>31</v>
          </cell>
        </row>
        <row r="30">
          <cell r="B30">
            <v>32</v>
          </cell>
        </row>
        <row r="31">
          <cell r="B31">
            <v>33</v>
          </cell>
        </row>
        <row r="32">
          <cell r="B32">
            <v>34</v>
          </cell>
        </row>
        <row r="33">
          <cell r="B33">
            <v>35</v>
          </cell>
        </row>
        <row r="34">
          <cell r="B34">
            <v>36</v>
          </cell>
        </row>
        <row r="35">
          <cell r="B35">
            <v>37</v>
          </cell>
        </row>
        <row r="36">
          <cell r="B36">
            <v>38</v>
          </cell>
        </row>
        <row r="37">
          <cell r="B37">
            <v>39</v>
          </cell>
        </row>
        <row r="38">
          <cell r="B38">
            <v>40</v>
          </cell>
        </row>
        <row r="39">
          <cell r="B39">
            <v>41</v>
          </cell>
        </row>
        <row r="40">
          <cell r="B40">
            <v>42</v>
          </cell>
        </row>
        <row r="41">
          <cell r="B41">
            <v>43</v>
          </cell>
        </row>
        <row r="42">
          <cell r="B42">
            <v>44</v>
          </cell>
        </row>
        <row r="43">
          <cell r="B43">
            <v>45</v>
          </cell>
        </row>
        <row r="44">
          <cell r="B44">
            <v>46</v>
          </cell>
        </row>
        <row r="45">
          <cell r="B45">
            <v>47</v>
          </cell>
        </row>
        <row r="46">
          <cell r="B46">
            <v>48</v>
          </cell>
        </row>
        <row r="56">
          <cell r="B56">
            <v>58</v>
          </cell>
        </row>
        <row r="57">
          <cell r="B57">
            <v>59</v>
          </cell>
        </row>
        <row r="58">
          <cell r="B58">
            <v>60</v>
          </cell>
        </row>
        <row r="59">
          <cell r="B59">
            <v>61</v>
          </cell>
        </row>
        <row r="60">
          <cell r="B60">
            <v>62</v>
          </cell>
        </row>
        <row r="61">
          <cell r="B61">
            <v>63</v>
          </cell>
        </row>
        <row r="63">
          <cell r="B63">
            <v>65</v>
          </cell>
        </row>
        <row r="64">
          <cell r="B64">
            <v>66</v>
          </cell>
        </row>
        <row r="65">
          <cell r="B65">
            <v>67</v>
          </cell>
        </row>
        <row r="66">
          <cell r="B66">
            <v>68</v>
          </cell>
        </row>
        <row r="67">
          <cell r="B67">
            <v>69</v>
          </cell>
        </row>
        <row r="68">
          <cell r="B68">
            <v>70</v>
          </cell>
        </row>
        <row r="69">
          <cell r="B69">
            <v>71</v>
          </cell>
        </row>
        <row r="70">
          <cell r="B70">
            <v>72</v>
          </cell>
        </row>
        <row r="71">
          <cell r="B71">
            <v>73</v>
          </cell>
        </row>
        <row r="72">
          <cell r="B72">
            <v>74</v>
          </cell>
        </row>
      </sheetData>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Мульт-ор М3, швидкість"/>
      <sheetName val="Лист1"/>
      <sheetName val="Мульт-ор М2, швидкість"/>
      <sheetName val="Links"/>
      <sheetName val="Розрахунок мультиплікатора"/>
    </sheetNames>
    <sheetDataSet>
      <sheetData sheetId="0" refreshError="1"/>
      <sheetData sheetId="1" refreshError="1"/>
      <sheetData sheetId="2" refreshError="1">
        <row r="3">
          <cell r="C3" t="str">
            <v>М2,
млн. грн.</v>
          </cell>
          <cell r="E3" t="str">
            <v>(Мп+Мк)/2,
млн. грн.</v>
          </cell>
        </row>
        <row r="4">
          <cell r="C4">
            <v>1</v>
          </cell>
          <cell r="E4">
            <v>2</v>
          </cell>
        </row>
        <row r="5">
          <cell r="C5">
            <v>12448</v>
          </cell>
          <cell r="E5">
            <v>11717</v>
          </cell>
        </row>
        <row r="6">
          <cell r="C6">
            <v>11919</v>
          </cell>
          <cell r="E6">
            <v>11919</v>
          </cell>
        </row>
        <row r="7">
          <cell r="C7">
            <v>12095</v>
          </cell>
          <cell r="E7">
            <v>12007</v>
          </cell>
        </row>
        <row r="8">
          <cell r="C8">
            <v>12835</v>
          </cell>
          <cell r="E8">
            <v>12465</v>
          </cell>
        </row>
        <row r="9">
          <cell r="C9">
            <v>12835</v>
          </cell>
          <cell r="E9">
            <v>12835</v>
          </cell>
        </row>
        <row r="10">
          <cell r="C10">
            <v>12794</v>
          </cell>
          <cell r="E10">
            <v>12814.5</v>
          </cell>
        </row>
        <row r="11">
          <cell r="C11">
            <v>13116</v>
          </cell>
          <cell r="E11">
            <v>12955</v>
          </cell>
        </row>
        <row r="12">
          <cell r="C12">
            <v>13257</v>
          </cell>
          <cell r="E12">
            <v>13186.5</v>
          </cell>
        </row>
        <row r="13">
          <cell r="C13">
            <v>13257</v>
          </cell>
          <cell r="E13">
            <v>13046</v>
          </cell>
        </row>
        <row r="14">
          <cell r="C14">
            <v>13691</v>
          </cell>
          <cell r="E14">
            <v>13474</v>
          </cell>
        </row>
        <row r="15">
          <cell r="C15">
            <v>13569</v>
          </cell>
          <cell r="E15">
            <v>13630</v>
          </cell>
        </row>
        <row r="16">
          <cell r="C16">
            <v>14142</v>
          </cell>
          <cell r="E16">
            <v>13855.5</v>
          </cell>
        </row>
        <row r="17">
          <cell r="C17">
            <v>14142</v>
          </cell>
          <cell r="E17">
            <v>13699.5</v>
          </cell>
        </row>
        <row r="18">
          <cell r="C18">
            <v>14237</v>
          </cell>
          <cell r="E18">
            <v>14189.5</v>
          </cell>
        </row>
        <row r="19">
          <cell r="C19">
            <v>14538</v>
          </cell>
          <cell r="E19">
            <v>14387.5</v>
          </cell>
        </row>
        <row r="20">
          <cell r="C20">
            <v>15432</v>
          </cell>
          <cell r="E20">
            <v>14985</v>
          </cell>
        </row>
        <row r="21">
          <cell r="C21">
            <v>15432</v>
          </cell>
          <cell r="E21">
            <v>14787</v>
          </cell>
        </row>
        <row r="22">
          <cell r="C22">
            <v>15432</v>
          </cell>
          <cell r="E22">
            <v>13940</v>
          </cell>
        </row>
        <row r="23">
          <cell r="C23">
            <v>14880</v>
          </cell>
          <cell r="E23">
            <v>14880</v>
          </cell>
        </row>
        <row r="24">
          <cell r="C24">
            <v>15090</v>
          </cell>
          <cell r="E24">
            <v>14985</v>
          </cell>
        </row>
        <row r="25">
          <cell r="C25">
            <v>15631</v>
          </cell>
          <cell r="E25">
            <v>15360.5</v>
          </cell>
        </row>
        <row r="26">
          <cell r="C26">
            <v>15631</v>
          </cell>
          <cell r="E26">
            <v>15631</v>
          </cell>
        </row>
        <row r="27">
          <cell r="C27">
            <v>16352</v>
          </cell>
          <cell r="E27">
            <v>15991.5</v>
          </cell>
        </row>
        <row r="28">
          <cell r="C28">
            <v>17161</v>
          </cell>
          <cell r="E28">
            <v>16756.5</v>
          </cell>
        </row>
        <row r="29">
          <cell r="C29">
            <v>18258</v>
          </cell>
          <cell r="E29">
            <v>17709.5</v>
          </cell>
        </row>
        <row r="30">
          <cell r="C30">
            <v>18258</v>
          </cell>
          <cell r="E30">
            <v>16944.5</v>
          </cell>
        </row>
        <row r="31">
          <cell r="C31">
            <v>18498</v>
          </cell>
          <cell r="E31">
            <v>18378</v>
          </cell>
        </row>
        <row r="32">
          <cell r="C32">
            <v>19340</v>
          </cell>
          <cell r="E32">
            <v>18919</v>
          </cell>
        </row>
        <row r="33">
          <cell r="C33">
            <v>20019</v>
          </cell>
          <cell r="E33">
            <v>19679.5</v>
          </cell>
        </row>
        <row r="34">
          <cell r="C34">
            <v>20019</v>
          </cell>
          <cell r="E34">
            <v>19138.5</v>
          </cell>
        </row>
        <row r="35">
          <cell r="C35">
            <v>20402</v>
          </cell>
          <cell r="E35">
            <v>20210.5</v>
          </cell>
        </row>
        <row r="36">
          <cell r="C36">
            <v>20552</v>
          </cell>
          <cell r="E36">
            <v>20477</v>
          </cell>
        </row>
        <row r="37">
          <cell r="C37">
            <v>21714</v>
          </cell>
          <cell r="E37">
            <v>21133</v>
          </cell>
        </row>
        <row r="38">
          <cell r="C38">
            <v>21714</v>
          </cell>
          <cell r="E38">
            <v>20866.5</v>
          </cell>
        </row>
        <row r="39">
          <cell r="C39">
            <v>21714</v>
          </cell>
          <cell r="E39">
            <v>20866.5</v>
          </cell>
        </row>
        <row r="40">
          <cell r="C40">
            <v>21453</v>
          </cell>
          <cell r="E40">
            <v>21583.5</v>
          </cell>
        </row>
        <row r="41">
          <cell r="C41">
            <v>22241</v>
          </cell>
          <cell r="E41">
            <v>21847</v>
          </cell>
        </row>
        <row r="42">
          <cell r="C42">
            <v>23275</v>
          </cell>
          <cell r="E42">
            <v>22758</v>
          </cell>
        </row>
        <row r="43">
          <cell r="C43">
            <v>23275</v>
          </cell>
          <cell r="E43">
            <v>22494.5</v>
          </cell>
        </row>
        <row r="44">
          <cell r="C44">
            <v>24405</v>
          </cell>
          <cell r="E44">
            <v>23840</v>
          </cell>
        </row>
        <row r="45">
          <cell r="C45">
            <v>25350</v>
          </cell>
          <cell r="E45">
            <v>24877.5</v>
          </cell>
        </row>
        <row r="46">
          <cell r="C46">
            <v>26359</v>
          </cell>
          <cell r="E46">
            <v>25854.5</v>
          </cell>
        </row>
        <row r="47">
          <cell r="C47">
            <v>26359</v>
          </cell>
          <cell r="E47">
            <v>24817</v>
          </cell>
        </row>
        <row r="48">
          <cell r="C48">
            <v>27483</v>
          </cell>
          <cell r="E48">
            <v>26921</v>
          </cell>
        </row>
        <row r="49">
          <cell r="C49">
            <v>28778</v>
          </cell>
          <cell r="E49">
            <v>28130.5</v>
          </cell>
        </row>
        <row r="50">
          <cell r="C50">
            <v>28076</v>
          </cell>
          <cell r="E50">
            <v>28427</v>
          </cell>
        </row>
        <row r="51">
          <cell r="C51">
            <v>28076</v>
          </cell>
          <cell r="E51">
            <v>27217.5</v>
          </cell>
        </row>
        <row r="52">
          <cell r="C52">
            <v>28035</v>
          </cell>
          <cell r="E52">
            <v>28055.5</v>
          </cell>
        </row>
        <row r="53">
          <cell r="C53">
            <v>28663</v>
          </cell>
          <cell r="E53">
            <v>28349</v>
          </cell>
        </row>
        <row r="54">
          <cell r="C54">
            <v>31387</v>
          </cell>
          <cell r="E54">
            <v>30025</v>
          </cell>
        </row>
        <row r="55">
          <cell r="C55">
            <v>31387</v>
          </cell>
          <cell r="E55">
            <v>29731.5</v>
          </cell>
        </row>
        <row r="56">
          <cell r="C56">
            <v>31387</v>
          </cell>
          <cell r="E56">
            <v>26550.5</v>
          </cell>
        </row>
        <row r="78">
          <cell r="E78">
            <v>96.047874329884053</v>
          </cell>
        </row>
      </sheetData>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UControlSheet"/>
      <sheetName val="Control"/>
      <sheetName val="Coverpage"/>
      <sheetName val="Inward-DL"/>
      <sheetName val="Inward"/>
      <sheetName val="Inward_TS"/>
      <sheetName val="Outward-DL"/>
      <sheetName val="Outward"/>
      <sheetName val="Outward_TS"/>
      <sheetName val="ValidationSheet"/>
      <sheetName val="Links"/>
    </sheetNames>
    <sheetDataSet>
      <sheetData sheetId="0"/>
      <sheetData sheetId="1"/>
      <sheetData sheetId="2">
        <row r="16">
          <cell r="A16" t="str">
            <v>Yes</v>
          </cell>
        </row>
        <row r="17">
          <cell r="A17" t="str">
            <v>No</v>
          </cell>
        </row>
        <row r="19">
          <cell r="A19" t="str">
            <v>Yes</v>
          </cell>
        </row>
        <row r="20">
          <cell r="A20" t="str">
            <v>No</v>
          </cell>
        </row>
        <row r="21">
          <cell r="A21" t="str">
            <v>Yes</v>
          </cell>
        </row>
        <row r="22">
          <cell r="A22" t="str">
            <v>No</v>
          </cell>
        </row>
        <row r="35">
          <cell r="J35" t="str">
            <v>Yes</v>
          </cell>
        </row>
        <row r="36">
          <cell r="J36" t="str">
            <v>No</v>
          </cell>
        </row>
      </sheetData>
      <sheetData sheetId="3"/>
      <sheetData sheetId="4"/>
      <sheetData sheetId="5"/>
      <sheetData sheetId="6"/>
      <sheetData sheetId="7"/>
      <sheetData sheetId="8"/>
      <sheetData sheetId="9"/>
      <sheetData sheetId="10"/>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Instructions"/>
      <sheetName val="Index Page"/>
      <sheetName val="IndexSS"/>
      <sheetName val="Assets Mandated"/>
      <sheetName val="Assets MandatedSS"/>
      <sheetName val="Breakdown by Currency (Assets)"/>
      <sheetName val="CurrencySS"/>
      <sheetName val="Breakdown by Sector (Assets)"/>
      <sheetName val="AssetsSS"/>
      <sheetName val="Breakdown by Sector (Equity)"/>
      <sheetName val="EquitySS"/>
      <sheetName val="Breakdown by Sector (Debt Sec.)"/>
      <sheetName val="Debt SecSS"/>
      <sheetName val="Breakdown by Sector (L-T Debt)"/>
      <sheetName val="L-T DebtSS"/>
      <sheetName val="Breakdown by Sector (S-T Debt)"/>
      <sheetName val="S-T DebtSS"/>
      <sheetName val="Liabilities Breakdown"/>
      <sheetName val="Liabilities BreakdownSS"/>
      <sheetName val="Report Form"/>
      <sheetName val="Control"/>
      <sheetName val="Input 1- Basi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
          <cell r="C1" t="str">
            <v>Australia</v>
          </cell>
        </row>
        <row r="3">
          <cell r="C3">
            <v>2008</v>
          </cell>
        </row>
        <row r="17">
          <cell r="F17" t="str">
            <v>National currency</v>
          </cell>
        </row>
        <row r="18">
          <cell r="F18" t="str">
            <v>Units</v>
          </cell>
        </row>
      </sheetData>
      <sheetData sheetId="2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Instructions"/>
      <sheetName val="Data"/>
      <sheetName val="Report Form"/>
    </sheetNames>
    <sheetDataSet>
      <sheetData sheetId="0"/>
      <sheetData sheetId="1"/>
      <sheetData sheetId="2">
        <row r="4">
          <cell r="E4">
            <v>2020</v>
          </cell>
          <cell r="F4" t="str">
            <v>A</v>
          </cell>
        </row>
        <row r="5">
          <cell r="A5" t="str">
            <v>Thousand</v>
          </cell>
          <cell r="B5" t="str">
            <v>Domestic Currency</v>
          </cell>
          <cell r="E5">
            <v>2019</v>
          </cell>
          <cell r="F5" t="str">
            <v>Q4</v>
          </cell>
        </row>
        <row r="6">
          <cell r="A6" t="str">
            <v>Million</v>
          </cell>
          <cell r="B6" t="str">
            <v>Euros</v>
          </cell>
          <cell r="E6">
            <v>2018</v>
          </cell>
          <cell r="F6" t="str">
            <v>Q3</v>
          </cell>
        </row>
        <row r="7">
          <cell r="A7" t="str">
            <v>Billion</v>
          </cell>
          <cell r="B7" t="str">
            <v>US Dollars</v>
          </cell>
          <cell r="E7">
            <v>2017</v>
          </cell>
          <cell r="F7" t="str">
            <v>Q2</v>
          </cell>
        </row>
        <row r="8">
          <cell r="A8" t="str">
            <v>Trillion</v>
          </cell>
          <cell r="E8">
            <v>2016</v>
          </cell>
          <cell r="F8" t="str">
            <v>Q1</v>
          </cell>
        </row>
        <row r="9">
          <cell r="E9">
            <v>2015</v>
          </cell>
        </row>
        <row r="10">
          <cell r="E10">
            <v>2014</v>
          </cell>
        </row>
        <row r="11">
          <cell r="E11">
            <v>2013</v>
          </cell>
        </row>
        <row r="12">
          <cell r="E12">
            <v>2012</v>
          </cell>
        </row>
        <row r="13">
          <cell r="E13">
            <v>2011</v>
          </cell>
        </row>
        <row r="14">
          <cell r="E14">
            <v>2010</v>
          </cell>
        </row>
        <row r="15">
          <cell r="E15">
            <v>2009</v>
          </cell>
        </row>
        <row r="16">
          <cell r="E16">
            <v>2008</v>
          </cell>
        </row>
        <row r="17">
          <cell r="E17">
            <v>2007</v>
          </cell>
        </row>
        <row r="18">
          <cell r="E18">
            <v>2006</v>
          </cell>
        </row>
        <row r="19">
          <cell r="E19">
            <v>2005</v>
          </cell>
        </row>
        <row r="20">
          <cell r="E20">
            <v>2004</v>
          </cell>
        </row>
        <row r="21">
          <cell r="E21">
            <v>2003</v>
          </cell>
        </row>
        <row r="22">
          <cell r="E22">
            <v>2002</v>
          </cell>
        </row>
        <row r="23">
          <cell r="E23">
            <v>2001</v>
          </cell>
        </row>
        <row r="24">
          <cell r="E24">
            <v>2000</v>
          </cell>
        </row>
        <row r="25">
          <cell r="E25">
            <v>1999</v>
          </cell>
        </row>
        <row r="26">
          <cell r="E26">
            <v>1998</v>
          </cell>
        </row>
        <row r="27">
          <cell r="E27">
            <v>1997</v>
          </cell>
        </row>
        <row r="28">
          <cell r="E28">
            <v>1996</v>
          </cell>
        </row>
        <row r="29">
          <cell r="E29">
            <v>1995</v>
          </cell>
        </row>
        <row r="30">
          <cell r="E30">
            <v>1994</v>
          </cell>
        </row>
        <row r="31">
          <cell r="E31">
            <v>1993</v>
          </cell>
        </row>
        <row r="32">
          <cell r="E32">
            <v>1992</v>
          </cell>
        </row>
        <row r="33">
          <cell r="E33">
            <v>1991</v>
          </cell>
        </row>
        <row r="34">
          <cell r="E34">
            <v>1990</v>
          </cell>
        </row>
        <row r="35">
          <cell r="E35">
            <v>1989</v>
          </cell>
        </row>
        <row r="36">
          <cell r="E36">
            <v>1988</v>
          </cell>
        </row>
        <row r="37">
          <cell r="E37">
            <v>1987</v>
          </cell>
        </row>
        <row r="38">
          <cell r="E38">
            <v>1986</v>
          </cell>
        </row>
        <row r="39">
          <cell r="E39">
            <v>1985</v>
          </cell>
        </row>
        <row r="40">
          <cell r="E40">
            <v>1984</v>
          </cell>
        </row>
        <row r="41">
          <cell r="E41">
            <v>1983</v>
          </cell>
        </row>
        <row r="42">
          <cell r="E42">
            <v>1982</v>
          </cell>
        </row>
        <row r="43">
          <cell r="E43">
            <v>1981</v>
          </cell>
        </row>
        <row r="44">
          <cell r="E44">
            <v>1980</v>
          </cell>
        </row>
        <row r="45">
          <cell r="E45">
            <v>1979</v>
          </cell>
        </row>
        <row r="46">
          <cell r="E46">
            <v>1978</v>
          </cell>
        </row>
        <row r="47">
          <cell r="E47">
            <v>1977</v>
          </cell>
        </row>
        <row r="48">
          <cell r="E48">
            <v>1976</v>
          </cell>
        </row>
        <row r="49">
          <cell r="E49">
            <v>1975</v>
          </cell>
        </row>
        <row r="50">
          <cell r="E50">
            <v>1974</v>
          </cell>
        </row>
        <row r="51">
          <cell r="E51">
            <v>1973</v>
          </cell>
        </row>
        <row r="52">
          <cell r="E52">
            <v>1972</v>
          </cell>
        </row>
        <row r="53">
          <cell r="E53">
            <v>1971</v>
          </cell>
        </row>
        <row r="54">
          <cell r="E54">
            <v>1970</v>
          </cell>
        </row>
        <row r="55">
          <cell r="E55">
            <v>1969</v>
          </cell>
        </row>
        <row r="56">
          <cell r="E56">
            <v>1968</v>
          </cell>
        </row>
        <row r="57">
          <cell r="E57">
            <v>1967</v>
          </cell>
        </row>
        <row r="58">
          <cell r="E58">
            <v>1966</v>
          </cell>
        </row>
        <row r="59">
          <cell r="E59">
            <v>1965</v>
          </cell>
        </row>
        <row r="60">
          <cell r="E60">
            <v>1964</v>
          </cell>
        </row>
        <row r="61">
          <cell r="E61">
            <v>1963</v>
          </cell>
        </row>
        <row r="62">
          <cell r="E62">
            <v>1962</v>
          </cell>
        </row>
        <row r="63">
          <cell r="E63">
            <v>1961</v>
          </cell>
        </row>
        <row r="64">
          <cell r="E64">
            <v>1960</v>
          </cell>
        </row>
        <row r="65">
          <cell r="E65">
            <v>1959</v>
          </cell>
        </row>
        <row r="66">
          <cell r="E66">
            <v>1958</v>
          </cell>
        </row>
        <row r="67">
          <cell r="E67">
            <v>1957</v>
          </cell>
        </row>
        <row r="68">
          <cell r="E68">
            <v>1956</v>
          </cell>
        </row>
        <row r="69">
          <cell r="E69">
            <v>1955</v>
          </cell>
        </row>
        <row r="70">
          <cell r="E70">
            <v>1954</v>
          </cell>
        </row>
        <row r="71">
          <cell r="E71">
            <v>1953</v>
          </cell>
        </row>
        <row r="72">
          <cell r="E72">
            <v>1952</v>
          </cell>
        </row>
        <row r="73">
          <cell r="E73">
            <v>1951</v>
          </cell>
        </row>
        <row r="74">
          <cell r="E74">
            <v>1950</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довідник валют"/>
      <sheetName val="2008"/>
      <sheetName val="2007"/>
      <sheetName val="2006"/>
      <sheetName val="2005"/>
      <sheetName val="2004"/>
      <sheetName val="2003"/>
      <sheetName val="2002"/>
      <sheetName val="2001"/>
      <sheetName val="2000"/>
      <sheetName val="2008(ср месяцы)  "/>
      <sheetName val="2007(ср месяцы)  "/>
      <sheetName val="2006(ср месяцы) "/>
      <sheetName val="2005(ср месяцы)"/>
      <sheetName val="2004(ср месяцы)"/>
      <sheetName val="2003(ср месяцы)"/>
      <sheetName val="2002(ср месяцы)"/>
      <sheetName val="2001(ср месяцы)"/>
      <sheetName val="2000(ср месяцы)"/>
    </sheetNames>
    <sheetDataSet>
      <sheetData sheetId="0"/>
      <sheetData sheetId="1"/>
      <sheetData sheetId="2"/>
      <sheetData sheetId="3"/>
      <sheetData sheetId="4"/>
      <sheetData sheetId="5"/>
      <sheetData sheetId="6"/>
      <sheetData sheetId="7">
        <row r="1">
          <cell r="C1" t="str">
            <v>AUD</v>
          </cell>
          <cell r="D1" t="str">
            <v>ATS</v>
          </cell>
          <cell r="E1" t="str">
            <v>GBP</v>
          </cell>
          <cell r="F1" t="str">
            <v>AZM</v>
          </cell>
          <cell r="G1" t="str">
            <v>BEF</v>
          </cell>
          <cell r="H1" t="str">
            <v>BYR</v>
          </cell>
          <cell r="I1" t="str">
            <v>GRD</v>
          </cell>
          <cell r="J1" t="str">
            <v>DKK</v>
          </cell>
          <cell r="K1" t="str">
            <v>USD</v>
          </cell>
          <cell r="L1" t="str">
            <v>EEK</v>
          </cell>
          <cell r="M1" t="str">
            <v>ISK</v>
          </cell>
          <cell r="N1" t="str">
            <v>IEP</v>
          </cell>
          <cell r="O1" t="str">
            <v>ESP</v>
          </cell>
          <cell r="P1" t="str">
            <v>ITL</v>
          </cell>
          <cell r="Q1" t="str">
            <v>CAD</v>
          </cell>
          <cell r="R1" t="str">
            <v>KZT</v>
          </cell>
          <cell r="S1" t="str">
            <v>LVL</v>
          </cell>
          <cell r="T1" t="str">
            <v>LTL</v>
          </cell>
          <cell r="U1" t="str">
            <v>MDL</v>
          </cell>
          <cell r="V1" t="str">
            <v>NLG</v>
          </cell>
          <cell r="W1" t="str">
            <v>DEM</v>
          </cell>
          <cell r="X1" t="str">
            <v>NOK</v>
          </cell>
          <cell r="Y1" t="str">
            <v>PLN</v>
          </cell>
          <cell r="Z1" t="str">
            <v>PTE</v>
          </cell>
          <cell r="AA1" t="str">
            <v>RUR</v>
          </cell>
          <cell r="AB1" t="str">
            <v>SGD</v>
          </cell>
          <cell r="AC1" t="str">
            <v>SKK</v>
          </cell>
          <cell r="AD1" t="str">
            <v>TRL</v>
          </cell>
          <cell r="AE1" t="str">
            <v>TMM</v>
          </cell>
          <cell r="AF1" t="str">
            <v>HUF</v>
          </cell>
          <cell r="AG1" t="str">
            <v>UZS</v>
          </cell>
          <cell r="AH1" t="str">
            <v>FIM</v>
          </cell>
          <cell r="AI1" t="str">
            <v>FRF</v>
          </cell>
          <cell r="AJ1" t="str">
            <v>CZK</v>
          </cell>
          <cell r="AK1" t="str">
            <v>SEK</v>
          </cell>
          <cell r="AL1" t="str">
            <v>CHF</v>
          </cell>
          <cell r="AM1" t="str">
            <v>JPY</v>
          </cell>
          <cell r="AN1" t="str">
            <v>EUR</v>
          </cell>
          <cell r="AO1" t="str">
            <v>XDR</v>
          </cell>
        </row>
        <row r="2">
          <cell r="B2" t="str">
            <v>січень</v>
          </cell>
        </row>
        <row r="3">
          <cell r="B3" t="str">
            <v>січень</v>
          </cell>
        </row>
        <row r="4">
          <cell r="B4" t="str">
            <v>січень</v>
          </cell>
        </row>
        <row r="5">
          <cell r="B5" t="str">
            <v>січень</v>
          </cell>
        </row>
        <row r="6">
          <cell r="B6" t="str">
            <v>січень</v>
          </cell>
        </row>
        <row r="7">
          <cell r="B7" t="str">
            <v>січень</v>
          </cell>
        </row>
        <row r="8">
          <cell r="B8" t="str">
            <v>січень</v>
          </cell>
        </row>
        <row r="9">
          <cell r="B9" t="str">
            <v>січень</v>
          </cell>
        </row>
        <row r="10">
          <cell r="B10" t="str">
            <v>січень</v>
          </cell>
        </row>
        <row r="11">
          <cell r="B11" t="str">
            <v>січень</v>
          </cell>
        </row>
        <row r="12">
          <cell r="B12" t="str">
            <v>січень</v>
          </cell>
        </row>
        <row r="13">
          <cell r="B13" t="str">
            <v>січень</v>
          </cell>
        </row>
        <row r="14">
          <cell r="B14" t="str">
            <v>січень</v>
          </cell>
        </row>
        <row r="15">
          <cell r="B15" t="str">
            <v>січень</v>
          </cell>
        </row>
        <row r="16">
          <cell r="B16" t="str">
            <v>січень</v>
          </cell>
        </row>
        <row r="17">
          <cell r="B17" t="str">
            <v>січень</v>
          </cell>
        </row>
        <row r="18">
          <cell r="B18" t="str">
            <v>січень</v>
          </cell>
        </row>
        <row r="19">
          <cell r="B19" t="str">
            <v>січень</v>
          </cell>
        </row>
        <row r="20">
          <cell r="B20" t="str">
            <v>січень</v>
          </cell>
        </row>
        <row r="21">
          <cell r="B21" t="str">
            <v>січень</v>
          </cell>
        </row>
        <row r="22">
          <cell r="B22" t="str">
            <v>січень</v>
          </cell>
        </row>
        <row r="23">
          <cell r="B23" t="str">
            <v>січень</v>
          </cell>
        </row>
        <row r="24">
          <cell r="B24" t="str">
            <v>січень</v>
          </cell>
        </row>
        <row r="25">
          <cell r="B25" t="str">
            <v>січень</v>
          </cell>
        </row>
        <row r="26">
          <cell r="B26" t="str">
            <v>січень</v>
          </cell>
        </row>
        <row r="27">
          <cell r="B27" t="str">
            <v>січень</v>
          </cell>
        </row>
        <row r="28">
          <cell r="B28" t="str">
            <v>січень</v>
          </cell>
        </row>
        <row r="29">
          <cell r="B29" t="str">
            <v>січень</v>
          </cell>
        </row>
        <row r="30">
          <cell r="B30" t="str">
            <v>січень</v>
          </cell>
        </row>
        <row r="31">
          <cell r="B31" t="str">
            <v>січень</v>
          </cell>
        </row>
        <row r="32">
          <cell r="B32" t="str">
            <v>січень</v>
          </cell>
        </row>
        <row r="33">
          <cell r="B33" t="str">
            <v>січень середнє</v>
          </cell>
        </row>
        <row r="34">
          <cell r="B34" t="str">
            <v>лютий</v>
          </cell>
        </row>
        <row r="35">
          <cell r="B35" t="str">
            <v>лютий</v>
          </cell>
        </row>
        <row r="36">
          <cell r="B36" t="str">
            <v>лютий</v>
          </cell>
        </row>
        <row r="37">
          <cell r="B37" t="str">
            <v>лютий</v>
          </cell>
        </row>
        <row r="38">
          <cell r="B38" t="str">
            <v>лютий</v>
          </cell>
        </row>
        <row r="39">
          <cell r="B39" t="str">
            <v>лютий</v>
          </cell>
        </row>
        <row r="40">
          <cell r="B40" t="str">
            <v>лютий</v>
          </cell>
        </row>
        <row r="41">
          <cell r="B41" t="str">
            <v>лютий</v>
          </cell>
        </row>
        <row r="42">
          <cell r="B42" t="str">
            <v>лютий</v>
          </cell>
        </row>
        <row r="43">
          <cell r="B43" t="str">
            <v>лютий</v>
          </cell>
        </row>
        <row r="44">
          <cell r="B44" t="str">
            <v>лютий</v>
          </cell>
        </row>
        <row r="45">
          <cell r="B45" t="str">
            <v>лютий</v>
          </cell>
        </row>
        <row r="46">
          <cell r="B46" t="str">
            <v>лютий</v>
          </cell>
        </row>
        <row r="47">
          <cell r="B47" t="str">
            <v>лютий</v>
          </cell>
        </row>
        <row r="48">
          <cell r="B48" t="str">
            <v>лютий</v>
          </cell>
        </row>
        <row r="49">
          <cell r="B49" t="str">
            <v>лютий</v>
          </cell>
        </row>
        <row r="50">
          <cell r="B50" t="str">
            <v>лютий</v>
          </cell>
        </row>
        <row r="51">
          <cell r="B51" t="str">
            <v>лютий</v>
          </cell>
        </row>
        <row r="52">
          <cell r="B52" t="str">
            <v>лютий</v>
          </cell>
        </row>
        <row r="53">
          <cell r="B53" t="str">
            <v>лютий</v>
          </cell>
        </row>
        <row r="54">
          <cell r="B54" t="str">
            <v>лютий</v>
          </cell>
        </row>
        <row r="55">
          <cell r="B55" t="str">
            <v>лютий</v>
          </cell>
        </row>
        <row r="56">
          <cell r="B56" t="str">
            <v>лютий</v>
          </cell>
        </row>
        <row r="57">
          <cell r="B57" t="str">
            <v>лютий</v>
          </cell>
        </row>
        <row r="58">
          <cell r="B58" t="str">
            <v>лютий</v>
          </cell>
        </row>
        <row r="59">
          <cell r="B59" t="str">
            <v>лютий</v>
          </cell>
        </row>
        <row r="60">
          <cell r="B60" t="str">
            <v>лютий</v>
          </cell>
        </row>
        <row r="61">
          <cell r="B61" t="str">
            <v>лютий</v>
          </cell>
        </row>
        <row r="62">
          <cell r="B62" t="str">
            <v>лютий середнє</v>
          </cell>
        </row>
        <row r="63">
          <cell r="B63" t="str">
            <v>березень</v>
          </cell>
        </row>
        <row r="64">
          <cell r="B64" t="str">
            <v>березень</v>
          </cell>
        </row>
        <row r="65">
          <cell r="B65" t="str">
            <v>березень</v>
          </cell>
        </row>
        <row r="66">
          <cell r="B66" t="str">
            <v>березень</v>
          </cell>
        </row>
        <row r="67">
          <cell r="B67" t="str">
            <v>березень</v>
          </cell>
        </row>
        <row r="68">
          <cell r="B68" t="str">
            <v>березень</v>
          </cell>
        </row>
        <row r="69">
          <cell r="B69" t="str">
            <v>березень</v>
          </cell>
        </row>
        <row r="70">
          <cell r="B70" t="str">
            <v>березень</v>
          </cell>
        </row>
        <row r="71">
          <cell r="B71" t="str">
            <v>березень</v>
          </cell>
        </row>
        <row r="72">
          <cell r="B72" t="str">
            <v>березень</v>
          </cell>
        </row>
        <row r="73">
          <cell r="B73" t="str">
            <v>березень</v>
          </cell>
        </row>
        <row r="74">
          <cell r="B74" t="str">
            <v>березень</v>
          </cell>
        </row>
        <row r="75">
          <cell r="B75" t="str">
            <v>березень</v>
          </cell>
        </row>
        <row r="76">
          <cell r="B76" t="str">
            <v>березень</v>
          </cell>
        </row>
        <row r="77">
          <cell r="B77" t="str">
            <v>березень</v>
          </cell>
        </row>
        <row r="78">
          <cell r="B78" t="str">
            <v>березень</v>
          </cell>
        </row>
        <row r="79">
          <cell r="B79" t="str">
            <v>березень</v>
          </cell>
        </row>
        <row r="80">
          <cell r="B80" t="str">
            <v>березень</v>
          </cell>
        </row>
        <row r="81">
          <cell r="B81" t="str">
            <v>березень</v>
          </cell>
        </row>
        <row r="82">
          <cell r="B82" t="str">
            <v>березень</v>
          </cell>
        </row>
        <row r="83">
          <cell r="B83" t="str">
            <v>березень</v>
          </cell>
        </row>
        <row r="84">
          <cell r="B84" t="str">
            <v>березень</v>
          </cell>
        </row>
        <row r="85">
          <cell r="B85" t="str">
            <v>березень</v>
          </cell>
        </row>
        <row r="86">
          <cell r="B86" t="str">
            <v>березень</v>
          </cell>
        </row>
        <row r="87">
          <cell r="B87" t="str">
            <v>березень</v>
          </cell>
        </row>
        <row r="88">
          <cell r="B88" t="str">
            <v>березень</v>
          </cell>
        </row>
        <row r="89">
          <cell r="B89" t="str">
            <v>березень</v>
          </cell>
        </row>
        <row r="90">
          <cell r="B90" t="str">
            <v>березень</v>
          </cell>
        </row>
        <row r="91">
          <cell r="B91" t="str">
            <v>березень</v>
          </cell>
        </row>
        <row r="92">
          <cell r="B92" t="str">
            <v>березень</v>
          </cell>
        </row>
        <row r="93">
          <cell r="B93" t="str">
            <v>березень</v>
          </cell>
        </row>
        <row r="94">
          <cell r="B94" t="str">
            <v>березень середнє</v>
          </cell>
        </row>
        <row r="95">
          <cell r="B95" t="str">
            <v>квітень</v>
          </cell>
        </row>
        <row r="96">
          <cell r="B96" t="str">
            <v>квітень</v>
          </cell>
        </row>
        <row r="97">
          <cell r="B97" t="str">
            <v>квітень</v>
          </cell>
        </row>
        <row r="98">
          <cell r="B98" t="str">
            <v>квітень</v>
          </cell>
        </row>
        <row r="99">
          <cell r="B99" t="str">
            <v>квітень</v>
          </cell>
        </row>
        <row r="100">
          <cell r="B100" t="str">
            <v>квітень</v>
          </cell>
        </row>
        <row r="101">
          <cell r="B101" t="str">
            <v>квітень</v>
          </cell>
        </row>
        <row r="102">
          <cell r="B102" t="str">
            <v>квітень</v>
          </cell>
        </row>
        <row r="103">
          <cell r="B103" t="str">
            <v>квітень</v>
          </cell>
        </row>
        <row r="104">
          <cell r="B104" t="str">
            <v>квітень</v>
          </cell>
        </row>
        <row r="105">
          <cell r="B105" t="str">
            <v>квітень</v>
          </cell>
        </row>
        <row r="106">
          <cell r="B106" t="str">
            <v>квітень</v>
          </cell>
        </row>
        <row r="107">
          <cell r="B107" t="str">
            <v>квітень</v>
          </cell>
        </row>
        <row r="108">
          <cell r="B108" t="str">
            <v>квітень</v>
          </cell>
        </row>
        <row r="109">
          <cell r="B109" t="str">
            <v>квітень</v>
          </cell>
        </row>
        <row r="110">
          <cell r="B110" t="str">
            <v>квітень</v>
          </cell>
        </row>
        <row r="111">
          <cell r="B111" t="str">
            <v>квітень</v>
          </cell>
        </row>
        <row r="112">
          <cell r="B112" t="str">
            <v>квітень</v>
          </cell>
        </row>
        <row r="113">
          <cell r="B113" t="str">
            <v>квітень</v>
          </cell>
        </row>
        <row r="114">
          <cell r="B114" t="str">
            <v>квітень</v>
          </cell>
        </row>
        <row r="115">
          <cell r="B115" t="str">
            <v>квітень</v>
          </cell>
        </row>
        <row r="116">
          <cell r="B116" t="str">
            <v>квітень</v>
          </cell>
        </row>
        <row r="117">
          <cell r="B117" t="str">
            <v>квітень</v>
          </cell>
        </row>
        <row r="118">
          <cell r="B118" t="str">
            <v>квітень</v>
          </cell>
        </row>
        <row r="119">
          <cell r="B119" t="str">
            <v>квітень</v>
          </cell>
        </row>
        <row r="120">
          <cell r="B120" t="str">
            <v>квітень</v>
          </cell>
        </row>
        <row r="121">
          <cell r="B121" t="str">
            <v>квітень</v>
          </cell>
        </row>
        <row r="122">
          <cell r="B122" t="str">
            <v>квітень</v>
          </cell>
        </row>
        <row r="123">
          <cell r="B123" t="str">
            <v>квітень</v>
          </cell>
        </row>
        <row r="124">
          <cell r="B124" t="str">
            <v>квітень</v>
          </cell>
        </row>
        <row r="125">
          <cell r="B125" t="str">
            <v>квітень середнє</v>
          </cell>
        </row>
        <row r="126">
          <cell r="B126" t="str">
            <v>травень</v>
          </cell>
        </row>
        <row r="127">
          <cell r="B127" t="str">
            <v>травень</v>
          </cell>
        </row>
        <row r="128">
          <cell r="B128" t="str">
            <v>травень</v>
          </cell>
        </row>
        <row r="129">
          <cell r="B129" t="str">
            <v>травень</v>
          </cell>
        </row>
        <row r="130">
          <cell r="B130" t="str">
            <v>травень</v>
          </cell>
        </row>
        <row r="131">
          <cell r="B131" t="str">
            <v>травень</v>
          </cell>
        </row>
        <row r="132">
          <cell r="B132" t="str">
            <v>травень</v>
          </cell>
        </row>
        <row r="133">
          <cell r="B133" t="str">
            <v>травень</v>
          </cell>
        </row>
        <row r="134">
          <cell r="B134" t="str">
            <v>травень</v>
          </cell>
        </row>
        <row r="135">
          <cell r="B135" t="str">
            <v>травень</v>
          </cell>
        </row>
        <row r="136">
          <cell r="B136" t="str">
            <v>травень</v>
          </cell>
        </row>
        <row r="137">
          <cell r="B137" t="str">
            <v>травень</v>
          </cell>
        </row>
        <row r="138">
          <cell r="B138" t="str">
            <v>травень</v>
          </cell>
        </row>
        <row r="139">
          <cell r="B139" t="str">
            <v>травень</v>
          </cell>
        </row>
        <row r="140">
          <cell r="B140" t="str">
            <v>травень</v>
          </cell>
        </row>
        <row r="141">
          <cell r="B141" t="str">
            <v>травень</v>
          </cell>
        </row>
        <row r="142">
          <cell r="B142" t="str">
            <v>травень</v>
          </cell>
        </row>
        <row r="143">
          <cell r="B143" t="str">
            <v>травень</v>
          </cell>
        </row>
        <row r="144">
          <cell r="B144" t="str">
            <v>травень</v>
          </cell>
        </row>
        <row r="145">
          <cell r="B145" t="str">
            <v>травень</v>
          </cell>
        </row>
        <row r="146">
          <cell r="B146" t="str">
            <v>травень</v>
          </cell>
        </row>
        <row r="147">
          <cell r="B147" t="str">
            <v>травень</v>
          </cell>
        </row>
        <row r="148">
          <cell r="B148" t="str">
            <v>травень</v>
          </cell>
        </row>
        <row r="149">
          <cell r="B149" t="str">
            <v>травень</v>
          </cell>
        </row>
        <row r="150">
          <cell r="B150" t="str">
            <v>травень</v>
          </cell>
        </row>
        <row r="151">
          <cell r="B151" t="str">
            <v>травень</v>
          </cell>
        </row>
        <row r="152">
          <cell r="B152" t="str">
            <v>травень</v>
          </cell>
        </row>
        <row r="153">
          <cell r="B153" t="str">
            <v>травень</v>
          </cell>
        </row>
        <row r="154">
          <cell r="B154" t="str">
            <v>травень</v>
          </cell>
        </row>
        <row r="155">
          <cell r="B155" t="str">
            <v>травень</v>
          </cell>
        </row>
        <row r="156">
          <cell r="B156" t="str">
            <v>травень</v>
          </cell>
        </row>
        <row r="157">
          <cell r="B157" t="str">
            <v>травень середнє</v>
          </cell>
        </row>
        <row r="158">
          <cell r="B158" t="str">
            <v>червень</v>
          </cell>
        </row>
        <row r="159">
          <cell r="B159" t="str">
            <v>червень</v>
          </cell>
        </row>
        <row r="160">
          <cell r="B160" t="str">
            <v>червень</v>
          </cell>
        </row>
        <row r="161">
          <cell r="B161" t="str">
            <v>червень</v>
          </cell>
        </row>
        <row r="162">
          <cell r="B162" t="str">
            <v>червень</v>
          </cell>
        </row>
        <row r="163">
          <cell r="B163" t="str">
            <v>червень</v>
          </cell>
        </row>
        <row r="164">
          <cell r="B164" t="str">
            <v>червень</v>
          </cell>
        </row>
        <row r="165">
          <cell r="B165" t="str">
            <v>червень</v>
          </cell>
        </row>
        <row r="166">
          <cell r="B166" t="str">
            <v>червень</v>
          </cell>
        </row>
        <row r="167">
          <cell r="B167" t="str">
            <v>червень</v>
          </cell>
        </row>
        <row r="168">
          <cell r="B168" t="str">
            <v>червень</v>
          </cell>
        </row>
        <row r="169">
          <cell r="B169" t="str">
            <v>червень</v>
          </cell>
        </row>
        <row r="170">
          <cell r="B170" t="str">
            <v>червень</v>
          </cell>
        </row>
        <row r="171">
          <cell r="B171" t="str">
            <v>червень</v>
          </cell>
        </row>
        <row r="172">
          <cell r="B172" t="str">
            <v>червень</v>
          </cell>
        </row>
        <row r="173">
          <cell r="B173" t="str">
            <v>червень</v>
          </cell>
        </row>
        <row r="174">
          <cell r="B174" t="str">
            <v>червень</v>
          </cell>
        </row>
        <row r="175">
          <cell r="B175" t="str">
            <v>червень</v>
          </cell>
        </row>
        <row r="176">
          <cell r="B176" t="str">
            <v>червень</v>
          </cell>
        </row>
        <row r="177">
          <cell r="B177" t="str">
            <v>червень</v>
          </cell>
        </row>
        <row r="178">
          <cell r="B178" t="str">
            <v>червень</v>
          </cell>
        </row>
        <row r="179">
          <cell r="B179" t="str">
            <v>червень</v>
          </cell>
        </row>
        <row r="180">
          <cell r="B180" t="str">
            <v>червень</v>
          </cell>
        </row>
        <row r="181">
          <cell r="B181" t="str">
            <v>червень</v>
          </cell>
        </row>
        <row r="182">
          <cell r="B182" t="str">
            <v>червень</v>
          </cell>
        </row>
        <row r="183">
          <cell r="B183" t="str">
            <v>червень</v>
          </cell>
        </row>
        <row r="184">
          <cell r="B184" t="str">
            <v>червень</v>
          </cell>
        </row>
        <row r="185">
          <cell r="B185" t="str">
            <v>червень</v>
          </cell>
        </row>
        <row r="186">
          <cell r="B186" t="str">
            <v>червень</v>
          </cell>
        </row>
        <row r="187">
          <cell r="B187" t="str">
            <v>червень</v>
          </cell>
        </row>
        <row r="188">
          <cell r="B188" t="str">
            <v>червень середнє</v>
          </cell>
        </row>
        <row r="189">
          <cell r="B189" t="str">
            <v>липень</v>
          </cell>
        </row>
        <row r="190">
          <cell r="B190" t="str">
            <v>липень</v>
          </cell>
        </row>
        <row r="191">
          <cell r="B191" t="str">
            <v>липень</v>
          </cell>
        </row>
        <row r="192">
          <cell r="B192" t="str">
            <v>липень</v>
          </cell>
        </row>
        <row r="193">
          <cell r="B193" t="str">
            <v>липень</v>
          </cell>
        </row>
        <row r="194">
          <cell r="B194" t="str">
            <v>липень</v>
          </cell>
        </row>
        <row r="195">
          <cell r="B195" t="str">
            <v>липень</v>
          </cell>
        </row>
        <row r="196">
          <cell r="B196" t="str">
            <v>липень</v>
          </cell>
        </row>
        <row r="197">
          <cell r="B197" t="str">
            <v>липень</v>
          </cell>
        </row>
        <row r="198">
          <cell r="B198" t="str">
            <v>липень</v>
          </cell>
        </row>
        <row r="199">
          <cell r="B199" t="str">
            <v>липень</v>
          </cell>
        </row>
        <row r="200">
          <cell r="B200" t="str">
            <v>липень</v>
          </cell>
        </row>
        <row r="201">
          <cell r="B201" t="str">
            <v>липень</v>
          </cell>
        </row>
        <row r="202">
          <cell r="B202" t="str">
            <v>липень</v>
          </cell>
        </row>
        <row r="203">
          <cell r="B203" t="str">
            <v>липень</v>
          </cell>
        </row>
        <row r="204">
          <cell r="B204" t="str">
            <v>липень</v>
          </cell>
        </row>
        <row r="205">
          <cell r="B205" t="str">
            <v>липень</v>
          </cell>
        </row>
        <row r="206">
          <cell r="B206" t="str">
            <v>липень</v>
          </cell>
        </row>
        <row r="207">
          <cell r="B207" t="str">
            <v>липень</v>
          </cell>
        </row>
        <row r="208">
          <cell r="B208" t="str">
            <v>липень</v>
          </cell>
        </row>
        <row r="209">
          <cell r="B209" t="str">
            <v>липень</v>
          </cell>
        </row>
        <row r="210">
          <cell r="B210" t="str">
            <v>липень</v>
          </cell>
        </row>
        <row r="211">
          <cell r="B211" t="str">
            <v>липень</v>
          </cell>
        </row>
        <row r="212">
          <cell r="B212" t="str">
            <v>липень</v>
          </cell>
        </row>
        <row r="213">
          <cell r="B213" t="str">
            <v>липень</v>
          </cell>
        </row>
        <row r="214">
          <cell r="B214" t="str">
            <v>липень</v>
          </cell>
        </row>
        <row r="215">
          <cell r="B215" t="str">
            <v>липень</v>
          </cell>
        </row>
        <row r="216">
          <cell r="B216" t="str">
            <v>липень</v>
          </cell>
        </row>
        <row r="217">
          <cell r="B217" t="str">
            <v>липень</v>
          </cell>
        </row>
        <row r="218">
          <cell r="B218" t="str">
            <v>липень</v>
          </cell>
        </row>
        <row r="219">
          <cell r="B219" t="str">
            <v>липень</v>
          </cell>
        </row>
        <row r="220">
          <cell r="B220" t="str">
            <v>липень середнє</v>
          </cell>
        </row>
        <row r="221">
          <cell r="B221" t="str">
            <v>серпень</v>
          </cell>
        </row>
        <row r="222">
          <cell r="B222" t="str">
            <v>серпень</v>
          </cell>
        </row>
        <row r="223">
          <cell r="B223" t="str">
            <v>серпень</v>
          </cell>
        </row>
        <row r="224">
          <cell r="B224" t="str">
            <v>серпень</v>
          </cell>
        </row>
        <row r="225">
          <cell r="B225" t="str">
            <v>серпень</v>
          </cell>
        </row>
        <row r="226">
          <cell r="B226" t="str">
            <v>серпень</v>
          </cell>
        </row>
        <row r="227">
          <cell r="B227" t="str">
            <v>серпень</v>
          </cell>
        </row>
        <row r="228">
          <cell r="B228" t="str">
            <v>серпень</v>
          </cell>
        </row>
        <row r="229">
          <cell r="B229" t="str">
            <v>серпень</v>
          </cell>
        </row>
        <row r="230">
          <cell r="B230" t="str">
            <v>серпень</v>
          </cell>
        </row>
        <row r="231">
          <cell r="B231" t="str">
            <v>серпень</v>
          </cell>
        </row>
        <row r="232">
          <cell r="B232" t="str">
            <v>серпень</v>
          </cell>
        </row>
        <row r="233">
          <cell r="B233" t="str">
            <v>серпень</v>
          </cell>
        </row>
        <row r="234">
          <cell r="B234" t="str">
            <v>серпень</v>
          </cell>
        </row>
        <row r="235">
          <cell r="B235" t="str">
            <v>серпень</v>
          </cell>
        </row>
        <row r="236">
          <cell r="B236" t="str">
            <v>серпень</v>
          </cell>
        </row>
        <row r="237">
          <cell r="B237" t="str">
            <v>серпень</v>
          </cell>
        </row>
        <row r="238">
          <cell r="B238" t="str">
            <v>серпень</v>
          </cell>
        </row>
        <row r="239">
          <cell r="B239" t="str">
            <v>серпень</v>
          </cell>
        </row>
        <row r="240">
          <cell r="B240" t="str">
            <v>серпень</v>
          </cell>
        </row>
        <row r="241">
          <cell r="B241" t="str">
            <v>серпень</v>
          </cell>
        </row>
        <row r="242">
          <cell r="B242" t="str">
            <v>серпень</v>
          </cell>
        </row>
        <row r="243">
          <cell r="B243" t="str">
            <v>серпень</v>
          </cell>
        </row>
        <row r="244">
          <cell r="B244" t="str">
            <v>серпень</v>
          </cell>
        </row>
        <row r="245">
          <cell r="B245" t="str">
            <v>серпень</v>
          </cell>
        </row>
        <row r="246">
          <cell r="B246" t="str">
            <v>серпень</v>
          </cell>
        </row>
        <row r="247">
          <cell r="B247" t="str">
            <v>серпень</v>
          </cell>
        </row>
        <row r="248">
          <cell r="B248" t="str">
            <v>серпень</v>
          </cell>
        </row>
        <row r="249">
          <cell r="B249" t="str">
            <v>серпень</v>
          </cell>
        </row>
        <row r="250">
          <cell r="B250" t="str">
            <v>серпень</v>
          </cell>
        </row>
        <row r="251">
          <cell r="B251" t="str">
            <v>серпень</v>
          </cell>
        </row>
        <row r="252">
          <cell r="B252" t="str">
            <v>серпень середнє</v>
          </cell>
        </row>
        <row r="253">
          <cell r="B253" t="str">
            <v>вересень</v>
          </cell>
        </row>
        <row r="254">
          <cell r="B254" t="str">
            <v>вересень</v>
          </cell>
        </row>
        <row r="255">
          <cell r="B255" t="str">
            <v>вересень</v>
          </cell>
        </row>
        <row r="256">
          <cell r="B256" t="str">
            <v>вересень</v>
          </cell>
        </row>
        <row r="257">
          <cell r="B257" t="str">
            <v>вересень</v>
          </cell>
        </row>
        <row r="258">
          <cell r="B258" t="str">
            <v>вересень</v>
          </cell>
        </row>
        <row r="259">
          <cell r="B259" t="str">
            <v>вересень</v>
          </cell>
        </row>
        <row r="260">
          <cell r="B260" t="str">
            <v>вересень</v>
          </cell>
        </row>
        <row r="261">
          <cell r="B261" t="str">
            <v>вересень</v>
          </cell>
        </row>
        <row r="262">
          <cell r="B262" t="str">
            <v>вересень</v>
          </cell>
        </row>
        <row r="263">
          <cell r="B263" t="str">
            <v>вересень</v>
          </cell>
        </row>
        <row r="264">
          <cell r="B264" t="str">
            <v>вересень</v>
          </cell>
        </row>
        <row r="265">
          <cell r="B265" t="str">
            <v>вересень</v>
          </cell>
        </row>
        <row r="266">
          <cell r="B266" t="str">
            <v>вересень</v>
          </cell>
        </row>
        <row r="267">
          <cell r="B267" t="str">
            <v>вересень</v>
          </cell>
        </row>
        <row r="268">
          <cell r="B268" t="str">
            <v>вересень</v>
          </cell>
        </row>
        <row r="269">
          <cell r="B269" t="str">
            <v>вересень</v>
          </cell>
        </row>
        <row r="270">
          <cell r="B270" t="str">
            <v>вересень</v>
          </cell>
        </row>
        <row r="271">
          <cell r="B271" t="str">
            <v>вересень</v>
          </cell>
        </row>
        <row r="272">
          <cell r="B272" t="str">
            <v>вересень</v>
          </cell>
        </row>
        <row r="273">
          <cell r="B273" t="str">
            <v>вересень</v>
          </cell>
        </row>
        <row r="274">
          <cell r="B274" t="str">
            <v>вересень</v>
          </cell>
        </row>
        <row r="275">
          <cell r="B275" t="str">
            <v>вересень</v>
          </cell>
        </row>
        <row r="276">
          <cell r="B276" t="str">
            <v>вересень</v>
          </cell>
        </row>
        <row r="277">
          <cell r="B277" t="str">
            <v>вересень</v>
          </cell>
        </row>
        <row r="278">
          <cell r="B278" t="str">
            <v>вересень</v>
          </cell>
        </row>
        <row r="279">
          <cell r="B279" t="str">
            <v>вересень</v>
          </cell>
        </row>
        <row r="280">
          <cell r="B280" t="str">
            <v>вересень</v>
          </cell>
        </row>
        <row r="281">
          <cell r="B281" t="str">
            <v>вересень</v>
          </cell>
        </row>
        <row r="282">
          <cell r="B282" t="str">
            <v>вересень</v>
          </cell>
        </row>
        <row r="283">
          <cell r="B283" t="str">
            <v>вересень середнє</v>
          </cell>
        </row>
        <row r="284">
          <cell r="B284" t="str">
            <v>жовтень</v>
          </cell>
        </row>
        <row r="285">
          <cell r="B285" t="str">
            <v>жовтень</v>
          </cell>
        </row>
        <row r="286">
          <cell r="B286" t="str">
            <v>жовтень</v>
          </cell>
        </row>
        <row r="287">
          <cell r="B287" t="str">
            <v>жовтень</v>
          </cell>
        </row>
        <row r="288">
          <cell r="B288" t="str">
            <v>жовтень</v>
          </cell>
        </row>
        <row r="289">
          <cell r="B289" t="str">
            <v>жовтень</v>
          </cell>
        </row>
        <row r="290">
          <cell r="B290" t="str">
            <v>жовтень</v>
          </cell>
        </row>
        <row r="291">
          <cell r="B291" t="str">
            <v>жовтень</v>
          </cell>
        </row>
        <row r="292">
          <cell r="B292" t="str">
            <v>жовтень</v>
          </cell>
        </row>
        <row r="293">
          <cell r="B293" t="str">
            <v>жовтень</v>
          </cell>
        </row>
        <row r="294">
          <cell r="B294" t="str">
            <v>жовтень</v>
          </cell>
        </row>
        <row r="295">
          <cell r="B295" t="str">
            <v>жовтень</v>
          </cell>
        </row>
        <row r="296">
          <cell r="B296" t="str">
            <v>жовтень</v>
          </cell>
        </row>
        <row r="297">
          <cell r="B297" t="str">
            <v>жовтень</v>
          </cell>
        </row>
        <row r="298">
          <cell r="B298" t="str">
            <v>жовтень</v>
          </cell>
        </row>
        <row r="299">
          <cell r="B299" t="str">
            <v>жовтень</v>
          </cell>
        </row>
        <row r="300">
          <cell r="B300" t="str">
            <v>жовтень</v>
          </cell>
        </row>
        <row r="301">
          <cell r="B301" t="str">
            <v>жовтень</v>
          </cell>
        </row>
        <row r="302">
          <cell r="B302" t="str">
            <v>жовтень</v>
          </cell>
        </row>
        <row r="303">
          <cell r="B303" t="str">
            <v>жовтень</v>
          </cell>
        </row>
        <row r="304">
          <cell r="B304" t="str">
            <v>жовтень</v>
          </cell>
        </row>
        <row r="305">
          <cell r="B305" t="str">
            <v>жовтень</v>
          </cell>
        </row>
        <row r="306">
          <cell r="B306" t="str">
            <v>жовтень</v>
          </cell>
        </row>
        <row r="307">
          <cell r="B307" t="str">
            <v>жовтень</v>
          </cell>
        </row>
        <row r="308">
          <cell r="B308" t="str">
            <v>жовтень</v>
          </cell>
        </row>
        <row r="309">
          <cell r="B309" t="str">
            <v>жовтень</v>
          </cell>
        </row>
        <row r="310">
          <cell r="B310" t="str">
            <v>жовтень</v>
          </cell>
        </row>
        <row r="311">
          <cell r="B311" t="str">
            <v>жовтень</v>
          </cell>
        </row>
        <row r="312">
          <cell r="B312" t="str">
            <v>жовтень</v>
          </cell>
        </row>
        <row r="313">
          <cell r="B313" t="str">
            <v>жовтень</v>
          </cell>
        </row>
        <row r="314">
          <cell r="B314" t="str">
            <v>жовтень</v>
          </cell>
        </row>
        <row r="315">
          <cell r="B315" t="str">
            <v>жовтень середнє</v>
          </cell>
        </row>
        <row r="316">
          <cell r="B316" t="str">
            <v>листопад</v>
          </cell>
        </row>
        <row r="317">
          <cell r="B317" t="str">
            <v>листопад</v>
          </cell>
        </row>
        <row r="318">
          <cell r="B318" t="str">
            <v>листопад</v>
          </cell>
        </row>
        <row r="319">
          <cell r="B319" t="str">
            <v>листопад</v>
          </cell>
        </row>
        <row r="320">
          <cell r="B320" t="str">
            <v>листопад</v>
          </cell>
        </row>
        <row r="321">
          <cell r="B321" t="str">
            <v>листопад</v>
          </cell>
        </row>
        <row r="322">
          <cell r="B322" t="str">
            <v>листопад</v>
          </cell>
        </row>
        <row r="323">
          <cell r="B323" t="str">
            <v>листопад</v>
          </cell>
        </row>
        <row r="324">
          <cell r="B324" t="str">
            <v>листопад</v>
          </cell>
        </row>
        <row r="325">
          <cell r="B325" t="str">
            <v>листопад</v>
          </cell>
        </row>
        <row r="326">
          <cell r="B326" t="str">
            <v>листопад</v>
          </cell>
        </row>
        <row r="327">
          <cell r="B327" t="str">
            <v>листопад</v>
          </cell>
        </row>
        <row r="328">
          <cell r="B328" t="str">
            <v>листопад</v>
          </cell>
        </row>
        <row r="329">
          <cell r="B329" t="str">
            <v>листопад</v>
          </cell>
        </row>
        <row r="330">
          <cell r="B330" t="str">
            <v>листопад</v>
          </cell>
        </row>
        <row r="331">
          <cell r="B331" t="str">
            <v>листопад</v>
          </cell>
        </row>
        <row r="332">
          <cell r="B332" t="str">
            <v>листопад</v>
          </cell>
        </row>
        <row r="333">
          <cell r="B333" t="str">
            <v>листопад</v>
          </cell>
        </row>
        <row r="334">
          <cell r="B334" t="str">
            <v>листопад</v>
          </cell>
        </row>
        <row r="335">
          <cell r="B335" t="str">
            <v>листопад</v>
          </cell>
        </row>
        <row r="336">
          <cell r="B336" t="str">
            <v>листопад</v>
          </cell>
        </row>
        <row r="337">
          <cell r="B337" t="str">
            <v>листопад</v>
          </cell>
        </row>
        <row r="338">
          <cell r="B338" t="str">
            <v>листопад</v>
          </cell>
        </row>
        <row r="339">
          <cell r="B339" t="str">
            <v>листопад</v>
          </cell>
        </row>
        <row r="340">
          <cell r="B340" t="str">
            <v>листопад</v>
          </cell>
        </row>
        <row r="341">
          <cell r="B341" t="str">
            <v>листопад</v>
          </cell>
        </row>
        <row r="342">
          <cell r="B342" t="str">
            <v>листопад</v>
          </cell>
        </row>
        <row r="343">
          <cell r="B343" t="str">
            <v>листопад</v>
          </cell>
        </row>
        <row r="344">
          <cell r="B344" t="str">
            <v>листопад</v>
          </cell>
        </row>
        <row r="345">
          <cell r="B345" t="str">
            <v>листопад</v>
          </cell>
        </row>
        <row r="346">
          <cell r="B346" t="str">
            <v>листопад середнє</v>
          </cell>
        </row>
        <row r="347">
          <cell r="B347" t="str">
            <v>грудень</v>
          </cell>
        </row>
        <row r="348">
          <cell r="B348" t="str">
            <v>грудень</v>
          </cell>
        </row>
        <row r="349">
          <cell r="B349" t="str">
            <v>грудень</v>
          </cell>
        </row>
        <row r="350">
          <cell r="B350" t="str">
            <v>грудень</v>
          </cell>
        </row>
        <row r="351">
          <cell r="B351" t="str">
            <v>грудень</v>
          </cell>
        </row>
        <row r="352">
          <cell r="B352" t="str">
            <v>грудень</v>
          </cell>
        </row>
        <row r="353">
          <cell r="B353" t="str">
            <v>грудень</v>
          </cell>
        </row>
        <row r="354">
          <cell r="B354" t="str">
            <v>грудень</v>
          </cell>
        </row>
        <row r="355">
          <cell r="B355" t="str">
            <v>грудень</v>
          </cell>
        </row>
        <row r="356">
          <cell r="B356" t="str">
            <v>грудень</v>
          </cell>
        </row>
        <row r="357">
          <cell r="B357" t="str">
            <v>грудень</v>
          </cell>
        </row>
        <row r="358">
          <cell r="B358" t="str">
            <v>грудень</v>
          </cell>
        </row>
        <row r="359">
          <cell r="B359" t="str">
            <v>грудень</v>
          </cell>
        </row>
        <row r="360">
          <cell r="B360" t="str">
            <v>грудень</v>
          </cell>
        </row>
        <row r="361">
          <cell r="B361" t="str">
            <v>грудень</v>
          </cell>
        </row>
        <row r="362">
          <cell r="B362" t="str">
            <v>грудень</v>
          </cell>
        </row>
        <row r="363">
          <cell r="B363" t="str">
            <v>грудень</v>
          </cell>
        </row>
        <row r="364">
          <cell r="B364" t="str">
            <v>грудень</v>
          </cell>
        </row>
        <row r="365">
          <cell r="B365" t="str">
            <v>грудень</v>
          </cell>
        </row>
        <row r="366">
          <cell r="B366" t="str">
            <v>грудень</v>
          </cell>
        </row>
        <row r="367">
          <cell r="B367" t="str">
            <v>грудень</v>
          </cell>
        </row>
        <row r="368">
          <cell r="B368" t="str">
            <v>грудень</v>
          </cell>
        </row>
        <row r="369">
          <cell r="B369" t="str">
            <v>грудень</v>
          </cell>
        </row>
        <row r="370">
          <cell r="B370" t="str">
            <v>грудень</v>
          </cell>
        </row>
        <row r="371">
          <cell r="B371" t="str">
            <v>грудень</v>
          </cell>
        </row>
        <row r="372">
          <cell r="B372" t="str">
            <v>грудень</v>
          </cell>
        </row>
        <row r="373">
          <cell r="B373" t="str">
            <v>грудень</v>
          </cell>
        </row>
        <row r="374">
          <cell r="B374" t="str">
            <v>грудень</v>
          </cell>
        </row>
        <row r="375">
          <cell r="B375" t="str">
            <v>грудень</v>
          </cell>
        </row>
        <row r="376">
          <cell r="B376" t="str">
            <v>грудень</v>
          </cell>
        </row>
        <row r="377">
          <cell r="B377" t="str">
            <v>грудень</v>
          </cell>
        </row>
        <row r="378">
          <cell r="B378" t="str">
            <v>грудень середнє</v>
          </cell>
        </row>
      </sheetData>
      <sheetData sheetId="8">
        <row r="2">
          <cell r="C2">
            <v>301.53859999999997</v>
          </cell>
          <cell r="D2">
            <v>36.749200000000002</v>
          </cell>
          <cell r="E2">
            <v>810.25509999999997</v>
          </cell>
          <cell r="F2">
            <v>11.9125</v>
          </cell>
          <cell r="G2">
            <v>125.3549</v>
          </cell>
          <cell r="H2">
            <v>4.4699999999999997E-2</v>
          </cell>
          <cell r="I2">
            <v>14.840199999999999</v>
          </cell>
          <cell r="J2">
            <v>67.757400000000004</v>
          </cell>
          <cell r="K2">
            <v>543.45000000000005</v>
          </cell>
          <cell r="L2">
            <v>32.318899999999999</v>
          </cell>
          <cell r="M2">
            <v>6.4173</v>
          </cell>
          <cell r="N2">
            <v>642.08140000000003</v>
          </cell>
          <cell r="O2">
            <v>30.391999999999999</v>
          </cell>
          <cell r="P2">
            <v>26.116199999999999</v>
          </cell>
          <cell r="Q2">
            <v>362.10539999999997</v>
          </cell>
          <cell r="R2">
            <v>3.7608999999999999</v>
          </cell>
          <cell r="S2">
            <v>879.36890000000005</v>
          </cell>
          <cell r="T2">
            <v>135.86250000000001</v>
          </cell>
          <cell r="U2">
            <v>43.8857</v>
          </cell>
          <cell r="V2">
            <v>229.46770000000001</v>
          </cell>
          <cell r="W2">
            <v>258.55020000000002</v>
          </cell>
          <cell r="X2">
            <v>61.417400000000001</v>
          </cell>
          <cell r="Y2">
            <v>131.35230000000001</v>
          </cell>
          <cell r="Z2">
            <v>2.5223</v>
          </cell>
          <cell r="AA2">
            <v>1.9298999999999999</v>
          </cell>
          <cell r="AB2">
            <v>313.58069999999998</v>
          </cell>
          <cell r="AC2">
            <v>11.510300000000001</v>
          </cell>
          <cell r="AD2">
            <v>8.1000000000000003E-2</v>
          </cell>
          <cell r="AE2">
            <v>10.451000000000001</v>
          </cell>
          <cell r="AF2">
            <v>19.0823</v>
          </cell>
          <cell r="AG2">
            <v>1.6721999999999999</v>
          </cell>
          <cell r="AH2">
            <v>85.049300000000002</v>
          </cell>
          <cell r="AI2">
            <v>77.090500000000006</v>
          </cell>
          <cell r="AJ2">
            <v>14.428599999999999</v>
          </cell>
          <cell r="AK2">
            <v>57.26</v>
          </cell>
          <cell r="AL2">
            <v>331.98540000000003</v>
          </cell>
          <cell r="AM2">
            <v>47.295200000000001</v>
          </cell>
          <cell r="AN2">
            <v>505.68020000000001</v>
          </cell>
          <cell r="AO2">
            <v>708.06529999999998</v>
          </cell>
        </row>
        <row r="3">
          <cell r="C3">
            <v>301.53859999999997</v>
          </cell>
          <cell r="D3">
            <v>36.749200000000002</v>
          </cell>
          <cell r="E3">
            <v>810.25509999999997</v>
          </cell>
          <cell r="F3">
            <v>11.9125</v>
          </cell>
          <cell r="G3">
            <v>125.3549</v>
          </cell>
          <cell r="H3">
            <v>4.4699999999999997E-2</v>
          </cell>
          <cell r="I3">
            <v>14.840199999999999</v>
          </cell>
          <cell r="J3">
            <v>67.757400000000004</v>
          </cell>
          <cell r="K3">
            <v>543.45000000000005</v>
          </cell>
          <cell r="L3">
            <v>32.318899999999999</v>
          </cell>
          <cell r="M3">
            <v>6.4173</v>
          </cell>
          <cell r="N3">
            <v>642.08140000000003</v>
          </cell>
          <cell r="O3">
            <v>30.391999999999999</v>
          </cell>
          <cell r="P3">
            <v>26.116199999999999</v>
          </cell>
          <cell r="Q3">
            <v>362.10539999999997</v>
          </cell>
          <cell r="R3">
            <v>3.7608999999999999</v>
          </cell>
          <cell r="S3">
            <v>879.36890000000005</v>
          </cell>
          <cell r="T3">
            <v>135.86250000000001</v>
          </cell>
          <cell r="U3">
            <v>43.8857</v>
          </cell>
          <cell r="V3">
            <v>229.46770000000001</v>
          </cell>
          <cell r="W3">
            <v>258.55020000000002</v>
          </cell>
          <cell r="X3">
            <v>61.417400000000001</v>
          </cell>
          <cell r="Y3">
            <v>131.35230000000001</v>
          </cell>
          <cell r="Z3">
            <v>2.5223</v>
          </cell>
          <cell r="AA3">
            <v>1.9298999999999999</v>
          </cell>
          <cell r="AB3">
            <v>313.58069999999998</v>
          </cell>
          <cell r="AC3">
            <v>11.510300000000001</v>
          </cell>
          <cell r="AD3">
            <v>8.1000000000000003E-2</v>
          </cell>
          <cell r="AE3">
            <v>10.451000000000001</v>
          </cell>
          <cell r="AF3">
            <v>19.0823</v>
          </cell>
          <cell r="AG3">
            <v>1.6721999999999999</v>
          </cell>
          <cell r="AH3">
            <v>85.049300000000002</v>
          </cell>
          <cell r="AI3">
            <v>77.090500000000006</v>
          </cell>
          <cell r="AJ3">
            <v>14.428599999999999</v>
          </cell>
          <cell r="AK3">
            <v>57.26</v>
          </cell>
          <cell r="AL3">
            <v>331.98540000000003</v>
          </cell>
          <cell r="AM3">
            <v>47.295200000000001</v>
          </cell>
          <cell r="AN3">
            <v>505.68020000000001</v>
          </cell>
          <cell r="AO3">
            <v>708.06529999999998</v>
          </cell>
        </row>
        <row r="4">
          <cell r="C4">
            <v>304.00290000000001</v>
          </cell>
          <cell r="D4">
            <v>37.215200000000003</v>
          </cell>
          <cell r="E4">
            <v>810.91520000000003</v>
          </cell>
          <cell r="F4">
            <v>11.9047</v>
          </cell>
          <cell r="G4">
            <v>126.94450000000001</v>
          </cell>
          <cell r="H4">
            <v>4.4699999999999997E-2</v>
          </cell>
          <cell r="I4">
            <v>15.0284</v>
          </cell>
          <cell r="J4">
            <v>68.635000000000005</v>
          </cell>
          <cell r="K4">
            <v>543.45000000000005</v>
          </cell>
          <cell r="L4">
            <v>32.728700000000003</v>
          </cell>
          <cell r="M4">
            <v>6.4211999999999998</v>
          </cell>
          <cell r="N4">
            <v>650.22389999999996</v>
          </cell>
          <cell r="O4">
            <v>30.7774</v>
          </cell>
          <cell r="P4">
            <v>26.447399999999998</v>
          </cell>
          <cell r="Q4">
            <v>362.8005</v>
          </cell>
          <cell r="R4">
            <v>3.7479</v>
          </cell>
          <cell r="S4">
            <v>879.36890000000005</v>
          </cell>
          <cell r="T4">
            <v>135.86250000000001</v>
          </cell>
          <cell r="U4">
            <v>43.8857</v>
          </cell>
          <cell r="V4">
            <v>232.3776</v>
          </cell>
          <cell r="W4">
            <v>261.82900000000001</v>
          </cell>
          <cell r="X4">
            <v>61.649700000000003</v>
          </cell>
          <cell r="Y4">
            <v>132.58070000000001</v>
          </cell>
          <cell r="Z4">
            <v>2.5543</v>
          </cell>
          <cell r="AA4">
            <v>1.9298999999999999</v>
          </cell>
          <cell r="AB4">
            <v>312.70940000000002</v>
          </cell>
          <cell r="AC4">
            <v>11.6759</v>
          </cell>
          <cell r="AD4">
            <v>8.1299999999999997E-2</v>
          </cell>
          <cell r="AE4">
            <v>10.451000000000001</v>
          </cell>
          <cell r="AF4">
            <v>19.354900000000001</v>
          </cell>
          <cell r="AG4">
            <v>1.6721999999999999</v>
          </cell>
          <cell r="AH4">
            <v>86.127799999999993</v>
          </cell>
          <cell r="AI4">
            <v>78.068100000000001</v>
          </cell>
          <cell r="AJ4">
            <v>14.5846</v>
          </cell>
          <cell r="AK4">
            <v>57.616199999999999</v>
          </cell>
          <cell r="AL4">
            <v>336.50479999999999</v>
          </cell>
          <cell r="AM4">
            <v>47.302100000000003</v>
          </cell>
          <cell r="AN4">
            <v>512.09289999999999</v>
          </cell>
          <cell r="AO4">
            <v>711.37969999999996</v>
          </cell>
        </row>
        <row r="5">
          <cell r="C5">
            <v>306.17129999999997</v>
          </cell>
          <cell r="D5">
            <v>37.636400000000002</v>
          </cell>
          <cell r="E5">
            <v>818.79650000000004</v>
          </cell>
          <cell r="F5">
            <v>11.904299999999999</v>
          </cell>
          <cell r="G5">
            <v>128.38130000000001</v>
          </cell>
          <cell r="H5">
            <v>4.4299999999999999E-2</v>
          </cell>
          <cell r="I5">
            <v>15.198499999999999</v>
          </cell>
          <cell r="J5">
            <v>69.426699999999997</v>
          </cell>
          <cell r="K5">
            <v>543.42999999999995</v>
          </cell>
          <cell r="L5">
            <v>33.0991</v>
          </cell>
          <cell r="M5">
            <v>6.4801000000000002</v>
          </cell>
          <cell r="N5">
            <v>657.58309999999994</v>
          </cell>
          <cell r="O5">
            <v>31.125699999999998</v>
          </cell>
          <cell r="P5">
            <v>26.746700000000001</v>
          </cell>
          <cell r="Q5">
            <v>363.0231</v>
          </cell>
          <cell r="R5">
            <v>3.7477999999999998</v>
          </cell>
          <cell r="S5">
            <v>892.33169999999996</v>
          </cell>
          <cell r="T5">
            <v>135.85749999999999</v>
          </cell>
          <cell r="U5">
            <v>43.887300000000003</v>
          </cell>
          <cell r="V5">
            <v>235.0077</v>
          </cell>
          <cell r="W5">
            <v>264.79230000000001</v>
          </cell>
          <cell r="X5">
            <v>62.287399999999998</v>
          </cell>
          <cell r="Y5">
            <v>132.68989999999999</v>
          </cell>
          <cell r="Z5">
            <v>2.5832000000000002</v>
          </cell>
          <cell r="AA5">
            <v>1.9298</v>
          </cell>
          <cell r="AB5">
            <v>313.77690000000001</v>
          </cell>
          <cell r="AC5">
            <v>11.773400000000001</v>
          </cell>
          <cell r="AD5">
            <v>8.1799999999999998E-2</v>
          </cell>
          <cell r="AE5">
            <v>10.4506</v>
          </cell>
          <cell r="AF5">
            <v>19.5762</v>
          </cell>
          <cell r="AG5">
            <v>1.6720999999999999</v>
          </cell>
          <cell r="AH5">
            <v>87.102599999999995</v>
          </cell>
          <cell r="AI5">
            <v>78.951599999999999</v>
          </cell>
          <cell r="AJ5">
            <v>14.64</v>
          </cell>
          <cell r="AK5">
            <v>57.886000000000003</v>
          </cell>
          <cell r="AL5">
            <v>340.26859999999999</v>
          </cell>
          <cell r="AM5">
            <v>47.565100000000001</v>
          </cell>
          <cell r="AN5">
            <v>517.88879999999995</v>
          </cell>
          <cell r="AO5">
            <v>714.7912</v>
          </cell>
        </row>
        <row r="6">
          <cell r="C6">
            <v>306.77109999999999</v>
          </cell>
          <cell r="D6">
            <v>37.353499999999997</v>
          </cell>
          <cell r="E6">
            <v>812.51189999999997</v>
          </cell>
          <cell r="F6">
            <v>11.9047</v>
          </cell>
          <cell r="G6">
            <v>127.416</v>
          </cell>
          <cell r="H6">
            <v>4.41E-2</v>
          </cell>
          <cell r="I6">
            <v>15.084199999999999</v>
          </cell>
          <cell r="J6">
            <v>68.878</v>
          </cell>
          <cell r="K6">
            <v>543.45000000000005</v>
          </cell>
          <cell r="L6">
            <v>32.850299999999997</v>
          </cell>
          <cell r="M6">
            <v>6.4409999999999998</v>
          </cell>
          <cell r="N6">
            <v>652.63900000000001</v>
          </cell>
          <cell r="O6">
            <v>30.8917</v>
          </cell>
          <cell r="P6">
            <v>26.5456</v>
          </cell>
          <cell r="Q6">
            <v>363.4785</v>
          </cell>
          <cell r="R6">
            <v>3.7479</v>
          </cell>
          <cell r="S6">
            <v>892.36450000000002</v>
          </cell>
          <cell r="T6">
            <v>135.86250000000001</v>
          </cell>
          <cell r="U6">
            <v>43.8889</v>
          </cell>
          <cell r="V6">
            <v>233.24080000000001</v>
          </cell>
          <cell r="W6">
            <v>262.80149999999998</v>
          </cell>
          <cell r="X6">
            <v>62.144199999999998</v>
          </cell>
          <cell r="Y6">
            <v>131.88149999999999</v>
          </cell>
          <cell r="Z6">
            <v>2.5638000000000001</v>
          </cell>
          <cell r="AA6">
            <v>1.9081999999999999</v>
          </cell>
          <cell r="AB6">
            <v>313.62189999999998</v>
          </cell>
          <cell r="AC6">
            <v>11.7356</v>
          </cell>
          <cell r="AD6">
            <v>8.1500000000000003E-2</v>
          </cell>
          <cell r="AE6">
            <v>10.451000000000001</v>
          </cell>
          <cell r="AF6">
            <v>19.4129</v>
          </cell>
          <cell r="AG6">
            <v>1.6721999999999999</v>
          </cell>
          <cell r="AH6">
            <v>86.447800000000001</v>
          </cell>
          <cell r="AI6">
            <v>78.358000000000004</v>
          </cell>
          <cell r="AJ6">
            <v>14.6187</v>
          </cell>
          <cell r="AK6">
            <v>57.653100000000002</v>
          </cell>
          <cell r="AL6">
            <v>337.77679999999998</v>
          </cell>
          <cell r="AM6">
            <v>47.482199999999999</v>
          </cell>
          <cell r="AN6">
            <v>513.995</v>
          </cell>
          <cell r="AO6">
            <v>712.62689999999998</v>
          </cell>
        </row>
        <row r="7">
          <cell r="C7">
            <v>309.9701</v>
          </cell>
          <cell r="D7">
            <v>37.695700000000002</v>
          </cell>
          <cell r="E7">
            <v>816.98519999999996</v>
          </cell>
          <cell r="F7">
            <v>11.904299999999999</v>
          </cell>
          <cell r="G7">
            <v>128.58330000000001</v>
          </cell>
          <cell r="H7">
            <v>4.3900000000000002E-2</v>
          </cell>
          <cell r="I7">
            <v>15.2224</v>
          </cell>
          <cell r="J7">
            <v>69.500600000000006</v>
          </cell>
          <cell r="K7">
            <v>543.42999999999995</v>
          </cell>
          <cell r="L7">
            <v>33.151200000000003</v>
          </cell>
          <cell r="M7">
            <v>6.4741</v>
          </cell>
          <cell r="N7">
            <v>658.61810000000003</v>
          </cell>
          <cell r="O7">
            <v>31.174700000000001</v>
          </cell>
          <cell r="P7">
            <v>26.788799999999998</v>
          </cell>
          <cell r="Q7">
            <v>361.51650000000001</v>
          </cell>
          <cell r="R7">
            <v>3.7477999999999998</v>
          </cell>
          <cell r="S7">
            <v>892.33169999999996</v>
          </cell>
          <cell r="T7">
            <v>135.85749999999999</v>
          </cell>
          <cell r="U7">
            <v>43.860700000000001</v>
          </cell>
          <cell r="V7">
            <v>235.3776</v>
          </cell>
          <cell r="W7">
            <v>265.20909999999998</v>
          </cell>
          <cell r="X7">
            <v>62.5623</v>
          </cell>
          <cell r="Y7">
            <v>133.34289999999999</v>
          </cell>
          <cell r="Z7">
            <v>2.5872999999999999</v>
          </cell>
          <cell r="AA7">
            <v>1.9115</v>
          </cell>
          <cell r="AB7">
            <v>313.39729999999997</v>
          </cell>
          <cell r="AC7">
            <v>11.8261</v>
          </cell>
          <cell r="AD7">
            <v>8.1699999999999995E-2</v>
          </cell>
          <cell r="AE7">
            <v>10.4506</v>
          </cell>
          <cell r="AF7">
            <v>19.583300000000001</v>
          </cell>
          <cell r="AG7">
            <v>1.6720999999999999</v>
          </cell>
          <cell r="AH7">
            <v>87.239699999999999</v>
          </cell>
          <cell r="AI7">
            <v>79.075900000000004</v>
          </cell>
          <cell r="AJ7">
            <v>14.7204</v>
          </cell>
          <cell r="AK7">
            <v>58.072499999999998</v>
          </cell>
          <cell r="AL7">
            <v>339.2439</v>
          </cell>
          <cell r="AM7">
            <v>46.637599999999999</v>
          </cell>
          <cell r="AN7">
            <v>518.70389999999998</v>
          </cell>
          <cell r="AO7">
            <v>712.6848</v>
          </cell>
        </row>
        <row r="8">
          <cell r="C8">
            <v>309.9701</v>
          </cell>
          <cell r="D8">
            <v>37.695700000000002</v>
          </cell>
          <cell r="E8">
            <v>816.98519999999996</v>
          </cell>
          <cell r="F8">
            <v>11.904299999999999</v>
          </cell>
          <cell r="G8">
            <v>128.58330000000001</v>
          </cell>
          <cell r="H8">
            <v>4.3900000000000002E-2</v>
          </cell>
          <cell r="I8">
            <v>15.2224</v>
          </cell>
          <cell r="J8">
            <v>69.500600000000006</v>
          </cell>
          <cell r="K8">
            <v>543.42999999999995</v>
          </cell>
          <cell r="L8">
            <v>33.151200000000003</v>
          </cell>
          <cell r="M8">
            <v>6.4741</v>
          </cell>
          <cell r="N8">
            <v>658.61810000000003</v>
          </cell>
          <cell r="O8">
            <v>31.174700000000001</v>
          </cell>
          <cell r="P8">
            <v>26.788799999999998</v>
          </cell>
          <cell r="Q8">
            <v>361.51650000000001</v>
          </cell>
          <cell r="R8">
            <v>3.7477999999999998</v>
          </cell>
          <cell r="S8">
            <v>892.33169999999996</v>
          </cell>
          <cell r="T8">
            <v>135.85749999999999</v>
          </cell>
          <cell r="U8">
            <v>43.860700000000001</v>
          </cell>
          <cell r="V8">
            <v>235.3776</v>
          </cell>
          <cell r="W8">
            <v>265.20909999999998</v>
          </cell>
          <cell r="X8">
            <v>62.5623</v>
          </cell>
          <cell r="Y8">
            <v>133.34289999999999</v>
          </cell>
          <cell r="Z8">
            <v>2.5872999999999999</v>
          </cell>
          <cell r="AA8">
            <v>1.9115</v>
          </cell>
          <cell r="AB8">
            <v>313.39729999999997</v>
          </cell>
          <cell r="AC8">
            <v>11.8261</v>
          </cell>
          <cell r="AD8">
            <v>8.1699999999999995E-2</v>
          </cell>
          <cell r="AE8">
            <v>10.4506</v>
          </cell>
          <cell r="AF8">
            <v>19.583300000000001</v>
          </cell>
          <cell r="AG8">
            <v>1.6720999999999999</v>
          </cell>
          <cell r="AH8">
            <v>87.239699999999999</v>
          </cell>
          <cell r="AI8">
            <v>79.075900000000004</v>
          </cell>
          <cell r="AJ8">
            <v>14.7204</v>
          </cell>
          <cell r="AK8">
            <v>58.072499999999998</v>
          </cell>
          <cell r="AL8">
            <v>339.2439</v>
          </cell>
          <cell r="AM8">
            <v>46.637599999999999</v>
          </cell>
          <cell r="AN8">
            <v>518.70389999999998</v>
          </cell>
          <cell r="AO8">
            <v>712.6848</v>
          </cell>
        </row>
        <row r="9">
          <cell r="C9">
            <v>309.9701</v>
          </cell>
          <cell r="D9">
            <v>37.695700000000002</v>
          </cell>
          <cell r="E9">
            <v>816.98519999999996</v>
          </cell>
          <cell r="F9">
            <v>11.904299999999999</v>
          </cell>
          <cell r="G9">
            <v>128.58330000000001</v>
          </cell>
          <cell r="H9">
            <v>4.3900000000000002E-2</v>
          </cell>
          <cell r="I9">
            <v>15.2224</v>
          </cell>
          <cell r="J9">
            <v>69.500600000000006</v>
          </cell>
          <cell r="K9">
            <v>543.42999999999995</v>
          </cell>
          <cell r="L9">
            <v>33.151200000000003</v>
          </cell>
          <cell r="M9">
            <v>6.4741</v>
          </cell>
          <cell r="N9">
            <v>658.61810000000003</v>
          </cell>
          <cell r="O9">
            <v>31.174700000000001</v>
          </cell>
          <cell r="P9">
            <v>26.788799999999998</v>
          </cell>
          <cell r="Q9">
            <v>361.51650000000001</v>
          </cell>
          <cell r="R9">
            <v>3.7477999999999998</v>
          </cell>
          <cell r="S9">
            <v>892.33169999999996</v>
          </cell>
          <cell r="T9">
            <v>135.85749999999999</v>
          </cell>
          <cell r="U9">
            <v>43.860700000000001</v>
          </cell>
          <cell r="V9">
            <v>235.3776</v>
          </cell>
          <cell r="W9">
            <v>265.20909999999998</v>
          </cell>
          <cell r="X9">
            <v>62.5623</v>
          </cell>
          <cell r="Y9">
            <v>133.34289999999999</v>
          </cell>
          <cell r="Z9">
            <v>2.5872999999999999</v>
          </cell>
          <cell r="AA9">
            <v>1.9115</v>
          </cell>
          <cell r="AB9">
            <v>313.39729999999997</v>
          </cell>
          <cell r="AC9">
            <v>11.8261</v>
          </cell>
          <cell r="AD9">
            <v>8.1699999999999995E-2</v>
          </cell>
          <cell r="AE9">
            <v>10.4506</v>
          </cell>
          <cell r="AF9">
            <v>19.583300000000001</v>
          </cell>
          <cell r="AG9">
            <v>1.6720999999999999</v>
          </cell>
          <cell r="AH9">
            <v>87.239699999999999</v>
          </cell>
          <cell r="AI9">
            <v>79.075900000000004</v>
          </cell>
          <cell r="AJ9">
            <v>14.7204</v>
          </cell>
          <cell r="AK9">
            <v>58.072499999999998</v>
          </cell>
          <cell r="AL9">
            <v>339.2439</v>
          </cell>
          <cell r="AM9">
            <v>46.637599999999999</v>
          </cell>
          <cell r="AN9">
            <v>518.70389999999998</v>
          </cell>
          <cell r="AO9">
            <v>712.6848</v>
          </cell>
        </row>
        <row r="10">
          <cell r="C10">
            <v>309.9701</v>
          </cell>
          <cell r="D10">
            <v>37.695700000000002</v>
          </cell>
          <cell r="E10">
            <v>816.98519999999996</v>
          </cell>
          <cell r="F10">
            <v>11.904299999999999</v>
          </cell>
          <cell r="G10">
            <v>128.58330000000001</v>
          </cell>
          <cell r="H10">
            <v>4.3900000000000002E-2</v>
          </cell>
          <cell r="I10">
            <v>15.2224</v>
          </cell>
          <cell r="J10">
            <v>69.500600000000006</v>
          </cell>
          <cell r="K10">
            <v>543.42999999999995</v>
          </cell>
          <cell r="L10">
            <v>33.151200000000003</v>
          </cell>
          <cell r="M10">
            <v>6.4741</v>
          </cell>
          <cell r="N10">
            <v>658.61810000000003</v>
          </cell>
          <cell r="O10">
            <v>31.174700000000001</v>
          </cell>
          <cell r="P10">
            <v>26.788799999999998</v>
          </cell>
          <cell r="Q10">
            <v>361.51650000000001</v>
          </cell>
          <cell r="R10">
            <v>3.7477999999999998</v>
          </cell>
          <cell r="S10">
            <v>892.33169999999996</v>
          </cell>
          <cell r="T10">
            <v>135.85749999999999</v>
          </cell>
          <cell r="U10">
            <v>43.860700000000001</v>
          </cell>
          <cell r="V10">
            <v>235.3776</v>
          </cell>
          <cell r="W10">
            <v>265.20909999999998</v>
          </cell>
          <cell r="X10">
            <v>62.5623</v>
          </cell>
          <cell r="Y10">
            <v>133.34289999999999</v>
          </cell>
          <cell r="Z10">
            <v>2.5872999999999999</v>
          </cell>
          <cell r="AA10">
            <v>1.9115</v>
          </cell>
          <cell r="AB10">
            <v>313.39729999999997</v>
          </cell>
          <cell r="AC10">
            <v>11.8261</v>
          </cell>
          <cell r="AD10">
            <v>8.1699999999999995E-2</v>
          </cell>
          <cell r="AE10">
            <v>10.4506</v>
          </cell>
          <cell r="AF10">
            <v>19.583300000000001</v>
          </cell>
          <cell r="AG10">
            <v>1.6720999999999999</v>
          </cell>
          <cell r="AH10">
            <v>87.239699999999999</v>
          </cell>
          <cell r="AI10">
            <v>79.075900000000004</v>
          </cell>
          <cell r="AJ10">
            <v>14.7204</v>
          </cell>
          <cell r="AK10">
            <v>58.072499999999998</v>
          </cell>
          <cell r="AL10">
            <v>339.2439</v>
          </cell>
          <cell r="AM10">
            <v>46.637599999999999</v>
          </cell>
          <cell r="AN10">
            <v>518.70389999999998</v>
          </cell>
          <cell r="AO10">
            <v>712.6848</v>
          </cell>
        </row>
        <row r="11">
          <cell r="C11">
            <v>304.67610000000002</v>
          </cell>
          <cell r="D11">
            <v>37.124899999999997</v>
          </cell>
          <cell r="E11">
            <v>809.07560000000001</v>
          </cell>
          <cell r="F11">
            <v>11.903600000000001</v>
          </cell>
          <cell r="G11">
            <v>126.6365</v>
          </cell>
          <cell r="H11">
            <v>4.3700000000000003E-2</v>
          </cell>
          <cell r="I11">
            <v>14.991899999999999</v>
          </cell>
          <cell r="J11">
            <v>68.440100000000001</v>
          </cell>
          <cell r="K11">
            <v>543.4</v>
          </cell>
          <cell r="L11">
            <v>32.649299999999997</v>
          </cell>
          <cell r="M11">
            <v>6.4169</v>
          </cell>
          <cell r="N11">
            <v>648.64610000000005</v>
          </cell>
          <cell r="O11">
            <v>30.7027</v>
          </cell>
          <cell r="P11">
            <v>26.383199999999999</v>
          </cell>
          <cell r="Q11">
            <v>363.25839999999999</v>
          </cell>
          <cell r="R11">
            <v>3.7450000000000001</v>
          </cell>
          <cell r="S11">
            <v>892.28240000000005</v>
          </cell>
          <cell r="T11">
            <v>135.85</v>
          </cell>
          <cell r="U11">
            <v>43.8367</v>
          </cell>
          <cell r="V11">
            <v>231.81379999999999</v>
          </cell>
          <cell r="W11">
            <v>261.1936</v>
          </cell>
          <cell r="X11">
            <v>61.924999999999997</v>
          </cell>
          <cell r="Y11">
            <v>131.4693</v>
          </cell>
          <cell r="Z11">
            <v>2.5480999999999998</v>
          </cell>
          <cell r="AA11">
            <v>1.9140999999999999</v>
          </cell>
          <cell r="AB11">
            <v>313.69380000000001</v>
          </cell>
          <cell r="AC11">
            <v>11.715400000000001</v>
          </cell>
          <cell r="AD11">
            <v>8.1199999999999994E-2</v>
          </cell>
          <cell r="AE11">
            <v>10.45</v>
          </cell>
          <cell r="AF11">
            <v>19.276599999999998</v>
          </cell>
          <cell r="AG11">
            <v>1.6684000000000001</v>
          </cell>
          <cell r="AH11">
            <v>85.918899999999994</v>
          </cell>
          <cell r="AI11">
            <v>77.878600000000006</v>
          </cell>
          <cell r="AJ11">
            <v>14.558299999999999</v>
          </cell>
          <cell r="AK11">
            <v>57.078299999999999</v>
          </cell>
          <cell r="AL11">
            <v>335.37970000000001</v>
          </cell>
          <cell r="AM11">
            <v>46.961799999999997</v>
          </cell>
          <cell r="AN11">
            <v>510.8503</v>
          </cell>
          <cell r="AO11">
            <v>709.34389999999996</v>
          </cell>
        </row>
        <row r="12">
          <cell r="C12">
            <v>303.58409999999998</v>
          </cell>
          <cell r="D12">
            <v>37.168399999999998</v>
          </cell>
          <cell r="E12">
            <v>810.79280000000006</v>
          </cell>
          <cell r="F12">
            <v>11.903600000000001</v>
          </cell>
          <cell r="G12">
            <v>126.7847</v>
          </cell>
          <cell r="H12">
            <v>4.3700000000000003E-2</v>
          </cell>
          <cell r="I12">
            <v>15.009499999999999</v>
          </cell>
          <cell r="J12">
            <v>68.509100000000004</v>
          </cell>
          <cell r="K12">
            <v>543.4</v>
          </cell>
          <cell r="L12">
            <v>32.6875</v>
          </cell>
          <cell r="M12">
            <v>6.4196</v>
          </cell>
          <cell r="N12">
            <v>649.40509999999995</v>
          </cell>
          <cell r="O12">
            <v>30.738600000000002</v>
          </cell>
          <cell r="P12">
            <v>26.414100000000001</v>
          </cell>
          <cell r="Q12">
            <v>363.19279999999998</v>
          </cell>
          <cell r="R12">
            <v>3.7450000000000001</v>
          </cell>
          <cell r="S12">
            <v>887.9085</v>
          </cell>
          <cell r="T12">
            <v>135.85</v>
          </cell>
          <cell r="U12">
            <v>43.8367</v>
          </cell>
          <cell r="V12">
            <v>232.08500000000001</v>
          </cell>
          <cell r="W12">
            <v>261.49930000000001</v>
          </cell>
          <cell r="X12">
            <v>62.3337</v>
          </cell>
          <cell r="Y12">
            <v>130.81180000000001</v>
          </cell>
          <cell r="Z12">
            <v>2.5510999999999999</v>
          </cell>
          <cell r="AA12">
            <v>1.9147000000000001</v>
          </cell>
          <cell r="AB12">
            <v>313.29129999999998</v>
          </cell>
          <cell r="AC12">
            <v>11.7385</v>
          </cell>
          <cell r="AD12">
            <v>8.1100000000000005E-2</v>
          </cell>
          <cell r="AE12">
            <v>10.45</v>
          </cell>
          <cell r="AF12">
            <v>19.294799999999999</v>
          </cell>
          <cell r="AG12">
            <v>1.6684000000000001</v>
          </cell>
          <cell r="AH12">
            <v>86.019400000000005</v>
          </cell>
          <cell r="AI12">
            <v>77.969800000000006</v>
          </cell>
          <cell r="AJ12">
            <v>14.563700000000001</v>
          </cell>
          <cell r="AK12">
            <v>57.316000000000003</v>
          </cell>
          <cell r="AL12">
            <v>335.52980000000002</v>
          </cell>
          <cell r="AM12">
            <v>46.780200000000001</v>
          </cell>
          <cell r="AN12">
            <v>511.44810000000001</v>
          </cell>
          <cell r="AO12">
            <v>708.95150000000001</v>
          </cell>
        </row>
        <row r="13">
          <cell r="C13">
            <v>303.47930000000002</v>
          </cell>
          <cell r="D13">
            <v>37.603299999999997</v>
          </cell>
          <cell r="E13">
            <v>814.85389999999995</v>
          </cell>
          <cell r="F13">
            <v>11.9025</v>
          </cell>
          <cell r="G13">
            <v>128.2681</v>
          </cell>
          <cell r="H13">
            <v>4.3700000000000003E-2</v>
          </cell>
          <cell r="I13">
            <v>15.1851</v>
          </cell>
          <cell r="J13">
            <v>69.297700000000006</v>
          </cell>
          <cell r="K13">
            <v>543.35</v>
          </cell>
          <cell r="L13">
            <v>33.069899999999997</v>
          </cell>
          <cell r="M13">
            <v>6.4581999999999997</v>
          </cell>
          <cell r="N13">
            <v>657.00340000000006</v>
          </cell>
          <cell r="O13">
            <v>31.098299999999998</v>
          </cell>
          <cell r="P13">
            <v>26.723099999999999</v>
          </cell>
          <cell r="Q13">
            <v>362.8811</v>
          </cell>
          <cell r="R13">
            <v>3.7446999999999999</v>
          </cell>
          <cell r="S13">
            <v>887.82680000000005</v>
          </cell>
          <cell r="T13">
            <v>135.83750000000001</v>
          </cell>
          <cell r="U13">
            <v>43.832700000000003</v>
          </cell>
          <cell r="V13">
            <v>234.8005</v>
          </cell>
          <cell r="W13">
            <v>264.55889999999999</v>
          </cell>
          <cell r="X13">
            <v>63.101500000000001</v>
          </cell>
          <cell r="Y13">
            <v>131.9307</v>
          </cell>
          <cell r="Z13">
            <v>2.5809000000000002</v>
          </cell>
          <cell r="AA13">
            <v>1.9138999999999999</v>
          </cell>
          <cell r="AB13">
            <v>313.02609999999999</v>
          </cell>
          <cell r="AC13">
            <v>11.8759</v>
          </cell>
          <cell r="AD13">
            <v>8.1500000000000003E-2</v>
          </cell>
          <cell r="AE13">
            <v>10.449</v>
          </cell>
          <cell r="AF13">
            <v>19.5228</v>
          </cell>
          <cell r="AG13">
            <v>1.6682999999999999</v>
          </cell>
          <cell r="AH13">
            <v>87.025800000000004</v>
          </cell>
          <cell r="AI13">
            <v>78.882000000000005</v>
          </cell>
          <cell r="AJ13">
            <v>14.6374</v>
          </cell>
          <cell r="AK13">
            <v>58.220199999999998</v>
          </cell>
          <cell r="AL13">
            <v>337.66129999999998</v>
          </cell>
          <cell r="AM13">
            <v>46.302700000000002</v>
          </cell>
          <cell r="AN13">
            <v>517.43219999999997</v>
          </cell>
          <cell r="AO13">
            <v>711.11109999999996</v>
          </cell>
        </row>
        <row r="14">
          <cell r="C14">
            <v>305.01560000000001</v>
          </cell>
          <cell r="D14">
            <v>37.689399999999999</v>
          </cell>
          <cell r="E14">
            <v>809.32899999999995</v>
          </cell>
          <cell r="F14">
            <v>11.9023</v>
          </cell>
          <cell r="G14">
            <v>128.56209999999999</v>
          </cell>
          <cell r="H14">
            <v>4.36E-2</v>
          </cell>
          <cell r="I14">
            <v>15.219900000000001</v>
          </cell>
          <cell r="J14">
            <v>69.457499999999996</v>
          </cell>
          <cell r="K14">
            <v>543.34</v>
          </cell>
          <cell r="L14">
            <v>33.145699999999998</v>
          </cell>
          <cell r="M14">
            <v>6.4657999999999998</v>
          </cell>
          <cell r="N14">
            <v>658.50909999999999</v>
          </cell>
          <cell r="O14">
            <v>31.169599999999999</v>
          </cell>
          <cell r="P14">
            <v>26.784400000000002</v>
          </cell>
          <cell r="Q14">
            <v>364.0958</v>
          </cell>
          <cell r="R14">
            <v>3.7446000000000002</v>
          </cell>
          <cell r="S14">
            <v>887.81050000000005</v>
          </cell>
          <cell r="T14">
            <v>135.83500000000001</v>
          </cell>
          <cell r="U14">
            <v>43.831899999999997</v>
          </cell>
          <cell r="V14">
            <v>235.33860000000001</v>
          </cell>
          <cell r="W14">
            <v>265.16520000000003</v>
          </cell>
          <cell r="X14">
            <v>63.362000000000002</v>
          </cell>
          <cell r="Y14">
            <v>132.63890000000001</v>
          </cell>
          <cell r="Z14">
            <v>2.5869</v>
          </cell>
          <cell r="AA14">
            <v>1.9165000000000001</v>
          </cell>
          <cell r="AB14">
            <v>313.55380000000002</v>
          </cell>
          <cell r="AC14">
            <v>11.889200000000001</v>
          </cell>
          <cell r="AD14">
            <v>8.1600000000000006E-2</v>
          </cell>
          <cell r="AE14">
            <v>10.4488</v>
          </cell>
          <cell r="AF14">
            <v>19.5624</v>
          </cell>
          <cell r="AG14">
            <v>1.6681999999999999</v>
          </cell>
          <cell r="AH14">
            <v>87.225300000000004</v>
          </cell>
          <cell r="AI14">
            <v>79.062799999999996</v>
          </cell>
          <cell r="AJ14">
            <v>14.6668</v>
          </cell>
          <cell r="AK14">
            <v>58.554600000000001</v>
          </cell>
          <cell r="AL14">
            <v>336.54640000000001</v>
          </cell>
          <cell r="AM14">
            <v>46.160899999999998</v>
          </cell>
          <cell r="AN14">
            <v>518.61800000000005</v>
          </cell>
          <cell r="AO14">
            <v>710.65060000000005</v>
          </cell>
        </row>
        <row r="15">
          <cell r="C15">
            <v>305.01560000000001</v>
          </cell>
          <cell r="D15">
            <v>37.689399999999999</v>
          </cell>
          <cell r="E15">
            <v>809.32899999999995</v>
          </cell>
          <cell r="F15">
            <v>11.9023</v>
          </cell>
          <cell r="G15">
            <v>128.56209999999999</v>
          </cell>
          <cell r="H15">
            <v>4.36E-2</v>
          </cell>
          <cell r="I15">
            <v>15.219900000000001</v>
          </cell>
          <cell r="J15">
            <v>69.457499999999996</v>
          </cell>
          <cell r="K15">
            <v>543.34</v>
          </cell>
          <cell r="L15">
            <v>33.145699999999998</v>
          </cell>
          <cell r="M15">
            <v>6.4657999999999998</v>
          </cell>
          <cell r="N15">
            <v>658.50909999999999</v>
          </cell>
          <cell r="O15">
            <v>31.169599999999999</v>
          </cell>
          <cell r="P15">
            <v>26.784400000000002</v>
          </cell>
          <cell r="Q15">
            <v>364.0958</v>
          </cell>
          <cell r="R15">
            <v>3.7446000000000002</v>
          </cell>
          <cell r="S15">
            <v>887.81050000000005</v>
          </cell>
          <cell r="T15">
            <v>135.83500000000001</v>
          </cell>
          <cell r="U15">
            <v>43.831899999999997</v>
          </cell>
          <cell r="V15">
            <v>235.33860000000001</v>
          </cell>
          <cell r="W15">
            <v>265.16520000000003</v>
          </cell>
          <cell r="X15">
            <v>63.362000000000002</v>
          </cell>
          <cell r="Y15">
            <v>132.63890000000001</v>
          </cell>
          <cell r="Z15">
            <v>2.5869</v>
          </cell>
          <cell r="AA15">
            <v>1.9165000000000001</v>
          </cell>
          <cell r="AB15">
            <v>313.55380000000002</v>
          </cell>
          <cell r="AC15">
            <v>11.889200000000001</v>
          </cell>
          <cell r="AD15">
            <v>8.1600000000000006E-2</v>
          </cell>
          <cell r="AE15">
            <v>10.4488</v>
          </cell>
          <cell r="AF15">
            <v>19.5624</v>
          </cell>
          <cell r="AG15">
            <v>1.6681999999999999</v>
          </cell>
          <cell r="AH15">
            <v>87.225300000000004</v>
          </cell>
          <cell r="AI15">
            <v>79.062799999999996</v>
          </cell>
          <cell r="AJ15">
            <v>14.6668</v>
          </cell>
          <cell r="AK15">
            <v>58.554600000000001</v>
          </cell>
          <cell r="AL15">
            <v>336.54640000000001</v>
          </cell>
          <cell r="AM15">
            <v>46.160899999999998</v>
          </cell>
          <cell r="AN15">
            <v>518.61800000000005</v>
          </cell>
          <cell r="AO15">
            <v>710.65060000000005</v>
          </cell>
        </row>
        <row r="16">
          <cell r="C16">
            <v>305.01560000000001</v>
          </cell>
          <cell r="D16">
            <v>37.689399999999999</v>
          </cell>
          <cell r="E16">
            <v>809.32899999999995</v>
          </cell>
          <cell r="F16">
            <v>11.9023</v>
          </cell>
          <cell r="G16">
            <v>128.56209999999999</v>
          </cell>
          <cell r="H16">
            <v>4.36E-2</v>
          </cell>
          <cell r="I16">
            <v>15.219900000000001</v>
          </cell>
          <cell r="J16">
            <v>69.457499999999996</v>
          </cell>
          <cell r="K16">
            <v>543.34</v>
          </cell>
          <cell r="L16">
            <v>33.145699999999998</v>
          </cell>
          <cell r="M16">
            <v>6.4657999999999998</v>
          </cell>
          <cell r="N16">
            <v>658.50909999999999</v>
          </cell>
          <cell r="O16">
            <v>31.169599999999999</v>
          </cell>
          <cell r="P16">
            <v>26.784400000000002</v>
          </cell>
          <cell r="Q16">
            <v>364.0958</v>
          </cell>
          <cell r="R16">
            <v>3.7446000000000002</v>
          </cell>
          <cell r="S16">
            <v>887.81050000000005</v>
          </cell>
          <cell r="T16">
            <v>135.83500000000001</v>
          </cell>
          <cell r="U16">
            <v>43.831899999999997</v>
          </cell>
          <cell r="V16">
            <v>235.33860000000001</v>
          </cell>
          <cell r="W16">
            <v>265.16520000000003</v>
          </cell>
          <cell r="X16">
            <v>63.362000000000002</v>
          </cell>
          <cell r="Y16">
            <v>132.63890000000001</v>
          </cell>
          <cell r="Z16">
            <v>2.5869</v>
          </cell>
          <cell r="AA16">
            <v>1.9165000000000001</v>
          </cell>
          <cell r="AB16">
            <v>313.55380000000002</v>
          </cell>
          <cell r="AC16">
            <v>11.889200000000001</v>
          </cell>
          <cell r="AD16">
            <v>8.1600000000000006E-2</v>
          </cell>
          <cell r="AE16">
            <v>10.4488</v>
          </cell>
          <cell r="AF16">
            <v>19.5624</v>
          </cell>
          <cell r="AG16">
            <v>1.6681999999999999</v>
          </cell>
          <cell r="AH16">
            <v>87.225300000000004</v>
          </cell>
          <cell r="AI16">
            <v>79.062799999999996</v>
          </cell>
          <cell r="AJ16">
            <v>14.6668</v>
          </cell>
          <cell r="AK16">
            <v>58.554600000000001</v>
          </cell>
          <cell r="AL16">
            <v>336.54640000000001</v>
          </cell>
          <cell r="AM16">
            <v>46.160899999999998</v>
          </cell>
          <cell r="AN16">
            <v>518.61800000000005</v>
          </cell>
          <cell r="AO16">
            <v>710.65060000000005</v>
          </cell>
        </row>
        <row r="17">
          <cell r="C17">
            <v>300.48160000000001</v>
          </cell>
          <cell r="D17">
            <v>37.227499999999999</v>
          </cell>
          <cell r="E17">
            <v>801.91129999999998</v>
          </cell>
          <cell r="F17">
            <v>11.9023</v>
          </cell>
          <cell r="G17">
            <v>126.9862</v>
          </cell>
          <cell r="H17">
            <v>4.3499999999999997E-2</v>
          </cell>
          <cell r="I17">
            <v>15.033300000000001</v>
          </cell>
          <cell r="J17">
            <v>68.612499999999997</v>
          </cell>
          <cell r="K17">
            <v>543.34</v>
          </cell>
          <cell r="L17">
            <v>32.739400000000003</v>
          </cell>
          <cell r="M17">
            <v>6.4040999999999997</v>
          </cell>
          <cell r="N17">
            <v>650.43719999999996</v>
          </cell>
          <cell r="O17">
            <v>30.787500000000001</v>
          </cell>
          <cell r="P17">
            <v>26.456099999999999</v>
          </cell>
          <cell r="Q17">
            <v>361.51089999999999</v>
          </cell>
          <cell r="R17">
            <v>3.7446000000000002</v>
          </cell>
          <cell r="S17">
            <v>887.81050000000005</v>
          </cell>
          <cell r="T17">
            <v>135.83500000000001</v>
          </cell>
          <cell r="U17">
            <v>43.831899999999997</v>
          </cell>
          <cell r="V17">
            <v>232.4539</v>
          </cell>
          <cell r="W17">
            <v>261.91489999999999</v>
          </cell>
          <cell r="X17">
            <v>62.3872</v>
          </cell>
          <cell r="Y17">
            <v>132.2646</v>
          </cell>
          <cell r="Z17">
            <v>2.5550999999999999</v>
          </cell>
          <cell r="AA17">
            <v>1.9165000000000001</v>
          </cell>
          <cell r="AB17">
            <v>312.94580000000002</v>
          </cell>
          <cell r="AC17">
            <v>11.746700000000001</v>
          </cell>
          <cell r="AD17">
            <v>8.1199999999999994E-2</v>
          </cell>
          <cell r="AE17">
            <v>10.4488</v>
          </cell>
          <cell r="AF17">
            <v>19.321899999999999</v>
          </cell>
          <cell r="AG17">
            <v>1.6635</v>
          </cell>
          <cell r="AH17">
            <v>86.156099999999995</v>
          </cell>
          <cell r="AI17">
            <v>78.093699999999998</v>
          </cell>
          <cell r="AJ17">
            <v>14.530200000000001</v>
          </cell>
          <cell r="AK17">
            <v>57.755299999999998</v>
          </cell>
          <cell r="AL17">
            <v>332.0548</v>
          </cell>
          <cell r="AM17">
            <v>45.770299999999999</v>
          </cell>
          <cell r="AN17">
            <v>512.26099999999997</v>
          </cell>
          <cell r="AO17">
            <v>710.65060000000005</v>
          </cell>
        </row>
        <row r="18">
          <cell r="C18">
            <v>302.09809999999999</v>
          </cell>
          <cell r="D18">
            <v>37.164299999999997</v>
          </cell>
          <cell r="E18">
            <v>798.17639999999994</v>
          </cell>
          <cell r="F18">
            <v>11.9023</v>
          </cell>
          <cell r="G18">
            <v>126.77070000000001</v>
          </cell>
          <cell r="H18">
            <v>4.3499999999999997E-2</v>
          </cell>
          <cell r="I18">
            <v>15.0078</v>
          </cell>
          <cell r="J18">
            <v>68.491500000000002</v>
          </cell>
          <cell r="K18">
            <v>543.34</v>
          </cell>
          <cell r="L18">
            <v>32.683900000000001</v>
          </cell>
          <cell r="M18">
            <v>6.3907999999999996</v>
          </cell>
          <cell r="N18">
            <v>649.33339999999998</v>
          </cell>
          <cell r="O18">
            <v>30.735299999999999</v>
          </cell>
          <cell r="P18">
            <v>26.411200000000001</v>
          </cell>
          <cell r="Q18">
            <v>361.63749999999999</v>
          </cell>
          <cell r="R18">
            <v>3.7446000000000002</v>
          </cell>
          <cell r="S18">
            <v>887.81050000000005</v>
          </cell>
          <cell r="T18">
            <v>135.83500000000001</v>
          </cell>
          <cell r="U18">
            <v>43.831899999999997</v>
          </cell>
          <cell r="V18">
            <v>232.05940000000001</v>
          </cell>
          <cell r="W18">
            <v>261.47039999999998</v>
          </cell>
          <cell r="X18">
            <v>62.304000000000002</v>
          </cell>
          <cell r="Y18">
            <v>132.6705</v>
          </cell>
          <cell r="Z18">
            <v>2.5508000000000002</v>
          </cell>
          <cell r="AA18">
            <v>1.9186000000000001</v>
          </cell>
          <cell r="AB18">
            <v>313.19920000000002</v>
          </cell>
          <cell r="AC18">
            <v>11.734299999999999</v>
          </cell>
          <cell r="AD18">
            <v>8.1000000000000003E-2</v>
          </cell>
          <cell r="AE18">
            <v>10.4488</v>
          </cell>
          <cell r="AF18">
            <v>19.3</v>
          </cell>
          <cell r="AG18">
            <v>1.6635</v>
          </cell>
          <cell r="AH18">
            <v>86.009900000000002</v>
          </cell>
          <cell r="AI18">
            <v>77.961100000000002</v>
          </cell>
          <cell r="AJ18">
            <v>14.4351</v>
          </cell>
          <cell r="AK18">
            <v>57.2699</v>
          </cell>
          <cell r="AL18">
            <v>332.39620000000002</v>
          </cell>
          <cell r="AM18">
            <v>45.959499999999998</v>
          </cell>
          <cell r="AN18">
            <v>511.39159999999998</v>
          </cell>
          <cell r="AO18">
            <v>706.57330000000002</v>
          </cell>
        </row>
        <row r="19">
          <cell r="C19">
            <v>302.52609999999999</v>
          </cell>
          <cell r="D19">
            <v>37.1004</v>
          </cell>
          <cell r="E19">
            <v>801.9366</v>
          </cell>
          <cell r="F19">
            <v>11.863099999999999</v>
          </cell>
          <cell r="G19">
            <v>126.5528</v>
          </cell>
          <cell r="H19">
            <v>4.3499999999999997E-2</v>
          </cell>
          <cell r="I19">
            <v>14.981999999999999</v>
          </cell>
          <cell r="J19">
            <v>68.372900000000001</v>
          </cell>
          <cell r="K19">
            <v>543.33000000000004</v>
          </cell>
          <cell r="L19">
            <v>32.627699999999997</v>
          </cell>
          <cell r="M19">
            <v>6.3853999999999997</v>
          </cell>
          <cell r="N19">
            <v>648.21759999999995</v>
          </cell>
          <cell r="O19">
            <v>30.682400000000001</v>
          </cell>
          <cell r="P19">
            <v>26.3658</v>
          </cell>
          <cell r="Q19">
            <v>360.42989999999998</v>
          </cell>
          <cell r="R19">
            <v>3.7444999999999999</v>
          </cell>
          <cell r="S19">
            <v>887.79409999999996</v>
          </cell>
          <cell r="T19">
            <v>135.83250000000001</v>
          </cell>
          <cell r="U19">
            <v>43.148800000000001</v>
          </cell>
          <cell r="V19">
            <v>231.66059999999999</v>
          </cell>
          <cell r="W19">
            <v>261.02109999999999</v>
          </cell>
          <cell r="X19">
            <v>62.083500000000001</v>
          </cell>
          <cell r="Y19">
            <v>132.37729999999999</v>
          </cell>
          <cell r="Z19">
            <v>2.5464000000000002</v>
          </cell>
          <cell r="AA19">
            <v>1.9137999999999999</v>
          </cell>
          <cell r="AB19">
            <v>313.56360000000001</v>
          </cell>
          <cell r="AC19">
            <v>11.6287</v>
          </cell>
          <cell r="AD19">
            <v>8.1000000000000003E-2</v>
          </cell>
          <cell r="AE19">
            <v>10.448700000000001</v>
          </cell>
          <cell r="AF19">
            <v>19.257400000000001</v>
          </cell>
          <cell r="AG19">
            <v>1.6634</v>
          </cell>
          <cell r="AH19">
            <v>85.862099999999998</v>
          </cell>
          <cell r="AI19">
            <v>77.827200000000005</v>
          </cell>
          <cell r="AJ19">
            <v>14.368499999999999</v>
          </cell>
          <cell r="AK19">
            <v>57.155500000000004</v>
          </cell>
          <cell r="AL19">
            <v>332.0625</v>
          </cell>
          <cell r="AM19">
            <v>46.158499999999997</v>
          </cell>
          <cell r="AN19">
            <v>510.5129</v>
          </cell>
          <cell r="AO19">
            <v>706.18100000000004</v>
          </cell>
        </row>
        <row r="20">
          <cell r="C20">
            <v>301.78339999999997</v>
          </cell>
          <cell r="D20">
            <v>37.130000000000003</v>
          </cell>
          <cell r="E20">
            <v>800.18690000000004</v>
          </cell>
          <cell r="F20">
            <v>11.862399999999999</v>
          </cell>
          <cell r="G20">
            <v>126.6536</v>
          </cell>
          <cell r="H20">
            <v>4.3499999999999997E-2</v>
          </cell>
          <cell r="I20">
            <v>14.994</v>
          </cell>
          <cell r="J20">
            <v>68.422700000000006</v>
          </cell>
          <cell r="K20">
            <v>543.29999999999995</v>
          </cell>
          <cell r="L20">
            <v>32.653700000000001</v>
          </cell>
          <cell r="M20">
            <v>6.3776999999999999</v>
          </cell>
          <cell r="N20">
            <v>648.7337</v>
          </cell>
          <cell r="O20">
            <v>30.706900000000001</v>
          </cell>
          <cell r="P20">
            <v>26.386800000000001</v>
          </cell>
          <cell r="Q20">
            <v>359.90370000000001</v>
          </cell>
          <cell r="R20">
            <v>3.7443</v>
          </cell>
          <cell r="S20">
            <v>884.85339999999997</v>
          </cell>
          <cell r="T20">
            <v>135.82499999999999</v>
          </cell>
          <cell r="U20">
            <v>42.680700000000002</v>
          </cell>
          <cell r="V20">
            <v>231.8451</v>
          </cell>
          <cell r="W20">
            <v>261.22890000000001</v>
          </cell>
          <cell r="X20">
            <v>62.102699999999999</v>
          </cell>
          <cell r="Y20">
            <v>132.08879999999999</v>
          </cell>
          <cell r="Z20">
            <v>2.5485000000000002</v>
          </cell>
          <cell r="AA20">
            <v>1.9157</v>
          </cell>
          <cell r="AB20">
            <v>312.41239999999999</v>
          </cell>
          <cell r="AC20">
            <v>11.6859</v>
          </cell>
          <cell r="AD20">
            <v>8.0799999999999997E-2</v>
          </cell>
          <cell r="AE20">
            <v>10.4481</v>
          </cell>
          <cell r="AF20">
            <v>19.276299999999999</v>
          </cell>
          <cell r="AG20">
            <v>1.6633</v>
          </cell>
          <cell r="AH20">
            <v>85.930499999999995</v>
          </cell>
          <cell r="AI20">
            <v>77.889099999999999</v>
          </cell>
          <cell r="AJ20">
            <v>14.466699999999999</v>
          </cell>
          <cell r="AK20">
            <v>57.232999999999997</v>
          </cell>
          <cell r="AL20">
            <v>334.30560000000003</v>
          </cell>
          <cell r="AM20">
            <v>45.912999999999997</v>
          </cell>
          <cell r="AN20">
            <v>510.91930000000002</v>
          </cell>
          <cell r="AO20">
            <v>706.14200000000005</v>
          </cell>
        </row>
        <row r="21">
          <cell r="C21">
            <v>303.66520000000003</v>
          </cell>
          <cell r="D21">
            <v>37.112099999999998</v>
          </cell>
          <cell r="E21">
            <v>800.42920000000004</v>
          </cell>
          <cell r="F21">
            <v>11.861800000000001</v>
          </cell>
          <cell r="G21">
            <v>126.59269999999999</v>
          </cell>
          <cell r="H21">
            <v>4.36E-2</v>
          </cell>
          <cell r="I21">
            <v>14.986800000000001</v>
          </cell>
          <cell r="J21">
            <v>68.394400000000005</v>
          </cell>
          <cell r="K21">
            <v>543.27</v>
          </cell>
          <cell r="L21">
            <v>32.637999999999998</v>
          </cell>
          <cell r="M21">
            <v>6.3841999999999999</v>
          </cell>
          <cell r="N21">
            <v>648.42200000000003</v>
          </cell>
          <cell r="O21">
            <v>30.6921</v>
          </cell>
          <cell r="P21">
            <v>26.374099999999999</v>
          </cell>
          <cell r="Q21">
            <v>360.00970000000001</v>
          </cell>
          <cell r="R21">
            <v>3.7441</v>
          </cell>
          <cell r="S21">
            <v>884.80460000000005</v>
          </cell>
          <cell r="T21">
            <v>135.8175</v>
          </cell>
          <cell r="U21">
            <v>42.678400000000003</v>
          </cell>
          <cell r="V21">
            <v>231.7337</v>
          </cell>
          <cell r="W21">
            <v>261.10340000000002</v>
          </cell>
          <cell r="X21">
            <v>62.072899999999997</v>
          </cell>
          <cell r="Y21">
            <v>132.5668</v>
          </cell>
          <cell r="Z21">
            <v>2.5472000000000001</v>
          </cell>
          <cell r="AA21">
            <v>1.917</v>
          </cell>
          <cell r="AB21">
            <v>312.60640000000001</v>
          </cell>
          <cell r="AC21">
            <v>11.698499999999999</v>
          </cell>
          <cell r="AD21">
            <v>8.1000000000000003E-2</v>
          </cell>
          <cell r="AE21">
            <v>10.4475</v>
          </cell>
          <cell r="AF21">
            <v>19.264900000000001</v>
          </cell>
          <cell r="AG21">
            <v>1.6633</v>
          </cell>
          <cell r="AH21">
            <v>85.889200000000002</v>
          </cell>
          <cell r="AI21">
            <v>77.851699999999994</v>
          </cell>
          <cell r="AJ21">
            <v>14.5189</v>
          </cell>
          <cell r="AK21">
            <v>57.463000000000001</v>
          </cell>
          <cell r="AL21">
            <v>334.47329999999999</v>
          </cell>
          <cell r="AM21">
            <v>46.148000000000003</v>
          </cell>
          <cell r="AN21">
            <v>510.67380000000003</v>
          </cell>
          <cell r="AO21">
            <v>706.91430000000003</v>
          </cell>
        </row>
        <row r="22">
          <cell r="C22">
            <v>303.66520000000003</v>
          </cell>
          <cell r="D22">
            <v>37.112099999999998</v>
          </cell>
          <cell r="E22">
            <v>800.42920000000004</v>
          </cell>
          <cell r="F22">
            <v>11.861800000000001</v>
          </cell>
          <cell r="G22">
            <v>126.59269999999999</v>
          </cell>
          <cell r="H22">
            <v>4.36E-2</v>
          </cell>
          <cell r="I22">
            <v>14.986800000000001</v>
          </cell>
          <cell r="J22">
            <v>68.394400000000005</v>
          </cell>
          <cell r="K22">
            <v>543.27</v>
          </cell>
          <cell r="L22">
            <v>32.637999999999998</v>
          </cell>
          <cell r="M22">
            <v>6.3841999999999999</v>
          </cell>
          <cell r="N22">
            <v>648.42200000000003</v>
          </cell>
          <cell r="O22">
            <v>30.6921</v>
          </cell>
          <cell r="P22">
            <v>26.374099999999999</v>
          </cell>
          <cell r="Q22">
            <v>360.00970000000001</v>
          </cell>
          <cell r="R22">
            <v>3.7441</v>
          </cell>
          <cell r="S22">
            <v>884.80460000000005</v>
          </cell>
          <cell r="T22">
            <v>135.8175</v>
          </cell>
          <cell r="U22">
            <v>42.678400000000003</v>
          </cell>
          <cell r="V22">
            <v>231.7337</v>
          </cell>
          <cell r="W22">
            <v>261.10340000000002</v>
          </cell>
          <cell r="X22">
            <v>62.072899999999997</v>
          </cell>
          <cell r="Y22">
            <v>132.5668</v>
          </cell>
          <cell r="Z22">
            <v>2.5472000000000001</v>
          </cell>
          <cell r="AA22">
            <v>1.917</v>
          </cell>
          <cell r="AB22">
            <v>312.60640000000001</v>
          </cell>
          <cell r="AC22">
            <v>11.698499999999999</v>
          </cell>
          <cell r="AD22">
            <v>8.1000000000000003E-2</v>
          </cell>
          <cell r="AE22">
            <v>10.4475</v>
          </cell>
          <cell r="AF22">
            <v>19.264900000000001</v>
          </cell>
          <cell r="AG22">
            <v>1.6633</v>
          </cell>
          <cell r="AH22">
            <v>85.889200000000002</v>
          </cell>
          <cell r="AI22">
            <v>77.851699999999994</v>
          </cell>
          <cell r="AJ22">
            <v>14.5189</v>
          </cell>
          <cell r="AK22">
            <v>57.463000000000001</v>
          </cell>
          <cell r="AL22">
            <v>334.47329999999999</v>
          </cell>
          <cell r="AM22">
            <v>46.148000000000003</v>
          </cell>
          <cell r="AN22">
            <v>510.67380000000003</v>
          </cell>
          <cell r="AO22">
            <v>706.91430000000003</v>
          </cell>
        </row>
        <row r="23">
          <cell r="C23">
            <v>303.66520000000003</v>
          </cell>
          <cell r="D23">
            <v>37.112099999999998</v>
          </cell>
          <cell r="E23">
            <v>800.42920000000004</v>
          </cell>
          <cell r="F23">
            <v>11.861800000000001</v>
          </cell>
          <cell r="G23">
            <v>126.59269999999999</v>
          </cell>
          <cell r="H23">
            <v>4.36E-2</v>
          </cell>
          <cell r="I23">
            <v>14.986800000000001</v>
          </cell>
          <cell r="J23">
            <v>68.394400000000005</v>
          </cell>
          <cell r="K23">
            <v>543.27</v>
          </cell>
          <cell r="L23">
            <v>32.637999999999998</v>
          </cell>
          <cell r="M23">
            <v>6.3841999999999999</v>
          </cell>
          <cell r="N23">
            <v>648.42200000000003</v>
          </cell>
          <cell r="O23">
            <v>30.6921</v>
          </cell>
          <cell r="P23">
            <v>26.374099999999999</v>
          </cell>
          <cell r="Q23">
            <v>360.00970000000001</v>
          </cell>
          <cell r="R23">
            <v>3.7441</v>
          </cell>
          <cell r="S23">
            <v>884.80460000000005</v>
          </cell>
          <cell r="T23">
            <v>135.8175</v>
          </cell>
          <cell r="U23">
            <v>42.678400000000003</v>
          </cell>
          <cell r="V23">
            <v>231.7337</v>
          </cell>
          <cell r="W23">
            <v>261.10340000000002</v>
          </cell>
          <cell r="X23">
            <v>62.072899999999997</v>
          </cell>
          <cell r="Y23">
            <v>132.5668</v>
          </cell>
          <cell r="Z23">
            <v>2.5472000000000001</v>
          </cell>
          <cell r="AA23">
            <v>1.917</v>
          </cell>
          <cell r="AB23">
            <v>312.60640000000001</v>
          </cell>
          <cell r="AC23">
            <v>11.698499999999999</v>
          </cell>
          <cell r="AD23">
            <v>8.1000000000000003E-2</v>
          </cell>
          <cell r="AE23">
            <v>10.4475</v>
          </cell>
          <cell r="AF23">
            <v>19.264900000000001</v>
          </cell>
          <cell r="AG23">
            <v>1.6633</v>
          </cell>
          <cell r="AH23">
            <v>85.889200000000002</v>
          </cell>
          <cell r="AI23">
            <v>77.851699999999994</v>
          </cell>
          <cell r="AJ23">
            <v>14.5189</v>
          </cell>
          <cell r="AK23">
            <v>57.463000000000001</v>
          </cell>
          <cell r="AL23">
            <v>334.47329999999999</v>
          </cell>
          <cell r="AM23">
            <v>46.148000000000003</v>
          </cell>
          <cell r="AN23">
            <v>510.67380000000003</v>
          </cell>
          <cell r="AO23">
            <v>706.91430000000003</v>
          </cell>
        </row>
        <row r="24">
          <cell r="C24">
            <v>300.11849999999998</v>
          </cell>
          <cell r="D24">
            <v>36.676499999999997</v>
          </cell>
          <cell r="E24">
            <v>789.79539999999997</v>
          </cell>
          <cell r="F24">
            <v>11.8614</v>
          </cell>
          <cell r="G24">
            <v>125.1067</v>
          </cell>
          <cell r="H24">
            <v>4.3499999999999997E-2</v>
          </cell>
          <cell r="I24">
            <v>14.8108</v>
          </cell>
          <cell r="J24">
            <v>67.593400000000003</v>
          </cell>
          <cell r="K24">
            <v>543.25</v>
          </cell>
          <cell r="L24">
            <v>32.254899999999999</v>
          </cell>
          <cell r="M24">
            <v>6.3291000000000004</v>
          </cell>
          <cell r="N24">
            <v>640.81050000000005</v>
          </cell>
          <cell r="O24">
            <v>30.331800000000001</v>
          </cell>
          <cell r="P24">
            <v>26.064499999999999</v>
          </cell>
          <cell r="Q24">
            <v>359.89389999999997</v>
          </cell>
          <cell r="R24">
            <v>3.7440000000000002</v>
          </cell>
          <cell r="S24">
            <v>884.77200000000005</v>
          </cell>
          <cell r="T24">
            <v>135.8125</v>
          </cell>
          <cell r="U24">
            <v>42.6768</v>
          </cell>
          <cell r="V24">
            <v>229.01349999999999</v>
          </cell>
          <cell r="W24">
            <v>258.03840000000002</v>
          </cell>
          <cell r="X24">
            <v>61.463799999999999</v>
          </cell>
          <cell r="Y24">
            <v>130.91550000000001</v>
          </cell>
          <cell r="Z24">
            <v>2.5173000000000001</v>
          </cell>
          <cell r="AA24">
            <v>1.9149</v>
          </cell>
          <cell r="AB24">
            <v>313.07650000000001</v>
          </cell>
          <cell r="AC24">
            <v>11.556699999999999</v>
          </cell>
          <cell r="AD24">
            <v>8.0399999999999999E-2</v>
          </cell>
          <cell r="AE24">
            <v>10.447100000000001</v>
          </cell>
          <cell r="AF24">
            <v>19.046700000000001</v>
          </cell>
          <cell r="AG24">
            <v>1.6573</v>
          </cell>
          <cell r="AH24">
            <v>84.881</v>
          </cell>
          <cell r="AI24">
            <v>76.937899999999999</v>
          </cell>
          <cell r="AJ24">
            <v>14.3489</v>
          </cell>
          <cell r="AK24">
            <v>56.499200000000002</v>
          </cell>
          <cell r="AL24">
            <v>328.99560000000002</v>
          </cell>
          <cell r="AM24">
            <v>46.608699999999999</v>
          </cell>
          <cell r="AN24">
            <v>504.67930000000001</v>
          </cell>
          <cell r="AO24">
            <v>704.61350000000004</v>
          </cell>
        </row>
        <row r="25">
          <cell r="C25">
            <v>301.5847</v>
          </cell>
          <cell r="D25">
            <v>37.138399999999997</v>
          </cell>
          <cell r="E25">
            <v>799.99260000000004</v>
          </cell>
          <cell r="F25">
            <v>11.8795</v>
          </cell>
          <cell r="G25">
            <v>126.6823</v>
          </cell>
          <cell r="H25">
            <v>4.3499999999999997E-2</v>
          </cell>
          <cell r="I25">
            <v>14.997400000000001</v>
          </cell>
          <cell r="J25">
            <v>68.451999999999998</v>
          </cell>
          <cell r="K25">
            <v>543.25</v>
          </cell>
          <cell r="L25">
            <v>32.661099999999998</v>
          </cell>
          <cell r="M25">
            <v>6.3498000000000001</v>
          </cell>
          <cell r="N25">
            <v>648.8809</v>
          </cell>
          <cell r="O25">
            <v>30.713799999999999</v>
          </cell>
          <cell r="P25">
            <v>26.392800000000001</v>
          </cell>
          <cell r="Q25">
            <v>360.97710000000001</v>
          </cell>
          <cell r="R25">
            <v>3.7440000000000002</v>
          </cell>
          <cell r="S25">
            <v>884.77200000000005</v>
          </cell>
          <cell r="T25">
            <v>135.8125</v>
          </cell>
          <cell r="U25">
            <v>42.026699999999998</v>
          </cell>
          <cell r="V25">
            <v>231.89769999999999</v>
          </cell>
          <cell r="W25">
            <v>261.28820000000002</v>
          </cell>
          <cell r="X25">
            <v>61.752800000000001</v>
          </cell>
          <cell r="Y25">
            <v>132.62620000000001</v>
          </cell>
          <cell r="Z25">
            <v>2.5489999999999999</v>
          </cell>
          <cell r="AA25">
            <v>1.9135</v>
          </cell>
          <cell r="AB25">
            <v>311.94929999999999</v>
          </cell>
          <cell r="AC25">
            <v>11.688000000000001</v>
          </cell>
          <cell r="AD25">
            <v>8.09E-2</v>
          </cell>
          <cell r="AE25">
            <v>10.447100000000001</v>
          </cell>
          <cell r="AF25">
            <v>19.2851</v>
          </cell>
          <cell r="AG25">
            <v>1.6573</v>
          </cell>
          <cell r="AH25">
            <v>85.95</v>
          </cell>
          <cell r="AI25">
            <v>77.906800000000004</v>
          </cell>
          <cell r="AJ25">
            <v>14.5313</v>
          </cell>
          <cell r="AK25">
            <v>57.041600000000003</v>
          </cell>
          <cell r="AL25">
            <v>333.66109999999998</v>
          </cell>
          <cell r="AM25">
            <v>46.365000000000002</v>
          </cell>
          <cell r="AN25">
            <v>511.03530000000001</v>
          </cell>
          <cell r="AO25">
            <v>707.28769999999997</v>
          </cell>
        </row>
        <row r="26">
          <cell r="C26">
            <v>298.88940000000002</v>
          </cell>
          <cell r="D26">
            <v>36.684800000000003</v>
          </cell>
          <cell r="E26">
            <v>796.08</v>
          </cell>
          <cell r="F26">
            <v>11.8771</v>
          </cell>
          <cell r="G26">
            <v>125.1352</v>
          </cell>
          <cell r="H26">
            <v>4.36E-2</v>
          </cell>
          <cell r="I26">
            <v>14.8142</v>
          </cell>
          <cell r="J26">
            <v>67.635999999999996</v>
          </cell>
          <cell r="K26">
            <v>543.14</v>
          </cell>
          <cell r="L26">
            <v>32.2622</v>
          </cell>
          <cell r="M26">
            <v>6.3265000000000002</v>
          </cell>
          <cell r="N26">
            <v>640.95659999999998</v>
          </cell>
          <cell r="O26">
            <v>30.338699999999999</v>
          </cell>
          <cell r="P26">
            <v>26.070499999999999</v>
          </cell>
          <cell r="Q26">
            <v>359.05419999999998</v>
          </cell>
          <cell r="R26">
            <v>3.7431999999999999</v>
          </cell>
          <cell r="S26">
            <v>884.59280000000001</v>
          </cell>
          <cell r="T26">
            <v>135.785</v>
          </cell>
          <cell r="U26">
            <v>42.0182</v>
          </cell>
          <cell r="V26">
            <v>229.06569999999999</v>
          </cell>
          <cell r="W26">
            <v>258.09719999999999</v>
          </cell>
          <cell r="X26">
            <v>61.142699999999998</v>
          </cell>
          <cell r="Y26">
            <v>132.2698</v>
          </cell>
          <cell r="Z26">
            <v>2.5179</v>
          </cell>
          <cell r="AA26">
            <v>1.9131</v>
          </cell>
          <cell r="AB26">
            <v>311.90949999999998</v>
          </cell>
          <cell r="AC26">
            <v>11.5733</v>
          </cell>
          <cell r="AD26">
            <v>8.0500000000000002E-2</v>
          </cell>
          <cell r="AE26">
            <v>10.445</v>
          </cell>
          <cell r="AF26">
            <v>19.045200000000001</v>
          </cell>
          <cell r="AG26">
            <v>1.6569</v>
          </cell>
          <cell r="AH26">
            <v>84.900300000000001</v>
          </cell>
          <cell r="AI26">
            <v>76.955399999999997</v>
          </cell>
          <cell r="AJ26">
            <v>14.436299999999999</v>
          </cell>
          <cell r="AK26">
            <v>56.654800000000002</v>
          </cell>
          <cell r="AL26">
            <v>329.4357</v>
          </cell>
          <cell r="AM26">
            <v>45.978200000000001</v>
          </cell>
          <cell r="AN26">
            <v>504.79430000000002</v>
          </cell>
          <cell r="AO26">
            <v>703.64580000000001</v>
          </cell>
        </row>
        <row r="27">
          <cell r="C27">
            <v>295.38909999999998</v>
          </cell>
          <cell r="D27">
            <v>36.100700000000003</v>
          </cell>
          <cell r="E27">
            <v>788.00099999999998</v>
          </cell>
          <cell r="F27">
            <v>11.869300000000001</v>
          </cell>
          <cell r="G27">
            <v>123.1426</v>
          </cell>
          <cell r="H27">
            <v>4.36E-2</v>
          </cell>
          <cell r="I27">
            <v>14.5783</v>
          </cell>
          <cell r="J27">
            <v>66.565200000000004</v>
          </cell>
          <cell r="K27">
            <v>543.14</v>
          </cell>
          <cell r="L27">
            <v>31.7485</v>
          </cell>
          <cell r="M27">
            <v>6.2461000000000002</v>
          </cell>
          <cell r="N27">
            <v>630.74980000000005</v>
          </cell>
          <cell r="O27">
            <v>29.855599999999999</v>
          </cell>
          <cell r="P27">
            <v>25.6553</v>
          </cell>
          <cell r="Q27">
            <v>358.38380000000001</v>
          </cell>
          <cell r="R27">
            <v>3.7431999999999999</v>
          </cell>
          <cell r="S27">
            <v>884.59280000000001</v>
          </cell>
          <cell r="T27">
            <v>135.785</v>
          </cell>
          <cell r="U27">
            <v>41.939399999999999</v>
          </cell>
          <cell r="V27">
            <v>225.41800000000001</v>
          </cell>
          <cell r="W27">
            <v>253.9872</v>
          </cell>
          <cell r="X27">
            <v>60.388500000000001</v>
          </cell>
          <cell r="Y27">
            <v>130.63239999999999</v>
          </cell>
          <cell r="Z27">
            <v>2.4777999999999998</v>
          </cell>
          <cell r="AA27">
            <v>1.9125000000000001</v>
          </cell>
          <cell r="AB27">
            <v>311.75839999999999</v>
          </cell>
          <cell r="AC27">
            <v>11.393000000000001</v>
          </cell>
          <cell r="AD27">
            <v>7.9799999999999996E-2</v>
          </cell>
          <cell r="AE27">
            <v>10.445</v>
          </cell>
          <cell r="AF27">
            <v>18.740600000000001</v>
          </cell>
          <cell r="AG27">
            <v>1.6569</v>
          </cell>
          <cell r="AH27">
            <v>83.548299999999998</v>
          </cell>
          <cell r="AI27">
            <v>75.729900000000001</v>
          </cell>
          <cell r="AJ27">
            <v>14.222300000000001</v>
          </cell>
          <cell r="AK27">
            <v>55.815300000000001</v>
          </cell>
          <cell r="AL27">
            <v>325.80560000000003</v>
          </cell>
          <cell r="AM27">
            <v>46.360799999999998</v>
          </cell>
          <cell r="AN27">
            <v>496.75580000000002</v>
          </cell>
          <cell r="AO27">
            <v>699.59360000000004</v>
          </cell>
        </row>
        <row r="28">
          <cell r="C28">
            <v>294.08530000000002</v>
          </cell>
          <cell r="D28">
            <v>36.424300000000002</v>
          </cell>
          <cell r="E28">
            <v>793.68110000000001</v>
          </cell>
          <cell r="F28">
            <v>11.869300000000001</v>
          </cell>
          <cell r="G28">
            <v>124.2466</v>
          </cell>
          <cell r="H28">
            <v>4.36E-2</v>
          </cell>
          <cell r="I28">
            <v>14.709</v>
          </cell>
          <cell r="J28">
            <v>67.169200000000004</v>
          </cell>
          <cell r="K28">
            <v>543.14</v>
          </cell>
          <cell r="L28">
            <v>32.033099999999997</v>
          </cell>
          <cell r="M28">
            <v>6.3060999999999998</v>
          </cell>
          <cell r="N28">
            <v>636.4049</v>
          </cell>
          <cell r="O28">
            <v>30.1233</v>
          </cell>
          <cell r="P28">
            <v>25.885300000000001</v>
          </cell>
          <cell r="Q28">
            <v>361.15410000000003</v>
          </cell>
          <cell r="R28">
            <v>3.7431999999999999</v>
          </cell>
          <cell r="S28">
            <v>884.59280000000001</v>
          </cell>
          <cell r="T28">
            <v>135.785</v>
          </cell>
          <cell r="U28">
            <v>41.939399999999999</v>
          </cell>
          <cell r="V28">
            <v>227.43899999999999</v>
          </cell>
          <cell r="W28">
            <v>256.26440000000002</v>
          </cell>
          <cell r="X28">
            <v>61.048699999999997</v>
          </cell>
          <cell r="Y28">
            <v>131.44409999999999</v>
          </cell>
          <cell r="Z28">
            <v>2.5</v>
          </cell>
          <cell r="AA28">
            <v>1.9152</v>
          </cell>
          <cell r="AB28">
            <v>311.02050000000003</v>
          </cell>
          <cell r="AC28">
            <v>11.4869</v>
          </cell>
          <cell r="AD28">
            <v>8.0100000000000005E-2</v>
          </cell>
          <cell r="AE28">
            <v>10.445</v>
          </cell>
          <cell r="AF28">
            <v>18.905000000000001</v>
          </cell>
          <cell r="AG28">
            <v>1.6569</v>
          </cell>
          <cell r="AH28">
            <v>84.297399999999996</v>
          </cell>
          <cell r="AI28">
            <v>76.408900000000003</v>
          </cell>
          <cell r="AJ28">
            <v>14.4034</v>
          </cell>
          <cell r="AK28">
            <v>56.2727</v>
          </cell>
          <cell r="AL28">
            <v>328.05970000000002</v>
          </cell>
          <cell r="AM28">
            <v>46.541899999999998</v>
          </cell>
          <cell r="AN28">
            <v>501.20960000000002</v>
          </cell>
          <cell r="AO28">
            <v>703.78620000000001</v>
          </cell>
        </row>
        <row r="29">
          <cell r="C29">
            <v>294.08530000000002</v>
          </cell>
          <cell r="D29">
            <v>36.424300000000002</v>
          </cell>
          <cell r="E29">
            <v>793.68110000000001</v>
          </cell>
          <cell r="F29">
            <v>11.869300000000001</v>
          </cell>
          <cell r="G29">
            <v>124.2466</v>
          </cell>
          <cell r="H29">
            <v>4.36E-2</v>
          </cell>
          <cell r="I29">
            <v>14.709</v>
          </cell>
          <cell r="J29">
            <v>67.169200000000004</v>
          </cell>
          <cell r="K29">
            <v>543.14</v>
          </cell>
          <cell r="L29">
            <v>32.033099999999997</v>
          </cell>
          <cell r="M29">
            <v>6.3060999999999998</v>
          </cell>
          <cell r="N29">
            <v>636.4049</v>
          </cell>
          <cell r="O29">
            <v>30.1233</v>
          </cell>
          <cell r="P29">
            <v>25.885300000000001</v>
          </cell>
          <cell r="Q29">
            <v>361.15410000000003</v>
          </cell>
          <cell r="R29">
            <v>3.7431999999999999</v>
          </cell>
          <cell r="S29">
            <v>884.59280000000001</v>
          </cell>
          <cell r="T29">
            <v>135.785</v>
          </cell>
          <cell r="U29">
            <v>41.939399999999999</v>
          </cell>
          <cell r="V29">
            <v>227.43899999999999</v>
          </cell>
          <cell r="W29">
            <v>256.26440000000002</v>
          </cell>
          <cell r="X29">
            <v>61.048699999999997</v>
          </cell>
          <cell r="Y29">
            <v>131.44409999999999</v>
          </cell>
          <cell r="Z29">
            <v>2.5</v>
          </cell>
          <cell r="AA29">
            <v>1.9152</v>
          </cell>
          <cell r="AB29">
            <v>311.02050000000003</v>
          </cell>
          <cell r="AC29">
            <v>11.4869</v>
          </cell>
          <cell r="AD29">
            <v>8.0100000000000005E-2</v>
          </cell>
          <cell r="AE29">
            <v>10.445</v>
          </cell>
          <cell r="AF29">
            <v>18.905000000000001</v>
          </cell>
          <cell r="AG29">
            <v>1.6569</v>
          </cell>
          <cell r="AH29">
            <v>84.297399999999996</v>
          </cell>
          <cell r="AI29">
            <v>76.408900000000003</v>
          </cell>
          <cell r="AJ29">
            <v>14.4034</v>
          </cell>
          <cell r="AK29">
            <v>56.2727</v>
          </cell>
          <cell r="AL29">
            <v>328.05970000000002</v>
          </cell>
          <cell r="AM29">
            <v>46.541899999999998</v>
          </cell>
          <cell r="AN29">
            <v>501.20960000000002</v>
          </cell>
          <cell r="AO29">
            <v>703.78620000000001</v>
          </cell>
        </row>
        <row r="30">
          <cell r="C30">
            <v>294.08530000000002</v>
          </cell>
          <cell r="D30">
            <v>36.424300000000002</v>
          </cell>
          <cell r="E30">
            <v>793.68110000000001</v>
          </cell>
          <cell r="F30">
            <v>11.869300000000001</v>
          </cell>
          <cell r="G30">
            <v>124.2466</v>
          </cell>
          <cell r="H30">
            <v>4.36E-2</v>
          </cell>
          <cell r="I30">
            <v>14.709</v>
          </cell>
          <cell r="J30">
            <v>67.169200000000004</v>
          </cell>
          <cell r="K30">
            <v>543.14</v>
          </cell>
          <cell r="L30">
            <v>32.033099999999997</v>
          </cell>
          <cell r="M30">
            <v>6.3060999999999998</v>
          </cell>
          <cell r="N30">
            <v>636.4049</v>
          </cell>
          <cell r="O30">
            <v>30.1233</v>
          </cell>
          <cell r="P30">
            <v>25.885300000000001</v>
          </cell>
          <cell r="Q30">
            <v>361.15410000000003</v>
          </cell>
          <cell r="R30">
            <v>3.7431999999999999</v>
          </cell>
          <cell r="S30">
            <v>884.59280000000001</v>
          </cell>
          <cell r="T30">
            <v>135.785</v>
          </cell>
          <cell r="U30">
            <v>41.939399999999999</v>
          </cell>
          <cell r="V30">
            <v>227.43899999999999</v>
          </cell>
          <cell r="W30">
            <v>256.26440000000002</v>
          </cell>
          <cell r="X30">
            <v>61.048699999999997</v>
          </cell>
          <cell r="Y30">
            <v>131.44409999999999</v>
          </cell>
          <cell r="Z30">
            <v>2.5</v>
          </cell>
          <cell r="AA30">
            <v>1.9152</v>
          </cell>
          <cell r="AB30">
            <v>311.02050000000003</v>
          </cell>
          <cell r="AC30">
            <v>11.4869</v>
          </cell>
          <cell r="AD30">
            <v>8.0100000000000005E-2</v>
          </cell>
          <cell r="AE30">
            <v>10.445</v>
          </cell>
          <cell r="AF30">
            <v>18.905000000000001</v>
          </cell>
          <cell r="AG30">
            <v>1.6569</v>
          </cell>
          <cell r="AH30">
            <v>84.297399999999996</v>
          </cell>
          <cell r="AI30">
            <v>76.408900000000003</v>
          </cell>
          <cell r="AJ30">
            <v>14.4034</v>
          </cell>
          <cell r="AK30">
            <v>56.2727</v>
          </cell>
          <cell r="AL30">
            <v>328.05970000000002</v>
          </cell>
          <cell r="AM30">
            <v>46.541899999999998</v>
          </cell>
          <cell r="AN30">
            <v>501.20960000000002</v>
          </cell>
          <cell r="AO30">
            <v>703.78620000000001</v>
          </cell>
        </row>
        <row r="31">
          <cell r="C31">
            <v>294.9744</v>
          </cell>
          <cell r="D31">
            <v>36.281500000000001</v>
          </cell>
          <cell r="E31">
            <v>791.94839999999999</v>
          </cell>
          <cell r="F31">
            <v>11.867800000000001</v>
          </cell>
          <cell r="G31">
            <v>123.7594</v>
          </cell>
          <cell r="H31">
            <v>4.36E-2</v>
          </cell>
          <cell r="I31">
            <v>14.651300000000001</v>
          </cell>
          <cell r="J31">
            <v>66.903099999999995</v>
          </cell>
          <cell r="K31">
            <v>543.07000000000005</v>
          </cell>
          <cell r="L31">
            <v>31.907499999999999</v>
          </cell>
          <cell r="M31">
            <v>6.2885</v>
          </cell>
          <cell r="N31">
            <v>633.90940000000001</v>
          </cell>
          <cell r="O31">
            <v>30.005199999999999</v>
          </cell>
          <cell r="P31">
            <v>25.783799999999999</v>
          </cell>
          <cell r="Q31">
            <v>361.11700000000002</v>
          </cell>
          <cell r="R31">
            <v>3.7427000000000001</v>
          </cell>
          <cell r="S31">
            <v>884.47879999999998</v>
          </cell>
          <cell r="T31">
            <v>135.76750000000001</v>
          </cell>
          <cell r="U31">
            <v>41.933999999999997</v>
          </cell>
          <cell r="V31">
            <v>226.5472</v>
          </cell>
          <cell r="W31">
            <v>255.2595</v>
          </cell>
          <cell r="X31">
            <v>60.9206</v>
          </cell>
          <cell r="Y31">
            <v>131.42160000000001</v>
          </cell>
          <cell r="Z31">
            <v>2.4902000000000002</v>
          </cell>
          <cell r="AA31">
            <v>1.9149</v>
          </cell>
          <cell r="AB31">
            <v>310.93939999999998</v>
          </cell>
          <cell r="AC31">
            <v>11.433199999999999</v>
          </cell>
          <cell r="AD31">
            <v>7.9899999999999999E-2</v>
          </cell>
          <cell r="AE31">
            <v>10.4437</v>
          </cell>
          <cell r="AF31">
            <v>18.832999999999998</v>
          </cell>
          <cell r="AG31">
            <v>1.6504000000000001</v>
          </cell>
          <cell r="AH31">
            <v>83.966899999999995</v>
          </cell>
          <cell r="AI31">
            <v>76.109300000000005</v>
          </cell>
          <cell r="AJ31">
            <v>14.3626</v>
          </cell>
          <cell r="AK31">
            <v>56.348100000000002</v>
          </cell>
          <cell r="AL31">
            <v>327.84620000000001</v>
          </cell>
          <cell r="AM31">
            <v>46.593000000000004</v>
          </cell>
          <cell r="AN31">
            <v>499.24430000000001</v>
          </cell>
          <cell r="AO31">
            <v>701.54200000000003</v>
          </cell>
        </row>
        <row r="32">
          <cell r="C32">
            <v>295.84899999999999</v>
          </cell>
          <cell r="D32">
            <v>36.296599999999998</v>
          </cell>
          <cell r="E32">
            <v>793.03319999999997</v>
          </cell>
          <cell r="F32">
            <v>11.867599999999999</v>
          </cell>
          <cell r="G32">
            <v>123.81100000000001</v>
          </cell>
          <cell r="H32">
            <v>4.36E-2</v>
          </cell>
          <cell r="I32">
            <v>14.657400000000001</v>
          </cell>
          <cell r="J32">
            <v>66.9435</v>
          </cell>
          <cell r="K32">
            <v>543.05999999999995</v>
          </cell>
          <cell r="L32">
            <v>31.9208</v>
          </cell>
          <cell r="M32">
            <v>6.2934999999999999</v>
          </cell>
          <cell r="N32">
            <v>634.17359999999996</v>
          </cell>
          <cell r="O32">
            <v>30.017700000000001</v>
          </cell>
          <cell r="P32">
            <v>25.794599999999999</v>
          </cell>
          <cell r="Q32">
            <v>361.68610000000001</v>
          </cell>
          <cell r="R32">
            <v>3.7427000000000001</v>
          </cell>
          <cell r="S32">
            <v>884.46249999999998</v>
          </cell>
          <cell r="T32">
            <v>135.76499999999999</v>
          </cell>
          <cell r="U32">
            <v>42.811199999999999</v>
          </cell>
          <cell r="V32">
            <v>226.64160000000001</v>
          </cell>
          <cell r="W32">
            <v>255.36590000000001</v>
          </cell>
          <cell r="X32">
            <v>61.009300000000003</v>
          </cell>
          <cell r="Y32">
            <v>131.70169999999999</v>
          </cell>
          <cell r="Z32">
            <v>2.4912999999999998</v>
          </cell>
          <cell r="AA32">
            <v>1.9141999999999999</v>
          </cell>
          <cell r="AB32">
            <v>310.72059999999999</v>
          </cell>
          <cell r="AC32">
            <v>11.4323</v>
          </cell>
          <cell r="AD32">
            <v>7.9799999999999996E-2</v>
          </cell>
          <cell r="AE32">
            <v>10.4435</v>
          </cell>
          <cell r="AF32">
            <v>18.836600000000001</v>
          </cell>
          <cell r="AG32">
            <v>1.6503000000000001</v>
          </cell>
          <cell r="AH32">
            <v>84.001800000000003</v>
          </cell>
          <cell r="AI32">
            <v>76.141000000000005</v>
          </cell>
          <cell r="AJ32">
            <v>14.410500000000001</v>
          </cell>
          <cell r="AK32">
            <v>56.494</v>
          </cell>
          <cell r="AL32">
            <v>328.50060000000002</v>
          </cell>
          <cell r="AM32">
            <v>46.512599999999999</v>
          </cell>
          <cell r="AN32">
            <v>499.45229999999998</v>
          </cell>
          <cell r="AO32">
            <v>704.77760000000001</v>
          </cell>
        </row>
        <row r="33">
          <cell r="C33">
            <v>302.37532258064522</v>
          </cell>
          <cell r="D33">
            <v>37.092290322580638</v>
          </cell>
          <cell r="E33">
            <v>804.41214838709709</v>
          </cell>
          <cell r="F33">
            <v>11.887696774193548</v>
          </cell>
          <cell r="G33">
            <v>126.52512258064517</v>
          </cell>
          <cell r="H33">
            <v>4.3774193548387109E-2</v>
          </cell>
          <cell r="I33">
            <v>14.978748387096774</v>
          </cell>
          <cell r="J33">
            <v>68.379351612903207</v>
          </cell>
          <cell r="K33">
            <v>543.3087096774193</v>
          </cell>
          <cell r="L33">
            <v>32.620564516129036</v>
          </cell>
          <cell r="M33">
            <v>6.3944451612903217</v>
          </cell>
          <cell r="N33">
            <v>648.07569354838722</v>
          </cell>
          <cell r="O33">
            <v>30.675712903225804</v>
          </cell>
          <cell r="P33">
            <v>26.36001612903226</v>
          </cell>
          <cell r="Q33">
            <v>361.58980967741934</v>
          </cell>
          <cell r="R33">
            <v>3.7459612903225805</v>
          </cell>
          <cell r="S33">
            <v>886.70033870967711</v>
          </cell>
          <cell r="T33">
            <v>135.82717741935483</v>
          </cell>
          <cell r="U33">
            <v>43.181641935483874</v>
          </cell>
          <cell r="V33">
            <v>231.60992903225807</v>
          </cell>
          <cell r="W33">
            <v>260.96393870967739</v>
          </cell>
          <cell r="X33">
            <v>61.984883870967728</v>
          </cell>
          <cell r="Y33">
            <v>132.14057741935486</v>
          </cell>
          <cell r="Z33">
            <v>2.5458645161290323</v>
          </cell>
          <cell r="AA33">
            <v>1.9164580645161293</v>
          </cell>
          <cell r="AB33">
            <v>312.73828387096773</v>
          </cell>
          <cell r="AC33">
            <v>11.675341935483868</v>
          </cell>
          <cell r="AD33">
            <v>8.0987096774193523E-2</v>
          </cell>
          <cell r="AE33">
            <v>10.448248387096772</v>
          </cell>
          <cell r="AF33">
            <v>19.260506451612901</v>
          </cell>
          <cell r="AG33">
            <v>1.6645935483870964</v>
          </cell>
          <cell r="AH33">
            <v>85.843299999999985</v>
          </cell>
          <cell r="AI33">
            <v>77.810138709677418</v>
          </cell>
          <cell r="AJ33">
            <v>14.523264516129029</v>
          </cell>
          <cell r="AK33">
            <v>57.345722580645152</v>
          </cell>
          <cell r="AL33">
            <v>333.75385483870963</v>
          </cell>
          <cell r="AM33">
            <v>46.526029032258059</v>
          </cell>
          <cell r="AN33">
            <v>510.40108387096785</v>
          </cell>
          <cell r="AO33">
            <v>708.06885483870963</v>
          </cell>
        </row>
        <row r="34">
          <cell r="C34">
            <v>296.26420000000002</v>
          </cell>
          <cell r="D34">
            <v>36.674799999999998</v>
          </cell>
          <cell r="E34">
            <v>792.61249999999995</v>
          </cell>
          <cell r="F34">
            <v>11.8544</v>
          </cell>
          <cell r="G34">
            <v>125.101</v>
          </cell>
          <cell r="H34">
            <v>4.36E-2</v>
          </cell>
          <cell r="I34">
            <v>14.8102</v>
          </cell>
          <cell r="J34">
            <v>67.638300000000001</v>
          </cell>
          <cell r="K34">
            <v>543.04999999999995</v>
          </cell>
          <cell r="L34">
            <v>32.253399999999999</v>
          </cell>
          <cell r="M34">
            <v>6.3216000000000001</v>
          </cell>
          <cell r="N34">
            <v>640.78139999999996</v>
          </cell>
          <cell r="O34">
            <v>30.330500000000001</v>
          </cell>
          <cell r="P34">
            <v>26.063300000000002</v>
          </cell>
          <cell r="Q34">
            <v>361.65710000000001</v>
          </cell>
          <cell r="R34">
            <v>3.7425999999999999</v>
          </cell>
          <cell r="S34">
            <v>880.14589999999998</v>
          </cell>
          <cell r="T34">
            <v>135.76249999999999</v>
          </cell>
          <cell r="U34">
            <v>42.881100000000004</v>
          </cell>
          <cell r="V34">
            <v>229.00309999999999</v>
          </cell>
          <cell r="W34">
            <v>258.02670000000001</v>
          </cell>
          <cell r="X34">
            <v>61.506</v>
          </cell>
          <cell r="Y34">
            <v>132.9092</v>
          </cell>
          <cell r="Z34">
            <v>2.5171999999999999</v>
          </cell>
          <cell r="AA34">
            <v>1.9120999999999999</v>
          </cell>
          <cell r="AB34">
            <v>311.63170000000002</v>
          </cell>
          <cell r="AC34">
            <v>11.565899999999999</v>
          </cell>
          <cell r="AD34">
            <v>8.0299999999999996E-2</v>
          </cell>
          <cell r="AE34">
            <v>10.443300000000001</v>
          </cell>
          <cell r="AF34">
            <v>19.0307</v>
          </cell>
          <cell r="AG34">
            <v>1.6503000000000001</v>
          </cell>
          <cell r="AH34">
            <v>84.877099999999999</v>
          </cell>
          <cell r="AI34">
            <v>76.934399999999997</v>
          </cell>
          <cell r="AJ34">
            <v>14.547599999999999</v>
          </cell>
          <cell r="AK34">
            <v>57.091099999999997</v>
          </cell>
          <cell r="AL34">
            <v>329.79770000000002</v>
          </cell>
          <cell r="AM34">
            <v>46.783799999999999</v>
          </cell>
          <cell r="AN34">
            <v>504.65640000000002</v>
          </cell>
          <cell r="AO34">
            <v>704.76459999999997</v>
          </cell>
        </row>
        <row r="35">
          <cell r="C35">
            <v>301.1395</v>
          </cell>
          <cell r="D35">
            <v>37.120800000000003</v>
          </cell>
          <cell r="E35">
            <v>801.74670000000003</v>
          </cell>
          <cell r="F35">
            <v>11.8596</v>
          </cell>
          <cell r="G35">
            <v>126.62220000000001</v>
          </cell>
          <cell r="H35">
            <v>4.3499999999999997E-2</v>
          </cell>
          <cell r="I35">
            <v>14.9903</v>
          </cell>
          <cell r="J35">
            <v>68.436000000000007</v>
          </cell>
          <cell r="K35">
            <v>543.04999999999995</v>
          </cell>
          <cell r="L35">
            <v>32.645600000000002</v>
          </cell>
          <cell r="M35">
            <v>6.3689999999999998</v>
          </cell>
          <cell r="N35">
            <v>648.57309999999995</v>
          </cell>
          <cell r="O35">
            <v>30.699300000000001</v>
          </cell>
          <cell r="P35">
            <v>26.380199999999999</v>
          </cell>
          <cell r="Q35">
            <v>362.90789999999998</v>
          </cell>
          <cell r="R35">
            <v>3.7425999999999999</v>
          </cell>
          <cell r="S35">
            <v>880.14589999999998</v>
          </cell>
          <cell r="T35">
            <v>135.76249999999999</v>
          </cell>
          <cell r="U35">
            <v>42.9146</v>
          </cell>
          <cell r="V35">
            <v>231.7877</v>
          </cell>
          <cell r="W35">
            <v>261.16419999999999</v>
          </cell>
          <cell r="X35">
            <v>62.193199999999997</v>
          </cell>
          <cell r="Y35">
            <v>134.07689999999999</v>
          </cell>
          <cell r="Z35">
            <v>2.5478000000000001</v>
          </cell>
          <cell r="AA35">
            <v>1.9095</v>
          </cell>
          <cell r="AB35">
            <v>311.82029999999997</v>
          </cell>
          <cell r="AC35">
            <v>11.6859</v>
          </cell>
          <cell r="AD35">
            <v>8.0600000000000005E-2</v>
          </cell>
          <cell r="AE35">
            <v>10.443300000000001</v>
          </cell>
          <cell r="AF35">
            <v>19.253399999999999</v>
          </cell>
          <cell r="AG35">
            <v>1.6503000000000001</v>
          </cell>
          <cell r="AH35">
            <v>85.909199999999998</v>
          </cell>
          <cell r="AI35">
            <v>77.869900000000001</v>
          </cell>
          <cell r="AJ35">
            <v>14.6435</v>
          </cell>
          <cell r="AK35">
            <v>57.4131</v>
          </cell>
          <cell r="AL35">
            <v>333.26339999999999</v>
          </cell>
          <cell r="AM35">
            <v>46.991100000000003</v>
          </cell>
          <cell r="AN35">
            <v>510.7928</v>
          </cell>
          <cell r="AO35">
            <v>708.9194</v>
          </cell>
        </row>
        <row r="36">
          <cell r="C36">
            <v>301.23590000000002</v>
          </cell>
          <cell r="D36">
            <v>37.126100000000001</v>
          </cell>
          <cell r="E36">
            <v>802.74350000000004</v>
          </cell>
          <cell r="F36">
            <v>11.86</v>
          </cell>
          <cell r="G36">
            <v>126.6404</v>
          </cell>
          <cell r="H36">
            <v>4.3499999999999997E-2</v>
          </cell>
          <cell r="I36">
            <v>14.9924</v>
          </cell>
          <cell r="J36">
            <v>68.458699999999993</v>
          </cell>
          <cell r="K36">
            <v>543.07000000000005</v>
          </cell>
          <cell r="L36">
            <v>32.650300000000001</v>
          </cell>
          <cell r="M36">
            <v>6.4138999999999999</v>
          </cell>
          <cell r="N36">
            <v>648.66589999999997</v>
          </cell>
          <cell r="O36">
            <v>30.703700000000001</v>
          </cell>
          <cell r="P36">
            <v>26.384</v>
          </cell>
          <cell r="Q36">
            <v>363.70920000000001</v>
          </cell>
          <cell r="R36">
            <v>3.7427000000000001</v>
          </cell>
          <cell r="S36">
            <v>880.17830000000004</v>
          </cell>
          <cell r="T36">
            <v>135.76750000000001</v>
          </cell>
          <cell r="U36">
            <v>42.916200000000003</v>
          </cell>
          <cell r="V36">
            <v>231.82089999999999</v>
          </cell>
          <cell r="W36">
            <v>261.20159999999998</v>
          </cell>
          <cell r="X36">
            <v>62.262799999999999</v>
          </cell>
          <cell r="Y36">
            <v>134.65809999999999</v>
          </cell>
          <cell r="Z36">
            <v>2.5482</v>
          </cell>
          <cell r="AA36">
            <v>1.9089</v>
          </cell>
          <cell r="AB36">
            <v>312.60919999999999</v>
          </cell>
          <cell r="AC36">
            <v>11.6761</v>
          </cell>
          <cell r="AD36">
            <v>8.0600000000000005E-2</v>
          </cell>
          <cell r="AE36">
            <v>10.4437</v>
          </cell>
          <cell r="AF36">
            <v>19.258299999999998</v>
          </cell>
          <cell r="AG36">
            <v>1.6504000000000001</v>
          </cell>
          <cell r="AH36">
            <v>85.921499999999995</v>
          </cell>
          <cell r="AI36">
            <v>77.881</v>
          </cell>
          <cell r="AJ36">
            <v>14.6539</v>
          </cell>
          <cell r="AK36">
            <v>57.310499999999998</v>
          </cell>
          <cell r="AL36">
            <v>332.22730000000001</v>
          </cell>
          <cell r="AM36">
            <v>47.114800000000002</v>
          </cell>
          <cell r="AN36">
            <v>510.86590000000001</v>
          </cell>
          <cell r="AO36">
            <v>708.95479999999998</v>
          </cell>
        </row>
        <row r="37">
          <cell r="C37">
            <v>301.23590000000002</v>
          </cell>
          <cell r="D37">
            <v>37.126100000000001</v>
          </cell>
          <cell r="E37">
            <v>802.74350000000004</v>
          </cell>
          <cell r="F37">
            <v>11.86</v>
          </cell>
          <cell r="G37">
            <v>126.6404</v>
          </cell>
          <cell r="H37">
            <v>4.3499999999999997E-2</v>
          </cell>
          <cell r="I37">
            <v>14.9924</v>
          </cell>
          <cell r="J37">
            <v>68.458699999999993</v>
          </cell>
          <cell r="K37">
            <v>543.07000000000005</v>
          </cell>
          <cell r="L37">
            <v>32.650300000000001</v>
          </cell>
          <cell r="M37">
            <v>6.4138999999999999</v>
          </cell>
          <cell r="N37">
            <v>648.66589999999997</v>
          </cell>
          <cell r="O37">
            <v>30.703700000000001</v>
          </cell>
          <cell r="P37">
            <v>26.384</v>
          </cell>
          <cell r="Q37">
            <v>363.70920000000001</v>
          </cell>
          <cell r="R37">
            <v>3.7427000000000001</v>
          </cell>
          <cell r="S37">
            <v>880.17830000000004</v>
          </cell>
          <cell r="T37">
            <v>135.76750000000001</v>
          </cell>
          <cell r="U37">
            <v>42.916200000000003</v>
          </cell>
          <cell r="V37">
            <v>231.82089999999999</v>
          </cell>
          <cell r="W37">
            <v>261.20159999999998</v>
          </cell>
          <cell r="X37">
            <v>62.262799999999999</v>
          </cell>
          <cell r="Y37">
            <v>134.65809999999999</v>
          </cell>
          <cell r="Z37">
            <v>2.5482</v>
          </cell>
          <cell r="AA37">
            <v>1.9089</v>
          </cell>
          <cell r="AB37">
            <v>312.60919999999999</v>
          </cell>
          <cell r="AC37">
            <v>11.6761</v>
          </cell>
          <cell r="AD37">
            <v>8.0600000000000005E-2</v>
          </cell>
          <cell r="AE37">
            <v>10.4437</v>
          </cell>
          <cell r="AF37">
            <v>19.258299999999998</v>
          </cell>
          <cell r="AG37">
            <v>1.6504000000000001</v>
          </cell>
          <cell r="AH37">
            <v>85.921499999999995</v>
          </cell>
          <cell r="AI37">
            <v>77.881</v>
          </cell>
          <cell r="AJ37">
            <v>14.6539</v>
          </cell>
          <cell r="AK37">
            <v>57.310499999999998</v>
          </cell>
          <cell r="AL37">
            <v>332.22730000000001</v>
          </cell>
          <cell r="AM37">
            <v>47.114800000000002</v>
          </cell>
          <cell r="AN37">
            <v>510.86590000000001</v>
          </cell>
          <cell r="AO37">
            <v>708.95479999999998</v>
          </cell>
        </row>
        <row r="38">
          <cell r="C38">
            <v>301.23590000000002</v>
          </cell>
          <cell r="D38">
            <v>37.126100000000001</v>
          </cell>
          <cell r="E38">
            <v>802.74350000000004</v>
          </cell>
          <cell r="F38">
            <v>11.86</v>
          </cell>
          <cell r="G38">
            <v>126.6404</v>
          </cell>
          <cell r="H38">
            <v>4.3499999999999997E-2</v>
          </cell>
          <cell r="I38">
            <v>14.9924</v>
          </cell>
          <cell r="J38">
            <v>68.458699999999993</v>
          </cell>
          <cell r="K38">
            <v>543.07000000000005</v>
          </cell>
          <cell r="L38">
            <v>32.650300000000001</v>
          </cell>
          <cell r="M38">
            <v>6.4138999999999999</v>
          </cell>
          <cell r="N38">
            <v>648.66589999999997</v>
          </cell>
          <cell r="O38">
            <v>30.703700000000001</v>
          </cell>
          <cell r="P38">
            <v>26.384</v>
          </cell>
          <cell r="Q38">
            <v>363.70920000000001</v>
          </cell>
          <cell r="R38">
            <v>3.7427000000000001</v>
          </cell>
          <cell r="S38">
            <v>880.17830000000004</v>
          </cell>
          <cell r="T38">
            <v>135.76750000000001</v>
          </cell>
          <cell r="U38">
            <v>42.916200000000003</v>
          </cell>
          <cell r="V38">
            <v>231.82089999999999</v>
          </cell>
          <cell r="W38">
            <v>261.20159999999998</v>
          </cell>
          <cell r="X38">
            <v>62.262799999999999</v>
          </cell>
          <cell r="Y38">
            <v>134.65809999999999</v>
          </cell>
          <cell r="Z38">
            <v>2.5482</v>
          </cell>
          <cell r="AA38">
            <v>1.9089</v>
          </cell>
          <cell r="AB38">
            <v>312.60919999999999</v>
          </cell>
          <cell r="AC38">
            <v>11.6761</v>
          </cell>
          <cell r="AD38">
            <v>8.0600000000000005E-2</v>
          </cell>
          <cell r="AE38">
            <v>10.4437</v>
          </cell>
          <cell r="AF38">
            <v>19.258299999999998</v>
          </cell>
          <cell r="AG38">
            <v>1.6504000000000001</v>
          </cell>
          <cell r="AH38">
            <v>85.921499999999995</v>
          </cell>
          <cell r="AI38">
            <v>77.881</v>
          </cell>
          <cell r="AJ38">
            <v>14.6539</v>
          </cell>
          <cell r="AK38">
            <v>57.310499999999998</v>
          </cell>
          <cell r="AL38">
            <v>332.22730000000001</v>
          </cell>
          <cell r="AM38">
            <v>47.114800000000002</v>
          </cell>
          <cell r="AN38">
            <v>510.86590000000001</v>
          </cell>
          <cell r="AO38">
            <v>708.95479999999998</v>
          </cell>
        </row>
        <row r="39">
          <cell r="C39">
            <v>300.07830000000001</v>
          </cell>
          <cell r="D39">
            <v>37.197099999999999</v>
          </cell>
          <cell r="E39">
            <v>801.38319999999999</v>
          </cell>
          <cell r="F39">
            <v>11.86</v>
          </cell>
          <cell r="G39">
            <v>126.8827</v>
          </cell>
          <cell r="H39">
            <v>4.36E-2</v>
          </cell>
          <cell r="I39">
            <v>15.021100000000001</v>
          </cell>
          <cell r="J39">
            <v>68.571299999999994</v>
          </cell>
          <cell r="K39">
            <v>543.07000000000005</v>
          </cell>
          <cell r="L39">
            <v>32.712800000000001</v>
          </cell>
          <cell r="M39">
            <v>6.4359000000000002</v>
          </cell>
          <cell r="N39">
            <v>649.90719999999999</v>
          </cell>
          <cell r="O39">
            <v>30.7624</v>
          </cell>
          <cell r="P39">
            <v>26.4345</v>
          </cell>
          <cell r="Q39">
            <v>362.82940000000002</v>
          </cell>
          <cell r="R39">
            <v>3.7414000000000001</v>
          </cell>
          <cell r="S39">
            <v>880.17830000000004</v>
          </cell>
          <cell r="T39">
            <v>135.76750000000001</v>
          </cell>
          <cell r="U39">
            <v>42.882300000000001</v>
          </cell>
          <cell r="V39">
            <v>232.26439999999999</v>
          </cell>
          <cell r="W39">
            <v>261.70139999999998</v>
          </cell>
          <cell r="X39">
            <v>62.389499999999998</v>
          </cell>
          <cell r="Y39">
            <v>134.86600000000001</v>
          </cell>
          <cell r="Z39">
            <v>2.5531000000000001</v>
          </cell>
          <cell r="AA39">
            <v>1.9095</v>
          </cell>
          <cell r="AB39">
            <v>311.7765</v>
          </cell>
          <cell r="AC39">
            <v>11.71</v>
          </cell>
          <cell r="AD39">
            <v>8.0600000000000005E-2</v>
          </cell>
          <cell r="AE39">
            <v>10.4437</v>
          </cell>
          <cell r="AF39">
            <v>19.291599999999999</v>
          </cell>
          <cell r="AG39">
            <v>1.6504000000000001</v>
          </cell>
          <cell r="AH39">
            <v>86.085899999999995</v>
          </cell>
          <cell r="AI39">
            <v>78.03</v>
          </cell>
          <cell r="AJ39">
            <v>14.6921</v>
          </cell>
          <cell r="AK39">
            <v>57.276899999999998</v>
          </cell>
          <cell r="AL39">
            <v>332.73320000000001</v>
          </cell>
          <cell r="AM39">
            <v>47.053100000000001</v>
          </cell>
          <cell r="AN39">
            <v>511.84350000000001</v>
          </cell>
          <cell r="AO39">
            <v>710.31050000000005</v>
          </cell>
        </row>
        <row r="40">
          <cell r="C40">
            <v>297.70100000000002</v>
          </cell>
          <cell r="D40">
            <v>36.789900000000003</v>
          </cell>
          <cell r="E40">
            <v>795.22550000000001</v>
          </cell>
          <cell r="F40">
            <v>11.8598</v>
          </cell>
          <cell r="G40">
            <v>125.4937</v>
          </cell>
          <cell r="H40">
            <v>4.3700000000000003E-2</v>
          </cell>
          <cell r="I40">
            <v>14.8567</v>
          </cell>
          <cell r="J40">
            <v>67.826999999999998</v>
          </cell>
          <cell r="K40">
            <v>543.05999999999995</v>
          </cell>
          <cell r="L40">
            <v>32.354700000000001</v>
          </cell>
          <cell r="M40">
            <v>6.3710000000000004</v>
          </cell>
          <cell r="N40">
            <v>642.79290000000003</v>
          </cell>
          <cell r="O40">
            <v>30.425699999999999</v>
          </cell>
          <cell r="P40">
            <v>26.145099999999999</v>
          </cell>
          <cell r="Q40">
            <v>359.44369999999998</v>
          </cell>
          <cell r="R40">
            <v>3.7414000000000001</v>
          </cell>
          <cell r="S40">
            <v>880.16210000000001</v>
          </cell>
          <cell r="T40">
            <v>135.76499999999999</v>
          </cell>
          <cell r="U40">
            <v>42.859200000000001</v>
          </cell>
          <cell r="V40">
            <v>229.72190000000001</v>
          </cell>
          <cell r="W40">
            <v>258.83670000000001</v>
          </cell>
          <cell r="X40">
            <v>61.925400000000003</v>
          </cell>
          <cell r="Y40">
            <v>133.40020000000001</v>
          </cell>
          <cell r="Z40">
            <v>2.5251000000000001</v>
          </cell>
          <cell r="AA40">
            <v>1.9088000000000001</v>
          </cell>
          <cell r="AB40">
            <v>311.59019999999998</v>
          </cell>
          <cell r="AC40">
            <v>11.5916</v>
          </cell>
          <cell r="AD40">
            <v>8.0100000000000005E-2</v>
          </cell>
          <cell r="AE40">
            <v>10.4435</v>
          </cell>
          <cell r="AF40">
            <v>19.078900000000001</v>
          </cell>
          <cell r="AG40">
            <v>1.6503000000000001</v>
          </cell>
          <cell r="AH40">
            <v>85.143500000000003</v>
          </cell>
          <cell r="AI40">
            <v>77.175899999999999</v>
          </cell>
          <cell r="AJ40">
            <v>14.6038</v>
          </cell>
          <cell r="AK40">
            <v>56.775700000000001</v>
          </cell>
          <cell r="AL40">
            <v>329.04809999999998</v>
          </cell>
          <cell r="AM40">
            <v>47.290100000000002</v>
          </cell>
          <cell r="AN40">
            <v>506.2405</v>
          </cell>
          <cell r="AO40">
            <v>707.35530000000006</v>
          </cell>
        </row>
        <row r="41">
          <cell r="C41">
            <v>297.32679999999999</v>
          </cell>
          <cell r="D41">
            <v>36.797699999999999</v>
          </cell>
          <cell r="E41">
            <v>793.1508</v>
          </cell>
          <cell r="F41">
            <v>11.858499999999999</v>
          </cell>
          <cell r="G41">
            <v>125.52030000000001</v>
          </cell>
          <cell r="H41">
            <v>4.36E-2</v>
          </cell>
          <cell r="I41">
            <v>14.8598</v>
          </cell>
          <cell r="J41">
            <v>67.846800000000002</v>
          </cell>
          <cell r="K41">
            <v>543</v>
          </cell>
          <cell r="L41">
            <v>32.361499999999999</v>
          </cell>
          <cell r="M41">
            <v>6.3643000000000001</v>
          </cell>
          <cell r="N41">
            <v>642.92870000000005</v>
          </cell>
          <cell r="O41">
            <v>30.432099999999998</v>
          </cell>
          <cell r="P41">
            <v>26.150700000000001</v>
          </cell>
          <cell r="Q41">
            <v>359.31560000000002</v>
          </cell>
          <cell r="R41">
            <v>3.7410000000000001</v>
          </cell>
          <cell r="S41">
            <v>881.49350000000004</v>
          </cell>
          <cell r="T41">
            <v>135.75</v>
          </cell>
          <cell r="U41">
            <v>43.000999999999998</v>
          </cell>
          <cell r="V41">
            <v>229.7705</v>
          </cell>
          <cell r="W41">
            <v>258.89139999999998</v>
          </cell>
          <cell r="X41">
            <v>61.844000000000001</v>
          </cell>
          <cell r="Y41">
            <v>133.70679999999999</v>
          </cell>
          <cell r="Z41">
            <v>2.5257000000000001</v>
          </cell>
          <cell r="AA41">
            <v>1.9073</v>
          </cell>
          <cell r="AB41">
            <v>310.60449999999997</v>
          </cell>
          <cell r="AC41">
            <v>11.5784</v>
          </cell>
          <cell r="AD41">
            <v>0.08</v>
          </cell>
          <cell r="AE41">
            <v>10.442299999999999</v>
          </cell>
          <cell r="AF41">
            <v>19.088000000000001</v>
          </cell>
          <cell r="AG41">
            <v>1.6501999999999999</v>
          </cell>
          <cell r="AH41">
            <v>85.161500000000004</v>
          </cell>
          <cell r="AI41">
            <v>77.1922</v>
          </cell>
          <cell r="AJ41">
            <v>14.603899999999999</v>
          </cell>
          <cell r="AK41">
            <v>56.813200000000002</v>
          </cell>
          <cell r="AL41">
            <v>328.96800000000002</v>
          </cell>
          <cell r="AM41">
            <v>46.728299999999997</v>
          </cell>
          <cell r="AN41">
            <v>506.34750000000003</v>
          </cell>
          <cell r="AO41">
            <v>705.35140000000001</v>
          </cell>
        </row>
        <row r="42">
          <cell r="C42">
            <v>294.84449999999998</v>
          </cell>
          <cell r="D42">
            <v>36.383400000000002</v>
          </cell>
          <cell r="E42">
            <v>787.79859999999996</v>
          </cell>
          <cell r="F42">
            <v>11.858499999999999</v>
          </cell>
          <cell r="G42">
            <v>124.1069</v>
          </cell>
          <cell r="H42">
            <v>4.36E-2</v>
          </cell>
          <cell r="I42">
            <v>14.692500000000001</v>
          </cell>
          <cell r="J42">
            <v>67.099000000000004</v>
          </cell>
          <cell r="K42">
            <v>543</v>
          </cell>
          <cell r="L42">
            <v>31.9971</v>
          </cell>
          <cell r="M42">
            <v>6.3132999999999999</v>
          </cell>
          <cell r="N42">
            <v>635.6893</v>
          </cell>
          <cell r="O42">
            <v>30.089400000000001</v>
          </cell>
          <cell r="P42">
            <v>25.856200000000001</v>
          </cell>
          <cell r="Q42">
            <v>359.7629</v>
          </cell>
          <cell r="R42">
            <v>3.7410000000000001</v>
          </cell>
          <cell r="S42">
            <v>881.49350000000004</v>
          </cell>
          <cell r="T42">
            <v>135.75</v>
          </cell>
          <cell r="U42">
            <v>43.038200000000003</v>
          </cell>
          <cell r="V42">
            <v>227.1833</v>
          </cell>
          <cell r="W42">
            <v>255.97620000000001</v>
          </cell>
          <cell r="X42">
            <v>61.267299999999999</v>
          </cell>
          <cell r="Y42">
            <v>132.81139999999999</v>
          </cell>
          <cell r="Z42">
            <v>2.4971999999999999</v>
          </cell>
          <cell r="AA42">
            <v>1.9053</v>
          </cell>
          <cell r="AB42">
            <v>311.01819999999998</v>
          </cell>
          <cell r="AC42">
            <v>11.4596</v>
          </cell>
          <cell r="AD42">
            <v>7.9600000000000004E-2</v>
          </cell>
          <cell r="AE42">
            <v>10.442299999999999</v>
          </cell>
          <cell r="AF42">
            <v>18.860299999999999</v>
          </cell>
          <cell r="AG42">
            <v>1.6501999999999999</v>
          </cell>
          <cell r="AH42">
            <v>84.202600000000004</v>
          </cell>
          <cell r="AI42">
            <v>76.322999999999993</v>
          </cell>
          <cell r="AJ42">
            <v>14.448700000000001</v>
          </cell>
          <cell r="AK42">
            <v>56.382199999999997</v>
          </cell>
          <cell r="AL42">
            <v>326.96319999999997</v>
          </cell>
          <cell r="AM42">
            <v>46.802500000000002</v>
          </cell>
          <cell r="AN42">
            <v>500.64600000000002</v>
          </cell>
          <cell r="AO42">
            <v>697.41010000000006</v>
          </cell>
        </row>
        <row r="43">
          <cell r="C43">
            <v>291.7817</v>
          </cell>
          <cell r="D43">
            <v>36.408299999999997</v>
          </cell>
          <cell r="E43">
            <v>785.00340000000006</v>
          </cell>
          <cell r="F43">
            <v>11.8576</v>
          </cell>
          <cell r="G43">
            <v>124.19199999999999</v>
          </cell>
          <cell r="H43">
            <v>4.36E-2</v>
          </cell>
          <cell r="I43">
            <v>14.702500000000001</v>
          </cell>
          <cell r="J43">
            <v>67.146799999999999</v>
          </cell>
          <cell r="K43">
            <v>542.96</v>
          </cell>
          <cell r="L43">
            <v>32.018999999999998</v>
          </cell>
          <cell r="M43">
            <v>6.3288000000000002</v>
          </cell>
          <cell r="N43">
            <v>636.12509999999997</v>
          </cell>
          <cell r="O43">
            <v>30.110099999999999</v>
          </cell>
          <cell r="P43">
            <v>25.873899999999999</v>
          </cell>
          <cell r="Q43">
            <v>359.62180000000001</v>
          </cell>
          <cell r="R43">
            <v>3.7406999999999999</v>
          </cell>
          <cell r="S43">
            <v>881.42859999999996</v>
          </cell>
          <cell r="T43">
            <v>135.74</v>
          </cell>
          <cell r="U43">
            <v>43.034999999999997</v>
          </cell>
          <cell r="V43">
            <v>227.339</v>
          </cell>
          <cell r="W43">
            <v>256.15170000000001</v>
          </cell>
          <cell r="X43">
            <v>61.204500000000003</v>
          </cell>
          <cell r="Y43">
            <v>132.26740000000001</v>
          </cell>
          <cell r="Z43">
            <v>2.4988999999999999</v>
          </cell>
          <cell r="AA43">
            <v>1.8991</v>
          </cell>
          <cell r="AB43">
            <v>310.72949999999997</v>
          </cell>
          <cell r="AC43">
            <v>11.474</v>
          </cell>
          <cell r="AD43">
            <v>7.9799999999999996E-2</v>
          </cell>
          <cell r="AE43">
            <v>10.4415</v>
          </cell>
          <cell r="AF43">
            <v>18.871099999999998</v>
          </cell>
          <cell r="AG43">
            <v>1.65</v>
          </cell>
          <cell r="AH43">
            <v>84.260300000000001</v>
          </cell>
          <cell r="AI43">
            <v>76.375299999999996</v>
          </cell>
          <cell r="AJ43">
            <v>14.492000000000001</v>
          </cell>
          <cell r="AK43">
            <v>56.218299999999999</v>
          </cell>
          <cell r="AL43">
            <v>326.41989999999998</v>
          </cell>
          <cell r="AM43">
            <v>46.259399999999999</v>
          </cell>
          <cell r="AN43">
            <v>500.98919999999998</v>
          </cell>
          <cell r="AO43">
            <v>701.02409999999998</v>
          </cell>
        </row>
        <row r="44">
          <cell r="C44">
            <v>291.7817</v>
          </cell>
          <cell r="D44">
            <v>36.408299999999997</v>
          </cell>
          <cell r="E44">
            <v>785.00340000000006</v>
          </cell>
          <cell r="F44">
            <v>11.8576</v>
          </cell>
          <cell r="G44">
            <v>124.19199999999999</v>
          </cell>
          <cell r="H44">
            <v>4.36E-2</v>
          </cell>
          <cell r="I44">
            <v>14.702500000000001</v>
          </cell>
          <cell r="J44">
            <v>67.146799999999999</v>
          </cell>
          <cell r="K44">
            <v>542.96</v>
          </cell>
          <cell r="L44">
            <v>32.018999999999998</v>
          </cell>
          <cell r="M44">
            <v>6.3288000000000002</v>
          </cell>
          <cell r="N44">
            <v>636.12509999999997</v>
          </cell>
          <cell r="O44">
            <v>30.110099999999999</v>
          </cell>
          <cell r="P44">
            <v>25.873899999999999</v>
          </cell>
          <cell r="Q44">
            <v>359.62180000000001</v>
          </cell>
          <cell r="R44">
            <v>3.7406999999999999</v>
          </cell>
          <cell r="S44">
            <v>881.42859999999996</v>
          </cell>
          <cell r="T44">
            <v>135.74</v>
          </cell>
          <cell r="U44">
            <v>43.034999999999997</v>
          </cell>
          <cell r="V44">
            <v>227.339</v>
          </cell>
          <cell r="W44">
            <v>256.15170000000001</v>
          </cell>
          <cell r="X44">
            <v>61.204500000000003</v>
          </cell>
          <cell r="Y44">
            <v>132.26740000000001</v>
          </cell>
          <cell r="Z44">
            <v>2.4988999999999999</v>
          </cell>
          <cell r="AA44">
            <v>1.8991</v>
          </cell>
          <cell r="AB44">
            <v>310.72949999999997</v>
          </cell>
          <cell r="AC44">
            <v>11.474</v>
          </cell>
          <cell r="AD44">
            <v>7.9799999999999996E-2</v>
          </cell>
          <cell r="AE44">
            <v>10.4415</v>
          </cell>
          <cell r="AF44">
            <v>18.871099999999998</v>
          </cell>
          <cell r="AG44">
            <v>1.65</v>
          </cell>
          <cell r="AH44">
            <v>84.260300000000001</v>
          </cell>
          <cell r="AI44">
            <v>76.375299999999996</v>
          </cell>
          <cell r="AJ44">
            <v>14.492000000000001</v>
          </cell>
          <cell r="AK44">
            <v>56.218299999999999</v>
          </cell>
          <cell r="AL44">
            <v>326.41989999999998</v>
          </cell>
          <cell r="AM44">
            <v>46.259399999999999</v>
          </cell>
          <cell r="AN44">
            <v>500.98919999999998</v>
          </cell>
          <cell r="AO44">
            <v>701.02409999999998</v>
          </cell>
        </row>
        <row r="45">
          <cell r="C45">
            <v>291.7817</v>
          </cell>
          <cell r="D45">
            <v>36.408299999999997</v>
          </cell>
          <cell r="E45">
            <v>785.00340000000006</v>
          </cell>
          <cell r="F45">
            <v>11.8576</v>
          </cell>
          <cell r="G45">
            <v>124.19199999999999</v>
          </cell>
          <cell r="H45">
            <v>4.36E-2</v>
          </cell>
          <cell r="I45">
            <v>14.702500000000001</v>
          </cell>
          <cell r="J45">
            <v>67.146799999999999</v>
          </cell>
          <cell r="K45">
            <v>542.96</v>
          </cell>
          <cell r="L45">
            <v>32.018999999999998</v>
          </cell>
          <cell r="M45">
            <v>6.3288000000000002</v>
          </cell>
          <cell r="N45">
            <v>636.12509999999997</v>
          </cell>
          <cell r="O45">
            <v>30.110099999999999</v>
          </cell>
          <cell r="P45">
            <v>25.873899999999999</v>
          </cell>
          <cell r="Q45">
            <v>359.62180000000001</v>
          </cell>
          <cell r="R45">
            <v>3.7406999999999999</v>
          </cell>
          <cell r="S45">
            <v>881.42859999999996</v>
          </cell>
          <cell r="T45">
            <v>135.74</v>
          </cell>
          <cell r="U45">
            <v>43.034999999999997</v>
          </cell>
          <cell r="V45">
            <v>227.339</v>
          </cell>
          <cell r="W45">
            <v>256.15170000000001</v>
          </cell>
          <cell r="X45">
            <v>61.204500000000003</v>
          </cell>
          <cell r="Y45">
            <v>132.26740000000001</v>
          </cell>
          <cell r="Z45">
            <v>2.4988999999999999</v>
          </cell>
          <cell r="AA45">
            <v>1.8991</v>
          </cell>
          <cell r="AB45">
            <v>310.72949999999997</v>
          </cell>
          <cell r="AC45">
            <v>11.474</v>
          </cell>
          <cell r="AD45">
            <v>7.9799999999999996E-2</v>
          </cell>
          <cell r="AE45">
            <v>10.4415</v>
          </cell>
          <cell r="AF45">
            <v>18.871099999999998</v>
          </cell>
          <cell r="AG45">
            <v>1.65</v>
          </cell>
          <cell r="AH45">
            <v>84.260300000000001</v>
          </cell>
          <cell r="AI45">
            <v>76.375299999999996</v>
          </cell>
          <cell r="AJ45">
            <v>14.492000000000001</v>
          </cell>
          <cell r="AK45">
            <v>56.218299999999999</v>
          </cell>
          <cell r="AL45">
            <v>326.41989999999998</v>
          </cell>
          <cell r="AM45">
            <v>46.259399999999999</v>
          </cell>
          <cell r="AN45">
            <v>500.98919999999998</v>
          </cell>
          <cell r="AO45">
            <v>701.02409999999998</v>
          </cell>
        </row>
        <row r="46">
          <cell r="C46">
            <v>291.7405</v>
          </cell>
          <cell r="D46">
            <v>36.646999999999998</v>
          </cell>
          <cell r="E46">
            <v>788.17349999999999</v>
          </cell>
          <cell r="F46">
            <v>11.856999999999999</v>
          </cell>
          <cell r="G46">
            <v>125.0061</v>
          </cell>
          <cell r="H46">
            <v>4.36E-2</v>
          </cell>
          <cell r="I46">
            <v>14.7989</v>
          </cell>
          <cell r="J46">
            <v>67.582499999999996</v>
          </cell>
          <cell r="K46">
            <v>542.92999999999995</v>
          </cell>
          <cell r="L46">
            <v>32.228900000000003</v>
          </cell>
          <cell r="M46">
            <v>6.3526999999999996</v>
          </cell>
          <cell r="N46">
            <v>640.29510000000005</v>
          </cell>
          <cell r="O46">
            <v>30.307400000000001</v>
          </cell>
          <cell r="P46">
            <v>26.043500000000002</v>
          </cell>
          <cell r="Q46">
            <v>358.55619999999999</v>
          </cell>
          <cell r="R46">
            <v>3.7404999999999999</v>
          </cell>
          <cell r="S46">
            <v>881.37990000000002</v>
          </cell>
          <cell r="T46">
            <v>135.73249999999999</v>
          </cell>
          <cell r="U46">
            <v>43.075000000000003</v>
          </cell>
          <cell r="V46">
            <v>228.82929999999999</v>
          </cell>
          <cell r="W46">
            <v>257.83089999999999</v>
          </cell>
          <cell r="X46">
            <v>61.4818</v>
          </cell>
          <cell r="Y46">
            <v>133.18369999999999</v>
          </cell>
          <cell r="Z46">
            <v>2.5152999999999999</v>
          </cell>
          <cell r="AA46">
            <v>1.8931</v>
          </cell>
          <cell r="AB46">
            <v>310.83859999999999</v>
          </cell>
          <cell r="AC46">
            <v>11.568300000000001</v>
          </cell>
          <cell r="AD46">
            <v>7.9799999999999996E-2</v>
          </cell>
          <cell r="AE46">
            <v>10.441000000000001</v>
          </cell>
          <cell r="AF46">
            <v>18.992599999999999</v>
          </cell>
          <cell r="AG46">
            <v>1.6366000000000001</v>
          </cell>
          <cell r="AH46">
            <v>84.812700000000007</v>
          </cell>
          <cell r="AI46">
            <v>76.876000000000005</v>
          </cell>
          <cell r="AJ46">
            <v>14.5647</v>
          </cell>
          <cell r="AK46">
            <v>56.349699999999999</v>
          </cell>
          <cell r="AL46">
            <v>328.11070000000001</v>
          </cell>
          <cell r="AM46">
            <v>46.170400000000001</v>
          </cell>
          <cell r="AN46">
            <v>504.27339999999998</v>
          </cell>
          <cell r="AO46">
            <v>702.18209999999999</v>
          </cell>
        </row>
        <row r="47">
          <cell r="C47">
            <v>291.89479999999998</v>
          </cell>
          <cell r="D47">
            <v>36.596400000000003</v>
          </cell>
          <cell r="E47">
            <v>789.80060000000003</v>
          </cell>
          <cell r="F47">
            <v>11.857200000000001</v>
          </cell>
          <cell r="G47">
            <v>124.8334</v>
          </cell>
          <cell r="H47">
            <v>4.3700000000000003E-2</v>
          </cell>
          <cell r="I47">
            <v>14.778499999999999</v>
          </cell>
          <cell r="J47">
            <v>67.496399999999994</v>
          </cell>
          <cell r="K47">
            <v>542.94000000000005</v>
          </cell>
          <cell r="L47">
            <v>32.184399999999997</v>
          </cell>
          <cell r="M47">
            <v>6.3422999999999998</v>
          </cell>
          <cell r="N47">
            <v>639.41070000000002</v>
          </cell>
          <cell r="O47">
            <v>30.265599999999999</v>
          </cell>
          <cell r="P47">
            <v>26.0076</v>
          </cell>
          <cell r="Q47">
            <v>356.01049999999998</v>
          </cell>
          <cell r="R47">
            <v>3.7404999999999999</v>
          </cell>
          <cell r="S47">
            <v>881.39610000000005</v>
          </cell>
          <cell r="T47">
            <v>135.73500000000001</v>
          </cell>
          <cell r="U47">
            <v>43.117899999999999</v>
          </cell>
          <cell r="V47">
            <v>228.51320000000001</v>
          </cell>
          <cell r="W47">
            <v>257.47480000000002</v>
          </cell>
          <cell r="X47">
            <v>61.288499999999999</v>
          </cell>
          <cell r="Y47">
            <v>133.25309999999999</v>
          </cell>
          <cell r="Z47">
            <v>2.5118</v>
          </cell>
          <cell r="AA47">
            <v>1.8931</v>
          </cell>
          <cell r="AB47">
            <v>311.2149</v>
          </cell>
          <cell r="AC47">
            <v>11.5467</v>
          </cell>
          <cell r="AD47">
            <v>7.9699999999999993E-2</v>
          </cell>
          <cell r="AE47">
            <v>10.4412</v>
          </cell>
          <cell r="AF47">
            <v>18.958500000000001</v>
          </cell>
          <cell r="AG47">
            <v>1.6366000000000001</v>
          </cell>
          <cell r="AH47">
            <v>84.695499999999996</v>
          </cell>
          <cell r="AI47">
            <v>76.769800000000004</v>
          </cell>
          <cell r="AJ47">
            <v>14.5639</v>
          </cell>
          <cell r="AK47">
            <v>55.996499999999997</v>
          </cell>
          <cell r="AL47">
            <v>327.59359999999998</v>
          </cell>
          <cell r="AM47">
            <v>46.374099999999999</v>
          </cell>
          <cell r="AN47">
            <v>503.57690000000002</v>
          </cell>
          <cell r="AO47">
            <v>702.91319999999996</v>
          </cell>
        </row>
        <row r="48">
          <cell r="C48">
            <v>287.59780000000001</v>
          </cell>
          <cell r="D48">
            <v>36.212299999999999</v>
          </cell>
          <cell r="E48">
            <v>790.18709999999999</v>
          </cell>
          <cell r="F48">
            <v>11.8567</v>
          </cell>
          <cell r="G48">
            <v>123.5234</v>
          </cell>
          <cell r="H48">
            <v>4.3700000000000003E-2</v>
          </cell>
          <cell r="I48">
            <v>14.6234</v>
          </cell>
          <cell r="J48">
            <v>66.78</v>
          </cell>
          <cell r="K48">
            <v>542.91999999999996</v>
          </cell>
          <cell r="L48">
            <v>31.846699999999998</v>
          </cell>
          <cell r="M48">
            <v>6.3051000000000004</v>
          </cell>
          <cell r="N48">
            <v>632.70029999999997</v>
          </cell>
          <cell r="O48">
            <v>29.948</v>
          </cell>
          <cell r="P48">
            <v>25.7346</v>
          </cell>
          <cell r="Q48">
            <v>356.71269999999998</v>
          </cell>
          <cell r="R48">
            <v>3.7404000000000002</v>
          </cell>
          <cell r="S48">
            <v>881.36360000000002</v>
          </cell>
          <cell r="T48">
            <v>135.72999999999999</v>
          </cell>
          <cell r="U48">
            <v>43.116300000000003</v>
          </cell>
          <cell r="V48">
            <v>226.11500000000001</v>
          </cell>
          <cell r="W48">
            <v>254.77260000000001</v>
          </cell>
          <cell r="X48">
            <v>60.626800000000003</v>
          </cell>
          <cell r="Y48">
            <v>132.7433</v>
          </cell>
          <cell r="Z48">
            <v>2.4855</v>
          </cell>
          <cell r="AA48">
            <v>1.8936999999999999</v>
          </cell>
          <cell r="AB48">
            <v>311.06310000000002</v>
          </cell>
          <cell r="AC48">
            <v>11.4117</v>
          </cell>
          <cell r="AD48">
            <v>7.9399999999999998E-2</v>
          </cell>
          <cell r="AE48">
            <v>10.440799999999999</v>
          </cell>
          <cell r="AF48">
            <v>18.7652</v>
          </cell>
          <cell r="AG48">
            <v>1.6365000000000001</v>
          </cell>
          <cell r="AH48">
            <v>83.806700000000006</v>
          </cell>
          <cell r="AI48">
            <v>75.964100000000002</v>
          </cell>
          <cell r="AJ48">
            <v>14.4504</v>
          </cell>
          <cell r="AK48">
            <v>55.148200000000003</v>
          </cell>
          <cell r="AL48">
            <v>324.5145</v>
          </cell>
          <cell r="AM48">
            <v>46.739699999999999</v>
          </cell>
          <cell r="AN48">
            <v>498.29199999999997</v>
          </cell>
          <cell r="AO48">
            <v>701.75530000000003</v>
          </cell>
        </row>
        <row r="49">
          <cell r="C49">
            <v>284.7312</v>
          </cell>
          <cell r="D49">
            <v>35.863799999999998</v>
          </cell>
          <cell r="E49">
            <v>785.947</v>
          </cell>
          <cell r="F49">
            <v>11.856299999999999</v>
          </cell>
          <cell r="G49">
            <v>122.33450000000001</v>
          </cell>
          <cell r="H49">
            <v>4.3700000000000003E-2</v>
          </cell>
          <cell r="I49">
            <v>14.4826</v>
          </cell>
          <cell r="J49">
            <v>66.128399999999999</v>
          </cell>
          <cell r="K49">
            <v>542.9</v>
          </cell>
          <cell r="L49">
            <v>31.540099999999999</v>
          </cell>
          <cell r="M49">
            <v>6.2633999999999999</v>
          </cell>
          <cell r="N49">
            <v>626.61080000000004</v>
          </cell>
          <cell r="O49">
            <v>29.659700000000001</v>
          </cell>
          <cell r="P49">
            <v>25.486899999999999</v>
          </cell>
          <cell r="Q49">
            <v>355.00760000000002</v>
          </cell>
          <cell r="R49">
            <v>3.7403</v>
          </cell>
          <cell r="S49">
            <v>877.0598</v>
          </cell>
          <cell r="T49">
            <v>135.72499999999999</v>
          </cell>
          <cell r="U49">
            <v>43.089700000000001</v>
          </cell>
          <cell r="V49">
            <v>223.93879999999999</v>
          </cell>
          <cell r="W49">
            <v>252.32050000000001</v>
          </cell>
          <cell r="X49">
            <v>60.127499999999998</v>
          </cell>
          <cell r="Y49">
            <v>132.21950000000001</v>
          </cell>
          <cell r="Z49">
            <v>2.4615</v>
          </cell>
          <cell r="AA49">
            <v>1.893</v>
          </cell>
          <cell r="AB49">
            <v>311.41289999999998</v>
          </cell>
          <cell r="AC49">
            <v>11.295400000000001</v>
          </cell>
          <cell r="AD49">
            <v>7.9100000000000004E-2</v>
          </cell>
          <cell r="AE49">
            <v>10.4404</v>
          </cell>
          <cell r="AF49">
            <v>18.575500000000002</v>
          </cell>
          <cell r="AG49">
            <v>1.6365000000000001</v>
          </cell>
          <cell r="AH49">
            <v>83.000100000000003</v>
          </cell>
          <cell r="AI49">
            <v>75.233000000000004</v>
          </cell>
          <cell r="AJ49">
            <v>14.3096</v>
          </cell>
          <cell r="AK49">
            <v>54.723500000000001</v>
          </cell>
          <cell r="AL49">
            <v>322.23059999999998</v>
          </cell>
          <cell r="AM49">
            <v>46.772399999999998</v>
          </cell>
          <cell r="AN49">
            <v>493.49610000000001</v>
          </cell>
          <cell r="AO49">
            <v>698.67520000000002</v>
          </cell>
        </row>
        <row r="50">
          <cell r="C50">
            <v>286.58199999999999</v>
          </cell>
          <cell r="D50">
            <v>35.953200000000002</v>
          </cell>
          <cell r="E50">
            <v>787.27970000000005</v>
          </cell>
          <cell r="F50">
            <v>11.8559</v>
          </cell>
          <cell r="G50">
            <v>122.6395</v>
          </cell>
          <cell r="H50">
            <v>4.3700000000000003E-2</v>
          </cell>
          <cell r="I50">
            <v>14.518800000000001</v>
          </cell>
          <cell r="J50">
            <v>66.281700000000001</v>
          </cell>
          <cell r="K50">
            <v>542.88</v>
          </cell>
          <cell r="L50">
            <v>31.6188</v>
          </cell>
          <cell r="M50">
            <v>6.2813999999999997</v>
          </cell>
          <cell r="N50">
            <v>628.17309999999998</v>
          </cell>
          <cell r="O50">
            <v>29.733699999999999</v>
          </cell>
          <cell r="P50">
            <v>25.5505</v>
          </cell>
          <cell r="Q50">
            <v>353.60340000000002</v>
          </cell>
          <cell r="R50">
            <v>3.7401</v>
          </cell>
          <cell r="S50">
            <v>877.02750000000003</v>
          </cell>
          <cell r="T50">
            <v>135.72</v>
          </cell>
          <cell r="U50">
            <v>43.088099999999997</v>
          </cell>
          <cell r="V50">
            <v>224.49709999999999</v>
          </cell>
          <cell r="W50">
            <v>252.94970000000001</v>
          </cell>
          <cell r="X50">
            <v>60.369300000000003</v>
          </cell>
          <cell r="Y50">
            <v>132.535</v>
          </cell>
          <cell r="Z50">
            <v>2.4676999999999998</v>
          </cell>
          <cell r="AA50">
            <v>1.8942000000000001</v>
          </cell>
          <cell r="AB50">
            <v>312.48520000000002</v>
          </cell>
          <cell r="AC50">
            <v>11.307499999999999</v>
          </cell>
          <cell r="AD50">
            <v>7.9000000000000001E-2</v>
          </cell>
          <cell r="AE50">
            <v>10.44</v>
          </cell>
          <cell r="AF50">
            <v>18.6218</v>
          </cell>
          <cell r="AG50">
            <v>1.6364000000000001</v>
          </cell>
          <cell r="AH50">
            <v>83.206999999999994</v>
          </cell>
          <cell r="AI50">
            <v>75.420599999999993</v>
          </cell>
          <cell r="AJ50">
            <v>14.3607</v>
          </cell>
          <cell r="AK50">
            <v>55.205800000000004</v>
          </cell>
          <cell r="AL50">
            <v>321.87799999999999</v>
          </cell>
          <cell r="AM50">
            <v>47.170699999999997</v>
          </cell>
          <cell r="AN50">
            <v>494.72649999999999</v>
          </cell>
          <cell r="AO50">
            <v>701.16070000000002</v>
          </cell>
        </row>
        <row r="51">
          <cell r="C51">
            <v>286.58199999999999</v>
          </cell>
          <cell r="D51">
            <v>35.953200000000002</v>
          </cell>
          <cell r="E51">
            <v>787.27970000000005</v>
          </cell>
          <cell r="F51">
            <v>11.8559</v>
          </cell>
          <cell r="G51">
            <v>122.6395</v>
          </cell>
          <cell r="H51">
            <v>4.3700000000000003E-2</v>
          </cell>
          <cell r="I51">
            <v>14.518800000000001</v>
          </cell>
          <cell r="J51">
            <v>66.281700000000001</v>
          </cell>
          <cell r="K51">
            <v>542.88</v>
          </cell>
          <cell r="L51">
            <v>31.6188</v>
          </cell>
          <cell r="M51">
            <v>6.2813999999999997</v>
          </cell>
          <cell r="N51">
            <v>628.17309999999998</v>
          </cell>
          <cell r="O51">
            <v>29.733699999999999</v>
          </cell>
          <cell r="P51">
            <v>25.5505</v>
          </cell>
          <cell r="Q51">
            <v>353.60340000000002</v>
          </cell>
          <cell r="R51">
            <v>3.7401</v>
          </cell>
          <cell r="S51">
            <v>877.02750000000003</v>
          </cell>
          <cell r="T51">
            <v>135.72</v>
          </cell>
          <cell r="U51">
            <v>43.088099999999997</v>
          </cell>
          <cell r="V51">
            <v>224.49709999999999</v>
          </cell>
          <cell r="W51">
            <v>252.94970000000001</v>
          </cell>
          <cell r="X51">
            <v>60.369300000000003</v>
          </cell>
          <cell r="Y51">
            <v>132.535</v>
          </cell>
          <cell r="Z51">
            <v>2.4676999999999998</v>
          </cell>
          <cell r="AA51">
            <v>1.8942000000000001</v>
          </cell>
          <cell r="AB51">
            <v>312.48520000000002</v>
          </cell>
          <cell r="AC51">
            <v>11.307499999999999</v>
          </cell>
          <cell r="AD51">
            <v>7.9000000000000001E-2</v>
          </cell>
          <cell r="AE51">
            <v>10.44</v>
          </cell>
          <cell r="AF51">
            <v>18.6218</v>
          </cell>
          <cell r="AG51">
            <v>1.6364000000000001</v>
          </cell>
          <cell r="AH51">
            <v>83.206999999999994</v>
          </cell>
          <cell r="AI51">
            <v>75.420599999999993</v>
          </cell>
          <cell r="AJ51">
            <v>14.3607</v>
          </cell>
          <cell r="AK51">
            <v>55.205800000000004</v>
          </cell>
          <cell r="AL51">
            <v>321.87799999999999</v>
          </cell>
          <cell r="AM51">
            <v>47.170699999999997</v>
          </cell>
          <cell r="AN51">
            <v>494.72649999999999</v>
          </cell>
          <cell r="AO51">
            <v>701.16070000000002</v>
          </cell>
        </row>
        <row r="52">
          <cell r="C52">
            <v>286.58199999999999</v>
          </cell>
          <cell r="D52">
            <v>35.953200000000002</v>
          </cell>
          <cell r="E52">
            <v>787.27970000000005</v>
          </cell>
          <cell r="F52">
            <v>11.8559</v>
          </cell>
          <cell r="G52">
            <v>122.6395</v>
          </cell>
          <cell r="H52">
            <v>4.3700000000000003E-2</v>
          </cell>
          <cell r="I52">
            <v>14.518800000000001</v>
          </cell>
          <cell r="J52">
            <v>66.281700000000001</v>
          </cell>
          <cell r="K52">
            <v>542.88</v>
          </cell>
          <cell r="L52">
            <v>31.6188</v>
          </cell>
          <cell r="M52">
            <v>6.2813999999999997</v>
          </cell>
          <cell r="N52">
            <v>628.17309999999998</v>
          </cell>
          <cell r="O52">
            <v>29.733699999999999</v>
          </cell>
          <cell r="P52">
            <v>25.5505</v>
          </cell>
          <cell r="Q52">
            <v>353.60340000000002</v>
          </cell>
          <cell r="R52">
            <v>3.7401</v>
          </cell>
          <cell r="S52">
            <v>877.02750000000003</v>
          </cell>
          <cell r="T52">
            <v>135.72</v>
          </cell>
          <cell r="U52">
            <v>43.088099999999997</v>
          </cell>
          <cell r="V52">
            <v>224.49709999999999</v>
          </cell>
          <cell r="W52">
            <v>252.94970000000001</v>
          </cell>
          <cell r="X52">
            <v>60.369300000000003</v>
          </cell>
          <cell r="Y52">
            <v>132.535</v>
          </cell>
          <cell r="Z52">
            <v>2.4676999999999998</v>
          </cell>
          <cell r="AA52">
            <v>1.8942000000000001</v>
          </cell>
          <cell r="AB52">
            <v>312.48520000000002</v>
          </cell>
          <cell r="AC52">
            <v>11.307499999999999</v>
          </cell>
          <cell r="AD52">
            <v>7.9000000000000001E-2</v>
          </cell>
          <cell r="AE52">
            <v>10.44</v>
          </cell>
          <cell r="AF52">
            <v>18.6218</v>
          </cell>
          <cell r="AG52">
            <v>1.6364000000000001</v>
          </cell>
          <cell r="AH52">
            <v>83.206999999999994</v>
          </cell>
          <cell r="AI52">
            <v>75.420599999999993</v>
          </cell>
          <cell r="AJ52">
            <v>14.3607</v>
          </cell>
          <cell r="AK52">
            <v>55.205800000000004</v>
          </cell>
          <cell r="AL52">
            <v>321.87799999999999</v>
          </cell>
          <cell r="AM52">
            <v>47.170699999999997</v>
          </cell>
          <cell r="AN52">
            <v>494.72649999999999</v>
          </cell>
          <cell r="AO52">
            <v>701.16070000000002</v>
          </cell>
        </row>
        <row r="53">
          <cell r="C53">
            <v>287.363</v>
          </cell>
          <cell r="D53">
            <v>36.347700000000003</v>
          </cell>
          <cell r="E53">
            <v>788.39110000000005</v>
          </cell>
          <cell r="F53">
            <v>11.8559</v>
          </cell>
          <cell r="G53">
            <v>123.9853</v>
          </cell>
          <cell r="H53">
            <v>4.3700000000000003E-2</v>
          </cell>
          <cell r="I53">
            <v>14.678100000000001</v>
          </cell>
          <cell r="J53">
            <v>67.014399999999995</v>
          </cell>
          <cell r="K53">
            <v>542.88</v>
          </cell>
          <cell r="L53">
            <v>31.965800000000002</v>
          </cell>
          <cell r="M53">
            <v>6.3038999999999996</v>
          </cell>
          <cell r="N53">
            <v>635.06629999999996</v>
          </cell>
          <cell r="O53">
            <v>30.059899999999999</v>
          </cell>
          <cell r="P53">
            <v>25.8309</v>
          </cell>
          <cell r="Q53">
            <v>352.17250000000001</v>
          </cell>
          <cell r="R53">
            <v>3.7363</v>
          </cell>
          <cell r="S53">
            <v>877.02750000000003</v>
          </cell>
          <cell r="T53">
            <v>135.72</v>
          </cell>
          <cell r="U53">
            <v>43.088099999999997</v>
          </cell>
          <cell r="V53">
            <v>226.9606</v>
          </cell>
          <cell r="W53">
            <v>255.72540000000001</v>
          </cell>
          <cell r="X53">
            <v>60.95</v>
          </cell>
          <cell r="Y53">
            <v>132.66720000000001</v>
          </cell>
          <cell r="Z53">
            <v>2.4948000000000001</v>
          </cell>
          <cell r="AA53">
            <v>1.8942000000000001</v>
          </cell>
          <cell r="AB53">
            <v>312.42140000000001</v>
          </cell>
          <cell r="AC53">
            <v>11.4321</v>
          </cell>
          <cell r="AD53">
            <v>7.9299999999999995E-2</v>
          </cell>
          <cell r="AE53">
            <v>10.44</v>
          </cell>
          <cell r="AF53">
            <v>18.8262</v>
          </cell>
          <cell r="AG53">
            <v>1.6364000000000001</v>
          </cell>
          <cell r="AH53">
            <v>84.120099999999994</v>
          </cell>
          <cell r="AI53">
            <v>76.248199999999997</v>
          </cell>
          <cell r="AJ53">
            <v>14.435700000000001</v>
          </cell>
          <cell r="AK53">
            <v>55.616100000000003</v>
          </cell>
          <cell r="AL53">
            <v>325.57960000000003</v>
          </cell>
          <cell r="AM53">
            <v>46.8705</v>
          </cell>
          <cell r="AN53">
            <v>500.15530000000001</v>
          </cell>
          <cell r="AO53">
            <v>701.16070000000002</v>
          </cell>
        </row>
        <row r="54">
          <cell r="C54">
            <v>284.38290000000001</v>
          </cell>
          <cell r="D54">
            <v>35.786799999999999</v>
          </cell>
          <cell r="E54">
            <v>779.91369999999995</v>
          </cell>
          <cell r="F54">
            <v>11.856999999999999</v>
          </cell>
          <cell r="G54">
            <v>122.07210000000001</v>
          </cell>
          <cell r="H54">
            <v>4.3700000000000003E-2</v>
          </cell>
          <cell r="I54">
            <v>14.451599999999999</v>
          </cell>
          <cell r="J54">
            <v>65.983900000000006</v>
          </cell>
          <cell r="K54">
            <v>542.92999999999995</v>
          </cell>
          <cell r="L54">
            <v>31.4725</v>
          </cell>
          <cell r="M54">
            <v>6.2436999999999996</v>
          </cell>
          <cell r="N54">
            <v>625.26670000000001</v>
          </cell>
          <cell r="O54">
            <v>29.5961</v>
          </cell>
          <cell r="P54">
            <v>25.432300000000001</v>
          </cell>
          <cell r="Q54">
            <v>353.55939999999998</v>
          </cell>
          <cell r="R54">
            <v>3.7366000000000001</v>
          </cell>
          <cell r="S54">
            <v>877.10820000000001</v>
          </cell>
          <cell r="T54">
            <v>135.73249999999999</v>
          </cell>
          <cell r="U54">
            <v>43.010100000000001</v>
          </cell>
          <cell r="V54">
            <v>223.45840000000001</v>
          </cell>
          <cell r="W54">
            <v>251.77930000000001</v>
          </cell>
          <cell r="X54">
            <v>59.910899999999998</v>
          </cell>
          <cell r="Y54">
            <v>132.00309999999999</v>
          </cell>
          <cell r="Z54">
            <v>2.4563000000000001</v>
          </cell>
          <cell r="AA54">
            <v>1.8924000000000001</v>
          </cell>
          <cell r="AB54">
            <v>312.08409999999998</v>
          </cell>
          <cell r="AC54">
            <v>11.2738</v>
          </cell>
          <cell r="AD54">
            <v>7.8200000000000006E-2</v>
          </cell>
          <cell r="AE54">
            <v>10.441000000000001</v>
          </cell>
          <cell r="AF54">
            <v>18.531500000000001</v>
          </cell>
          <cell r="AG54">
            <v>1.6366000000000001</v>
          </cell>
          <cell r="AH54">
            <v>82.822000000000003</v>
          </cell>
          <cell r="AI54">
            <v>75.071600000000004</v>
          </cell>
          <cell r="AJ54">
            <v>14.2529</v>
          </cell>
          <cell r="AK54">
            <v>54.932000000000002</v>
          </cell>
          <cell r="AL54">
            <v>320.78530000000001</v>
          </cell>
          <cell r="AM54">
            <v>46.961399999999998</v>
          </cell>
          <cell r="AN54">
            <v>492.4375</v>
          </cell>
          <cell r="AO54">
            <v>698.65449999999998</v>
          </cell>
        </row>
        <row r="55">
          <cell r="C55">
            <v>285.99029999999999</v>
          </cell>
          <cell r="D55">
            <v>36.084699999999998</v>
          </cell>
          <cell r="E55">
            <v>783.79849999999999</v>
          </cell>
          <cell r="F55">
            <v>11.856299999999999</v>
          </cell>
          <cell r="G55">
            <v>123.0881</v>
          </cell>
          <cell r="H55">
            <v>4.3700000000000003E-2</v>
          </cell>
          <cell r="I55">
            <v>14.571899999999999</v>
          </cell>
          <cell r="J55">
            <v>66.524199999999993</v>
          </cell>
          <cell r="K55">
            <v>542.9</v>
          </cell>
          <cell r="L55">
            <v>31.734500000000001</v>
          </cell>
          <cell r="M55">
            <v>6.2725999999999997</v>
          </cell>
          <cell r="N55">
            <v>630.47109999999998</v>
          </cell>
          <cell r="O55">
            <v>29.842400000000001</v>
          </cell>
          <cell r="P55">
            <v>25.643999999999998</v>
          </cell>
          <cell r="Q55">
            <v>352.22840000000002</v>
          </cell>
          <cell r="R55">
            <v>3.7364000000000002</v>
          </cell>
          <cell r="S55">
            <v>877.0598</v>
          </cell>
          <cell r="T55">
            <v>135.72499999999999</v>
          </cell>
          <cell r="U55">
            <v>43.007800000000003</v>
          </cell>
          <cell r="V55">
            <v>225.3184</v>
          </cell>
          <cell r="W55">
            <v>253.875</v>
          </cell>
          <cell r="X55">
            <v>60.241</v>
          </cell>
          <cell r="Y55">
            <v>131.58160000000001</v>
          </cell>
          <cell r="Z55">
            <v>2.4767000000000001</v>
          </cell>
          <cell r="AA55">
            <v>1.8949</v>
          </cell>
          <cell r="AB55">
            <v>311.19099999999997</v>
          </cell>
          <cell r="AC55">
            <v>11.369899999999999</v>
          </cell>
          <cell r="AD55">
            <v>7.9500000000000001E-2</v>
          </cell>
          <cell r="AE55">
            <v>10.4404</v>
          </cell>
          <cell r="AF55">
            <v>18.6843</v>
          </cell>
          <cell r="AG55">
            <v>1.6295999999999999</v>
          </cell>
          <cell r="AH55">
            <v>83.511399999999995</v>
          </cell>
          <cell r="AI55">
            <v>75.6965</v>
          </cell>
          <cell r="AJ55">
            <v>14.2958</v>
          </cell>
          <cell r="AK55">
            <v>55.140099999999997</v>
          </cell>
          <cell r="AL55">
            <v>323.2448</v>
          </cell>
          <cell r="AM55">
            <v>46.540100000000002</v>
          </cell>
          <cell r="AN55">
            <v>496.53629999999998</v>
          </cell>
          <cell r="AO55">
            <v>699.78650000000005</v>
          </cell>
        </row>
        <row r="56">
          <cell r="C56">
            <v>283.53460000000001</v>
          </cell>
          <cell r="D56">
            <v>35.7316</v>
          </cell>
          <cell r="E56">
            <v>784.17449999999997</v>
          </cell>
          <cell r="F56">
            <v>11.856999999999999</v>
          </cell>
          <cell r="G56">
            <v>121.8836</v>
          </cell>
          <cell r="H56">
            <v>4.3700000000000003E-2</v>
          </cell>
          <cell r="I56">
            <v>14.4293</v>
          </cell>
          <cell r="J56">
            <v>65.868799999999993</v>
          </cell>
          <cell r="K56">
            <v>542.92999999999995</v>
          </cell>
          <cell r="L56">
            <v>31.4239</v>
          </cell>
          <cell r="M56">
            <v>6.2363999999999997</v>
          </cell>
          <cell r="N56">
            <v>624.30150000000003</v>
          </cell>
          <cell r="O56">
            <v>29.5504</v>
          </cell>
          <cell r="P56">
            <v>25.393000000000001</v>
          </cell>
          <cell r="Q56">
            <v>353.31810000000002</v>
          </cell>
          <cell r="R56">
            <v>3.7366000000000001</v>
          </cell>
          <cell r="S56">
            <v>874.28340000000003</v>
          </cell>
          <cell r="T56">
            <v>135.73249999999999</v>
          </cell>
          <cell r="U56">
            <v>43.010100000000001</v>
          </cell>
          <cell r="V56">
            <v>223.11349999999999</v>
          </cell>
          <cell r="W56">
            <v>251.39070000000001</v>
          </cell>
          <cell r="X56">
            <v>59.525100000000002</v>
          </cell>
          <cell r="Y56">
            <v>130.60900000000001</v>
          </cell>
          <cell r="Z56">
            <v>2.4525000000000001</v>
          </cell>
          <cell r="AA56">
            <v>1.8976999999999999</v>
          </cell>
          <cell r="AB56">
            <v>311.18819999999999</v>
          </cell>
          <cell r="AC56">
            <v>11.2242</v>
          </cell>
          <cell r="AD56">
            <v>4.6800000000000001E-2</v>
          </cell>
          <cell r="AE56">
            <v>10.441000000000001</v>
          </cell>
          <cell r="AF56">
            <v>18.463999999999999</v>
          </cell>
          <cell r="AG56">
            <v>1.6296999999999999</v>
          </cell>
          <cell r="AH56">
            <v>82.694199999999995</v>
          </cell>
          <cell r="AI56">
            <v>74.955699999999993</v>
          </cell>
          <cell r="AJ56">
            <v>14.1661</v>
          </cell>
          <cell r="AK56">
            <v>54.312199999999997</v>
          </cell>
          <cell r="AL56">
            <v>321.00110000000001</v>
          </cell>
          <cell r="AM56">
            <v>46.679699999999997</v>
          </cell>
          <cell r="AN56">
            <v>491.67739999999998</v>
          </cell>
          <cell r="AO56">
            <v>698.07780000000002</v>
          </cell>
        </row>
        <row r="57">
          <cell r="C57">
            <v>283.4588</v>
          </cell>
          <cell r="D57">
            <v>35.761200000000002</v>
          </cell>
          <cell r="E57">
            <v>785.4502</v>
          </cell>
          <cell r="F57">
            <v>11.856299999999999</v>
          </cell>
          <cell r="G57">
            <v>121.9846</v>
          </cell>
          <cell r="H57">
            <v>4.3700000000000003E-2</v>
          </cell>
          <cell r="I57">
            <v>14.4412</v>
          </cell>
          <cell r="J57">
            <v>65.932100000000005</v>
          </cell>
          <cell r="K57">
            <v>542.9</v>
          </cell>
          <cell r="L57">
            <v>31.4499</v>
          </cell>
          <cell r="M57">
            <v>6.2359999999999998</v>
          </cell>
          <cell r="N57">
            <v>624.81849999999997</v>
          </cell>
          <cell r="O57">
            <v>29.5749</v>
          </cell>
          <cell r="P57">
            <v>25.414000000000001</v>
          </cell>
          <cell r="Q57">
            <v>353.07780000000002</v>
          </cell>
          <cell r="R57">
            <v>3.7364000000000002</v>
          </cell>
          <cell r="S57">
            <v>874.23509999999999</v>
          </cell>
          <cell r="T57">
            <v>135.72499999999999</v>
          </cell>
          <cell r="U57">
            <v>42.969299999999997</v>
          </cell>
          <cell r="V57">
            <v>223.29820000000001</v>
          </cell>
          <cell r="W57">
            <v>251.59880000000001</v>
          </cell>
          <cell r="X57">
            <v>59.679200000000002</v>
          </cell>
          <cell r="Y57">
            <v>131.20160000000001</v>
          </cell>
          <cell r="Z57">
            <v>2.4544999999999999</v>
          </cell>
          <cell r="AA57">
            <v>1.893</v>
          </cell>
          <cell r="AB57">
            <v>311.07190000000003</v>
          </cell>
          <cell r="AC57">
            <v>11.2438</v>
          </cell>
          <cell r="AD57">
            <v>4.6699999999999998E-2</v>
          </cell>
          <cell r="AE57">
            <v>10.4404</v>
          </cell>
          <cell r="AF57">
            <v>18.491099999999999</v>
          </cell>
          <cell r="AG57">
            <v>1.6295999999999999</v>
          </cell>
          <cell r="AH57">
            <v>82.762699999999995</v>
          </cell>
          <cell r="AI57">
            <v>75.017799999999994</v>
          </cell>
          <cell r="AJ57">
            <v>14.2311</v>
          </cell>
          <cell r="AK57">
            <v>54.183599999999998</v>
          </cell>
          <cell r="AL57">
            <v>320.91079999999999</v>
          </cell>
          <cell r="AM57">
            <v>46.5548</v>
          </cell>
          <cell r="AN57">
            <v>492.08460000000002</v>
          </cell>
          <cell r="AO57">
            <v>697.40260000000001</v>
          </cell>
        </row>
        <row r="58">
          <cell r="C58">
            <v>283.4588</v>
          </cell>
          <cell r="D58">
            <v>35.761200000000002</v>
          </cell>
          <cell r="E58">
            <v>785.4502</v>
          </cell>
          <cell r="F58">
            <v>11.856299999999999</v>
          </cell>
          <cell r="G58">
            <v>121.9846</v>
          </cell>
          <cell r="H58">
            <v>4.3700000000000003E-2</v>
          </cell>
          <cell r="I58">
            <v>14.4412</v>
          </cell>
          <cell r="J58">
            <v>65.932100000000005</v>
          </cell>
          <cell r="K58">
            <v>542.9</v>
          </cell>
          <cell r="L58">
            <v>31.4499</v>
          </cell>
          <cell r="M58">
            <v>6.2359999999999998</v>
          </cell>
          <cell r="N58">
            <v>624.81849999999997</v>
          </cell>
          <cell r="O58">
            <v>29.5749</v>
          </cell>
          <cell r="P58">
            <v>25.414000000000001</v>
          </cell>
          <cell r="Q58">
            <v>353.07780000000002</v>
          </cell>
          <cell r="R58">
            <v>3.7364000000000002</v>
          </cell>
          <cell r="S58">
            <v>874.23509999999999</v>
          </cell>
          <cell r="T58">
            <v>135.72499999999999</v>
          </cell>
          <cell r="U58">
            <v>42.969299999999997</v>
          </cell>
          <cell r="V58">
            <v>223.29820000000001</v>
          </cell>
          <cell r="W58">
            <v>251.59880000000001</v>
          </cell>
          <cell r="X58">
            <v>59.679200000000002</v>
          </cell>
          <cell r="Y58">
            <v>131.20160000000001</v>
          </cell>
          <cell r="Z58">
            <v>2.4544999999999999</v>
          </cell>
          <cell r="AA58">
            <v>1.893</v>
          </cell>
          <cell r="AB58">
            <v>311.07190000000003</v>
          </cell>
          <cell r="AC58">
            <v>11.2438</v>
          </cell>
          <cell r="AD58">
            <v>4.6699999999999998E-2</v>
          </cell>
          <cell r="AE58">
            <v>10.4404</v>
          </cell>
          <cell r="AF58">
            <v>18.491099999999999</v>
          </cell>
          <cell r="AG58">
            <v>1.6295999999999999</v>
          </cell>
          <cell r="AH58">
            <v>82.762699999999995</v>
          </cell>
          <cell r="AI58">
            <v>75.017799999999994</v>
          </cell>
          <cell r="AJ58">
            <v>14.2311</v>
          </cell>
          <cell r="AK58">
            <v>54.183599999999998</v>
          </cell>
          <cell r="AL58">
            <v>320.91079999999999</v>
          </cell>
          <cell r="AM58">
            <v>46.5548</v>
          </cell>
          <cell r="AN58">
            <v>492.08460000000002</v>
          </cell>
          <cell r="AO58">
            <v>697.40260000000001</v>
          </cell>
        </row>
        <row r="59">
          <cell r="C59">
            <v>283.4588</v>
          </cell>
          <cell r="D59">
            <v>35.761200000000002</v>
          </cell>
          <cell r="E59">
            <v>785.4502</v>
          </cell>
          <cell r="F59">
            <v>11.856299999999999</v>
          </cell>
          <cell r="G59">
            <v>121.9846</v>
          </cell>
          <cell r="H59">
            <v>4.3700000000000003E-2</v>
          </cell>
          <cell r="I59">
            <v>14.4412</v>
          </cell>
          <cell r="J59">
            <v>65.932100000000005</v>
          </cell>
          <cell r="K59">
            <v>542.9</v>
          </cell>
          <cell r="L59">
            <v>31.4499</v>
          </cell>
          <cell r="M59">
            <v>6.2359999999999998</v>
          </cell>
          <cell r="N59">
            <v>624.81849999999997</v>
          </cell>
          <cell r="O59">
            <v>29.5749</v>
          </cell>
          <cell r="P59">
            <v>25.414000000000001</v>
          </cell>
          <cell r="Q59">
            <v>353.07780000000002</v>
          </cell>
          <cell r="R59">
            <v>3.7364000000000002</v>
          </cell>
          <cell r="S59">
            <v>874.23509999999999</v>
          </cell>
          <cell r="T59">
            <v>135.72499999999999</v>
          </cell>
          <cell r="U59">
            <v>42.969299999999997</v>
          </cell>
          <cell r="V59">
            <v>223.29820000000001</v>
          </cell>
          <cell r="W59">
            <v>251.59880000000001</v>
          </cell>
          <cell r="X59">
            <v>59.679200000000002</v>
          </cell>
          <cell r="Y59">
            <v>131.20160000000001</v>
          </cell>
          <cell r="Z59">
            <v>2.4544999999999999</v>
          </cell>
          <cell r="AA59">
            <v>1.893</v>
          </cell>
          <cell r="AB59">
            <v>311.07190000000003</v>
          </cell>
          <cell r="AC59">
            <v>11.2438</v>
          </cell>
          <cell r="AD59">
            <v>4.6699999999999998E-2</v>
          </cell>
          <cell r="AE59">
            <v>10.4404</v>
          </cell>
          <cell r="AF59">
            <v>18.491099999999999</v>
          </cell>
          <cell r="AG59">
            <v>1.6295999999999999</v>
          </cell>
          <cell r="AH59">
            <v>82.762699999999995</v>
          </cell>
          <cell r="AI59">
            <v>75.017799999999994</v>
          </cell>
          <cell r="AJ59">
            <v>14.2311</v>
          </cell>
          <cell r="AK59">
            <v>54.183599999999998</v>
          </cell>
          <cell r="AL59">
            <v>320.91079999999999</v>
          </cell>
          <cell r="AM59">
            <v>46.5548</v>
          </cell>
          <cell r="AN59">
            <v>492.08460000000002</v>
          </cell>
          <cell r="AO59">
            <v>697.40260000000001</v>
          </cell>
        </row>
        <row r="60">
          <cell r="C60">
            <v>285.09179999999998</v>
          </cell>
          <cell r="D60">
            <v>35.921599999999998</v>
          </cell>
          <cell r="E60">
            <v>786.71370000000002</v>
          </cell>
          <cell r="F60">
            <v>11.8352</v>
          </cell>
          <cell r="G60">
            <v>122.5318</v>
          </cell>
          <cell r="H60">
            <v>4.36E-2</v>
          </cell>
          <cell r="I60">
            <v>14.506</v>
          </cell>
          <cell r="J60">
            <v>66.216399999999993</v>
          </cell>
          <cell r="K60">
            <v>542.88</v>
          </cell>
          <cell r="L60">
            <v>31.591000000000001</v>
          </cell>
          <cell r="M60">
            <v>6.2504999999999997</v>
          </cell>
          <cell r="N60">
            <v>627.62170000000003</v>
          </cell>
          <cell r="O60">
            <v>29.707599999999999</v>
          </cell>
          <cell r="P60">
            <v>25.528099999999998</v>
          </cell>
          <cell r="Q60">
            <v>353.8494</v>
          </cell>
          <cell r="R60">
            <v>3.7363</v>
          </cell>
          <cell r="S60">
            <v>874.2029</v>
          </cell>
          <cell r="T60">
            <v>135.72</v>
          </cell>
          <cell r="U60">
            <v>42.947699999999998</v>
          </cell>
          <cell r="V60">
            <v>224.3</v>
          </cell>
          <cell r="W60">
            <v>252.7276</v>
          </cell>
          <cell r="X60">
            <v>60.110900000000001</v>
          </cell>
          <cell r="Y60">
            <v>132.02250000000001</v>
          </cell>
          <cell r="Z60">
            <v>2.4655</v>
          </cell>
          <cell r="AA60">
            <v>1.8875999999999999</v>
          </cell>
          <cell r="AB60">
            <v>311.28680000000003</v>
          </cell>
          <cell r="AC60">
            <v>11.292899999999999</v>
          </cell>
          <cell r="AD60">
            <v>5.1299999999999998E-2</v>
          </cell>
          <cell r="AE60">
            <v>10.44</v>
          </cell>
          <cell r="AF60">
            <v>18.5685</v>
          </cell>
          <cell r="AG60">
            <v>1.6227</v>
          </cell>
          <cell r="AH60">
            <v>83.134</v>
          </cell>
          <cell r="AI60">
            <v>75.354399999999998</v>
          </cell>
          <cell r="AJ60">
            <v>14.2942</v>
          </cell>
          <cell r="AK60">
            <v>54.781399999999998</v>
          </cell>
          <cell r="AL60">
            <v>322.28739999999999</v>
          </cell>
          <cell r="AM60">
            <v>46.6006</v>
          </cell>
          <cell r="AN60">
            <v>494.29219999999998</v>
          </cell>
          <cell r="AO60">
            <v>698.80870000000004</v>
          </cell>
        </row>
        <row r="61">
          <cell r="C61">
            <v>285.42630000000003</v>
          </cell>
          <cell r="D61">
            <v>36.150399999999998</v>
          </cell>
          <cell r="E61">
            <v>783.495</v>
          </cell>
          <cell r="F61">
            <v>11.83</v>
          </cell>
          <cell r="G61">
            <v>123.3124</v>
          </cell>
          <cell r="H61">
            <v>4.36E-2</v>
          </cell>
          <cell r="I61">
            <v>14.5984</v>
          </cell>
          <cell r="J61">
            <v>66.645399999999995</v>
          </cell>
          <cell r="K61">
            <v>542.88</v>
          </cell>
          <cell r="L61">
            <v>31.792300000000001</v>
          </cell>
          <cell r="M61">
            <v>6.2689000000000004</v>
          </cell>
          <cell r="N61">
            <v>631.61969999999997</v>
          </cell>
          <cell r="O61">
            <v>29.896799999999999</v>
          </cell>
          <cell r="P61">
            <v>25.6907</v>
          </cell>
          <cell r="Q61">
            <v>355.01069999999999</v>
          </cell>
          <cell r="R61">
            <v>3.7363</v>
          </cell>
          <cell r="S61">
            <v>874.2029</v>
          </cell>
          <cell r="T61">
            <v>135.72</v>
          </cell>
          <cell r="U61">
            <v>42.8673</v>
          </cell>
          <cell r="V61">
            <v>225.72890000000001</v>
          </cell>
          <cell r="W61">
            <v>254.33750000000001</v>
          </cell>
          <cell r="X61">
            <v>60.453400000000002</v>
          </cell>
          <cell r="Y61">
            <v>132.63319999999999</v>
          </cell>
          <cell r="Z61">
            <v>2.4811999999999999</v>
          </cell>
          <cell r="AA61">
            <v>1.8903000000000001</v>
          </cell>
          <cell r="AB61">
            <v>311.71890000000002</v>
          </cell>
          <cell r="AC61">
            <v>11.3771</v>
          </cell>
          <cell r="AD61">
            <v>5.3199999999999997E-2</v>
          </cell>
          <cell r="AE61">
            <v>10.44</v>
          </cell>
          <cell r="AF61">
            <v>18.6783</v>
          </cell>
          <cell r="AG61">
            <v>1.6227</v>
          </cell>
          <cell r="AH61">
            <v>83.663600000000002</v>
          </cell>
          <cell r="AI61">
            <v>75.834400000000002</v>
          </cell>
          <cell r="AJ61">
            <v>14.3736</v>
          </cell>
          <cell r="AK61">
            <v>55.051000000000002</v>
          </cell>
          <cell r="AL61">
            <v>323.68619999999999</v>
          </cell>
          <cell r="AM61">
            <v>46.747599999999998</v>
          </cell>
          <cell r="AN61">
            <v>497.4409</v>
          </cell>
          <cell r="AO61">
            <v>701.65920000000006</v>
          </cell>
        </row>
        <row r="62">
          <cell r="C62">
            <v>290.86723928571439</v>
          </cell>
          <cell r="D62">
            <v>36.359014285714288</v>
          </cell>
          <cell r="E62">
            <v>789.78365714285712</v>
          </cell>
          <cell r="F62">
            <v>11.855671428571425</v>
          </cell>
          <cell r="G62">
            <v>124.02382142857142</v>
          </cell>
          <cell r="H62">
            <v>4.3635714285714285E-2</v>
          </cell>
          <cell r="I62">
            <v>14.682642857142856</v>
          </cell>
          <cell r="J62">
            <v>67.039882142857138</v>
          </cell>
          <cell r="K62">
            <v>542.955357142857</v>
          </cell>
          <cell r="L62">
            <v>31.975685714285703</v>
          </cell>
          <cell r="M62">
            <v>6.3141035714285705</v>
          </cell>
          <cell r="N62">
            <v>635.26372500000002</v>
          </cell>
          <cell r="O62">
            <v>30.069303571428559</v>
          </cell>
          <cell r="P62">
            <v>25.838885714285716</v>
          </cell>
          <cell r="Q62">
            <v>357.22781071428568</v>
          </cell>
          <cell r="R62">
            <v>3.7396392857142855</v>
          </cell>
          <cell r="S62">
            <v>878.47542142857151</v>
          </cell>
          <cell r="T62">
            <v>135.73883928571425</v>
          </cell>
          <cell r="U62">
            <v>42.997578571428562</v>
          </cell>
          <cell r="V62">
            <v>227.03116428571434</v>
          </cell>
          <cell r="W62">
            <v>255.80486785714282</v>
          </cell>
          <cell r="X62">
            <v>60.942453571428594</v>
          </cell>
          <cell r="Y62">
            <v>132.7383214285714</v>
          </cell>
          <cell r="Z62">
            <v>2.4955392857142864</v>
          </cell>
          <cell r="AA62">
            <v>1.8988607142857143</v>
          </cell>
          <cell r="AB62">
            <v>311.55531071428567</v>
          </cell>
          <cell r="AC62">
            <v>11.445989285714287</v>
          </cell>
          <cell r="AD62">
            <v>7.3064285714285693E-2</v>
          </cell>
          <cell r="AE62">
            <v>10.441464285714288</v>
          </cell>
          <cell r="AF62">
            <v>18.834800000000005</v>
          </cell>
          <cell r="AG62">
            <v>1.6401714285714288</v>
          </cell>
          <cell r="AH62">
            <v>84.146235714285723</v>
          </cell>
          <cell r="AI62">
            <v>76.271900000000002</v>
          </cell>
          <cell r="AJ62">
            <v>14.444985714285716</v>
          </cell>
          <cell r="AK62">
            <v>55.805625000000006</v>
          </cell>
          <cell r="AL62">
            <v>325.86126428571424</v>
          </cell>
          <cell r="AM62">
            <v>46.764446428571418</v>
          </cell>
          <cell r="AN62">
            <v>500.31083214285724</v>
          </cell>
          <cell r="AO62">
            <v>702.26468214285728</v>
          </cell>
        </row>
        <row r="63">
          <cell r="C63">
            <v>285.94159999999999</v>
          </cell>
          <cell r="D63">
            <v>36.483800000000002</v>
          </cell>
          <cell r="E63">
            <v>786.01480000000004</v>
          </cell>
          <cell r="F63">
            <v>11.8294</v>
          </cell>
          <cell r="G63">
            <v>124.4494</v>
          </cell>
          <cell r="H63">
            <v>4.3400000000000001E-2</v>
          </cell>
          <cell r="I63">
            <v>14.733000000000001</v>
          </cell>
          <cell r="J63">
            <v>67.268000000000001</v>
          </cell>
          <cell r="K63">
            <v>542.85</v>
          </cell>
          <cell r="L63">
            <v>32.0854</v>
          </cell>
          <cell r="M63">
            <v>6.2981999999999996</v>
          </cell>
          <cell r="N63">
            <v>637.44370000000004</v>
          </cell>
          <cell r="O63">
            <v>30.172499999999999</v>
          </cell>
          <cell r="P63">
            <v>25.927600000000002</v>
          </cell>
          <cell r="Q63">
            <v>354.76479999999998</v>
          </cell>
          <cell r="R63">
            <v>3.7361</v>
          </cell>
          <cell r="S63">
            <v>874.15459999999996</v>
          </cell>
          <cell r="T63">
            <v>135.71250000000001</v>
          </cell>
          <cell r="U63">
            <v>42.864899999999999</v>
          </cell>
          <cell r="V63">
            <v>227.81020000000001</v>
          </cell>
          <cell r="W63">
            <v>256.68270000000001</v>
          </cell>
          <cell r="X63">
            <v>60.896099999999997</v>
          </cell>
          <cell r="Y63">
            <v>134.35050000000001</v>
          </cell>
          <cell r="Z63">
            <v>2.5041000000000002</v>
          </cell>
          <cell r="AA63">
            <v>1.8968</v>
          </cell>
          <cell r="AB63">
            <v>311.41219999999998</v>
          </cell>
          <cell r="AC63">
            <v>11.463699999999999</v>
          </cell>
          <cell r="AD63">
            <v>5.3900000000000003E-2</v>
          </cell>
          <cell r="AE63">
            <v>10.439399999999999</v>
          </cell>
          <cell r="AF63">
            <v>18.857600000000001</v>
          </cell>
          <cell r="AG63">
            <v>1.6226</v>
          </cell>
          <cell r="AH63">
            <v>84.435000000000002</v>
          </cell>
          <cell r="AI63">
            <v>76.533600000000007</v>
          </cell>
          <cell r="AJ63">
            <v>14.491899999999999</v>
          </cell>
          <cell r="AK63">
            <v>55.418799999999997</v>
          </cell>
          <cell r="AL63">
            <v>325.65370000000001</v>
          </cell>
          <cell r="AM63">
            <v>46.291200000000003</v>
          </cell>
          <cell r="AN63">
            <v>502.02769999999998</v>
          </cell>
          <cell r="AO63">
            <v>701.62040000000002</v>
          </cell>
        </row>
        <row r="64">
          <cell r="C64">
            <v>286.63990000000001</v>
          </cell>
          <cell r="D64">
            <v>36.566600000000001</v>
          </cell>
          <cell r="E64">
            <v>787.18349999999998</v>
          </cell>
          <cell r="F64">
            <v>11.8294</v>
          </cell>
          <cell r="G64">
            <v>124.732</v>
          </cell>
          <cell r="H64">
            <v>4.3400000000000001E-2</v>
          </cell>
          <cell r="I64">
            <v>14.766500000000001</v>
          </cell>
          <cell r="J64">
            <v>67.422499999999999</v>
          </cell>
          <cell r="K64">
            <v>542.85</v>
          </cell>
          <cell r="L64">
            <v>32.158299999999997</v>
          </cell>
          <cell r="M64">
            <v>6.3085000000000004</v>
          </cell>
          <cell r="N64">
            <v>638.89110000000005</v>
          </cell>
          <cell r="O64">
            <v>30.241</v>
          </cell>
          <cell r="P64">
            <v>25.9864</v>
          </cell>
          <cell r="Q64">
            <v>352.53109999999998</v>
          </cell>
          <cell r="R64">
            <v>3.7361</v>
          </cell>
          <cell r="S64">
            <v>875.56449999999995</v>
          </cell>
          <cell r="T64">
            <v>135.71250000000001</v>
          </cell>
          <cell r="U64">
            <v>42.6601</v>
          </cell>
          <cell r="V64">
            <v>228.32749999999999</v>
          </cell>
          <cell r="W64">
            <v>257.26549999999997</v>
          </cell>
          <cell r="X64">
            <v>61.123399999999997</v>
          </cell>
          <cell r="Y64">
            <v>134.9228</v>
          </cell>
          <cell r="Z64">
            <v>2.5097999999999998</v>
          </cell>
          <cell r="AA64">
            <v>1.8968</v>
          </cell>
          <cell r="AB64">
            <v>311.00049999999999</v>
          </cell>
          <cell r="AC64">
            <v>11.4918</v>
          </cell>
          <cell r="AD64">
            <v>5.6800000000000003E-2</v>
          </cell>
          <cell r="AE64">
            <v>10.439399999999999</v>
          </cell>
          <cell r="AF64">
            <v>18.884799999999998</v>
          </cell>
          <cell r="AG64">
            <v>1.6226</v>
          </cell>
          <cell r="AH64">
            <v>84.6267</v>
          </cell>
          <cell r="AI64">
            <v>76.707400000000007</v>
          </cell>
          <cell r="AJ64">
            <v>14.495900000000001</v>
          </cell>
          <cell r="AK64">
            <v>55.6128</v>
          </cell>
          <cell r="AL64">
            <v>326.49900000000002</v>
          </cell>
          <cell r="AM64">
            <v>46.281100000000002</v>
          </cell>
          <cell r="AN64">
            <v>503.16770000000002</v>
          </cell>
          <cell r="AO64">
            <v>702.24570000000006</v>
          </cell>
        </row>
        <row r="65">
          <cell r="C65">
            <v>286.4144</v>
          </cell>
          <cell r="D65">
            <v>36.935400000000001</v>
          </cell>
          <cell r="E65">
            <v>799.62609999999995</v>
          </cell>
          <cell r="F65">
            <v>11.8287</v>
          </cell>
          <cell r="G65">
            <v>125.99</v>
          </cell>
          <cell r="H65">
            <v>4.3299999999999998E-2</v>
          </cell>
          <cell r="I65">
            <v>14.9154</v>
          </cell>
          <cell r="J65">
            <v>68.0779</v>
          </cell>
          <cell r="K65">
            <v>542.82000000000005</v>
          </cell>
          <cell r="L65">
            <v>32.482599999999998</v>
          </cell>
          <cell r="M65">
            <v>6.3506</v>
          </cell>
          <cell r="N65">
            <v>645.3347</v>
          </cell>
          <cell r="O65">
            <v>30.545999999999999</v>
          </cell>
          <cell r="P65">
            <v>26.2485</v>
          </cell>
          <cell r="Q65">
            <v>350.8023</v>
          </cell>
          <cell r="R65">
            <v>3.7359</v>
          </cell>
          <cell r="S65">
            <v>875.51610000000005</v>
          </cell>
          <cell r="T65">
            <v>135.70500000000001</v>
          </cell>
          <cell r="U65">
            <v>42.657800000000002</v>
          </cell>
          <cell r="V65">
            <v>230.63030000000001</v>
          </cell>
          <cell r="W65">
            <v>259.86020000000002</v>
          </cell>
          <cell r="X65">
            <v>61.8337</v>
          </cell>
          <cell r="Y65">
            <v>136.5986</v>
          </cell>
          <cell r="Z65">
            <v>2.5350999999999999</v>
          </cell>
          <cell r="AA65">
            <v>1.8947000000000001</v>
          </cell>
          <cell r="AB65">
            <v>310.56670000000003</v>
          </cell>
          <cell r="AC65">
            <v>11.591799999999999</v>
          </cell>
          <cell r="AD65">
            <v>5.7799999999999997E-2</v>
          </cell>
          <cell r="AE65">
            <v>10.438800000000001</v>
          </cell>
          <cell r="AF65">
            <v>19.073899999999998</v>
          </cell>
          <cell r="AG65">
            <v>1.6225000000000001</v>
          </cell>
          <cell r="AH65">
            <v>85.480199999999996</v>
          </cell>
          <cell r="AI65">
            <v>77.480999999999995</v>
          </cell>
          <cell r="AJ65">
            <v>14.584099999999999</v>
          </cell>
          <cell r="AK65">
            <v>56.215299999999999</v>
          </cell>
          <cell r="AL65">
            <v>330.47820000000002</v>
          </cell>
          <cell r="AM65">
            <v>45.561799999999998</v>
          </cell>
          <cell r="AN65">
            <v>508.24239999999998</v>
          </cell>
          <cell r="AO65">
            <v>704.21839999999997</v>
          </cell>
        </row>
        <row r="66">
          <cell r="C66">
            <v>286.4144</v>
          </cell>
          <cell r="D66">
            <v>36.935400000000001</v>
          </cell>
          <cell r="E66">
            <v>799.62609999999995</v>
          </cell>
          <cell r="F66">
            <v>11.8287</v>
          </cell>
          <cell r="G66">
            <v>125.99</v>
          </cell>
          <cell r="H66">
            <v>4.3299999999999998E-2</v>
          </cell>
          <cell r="I66">
            <v>14.9154</v>
          </cell>
          <cell r="J66">
            <v>68.0779</v>
          </cell>
          <cell r="K66">
            <v>542.82000000000005</v>
          </cell>
          <cell r="L66">
            <v>32.482599999999998</v>
          </cell>
          <cell r="M66">
            <v>6.3506</v>
          </cell>
          <cell r="N66">
            <v>645.3347</v>
          </cell>
          <cell r="O66">
            <v>30.545999999999999</v>
          </cell>
          <cell r="P66">
            <v>26.2485</v>
          </cell>
          <cell r="Q66">
            <v>350.8023</v>
          </cell>
          <cell r="R66">
            <v>3.7359</v>
          </cell>
          <cell r="S66">
            <v>875.51610000000005</v>
          </cell>
          <cell r="T66">
            <v>135.70500000000001</v>
          </cell>
          <cell r="U66">
            <v>42.657800000000002</v>
          </cell>
          <cell r="V66">
            <v>230.63030000000001</v>
          </cell>
          <cell r="W66">
            <v>259.86020000000002</v>
          </cell>
          <cell r="X66">
            <v>61.8337</v>
          </cell>
          <cell r="Y66">
            <v>136.5986</v>
          </cell>
          <cell r="Z66">
            <v>2.5350999999999999</v>
          </cell>
          <cell r="AA66">
            <v>1.8947000000000001</v>
          </cell>
          <cell r="AB66">
            <v>310.56670000000003</v>
          </cell>
          <cell r="AC66">
            <v>11.591799999999999</v>
          </cell>
          <cell r="AD66">
            <v>5.7799999999999997E-2</v>
          </cell>
          <cell r="AE66">
            <v>10.438800000000001</v>
          </cell>
          <cell r="AF66">
            <v>19.073899999999998</v>
          </cell>
          <cell r="AG66">
            <v>1.6225000000000001</v>
          </cell>
          <cell r="AH66">
            <v>85.480199999999996</v>
          </cell>
          <cell r="AI66">
            <v>77.480999999999995</v>
          </cell>
          <cell r="AJ66">
            <v>14.584099999999999</v>
          </cell>
          <cell r="AK66">
            <v>56.215299999999999</v>
          </cell>
          <cell r="AL66">
            <v>330.47820000000002</v>
          </cell>
          <cell r="AM66">
            <v>45.561799999999998</v>
          </cell>
          <cell r="AN66">
            <v>508.24239999999998</v>
          </cell>
          <cell r="AO66">
            <v>704.21839999999997</v>
          </cell>
        </row>
        <row r="67">
          <cell r="C67">
            <v>286.4144</v>
          </cell>
          <cell r="D67">
            <v>36.935400000000001</v>
          </cell>
          <cell r="E67">
            <v>799.62609999999995</v>
          </cell>
          <cell r="F67">
            <v>11.8287</v>
          </cell>
          <cell r="G67">
            <v>125.99</v>
          </cell>
          <cell r="H67">
            <v>4.3299999999999998E-2</v>
          </cell>
          <cell r="I67">
            <v>14.9154</v>
          </cell>
          <cell r="J67">
            <v>68.0779</v>
          </cell>
          <cell r="K67">
            <v>542.82000000000005</v>
          </cell>
          <cell r="L67">
            <v>32.482599999999998</v>
          </cell>
          <cell r="M67">
            <v>6.3506</v>
          </cell>
          <cell r="N67">
            <v>645.3347</v>
          </cell>
          <cell r="O67">
            <v>30.545999999999999</v>
          </cell>
          <cell r="P67">
            <v>26.2485</v>
          </cell>
          <cell r="Q67">
            <v>350.8023</v>
          </cell>
          <cell r="R67">
            <v>3.7359</v>
          </cell>
          <cell r="S67">
            <v>875.51610000000005</v>
          </cell>
          <cell r="T67">
            <v>135.70500000000001</v>
          </cell>
          <cell r="U67">
            <v>42.657800000000002</v>
          </cell>
          <cell r="V67">
            <v>230.63030000000001</v>
          </cell>
          <cell r="W67">
            <v>259.86020000000002</v>
          </cell>
          <cell r="X67">
            <v>61.8337</v>
          </cell>
          <cell r="Y67">
            <v>136.5986</v>
          </cell>
          <cell r="Z67">
            <v>2.5350999999999999</v>
          </cell>
          <cell r="AA67">
            <v>1.8947000000000001</v>
          </cell>
          <cell r="AB67">
            <v>310.56670000000003</v>
          </cell>
          <cell r="AC67">
            <v>11.591799999999999</v>
          </cell>
          <cell r="AD67">
            <v>5.7799999999999997E-2</v>
          </cell>
          <cell r="AE67">
            <v>10.438800000000001</v>
          </cell>
          <cell r="AF67">
            <v>19.073899999999998</v>
          </cell>
          <cell r="AG67">
            <v>1.6225000000000001</v>
          </cell>
          <cell r="AH67">
            <v>85.480199999999996</v>
          </cell>
          <cell r="AI67">
            <v>77.480999999999995</v>
          </cell>
          <cell r="AJ67">
            <v>14.584099999999999</v>
          </cell>
          <cell r="AK67">
            <v>56.215299999999999</v>
          </cell>
          <cell r="AL67">
            <v>330.47820000000002</v>
          </cell>
          <cell r="AM67">
            <v>45.561799999999998</v>
          </cell>
          <cell r="AN67">
            <v>508.24239999999998</v>
          </cell>
          <cell r="AO67">
            <v>704.21839999999997</v>
          </cell>
        </row>
        <row r="68">
          <cell r="C68">
            <v>283.52769999999998</v>
          </cell>
          <cell r="D68">
            <v>36.7012</v>
          </cell>
          <cell r="E68">
            <v>797.81920000000002</v>
          </cell>
          <cell r="F68">
            <v>11.827</v>
          </cell>
          <cell r="G68">
            <v>125.19110000000001</v>
          </cell>
          <cell r="H68">
            <v>4.3200000000000002E-2</v>
          </cell>
          <cell r="I68">
            <v>14.8208</v>
          </cell>
          <cell r="J68">
            <v>67.649799999999999</v>
          </cell>
          <cell r="K68">
            <v>542.74</v>
          </cell>
          <cell r="L68">
            <v>32.276600000000002</v>
          </cell>
          <cell r="M68">
            <v>6.3262</v>
          </cell>
          <cell r="N68">
            <v>641.24260000000004</v>
          </cell>
          <cell r="O68">
            <v>30.3523</v>
          </cell>
          <cell r="P68">
            <v>26.082100000000001</v>
          </cell>
          <cell r="Q68">
            <v>351.63600000000002</v>
          </cell>
          <cell r="R68">
            <v>3.734</v>
          </cell>
          <cell r="S68">
            <v>875.38710000000003</v>
          </cell>
          <cell r="T68">
            <v>135.685</v>
          </cell>
          <cell r="U68">
            <v>42.651499999999999</v>
          </cell>
          <cell r="V68">
            <v>229.1679</v>
          </cell>
          <cell r="W68">
            <v>258.2124</v>
          </cell>
          <cell r="X68">
            <v>61.393099999999997</v>
          </cell>
          <cell r="Y68">
            <v>135.98830000000001</v>
          </cell>
          <cell r="Z68">
            <v>2.5190000000000001</v>
          </cell>
          <cell r="AA68">
            <v>1.8936999999999999</v>
          </cell>
          <cell r="AB68">
            <v>309.56209999999999</v>
          </cell>
          <cell r="AC68">
            <v>11.5039</v>
          </cell>
          <cell r="AD68">
            <v>5.9400000000000001E-2</v>
          </cell>
          <cell r="AE68">
            <v>10.4373</v>
          </cell>
          <cell r="AF68">
            <v>18.962199999999999</v>
          </cell>
          <cell r="AG68">
            <v>1.6152</v>
          </cell>
          <cell r="AH68">
            <v>84.938199999999995</v>
          </cell>
          <cell r="AI68">
            <v>76.989699999999999</v>
          </cell>
          <cell r="AJ68">
            <v>14.4643</v>
          </cell>
          <cell r="AK68">
            <v>55.7029</v>
          </cell>
          <cell r="AL68">
            <v>328.44670000000002</v>
          </cell>
          <cell r="AM68">
            <v>45.439900000000002</v>
          </cell>
          <cell r="AN68">
            <v>505.01960000000003</v>
          </cell>
          <cell r="AO68">
            <v>702.08249999999998</v>
          </cell>
        </row>
        <row r="69">
          <cell r="C69">
            <v>281.0444</v>
          </cell>
          <cell r="D69">
            <v>36.565600000000003</v>
          </cell>
          <cell r="E69">
            <v>795.75170000000003</v>
          </cell>
          <cell r="F69">
            <v>11.8163</v>
          </cell>
          <cell r="G69">
            <v>124.7286</v>
          </cell>
          <cell r="H69">
            <v>4.3200000000000002E-2</v>
          </cell>
          <cell r="I69">
            <v>14.7661</v>
          </cell>
          <cell r="J69">
            <v>67.418899999999994</v>
          </cell>
          <cell r="K69">
            <v>542.25</v>
          </cell>
          <cell r="L69">
            <v>32.157400000000003</v>
          </cell>
          <cell r="M69">
            <v>6.3036000000000003</v>
          </cell>
          <cell r="N69">
            <v>638.87350000000004</v>
          </cell>
          <cell r="O69">
            <v>30.240200000000002</v>
          </cell>
          <cell r="P69">
            <v>25.985700000000001</v>
          </cell>
          <cell r="Q69">
            <v>351.51159999999999</v>
          </cell>
          <cell r="R69">
            <v>3.7307000000000001</v>
          </cell>
          <cell r="S69">
            <v>874.59680000000003</v>
          </cell>
          <cell r="T69">
            <v>135.5625</v>
          </cell>
          <cell r="U69">
            <v>43.164499999999997</v>
          </cell>
          <cell r="V69">
            <v>228.3212</v>
          </cell>
          <cell r="W69">
            <v>257.25839999999999</v>
          </cell>
          <cell r="X69">
            <v>61.125399999999999</v>
          </cell>
          <cell r="Y69">
            <v>136.1568</v>
          </cell>
          <cell r="Z69">
            <v>2.5097</v>
          </cell>
          <cell r="AA69">
            <v>1.8939999999999999</v>
          </cell>
          <cell r="AB69">
            <v>309.19549999999998</v>
          </cell>
          <cell r="AC69">
            <v>11.4786</v>
          </cell>
          <cell r="AD69">
            <v>6.13E-2</v>
          </cell>
          <cell r="AE69">
            <v>10.427899999999999</v>
          </cell>
          <cell r="AF69">
            <v>18.8992</v>
          </cell>
          <cell r="AG69">
            <v>1.6136999999999999</v>
          </cell>
          <cell r="AH69">
            <v>84.624399999999994</v>
          </cell>
          <cell r="AI69">
            <v>76.705299999999994</v>
          </cell>
          <cell r="AJ69">
            <v>14.463800000000001</v>
          </cell>
          <cell r="AK69">
            <v>55.691299999999998</v>
          </cell>
          <cell r="AL69">
            <v>327.2971</v>
          </cell>
          <cell r="AM69">
            <v>45.786999999999999</v>
          </cell>
          <cell r="AN69">
            <v>503.15379999999999</v>
          </cell>
          <cell r="AO69">
            <v>701.42510000000004</v>
          </cell>
        </row>
        <row r="70">
          <cell r="C70">
            <v>278.25549999999998</v>
          </cell>
          <cell r="D70">
            <v>36.676000000000002</v>
          </cell>
          <cell r="E70">
            <v>793.75919999999996</v>
          </cell>
          <cell r="F70">
            <v>11.8163</v>
          </cell>
          <cell r="G70">
            <v>125.1049</v>
          </cell>
          <cell r="H70">
            <v>4.3200000000000002E-2</v>
          </cell>
          <cell r="I70">
            <v>14.810600000000001</v>
          </cell>
          <cell r="J70">
            <v>67.625</v>
          </cell>
          <cell r="K70">
            <v>542.25</v>
          </cell>
          <cell r="L70">
            <v>32.254399999999997</v>
          </cell>
          <cell r="M70">
            <v>6.3068</v>
          </cell>
          <cell r="N70">
            <v>640.80139999999994</v>
          </cell>
          <cell r="O70">
            <v>30.331399999999999</v>
          </cell>
          <cell r="P70">
            <v>26.0641</v>
          </cell>
          <cell r="Q70">
            <v>350.58850000000001</v>
          </cell>
          <cell r="R70">
            <v>3.7307000000000001</v>
          </cell>
          <cell r="S70">
            <v>878.84929999999997</v>
          </cell>
          <cell r="T70">
            <v>135.5625</v>
          </cell>
          <cell r="U70">
            <v>43.164499999999997</v>
          </cell>
          <cell r="V70">
            <v>229.0102</v>
          </cell>
          <cell r="W70">
            <v>258.03469999999999</v>
          </cell>
          <cell r="X70">
            <v>61.429299999999998</v>
          </cell>
          <cell r="Y70">
            <v>137.1317</v>
          </cell>
          <cell r="Z70">
            <v>2.5173000000000001</v>
          </cell>
          <cell r="AA70">
            <v>1.8947000000000001</v>
          </cell>
          <cell r="AB70">
            <v>308.6302</v>
          </cell>
          <cell r="AC70">
            <v>11.510899999999999</v>
          </cell>
          <cell r="AD70">
            <v>5.7299999999999997E-2</v>
          </cell>
          <cell r="AE70">
            <v>10.427899999999999</v>
          </cell>
          <cell r="AF70">
            <v>18.9513</v>
          </cell>
          <cell r="AG70">
            <v>1.6136999999999999</v>
          </cell>
          <cell r="AH70">
            <v>84.8797</v>
          </cell>
          <cell r="AI70">
            <v>76.936800000000005</v>
          </cell>
          <cell r="AJ70">
            <v>14.4655</v>
          </cell>
          <cell r="AK70">
            <v>55.740200000000002</v>
          </cell>
          <cell r="AL70">
            <v>328.30610000000001</v>
          </cell>
          <cell r="AM70">
            <v>45.3108</v>
          </cell>
          <cell r="AN70">
            <v>504.6721</v>
          </cell>
          <cell r="AO70">
            <v>701.37339999999995</v>
          </cell>
        </row>
        <row r="71">
          <cell r="C71">
            <v>278.25549999999998</v>
          </cell>
          <cell r="D71">
            <v>36.676000000000002</v>
          </cell>
          <cell r="E71">
            <v>793.75919999999996</v>
          </cell>
          <cell r="F71">
            <v>11.8163</v>
          </cell>
          <cell r="G71">
            <v>125.1049</v>
          </cell>
          <cell r="H71">
            <v>4.3200000000000002E-2</v>
          </cell>
          <cell r="I71">
            <v>14.810600000000001</v>
          </cell>
          <cell r="J71">
            <v>67.625</v>
          </cell>
          <cell r="K71">
            <v>542.25</v>
          </cell>
          <cell r="L71">
            <v>32.254399999999997</v>
          </cell>
          <cell r="M71">
            <v>6.3068</v>
          </cell>
          <cell r="N71">
            <v>640.80139999999994</v>
          </cell>
          <cell r="O71">
            <v>30.331399999999999</v>
          </cell>
          <cell r="P71">
            <v>26.0641</v>
          </cell>
          <cell r="Q71">
            <v>350.58850000000001</v>
          </cell>
          <cell r="R71">
            <v>3.7307000000000001</v>
          </cell>
          <cell r="S71">
            <v>878.84929999999997</v>
          </cell>
          <cell r="T71">
            <v>135.5625</v>
          </cell>
          <cell r="U71">
            <v>43.164499999999997</v>
          </cell>
          <cell r="V71">
            <v>229.0102</v>
          </cell>
          <cell r="W71">
            <v>258.03469999999999</v>
          </cell>
          <cell r="X71">
            <v>61.429299999999998</v>
          </cell>
          <cell r="Y71">
            <v>137.1317</v>
          </cell>
          <cell r="Z71">
            <v>2.5173000000000001</v>
          </cell>
          <cell r="AA71">
            <v>1.8947000000000001</v>
          </cell>
          <cell r="AB71">
            <v>308.6302</v>
          </cell>
          <cell r="AC71">
            <v>11.510899999999999</v>
          </cell>
          <cell r="AD71">
            <v>5.7299999999999997E-2</v>
          </cell>
          <cell r="AE71">
            <v>10.427899999999999</v>
          </cell>
          <cell r="AF71">
            <v>18.9513</v>
          </cell>
          <cell r="AG71">
            <v>1.6136999999999999</v>
          </cell>
          <cell r="AH71">
            <v>84.8797</v>
          </cell>
          <cell r="AI71">
            <v>76.936800000000005</v>
          </cell>
          <cell r="AJ71">
            <v>14.4655</v>
          </cell>
          <cell r="AK71">
            <v>55.740200000000002</v>
          </cell>
          <cell r="AL71">
            <v>328.30610000000001</v>
          </cell>
          <cell r="AM71">
            <v>45.3108</v>
          </cell>
          <cell r="AN71">
            <v>504.6721</v>
          </cell>
          <cell r="AO71">
            <v>701.37339999999995</v>
          </cell>
        </row>
        <row r="72">
          <cell r="C72">
            <v>278.25549999999998</v>
          </cell>
          <cell r="D72">
            <v>36.676000000000002</v>
          </cell>
          <cell r="E72">
            <v>793.75919999999996</v>
          </cell>
          <cell r="F72">
            <v>11.8163</v>
          </cell>
          <cell r="G72">
            <v>125.1049</v>
          </cell>
          <cell r="H72">
            <v>4.3200000000000002E-2</v>
          </cell>
          <cell r="I72">
            <v>14.810600000000001</v>
          </cell>
          <cell r="J72">
            <v>67.625</v>
          </cell>
          <cell r="K72">
            <v>542.25</v>
          </cell>
          <cell r="L72">
            <v>32.254399999999997</v>
          </cell>
          <cell r="M72">
            <v>6.3068</v>
          </cell>
          <cell r="N72">
            <v>640.80139999999994</v>
          </cell>
          <cell r="O72">
            <v>30.331399999999999</v>
          </cell>
          <cell r="P72">
            <v>26.0641</v>
          </cell>
          <cell r="Q72">
            <v>350.58850000000001</v>
          </cell>
          <cell r="R72">
            <v>3.7307000000000001</v>
          </cell>
          <cell r="S72">
            <v>878.84929999999997</v>
          </cell>
          <cell r="T72">
            <v>135.5625</v>
          </cell>
          <cell r="U72">
            <v>43.164499999999997</v>
          </cell>
          <cell r="V72">
            <v>229.0102</v>
          </cell>
          <cell r="W72">
            <v>258.03469999999999</v>
          </cell>
          <cell r="X72">
            <v>61.429299999999998</v>
          </cell>
          <cell r="Y72">
            <v>137.1317</v>
          </cell>
          <cell r="Z72">
            <v>2.5173000000000001</v>
          </cell>
          <cell r="AA72">
            <v>1.8947000000000001</v>
          </cell>
          <cell r="AB72">
            <v>308.6302</v>
          </cell>
          <cell r="AC72">
            <v>11.510899999999999</v>
          </cell>
          <cell r="AD72">
            <v>5.7299999999999997E-2</v>
          </cell>
          <cell r="AE72">
            <v>10.427899999999999</v>
          </cell>
          <cell r="AF72">
            <v>18.9513</v>
          </cell>
          <cell r="AG72">
            <v>1.6136999999999999</v>
          </cell>
          <cell r="AH72">
            <v>84.8797</v>
          </cell>
          <cell r="AI72">
            <v>76.936800000000005</v>
          </cell>
          <cell r="AJ72">
            <v>14.4655</v>
          </cell>
          <cell r="AK72">
            <v>55.740200000000002</v>
          </cell>
          <cell r="AL72">
            <v>328.30610000000001</v>
          </cell>
          <cell r="AM72">
            <v>45.3108</v>
          </cell>
          <cell r="AN72">
            <v>504.6721</v>
          </cell>
          <cell r="AO72">
            <v>701.37339999999995</v>
          </cell>
        </row>
        <row r="73">
          <cell r="C73">
            <v>278.25549999999998</v>
          </cell>
          <cell r="D73">
            <v>36.676000000000002</v>
          </cell>
          <cell r="E73">
            <v>793.75919999999996</v>
          </cell>
          <cell r="F73">
            <v>11.8163</v>
          </cell>
          <cell r="G73">
            <v>125.1049</v>
          </cell>
          <cell r="H73">
            <v>4.3200000000000002E-2</v>
          </cell>
          <cell r="I73">
            <v>14.810600000000001</v>
          </cell>
          <cell r="J73">
            <v>67.625</v>
          </cell>
          <cell r="K73">
            <v>542.25</v>
          </cell>
          <cell r="L73">
            <v>32.254399999999997</v>
          </cell>
          <cell r="M73">
            <v>6.3068</v>
          </cell>
          <cell r="N73">
            <v>640.80139999999994</v>
          </cell>
          <cell r="O73">
            <v>30.331399999999999</v>
          </cell>
          <cell r="P73">
            <v>26.0641</v>
          </cell>
          <cell r="Q73">
            <v>350.58850000000001</v>
          </cell>
          <cell r="R73">
            <v>3.7307000000000001</v>
          </cell>
          <cell r="S73">
            <v>878.84929999999997</v>
          </cell>
          <cell r="T73">
            <v>135.5625</v>
          </cell>
          <cell r="U73">
            <v>43.164499999999997</v>
          </cell>
          <cell r="V73">
            <v>229.0102</v>
          </cell>
          <cell r="W73">
            <v>258.03469999999999</v>
          </cell>
          <cell r="X73">
            <v>61.429299999999998</v>
          </cell>
          <cell r="Y73">
            <v>137.1317</v>
          </cell>
          <cell r="Z73">
            <v>2.5173000000000001</v>
          </cell>
          <cell r="AA73">
            <v>1.8947000000000001</v>
          </cell>
          <cell r="AB73">
            <v>308.6302</v>
          </cell>
          <cell r="AC73">
            <v>11.510899999999999</v>
          </cell>
          <cell r="AD73">
            <v>5.7299999999999997E-2</v>
          </cell>
          <cell r="AE73">
            <v>10.427899999999999</v>
          </cell>
          <cell r="AF73">
            <v>18.9513</v>
          </cell>
          <cell r="AG73">
            <v>1.6136999999999999</v>
          </cell>
          <cell r="AH73">
            <v>84.8797</v>
          </cell>
          <cell r="AI73">
            <v>76.936800000000005</v>
          </cell>
          <cell r="AJ73">
            <v>14.4655</v>
          </cell>
          <cell r="AK73">
            <v>55.740200000000002</v>
          </cell>
          <cell r="AL73">
            <v>328.30610000000001</v>
          </cell>
          <cell r="AM73">
            <v>45.3108</v>
          </cell>
          <cell r="AN73">
            <v>504.6721</v>
          </cell>
          <cell r="AO73">
            <v>701.37339999999995</v>
          </cell>
        </row>
        <row r="74">
          <cell r="C74">
            <v>277.74430000000001</v>
          </cell>
          <cell r="D74">
            <v>36.872999999999998</v>
          </cell>
          <cell r="E74">
            <v>796.02030000000002</v>
          </cell>
          <cell r="F74">
            <v>11.8163</v>
          </cell>
          <cell r="G74">
            <v>125.777</v>
          </cell>
          <cell r="H74">
            <v>4.3200000000000002E-2</v>
          </cell>
          <cell r="I74">
            <v>14.8902</v>
          </cell>
          <cell r="J74">
            <v>67.9756</v>
          </cell>
          <cell r="K74">
            <v>542.25</v>
          </cell>
          <cell r="L74">
            <v>32.427700000000002</v>
          </cell>
          <cell r="M74">
            <v>6.3327999999999998</v>
          </cell>
          <cell r="N74">
            <v>644.24390000000005</v>
          </cell>
          <cell r="O74">
            <v>30.494399999999999</v>
          </cell>
          <cell r="P74">
            <v>26.2042</v>
          </cell>
          <cell r="Q74">
            <v>350.81470000000002</v>
          </cell>
          <cell r="R74">
            <v>3.7307000000000001</v>
          </cell>
          <cell r="S74">
            <v>878.84929999999997</v>
          </cell>
          <cell r="T74">
            <v>135.5625</v>
          </cell>
          <cell r="U74">
            <v>43.164499999999997</v>
          </cell>
          <cell r="V74">
            <v>230.2405</v>
          </cell>
          <cell r="W74">
            <v>259.42099999999999</v>
          </cell>
          <cell r="X74">
            <v>61.8232</v>
          </cell>
          <cell r="Y74">
            <v>136.45939999999999</v>
          </cell>
          <cell r="Z74">
            <v>2.5308000000000002</v>
          </cell>
          <cell r="AA74">
            <v>1.8947000000000001</v>
          </cell>
          <cell r="AB74">
            <v>308.74</v>
          </cell>
          <cell r="AC74">
            <v>11.608499999999999</v>
          </cell>
          <cell r="AD74">
            <v>5.8799999999999998E-2</v>
          </cell>
          <cell r="AE74">
            <v>10.427899999999999</v>
          </cell>
          <cell r="AF74">
            <v>19.0581</v>
          </cell>
          <cell r="AG74">
            <v>1.6136999999999999</v>
          </cell>
          <cell r="AH74">
            <v>85.335700000000003</v>
          </cell>
          <cell r="AI74">
            <v>77.350099999999998</v>
          </cell>
          <cell r="AJ74">
            <v>14.658799999999999</v>
          </cell>
          <cell r="AK74">
            <v>55.842300000000002</v>
          </cell>
          <cell r="AL74">
            <v>328.80779999999999</v>
          </cell>
          <cell r="AM74">
            <v>45.419699999999999</v>
          </cell>
          <cell r="AN74">
            <v>507.38330000000002</v>
          </cell>
          <cell r="AO74">
            <v>702.43089999999995</v>
          </cell>
        </row>
        <row r="75">
          <cell r="C75">
            <v>275.32040000000001</v>
          </cell>
          <cell r="D75">
            <v>36.5212</v>
          </cell>
          <cell r="E75">
            <v>793.154</v>
          </cell>
          <cell r="F75">
            <v>11.8109</v>
          </cell>
          <cell r="G75">
            <v>124.577</v>
          </cell>
          <cell r="H75">
            <v>4.2999999999999997E-2</v>
          </cell>
          <cell r="I75">
            <v>14.748100000000001</v>
          </cell>
          <cell r="J75">
            <v>67.318899999999999</v>
          </cell>
          <cell r="K75">
            <v>542</v>
          </cell>
          <cell r="L75">
            <v>32.118299999999998</v>
          </cell>
          <cell r="M75">
            <v>6.2881</v>
          </cell>
          <cell r="N75">
            <v>638.09720000000004</v>
          </cell>
          <cell r="O75">
            <v>30.203399999999998</v>
          </cell>
          <cell r="P75">
            <v>25.9541</v>
          </cell>
          <cell r="Q75">
            <v>350.0086</v>
          </cell>
          <cell r="R75">
            <v>3.7263999999999999</v>
          </cell>
          <cell r="S75">
            <v>878.44410000000005</v>
          </cell>
          <cell r="T75">
            <v>135.5</v>
          </cell>
          <cell r="U75">
            <v>42.272399999999998</v>
          </cell>
          <cell r="V75">
            <v>228.0438</v>
          </cell>
          <cell r="W75">
            <v>256.94580000000002</v>
          </cell>
          <cell r="X75">
            <v>61.121699999999997</v>
          </cell>
          <cell r="Y75">
            <v>135.83330000000001</v>
          </cell>
          <cell r="Z75">
            <v>2.5066999999999999</v>
          </cell>
          <cell r="AA75">
            <v>1.8905000000000001</v>
          </cell>
          <cell r="AB75">
            <v>307.93040000000002</v>
          </cell>
          <cell r="AC75">
            <v>11.5054</v>
          </cell>
          <cell r="AD75">
            <v>5.8400000000000001E-2</v>
          </cell>
          <cell r="AE75">
            <v>10.4231</v>
          </cell>
          <cell r="AF75">
            <v>18.8748</v>
          </cell>
          <cell r="AG75">
            <v>1.6054999999999999</v>
          </cell>
          <cell r="AH75">
            <v>84.521600000000007</v>
          </cell>
          <cell r="AI75">
            <v>76.612099999999998</v>
          </cell>
          <cell r="AJ75">
            <v>14.511799999999999</v>
          </cell>
          <cell r="AK75">
            <v>55.146900000000002</v>
          </cell>
          <cell r="AL75">
            <v>326.05099999999999</v>
          </cell>
          <cell r="AM75">
            <v>45.095300000000002</v>
          </cell>
          <cell r="AN75">
            <v>502.54239999999999</v>
          </cell>
          <cell r="AO75">
            <v>699.58050000000003</v>
          </cell>
        </row>
        <row r="76">
          <cell r="C76">
            <v>272.64440000000002</v>
          </cell>
          <cell r="D76">
            <v>36.2455</v>
          </cell>
          <cell r="E76">
            <v>786.5453</v>
          </cell>
          <cell r="F76">
            <v>11.800599999999999</v>
          </cell>
          <cell r="G76">
            <v>123.6365</v>
          </cell>
          <cell r="H76">
            <v>4.2799999999999998E-2</v>
          </cell>
          <cell r="I76">
            <v>14.636799999999999</v>
          </cell>
          <cell r="J76">
            <v>66.809799999999996</v>
          </cell>
          <cell r="K76">
            <v>542</v>
          </cell>
          <cell r="L76">
            <v>31.875800000000002</v>
          </cell>
          <cell r="M76">
            <v>6.2523</v>
          </cell>
          <cell r="N76">
            <v>633.27980000000002</v>
          </cell>
          <cell r="O76">
            <v>29.9754</v>
          </cell>
          <cell r="P76">
            <v>25.758199999999999</v>
          </cell>
          <cell r="Q76">
            <v>349.09249999999997</v>
          </cell>
          <cell r="R76">
            <v>3.7263999999999999</v>
          </cell>
          <cell r="S76">
            <v>878.44410000000005</v>
          </cell>
          <cell r="T76">
            <v>135.5</v>
          </cell>
          <cell r="U76">
            <v>42.331200000000003</v>
          </cell>
          <cell r="V76">
            <v>226.32220000000001</v>
          </cell>
          <cell r="W76">
            <v>255.006</v>
          </cell>
          <cell r="X76">
            <v>60.568100000000001</v>
          </cell>
          <cell r="Y76">
            <v>133.21270000000001</v>
          </cell>
          <cell r="Z76">
            <v>2.4876999999999998</v>
          </cell>
          <cell r="AA76">
            <v>1.8917999999999999</v>
          </cell>
          <cell r="AB76">
            <v>308.0025</v>
          </cell>
          <cell r="AC76">
            <v>11.4</v>
          </cell>
          <cell r="AD76">
            <v>5.7500000000000002E-2</v>
          </cell>
          <cell r="AE76">
            <v>10.4231</v>
          </cell>
          <cell r="AF76">
            <v>18.7239</v>
          </cell>
          <cell r="AG76">
            <v>1.6054999999999999</v>
          </cell>
          <cell r="AH76">
            <v>83.883499999999998</v>
          </cell>
          <cell r="AI76">
            <v>76.033699999999996</v>
          </cell>
          <cell r="AJ76">
            <v>14.398</v>
          </cell>
          <cell r="AK76">
            <v>54.3536</v>
          </cell>
          <cell r="AL76">
            <v>324.41030000000001</v>
          </cell>
          <cell r="AM76">
            <v>45.229700000000001</v>
          </cell>
          <cell r="AN76">
            <v>498.7484</v>
          </cell>
          <cell r="AO76">
            <v>698.01469999999995</v>
          </cell>
        </row>
        <row r="77">
          <cell r="C77">
            <v>270.62580000000003</v>
          </cell>
          <cell r="D77">
            <v>36.159999999999997</v>
          </cell>
          <cell r="E77">
            <v>789.29660000000001</v>
          </cell>
          <cell r="F77">
            <v>11.798400000000001</v>
          </cell>
          <cell r="G77">
            <v>123.345</v>
          </cell>
          <cell r="H77">
            <v>4.2700000000000002E-2</v>
          </cell>
          <cell r="I77">
            <v>14.6023</v>
          </cell>
          <cell r="J77">
            <v>66.639799999999994</v>
          </cell>
          <cell r="K77">
            <v>541.9</v>
          </cell>
          <cell r="L77">
            <v>31.800699999999999</v>
          </cell>
          <cell r="M77">
            <v>6.2477999999999998</v>
          </cell>
          <cell r="N77">
            <v>631.78689999999995</v>
          </cell>
          <cell r="O77">
            <v>29.904699999999998</v>
          </cell>
          <cell r="P77">
            <v>25.697500000000002</v>
          </cell>
          <cell r="Q77">
            <v>350.35390000000001</v>
          </cell>
          <cell r="R77">
            <v>3.7256999999999998</v>
          </cell>
          <cell r="S77">
            <v>869.82339999999999</v>
          </cell>
          <cell r="T77">
            <v>135.47499999999999</v>
          </cell>
          <cell r="U77">
            <v>42.323399999999999</v>
          </cell>
          <cell r="V77">
            <v>225.7886</v>
          </cell>
          <cell r="W77">
            <v>254.40479999999999</v>
          </cell>
          <cell r="X77">
            <v>60.583500000000001</v>
          </cell>
          <cell r="Y77">
            <v>132.8064</v>
          </cell>
          <cell r="Z77">
            <v>2.4819</v>
          </cell>
          <cell r="AA77">
            <v>1.8908</v>
          </cell>
          <cell r="AB77">
            <v>307.46620000000001</v>
          </cell>
          <cell r="AC77">
            <v>11.3775</v>
          </cell>
          <cell r="AD77">
            <v>5.4899999999999997E-2</v>
          </cell>
          <cell r="AE77">
            <v>10.421200000000001</v>
          </cell>
          <cell r="AF77">
            <v>18.671299999999999</v>
          </cell>
          <cell r="AG77">
            <v>1.6052</v>
          </cell>
          <cell r="AH77">
            <v>83.685699999999997</v>
          </cell>
          <cell r="AI77">
            <v>75.854500000000002</v>
          </cell>
          <cell r="AJ77">
            <v>14.3774</v>
          </cell>
          <cell r="AK77">
            <v>54.203600000000002</v>
          </cell>
          <cell r="AL77">
            <v>323.9194</v>
          </cell>
          <cell r="AM77">
            <v>45.209200000000003</v>
          </cell>
          <cell r="AN77">
            <v>497.57260000000002</v>
          </cell>
          <cell r="AO77">
            <v>696.71939999999995</v>
          </cell>
        </row>
        <row r="78">
          <cell r="C78">
            <v>267.62830000000002</v>
          </cell>
          <cell r="D78">
            <v>35.695300000000003</v>
          </cell>
          <cell r="E78">
            <v>781.5086</v>
          </cell>
          <cell r="F78">
            <v>11.798400000000001</v>
          </cell>
          <cell r="G78">
            <v>121.7599</v>
          </cell>
          <cell r="H78">
            <v>4.2599999999999999E-2</v>
          </cell>
          <cell r="I78">
            <v>14.4146</v>
          </cell>
          <cell r="J78">
            <v>65.801000000000002</v>
          </cell>
          <cell r="K78">
            <v>541.9</v>
          </cell>
          <cell r="L78">
            <v>31.391999999999999</v>
          </cell>
          <cell r="M78">
            <v>6.1860999999999997</v>
          </cell>
          <cell r="N78">
            <v>623.66759999999999</v>
          </cell>
          <cell r="O78">
            <v>29.520399999999999</v>
          </cell>
          <cell r="P78">
            <v>25.3672</v>
          </cell>
          <cell r="Q78">
            <v>347.61369999999999</v>
          </cell>
          <cell r="R78">
            <v>3.7256999999999998</v>
          </cell>
          <cell r="S78">
            <v>869.82339999999999</v>
          </cell>
          <cell r="T78">
            <v>135.47499999999999</v>
          </cell>
          <cell r="U78">
            <v>42.323399999999999</v>
          </cell>
          <cell r="V78">
            <v>222.8869</v>
          </cell>
          <cell r="W78">
            <v>251.1354</v>
          </cell>
          <cell r="X78">
            <v>60.020499999999998</v>
          </cell>
          <cell r="Y78">
            <v>132.79750000000001</v>
          </cell>
          <cell r="Z78">
            <v>2.4500000000000002</v>
          </cell>
          <cell r="AA78">
            <v>1.8908</v>
          </cell>
          <cell r="AB78">
            <v>306.1635</v>
          </cell>
          <cell r="AC78">
            <v>11.2385</v>
          </cell>
          <cell r="AD78">
            <v>5.28E-2</v>
          </cell>
          <cell r="AE78">
            <v>10.421200000000001</v>
          </cell>
          <cell r="AF78">
            <v>18.427900000000001</v>
          </cell>
          <cell r="AG78">
            <v>1.6052</v>
          </cell>
          <cell r="AH78">
            <v>82.610200000000006</v>
          </cell>
          <cell r="AI78">
            <v>74.879599999999996</v>
          </cell>
          <cell r="AJ78">
            <v>14.2111</v>
          </cell>
          <cell r="AK78">
            <v>53.698300000000003</v>
          </cell>
          <cell r="AL78">
            <v>319.21629999999999</v>
          </cell>
          <cell r="AM78">
            <v>44.438400000000001</v>
          </cell>
          <cell r="AN78">
            <v>491.1782</v>
          </cell>
          <cell r="AO78">
            <v>692.72670000000005</v>
          </cell>
        </row>
        <row r="79">
          <cell r="C79">
            <v>267.66410000000002</v>
          </cell>
          <cell r="D79">
            <v>35.231299999999997</v>
          </cell>
          <cell r="E79">
            <v>775.54499999999996</v>
          </cell>
          <cell r="F79">
            <v>11.7973</v>
          </cell>
          <cell r="G79">
            <v>120.1771</v>
          </cell>
          <cell r="H79">
            <v>4.2599999999999999E-2</v>
          </cell>
          <cell r="I79">
            <v>14.2272</v>
          </cell>
          <cell r="J79">
            <v>64.942999999999998</v>
          </cell>
          <cell r="K79">
            <v>541.85</v>
          </cell>
          <cell r="L79">
            <v>30.983899999999998</v>
          </cell>
          <cell r="M79">
            <v>6.1334999999999997</v>
          </cell>
          <cell r="N79">
            <v>615.56039999999996</v>
          </cell>
          <cell r="O79">
            <v>29.136700000000001</v>
          </cell>
          <cell r="P79">
            <v>25.037500000000001</v>
          </cell>
          <cell r="Q79">
            <v>346.0831</v>
          </cell>
          <cell r="R79">
            <v>3.7252999999999998</v>
          </cell>
          <cell r="S79">
            <v>869.7432</v>
          </cell>
          <cell r="T79">
            <v>135.46250000000001</v>
          </cell>
          <cell r="U79">
            <v>42.396999999999998</v>
          </cell>
          <cell r="V79">
            <v>219.9896</v>
          </cell>
          <cell r="W79">
            <v>247.8708</v>
          </cell>
          <cell r="X79">
            <v>59.341799999999999</v>
          </cell>
          <cell r="Y79">
            <v>131.089</v>
          </cell>
          <cell r="Z79">
            <v>2.4180999999999999</v>
          </cell>
          <cell r="AA79">
            <v>1.8906000000000001</v>
          </cell>
          <cell r="AB79">
            <v>304.97809999999998</v>
          </cell>
          <cell r="AC79">
            <v>11.090400000000001</v>
          </cell>
          <cell r="AD79">
            <v>5.3499999999999999E-2</v>
          </cell>
          <cell r="AE79">
            <v>10.420199999999999</v>
          </cell>
          <cell r="AF79">
            <v>18.1904</v>
          </cell>
          <cell r="AG79">
            <v>1.605</v>
          </cell>
          <cell r="AH79">
            <v>81.5364</v>
          </cell>
          <cell r="AI79">
            <v>73.906199999999998</v>
          </cell>
          <cell r="AJ79">
            <v>14.045500000000001</v>
          </cell>
          <cell r="AK79">
            <v>53.011800000000001</v>
          </cell>
          <cell r="AL79">
            <v>315.47680000000003</v>
          </cell>
          <cell r="AM79">
            <v>44.132300000000001</v>
          </cell>
          <cell r="AN79">
            <v>484.79230000000001</v>
          </cell>
          <cell r="AO79">
            <v>688.31349999999998</v>
          </cell>
        </row>
        <row r="80">
          <cell r="C80">
            <v>267.66410000000002</v>
          </cell>
          <cell r="D80">
            <v>35.231299999999997</v>
          </cell>
          <cell r="E80">
            <v>775.54499999999996</v>
          </cell>
          <cell r="F80">
            <v>11.7973</v>
          </cell>
          <cell r="G80">
            <v>120.1771</v>
          </cell>
          <cell r="H80">
            <v>4.2599999999999999E-2</v>
          </cell>
          <cell r="I80">
            <v>14.2272</v>
          </cell>
          <cell r="J80">
            <v>64.942999999999998</v>
          </cell>
          <cell r="K80">
            <v>541.85</v>
          </cell>
          <cell r="L80">
            <v>30.983899999999998</v>
          </cell>
          <cell r="M80">
            <v>6.1334999999999997</v>
          </cell>
          <cell r="N80">
            <v>615.56039999999996</v>
          </cell>
          <cell r="O80">
            <v>29.136700000000001</v>
          </cell>
          <cell r="P80">
            <v>25.037500000000001</v>
          </cell>
          <cell r="Q80">
            <v>346.0831</v>
          </cell>
          <cell r="R80">
            <v>3.7252999999999998</v>
          </cell>
          <cell r="S80">
            <v>869.7432</v>
          </cell>
          <cell r="T80">
            <v>135.46250000000001</v>
          </cell>
          <cell r="U80">
            <v>42.396999999999998</v>
          </cell>
          <cell r="V80">
            <v>219.9896</v>
          </cell>
          <cell r="W80">
            <v>247.8708</v>
          </cell>
          <cell r="X80">
            <v>59.341799999999999</v>
          </cell>
          <cell r="Y80">
            <v>131.089</v>
          </cell>
          <cell r="Z80">
            <v>2.4180999999999999</v>
          </cell>
          <cell r="AA80">
            <v>1.8906000000000001</v>
          </cell>
          <cell r="AB80">
            <v>304.97809999999998</v>
          </cell>
          <cell r="AC80">
            <v>11.090400000000001</v>
          </cell>
          <cell r="AD80">
            <v>5.3499999999999999E-2</v>
          </cell>
          <cell r="AE80">
            <v>10.420199999999999</v>
          </cell>
          <cell r="AF80">
            <v>18.1904</v>
          </cell>
          <cell r="AG80">
            <v>1.605</v>
          </cell>
          <cell r="AH80">
            <v>81.5364</v>
          </cell>
          <cell r="AI80">
            <v>73.906199999999998</v>
          </cell>
          <cell r="AJ80">
            <v>14.045500000000001</v>
          </cell>
          <cell r="AK80">
            <v>53.011800000000001</v>
          </cell>
          <cell r="AL80">
            <v>315.47680000000003</v>
          </cell>
          <cell r="AM80">
            <v>44.132300000000001</v>
          </cell>
          <cell r="AN80">
            <v>484.79230000000001</v>
          </cell>
          <cell r="AO80">
            <v>688.31349999999998</v>
          </cell>
        </row>
        <row r="81">
          <cell r="C81">
            <v>267.66410000000002</v>
          </cell>
          <cell r="D81">
            <v>35.231299999999997</v>
          </cell>
          <cell r="E81">
            <v>775.54499999999996</v>
          </cell>
          <cell r="F81">
            <v>11.7973</v>
          </cell>
          <cell r="G81">
            <v>120.1771</v>
          </cell>
          <cell r="H81">
            <v>4.2599999999999999E-2</v>
          </cell>
          <cell r="I81">
            <v>14.2272</v>
          </cell>
          <cell r="J81">
            <v>64.942999999999998</v>
          </cell>
          <cell r="K81">
            <v>541.85</v>
          </cell>
          <cell r="L81">
            <v>30.983899999999998</v>
          </cell>
          <cell r="M81">
            <v>6.1334999999999997</v>
          </cell>
          <cell r="N81">
            <v>615.56039999999996</v>
          </cell>
          <cell r="O81">
            <v>29.136700000000001</v>
          </cell>
          <cell r="P81">
            <v>25.037500000000001</v>
          </cell>
          <cell r="Q81">
            <v>346.0831</v>
          </cell>
          <cell r="R81">
            <v>3.7252999999999998</v>
          </cell>
          <cell r="S81">
            <v>869.7432</v>
          </cell>
          <cell r="T81">
            <v>135.46250000000001</v>
          </cell>
          <cell r="U81">
            <v>42.396999999999998</v>
          </cell>
          <cell r="V81">
            <v>219.9896</v>
          </cell>
          <cell r="W81">
            <v>247.8708</v>
          </cell>
          <cell r="X81">
            <v>59.341799999999999</v>
          </cell>
          <cell r="Y81">
            <v>131.089</v>
          </cell>
          <cell r="Z81">
            <v>2.4180999999999999</v>
          </cell>
          <cell r="AA81">
            <v>1.8906000000000001</v>
          </cell>
          <cell r="AB81">
            <v>304.97809999999998</v>
          </cell>
          <cell r="AC81">
            <v>11.090400000000001</v>
          </cell>
          <cell r="AD81">
            <v>5.3499999999999999E-2</v>
          </cell>
          <cell r="AE81">
            <v>10.420199999999999</v>
          </cell>
          <cell r="AF81">
            <v>18.1904</v>
          </cell>
          <cell r="AG81">
            <v>1.605</v>
          </cell>
          <cell r="AH81">
            <v>81.5364</v>
          </cell>
          <cell r="AI81">
            <v>73.906199999999998</v>
          </cell>
          <cell r="AJ81">
            <v>14.045500000000001</v>
          </cell>
          <cell r="AK81">
            <v>53.011800000000001</v>
          </cell>
          <cell r="AL81">
            <v>315.47680000000003</v>
          </cell>
          <cell r="AM81">
            <v>44.132300000000001</v>
          </cell>
          <cell r="AN81">
            <v>484.79230000000001</v>
          </cell>
          <cell r="AO81">
            <v>688.31349999999998</v>
          </cell>
        </row>
        <row r="82">
          <cell r="C82">
            <v>271.40769999999998</v>
          </cell>
          <cell r="D82">
            <v>35.424199999999999</v>
          </cell>
          <cell r="E82">
            <v>774.71119999999996</v>
          </cell>
          <cell r="F82">
            <v>11.7973</v>
          </cell>
          <cell r="G82">
            <v>120.8353</v>
          </cell>
          <cell r="H82">
            <v>4.2500000000000003E-2</v>
          </cell>
          <cell r="I82">
            <v>14.305199999999999</v>
          </cell>
          <cell r="J82">
            <v>65.303899999999999</v>
          </cell>
          <cell r="K82">
            <v>541.85</v>
          </cell>
          <cell r="L82">
            <v>31.153600000000001</v>
          </cell>
          <cell r="M82">
            <v>6.1577999999999999</v>
          </cell>
          <cell r="N82">
            <v>618.9316</v>
          </cell>
          <cell r="O82">
            <v>29.296199999999999</v>
          </cell>
          <cell r="P82">
            <v>25.174600000000002</v>
          </cell>
          <cell r="Q82">
            <v>345.75700000000001</v>
          </cell>
          <cell r="R82">
            <v>3.7252999999999998</v>
          </cell>
          <cell r="S82">
            <v>869.7432</v>
          </cell>
          <cell r="T82">
            <v>135.46250000000001</v>
          </cell>
          <cell r="U82">
            <v>42.319499999999998</v>
          </cell>
          <cell r="V82">
            <v>221.1944</v>
          </cell>
          <cell r="W82">
            <v>249.22829999999999</v>
          </cell>
          <cell r="X82">
            <v>60.008400000000002</v>
          </cell>
          <cell r="Y82">
            <v>130.94649999999999</v>
          </cell>
          <cell r="Z82">
            <v>2.4314</v>
          </cell>
          <cell r="AA82">
            <v>1.8913</v>
          </cell>
          <cell r="AB82">
            <v>306.9187</v>
          </cell>
          <cell r="AC82">
            <v>11.1447</v>
          </cell>
          <cell r="AD82">
            <v>5.2900000000000003E-2</v>
          </cell>
          <cell r="AE82">
            <v>10.420199999999999</v>
          </cell>
          <cell r="AF82">
            <v>18.290099999999999</v>
          </cell>
          <cell r="AG82">
            <v>1.605</v>
          </cell>
          <cell r="AH82">
            <v>81.982900000000001</v>
          </cell>
          <cell r="AI82">
            <v>74.311000000000007</v>
          </cell>
          <cell r="AJ82">
            <v>14.103199999999999</v>
          </cell>
          <cell r="AK82">
            <v>53.347099999999998</v>
          </cell>
          <cell r="AL82">
            <v>317.47309999999999</v>
          </cell>
          <cell r="AM82">
            <v>44.382100000000001</v>
          </cell>
          <cell r="AN82">
            <v>487.44830000000002</v>
          </cell>
          <cell r="AO82">
            <v>689.80139999999994</v>
          </cell>
        </row>
        <row r="83">
          <cell r="C83">
            <v>270.07170000000002</v>
          </cell>
          <cell r="D83">
            <v>35.518799999999999</v>
          </cell>
          <cell r="E83">
            <v>774.19399999999996</v>
          </cell>
          <cell r="F83">
            <v>11.7973</v>
          </cell>
          <cell r="G83">
            <v>121.1576</v>
          </cell>
          <cell r="H83">
            <v>4.2599999999999999E-2</v>
          </cell>
          <cell r="I83">
            <v>14.343299999999999</v>
          </cell>
          <cell r="J83">
            <v>65.480800000000002</v>
          </cell>
          <cell r="K83">
            <v>541.85</v>
          </cell>
          <cell r="L83">
            <v>31.236699999999999</v>
          </cell>
          <cell r="M83">
            <v>6.1711</v>
          </cell>
          <cell r="N83">
            <v>620.58280000000002</v>
          </cell>
          <cell r="O83">
            <v>29.374400000000001</v>
          </cell>
          <cell r="P83">
            <v>25.241800000000001</v>
          </cell>
          <cell r="Q83">
            <v>346.13929999999999</v>
          </cell>
          <cell r="R83">
            <v>3.7252999999999998</v>
          </cell>
          <cell r="S83">
            <v>860.07939999999996</v>
          </cell>
          <cell r="T83">
            <v>135.46250000000001</v>
          </cell>
          <cell r="U83">
            <v>42.344900000000003</v>
          </cell>
          <cell r="V83">
            <v>221.78450000000001</v>
          </cell>
          <cell r="W83">
            <v>249.89320000000001</v>
          </cell>
          <cell r="X83">
            <v>60.142600000000002</v>
          </cell>
          <cell r="Y83">
            <v>131.76310000000001</v>
          </cell>
          <cell r="Z83">
            <v>2.4379</v>
          </cell>
          <cell r="AA83">
            <v>1.8933</v>
          </cell>
          <cell r="AB83">
            <v>305.44880000000001</v>
          </cell>
          <cell r="AC83">
            <v>11.188499999999999</v>
          </cell>
          <cell r="AD83">
            <v>5.57E-2</v>
          </cell>
          <cell r="AE83">
            <v>10.420199999999999</v>
          </cell>
          <cell r="AF83">
            <v>18.3444</v>
          </cell>
          <cell r="AG83">
            <v>1.5975999999999999</v>
          </cell>
          <cell r="AH83">
            <v>82.201599999999999</v>
          </cell>
          <cell r="AI83">
            <v>74.509299999999996</v>
          </cell>
          <cell r="AJ83">
            <v>14.1204</v>
          </cell>
          <cell r="AK83">
            <v>53.450200000000002</v>
          </cell>
          <cell r="AL83">
            <v>319.06819999999999</v>
          </cell>
          <cell r="AM83">
            <v>44.174700000000001</v>
          </cell>
          <cell r="AN83">
            <v>488.74869999999999</v>
          </cell>
          <cell r="AO83">
            <v>689.71349999999995</v>
          </cell>
        </row>
        <row r="84">
          <cell r="C84">
            <v>269.75970000000001</v>
          </cell>
          <cell r="D84">
            <v>35.399299999999997</v>
          </cell>
          <cell r="E84">
            <v>774.04290000000003</v>
          </cell>
          <cell r="F84">
            <v>11.796900000000001</v>
          </cell>
          <cell r="G84">
            <v>120.75020000000001</v>
          </cell>
          <cell r="H84">
            <v>4.2500000000000003E-2</v>
          </cell>
          <cell r="I84">
            <v>14.2951</v>
          </cell>
          <cell r="J84">
            <v>65.261499999999998</v>
          </cell>
          <cell r="K84">
            <v>541.83000000000004</v>
          </cell>
          <cell r="L84">
            <v>31.131699999999999</v>
          </cell>
          <cell r="M84">
            <v>6.1589</v>
          </cell>
          <cell r="N84">
            <v>618.49599999999998</v>
          </cell>
          <cell r="O84">
            <v>29.275600000000001</v>
          </cell>
          <cell r="P84">
            <v>25.1569</v>
          </cell>
          <cell r="Q84">
            <v>344.53609999999998</v>
          </cell>
          <cell r="R84">
            <v>3.7252000000000001</v>
          </cell>
          <cell r="S84">
            <v>865.54309999999998</v>
          </cell>
          <cell r="T84">
            <v>135.45750000000001</v>
          </cell>
          <cell r="U84">
            <v>42.432899999999997</v>
          </cell>
          <cell r="V84">
            <v>221.03870000000001</v>
          </cell>
          <cell r="W84">
            <v>249.05289999999999</v>
          </cell>
          <cell r="X84">
            <v>59.962499999999999</v>
          </cell>
          <cell r="Y84">
            <v>131.77109999999999</v>
          </cell>
          <cell r="Z84">
            <v>2.4297</v>
          </cell>
          <cell r="AA84">
            <v>1.8912</v>
          </cell>
          <cell r="AB84">
            <v>303.8331</v>
          </cell>
          <cell r="AC84">
            <v>11.161099999999999</v>
          </cell>
          <cell r="AD84">
            <v>5.5300000000000002E-2</v>
          </cell>
          <cell r="AE84">
            <v>10.4198</v>
          </cell>
          <cell r="AF84">
            <v>18.278600000000001</v>
          </cell>
          <cell r="AG84">
            <v>1.5975999999999999</v>
          </cell>
          <cell r="AH84">
            <v>81.925200000000004</v>
          </cell>
          <cell r="AI84">
            <v>74.258700000000005</v>
          </cell>
          <cell r="AJ84">
            <v>14.098599999999999</v>
          </cell>
          <cell r="AK84">
            <v>53.0182</v>
          </cell>
          <cell r="AL84">
            <v>317.5806</v>
          </cell>
          <cell r="AM84">
            <v>43.784700000000001</v>
          </cell>
          <cell r="AN84">
            <v>487.10520000000002</v>
          </cell>
          <cell r="AO84">
            <v>688.01890000000003</v>
          </cell>
        </row>
        <row r="85">
          <cell r="C85">
            <v>265.69900000000001</v>
          </cell>
          <cell r="D85">
            <v>34.999699999999997</v>
          </cell>
          <cell r="E85">
            <v>769.70759999999996</v>
          </cell>
          <cell r="F85">
            <v>11.796200000000001</v>
          </cell>
          <cell r="G85">
            <v>119.387</v>
          </cell>
          <cell r="H85">
            <v>4.2099999999999999E-2</v>
          </cell>
          <cell r="I85">
            <v>14.133699999999999</v>
          </cell>
          <cell r="J85">
            <v>64.508300000000006</v>
          </cell>
          <cell r="K85">
            <v>541.79999999999995</v>
          </cell>
          <cell r="L85">
            <v>30.780200000000001</v>
          </cell>
          <cell r="M85">
            <v>6.1124999999999998</v>
          </cell>
          <cell r="N85">
            <v>611.51350000000002</v>
          </cell>
          <cell r="O85">
            <v>28.9451</v>
          </cell>
          <cell r="P85">
            <v>24.872900000000001</v>
          </cell>
          <cell r="Q85">
            <v>344.61970000000002</v>
          </cell>
          <cell r="R85">
            <v>3.7250000000000001</v>
          </cell>
          <cell r="S85">
            <v>865.49519999999995</v>
          </cell>
          <cell r="T85">
            <v>135.44999999999999</v>
          </cell>
          <cell r="U85">
            <v>42.360199999999999</v>
          </cell>
          <cell r="V85">
            <v>218.54329999999999</v>
          </cell>
          <cell r="W85">
            <v>246.24119999999999</v>
          </cell>
          <cell r="X85">
            <v>59.3367</v>
          </cell>
          <cell r="Y85">
            <v>130.4282</v>
          </cell>
          <cell r="Z85">
            <v>2.4022000000000001</v>
          </cell>
          <cell r="AA85">
            <v>1.8838999999999999</v>
          </cell>
          <cell r="AB85">
            <v>302.89690000000002</v>
          </cell>
          <cell r="AC85">
            <v>11.0465</v>
          </cell>
          <cell r="AD85">
            <v>5.4800000000000001E-2</v>
          </cell>
          <cell r="AE85">
            <v>10.4192</v>
          </cell>
          <cell r="AF85">
            <v>18.066099999999999</v>
          </cell>
          <cell r="AG85">
            <v>1.5974999999999999</v>
          </cell>
          <cell r="AH85">
            <v>81.000299999999996</v>
          </cell>
          <cell r="AI85">
            <v>73.420400000000001</v>
          </cell>
          <cell r="AJ85">
            <v>13.988799999999999</v>
          </cell>
          <cell r="AK85">
            <v>52.125799999999998</v>
          </cell>
          <cell r="AL85">
            <v>315.12529999999998</v>
          </cell>
          <cell r="AM85">
            <v>43.683100000000003</v>
          </cell>
          <cell r="AN85">
            <v>481.60599999999999</v>
          </cell>
          <cell r="AO85">
            <v>685.70039999999995</v>
          </cell>
        </row>
        <row r="86">
          <cell r="C86">
            <v>266.86219999999997</v>
          </cell>
          <cell r="D86">
            <v>35.135399999999997</v>
          </cell>
          <cell r="E86">
            <v>772.56989999999996</v>
          </cell>
          <cell r="F86">
            <v>11.7982</v>
          </cell>
          <cell r="G86">
            <v>119.8501</v>
          </cell>
          <cell r="H86">
            <v>4.1799999999999997E-2</v>
          </cell>
          <cell r="I86">
            <v>14.188499999999999</v>
          </cell>
          <cell r="J86">
            <v>64.760300000000001</v>
          </cell>
          <cell r="K86">
            <v>541.89</v>
          </cell>
          <cell r="L86">
            <v>30.8996</v>
          </cell>
          <cell r="M86">
            <v>6.1184000000000003</v>
          </cell>
          <cell r="N86">
            <v>613.88570000000004</v>
          </cell>
          <cell r="O86">
            <v>29.057400000000001</v>
          </cell>
          <cell r="P86">
            <v>24.9694</v>
          </cell>
          <cell r="Q86">
            <v>346.0061</v>
          </cell>
          <cell r="R86">
            <v>3.7256</v>
          </cell>
          <cell r="S86">
            <v>865.63900000000001</v>
          </cell>
          <cell r="T86">
            <v>135.4725</v>
          </cell>
          <cell r="U86">
            <v>42.3673</v>
          </cell>
          <cell r="V86">
            <v>219.39109999999999</v>
          </cell>
          <cell r="W86">
            <v>247.19649999999999</v>
          </cell>
          <cell r="X86">
            <v>59.795200000000001</v>
          </cell>
          <cell r="Y86">
            <v>131.15790000000001</v>
          </cell>
          <cell r="Z86">
            <v>2.4116</v>
          </cell>
          <cell r="AA86">
            <v>1.8842000000000001</v>
          </cell>
          <cell r="AB86">
            <v>303.68990000000002</v>
          </cell>
          <cell r="AC86">
            <v>11.085599999999999</v>
          </cell>
          <cell r="AD86">
            <v>5.4300000000000001E-2</v>
          </cell>
          <cell r="AE86">
            <v>10.420999999999999</v>
          </cell>
          <cell r="AF86">
            <v>18.136199999999999</v>
          </cell>
          <cell r="AG86">
            <v>1.5976999999999999</v>
          </cell>
          <cell r="AH86">
            <v>81.314499999999995</v>
          </cell>
          <cell r="AI86">
            <v>73.705200000000005</v>
          </cell>
          <cell r="AJ86">
            <v>14.059799999999999</v>
          </cell>
          <cell r="AK86">
            <v>52.647100000000002</v>
          </cell>
          <cell r="AL86">
            <v>315.60430000000002</v>
          </cell>
          <cell r="AM86">
            <v>44.0764</v>
          </cell>
          <cell r="AN86">
            <v>483.47430000000003</v>
          </cell>
          <cell r="AO86">
            <v>687.66110000000003</v>
          </cell>
        </row>
        <row r="87">
          <cell r="C87">
            <v>266.86219999999997</v>
          </cell>
          <cell r="D87">
            <v>35.135399999999997</v>
          </cell>
          <cell r="E87">
            <v>772.56989999999996</v>
          </cell>
          <cell r="F87">
            <v>11.7982</v>
          </cell>
          <cell r="G87">
            <v>119.8501</v>
          </cell>
          <cell r="H87">
            <v>4.1799999999999997E-2</v>
          </cell>
          <cell r="I87">
            <v>14.188499999999999</v>
          </cell>
          <cell r="J87">
            <v>64.760300000000001</v>
          </cell>
          <cell r="K87">
            <v>541.89</v>
          </cell>
          <cell r="L87">
            <v>30.8996</v>
          </cell>
          <cell r="M87">
            <v>6.1184000000000003</v>
          </cell>
          <cell r="N87">
            <v>613.88570000000004</v>
          </cell>
          <cell r="O87">
            <v>29.057400000000001</v>
          </cell>
          <cell r="P87">
            <v>24.9694</v>
          </cell>
          <cell r="Q87">
            <v>346.0061</v>
          </cell>
          <cell r="R87">
            <v>3.7256</v>
          </cell>
          <cell r="S87">
            <v>865.63900000000001</v>
          </cell>
          <cell r="T87">
            <v>135.4725</v>
          </cell>
          <cell r="U87">
            <v>42.3673</v>
          </cell>
          <cell r="V87">
            <v>219.39109999999999</v>
          </cell>
          <cell r="W87">
            <v>247.19649999999999</v>
          </cell>
          <cell r="X87">
            <v>59.795200000000001</v>
          </cell>
          <cell r="Y87">
            <v>131.15790000000001</v>
          </cell>
          <cell r="Z87">
            <v>2.4116</v>
          </cell>
          <cell r="AA87">
            <v>1.8842000000000001</v>
          </cell>
          <cell r="AB87">
            <v>303.68990000000002</v>
          </cell>
          <cell r="AC87">
            <v>11.085599999999999</v>
          </cell>
          <cell r="AD87">
            <v>5.4300000000000001E-2</v>
          </cell>
          <cell r="AE87">
            <v>10.420999999999999</v>
          </cell>
          <cell r="AF87">
            <v>18.136199999999999</v>
          </cell>
          <cell r="AG87">
            <v>1.5976999999999999</v>
          </cell>
          <cell r="AH87">
            <v>81.314499999999995</v>
          </cell>
          <cell r="AI87">
            <v>73.705200000000005</v>
          </cell>
          <cell r="AJ87">
            <v>14.059799999999999</v>
          </cell>
          <cell r="AK87">
            <v>52.647100000000002</v>
          </cell>
          <cell r="AL87">
            <v>315.60430000000002</v>
          </cell>
          <cell r="AM87">
            <v>44.0764</v>
          </cell>
          <cell r="AN87">
            <v>483.47430000000003</v>
          </cell>
          <cell r="AO87">
            <v>687.66110000000003</v>
          </cell>
        </row>
        <row r="88">
          <cell r="C88">
            <v>266.86219999999997</v>
          </cell>
          <cell r="D88">
            <v>35.135399999999997</v>
          </cell>
          <cell r="E88">
            <v>772.56989999999996</v>
          </cell>
          <cell r="F88">
            <v>11.7982</v>
          </cell>
          <cell r="G88">
            <v>119.8501</v>
          </cell>
          <cell r="H88">
            <v>4.1799999999999997E-2</v>
          </cell>
          <cell r="I88">
            <v>14.188499999999999</v>
          </cell>
          <cell r="J88">
            <v>64.760300000000001</v>
          </cell>
          <cell r="K88">
            <v>541.89</v>
          </cell>
          <cell r="L88">
            <v>30.8996</v>
          </cell>
          <cell r="M88">
            <v>6.1184000000000003</v>
          </cell>
          <cell r="N88">
            <v>613.88570000000004</v>
          </cell>
          <cell r="O88">
            <v>29.057400000000001</v>
          </cell>
          <cell r="P88">
            <v>24.9694</v>
          </cell>
          <cell r="Q88">
            <v>346.0061</v>
          </cell>
          <cell r="R88">
            <v>3.7256</v>
          </cell>
          <cell r="S88">
            <v>865.63900000000001</v>
          </cell>
          <cell r="T88">
            <v>135.4725</v>
          </cell>
          <cell r="U88">
            <v>42.3673</v>
          </cell>
          <cell r="V88">
            <v>219.39109999999999</v>
          </cell>
          <cell r="W88">
            <v>247.19649999999999</v>
          </cell>
          <cell r="X88">
            <v>59.795200000000001</v>
          </cell>
          <cell r="Y88">
            <v>131.15790000000001</v>
          </cell>
          <cell r="Z88">
            <v>2.4116</v>
          </cell>
          <cell r="AA88">
            <v>1.8842000000000001</v>
          </cell>
          <cell r="AB88">
            <v>303.68990000000002</v>
          </cell>
          <cell r="AC88">
            <v>11.085599999999999</v>
          </cell>
          <cell r="AD88">
            <v>5.4300000000000001E-2</v>
          </cell>
          <cell r="AE88">
            <v>10.420999999999999</v>
          </cell>
          <cell r="AF88">
            <v>18.136199999999999</v>
          </cell>
          <cell r="AG88">
            <v>1.5976999999999999</v>
          </cell>
          <cell r="AH88">
            <v>81.314499999999995</v>
          </cell>
          <cell r="AI88">
            <v>73.705200000000005</v>
          </cell>
          <cell r="AJ88">
            <v>14.059799999999999</v>
          </cell>
          <cell r="AK88">
            <v>52.647100000000002</v>
          </cell>
          <cell r="AL88">
            <v>315.60430000000002</v>
          </cell>
          <cell r="AM88">
            <v>44.0764</v>
          </cell>
          <cell r="AN88">
            <v>483.47430000000003</v>
          </cell>
          <cell r="AO88">
            <v>687.66110000000003</v>
          </cell>
        </row>
        <row r="89">
          <cell r="C89">
            <v>267.85230000000001</v>
          </cell>
          <cell r="D89">
            <v>35.183999999999997</v>
          </cell>
          <cell r="E89">
            <v>776.99080000000004</v>
          </cell>
          <cell r="F89">
            <v>11.7973</v>
          </cell>
          <cell r="G89">
            <v>120.0159</v>
          </cell>
          <cell r="H89">
            <v>4.19E-2</v>
          </cell>
          <cell r="I89">
            <v>14.2082</v>
          </cell>
          <cell r="J89">
            <v>64.854200000000006</v>
          </cell>
          <cell r="K89">
            <v>541.85</v>
          </cell>
          <cell r="L89">
            <v>30.942399999999999</v>
          </cell>
          <cell r="M89">
            <v>6.1097999999999999</v>
          </cell>
          <cell r="N89">
            <v>614.73479999999995</v>
          </cell>
          <cell r="O89">
            <v>29.0976</v>
          </cell>
          <cell r="P89">
            <v>25.003900000000002</v>
          </cell>
          <cell r="Q89">
            <v>347.0061</v>
          </cell>
          <cell r="R89">
            <v>3.7252999999999998</v>
          </cell>
          <cell r="S89">
            <v>858.71630000000005</v>
          </cell>
          <cell r="T89">
            <v>135.46250000000001</v>
          </cell>
          <cell r="U89">
            <v>42.364100000000001</v>
          </cell>
          <cell r="V89">
            <v>219.69450000000001</v>
          </cell>
          <cell r="W89">
            <v>247.5384</v>
          </cell>
          <cell r="X89">
            <v>59.8964</v>
          </cell>
          <cell r="Y89">
            <v>131.66079999999999</v>
          </cell>
          <cell r="Z89">
            <v>2.4148999999999998</v>
          </cell>
          <cell r="AA89">
            <v>1.8839999999999999</v>
          </cell>
          <cell r="AB89">
            <v>302.21159999999998</v>
          </cell>
          <cell r="AC89">
            <v>11.108499999999999</v>
          </cell>
          <cell r="AD89">
            <v>5.5E-2</v>
          </cell>
          <cell r="AE89">
            <v>10.420199999999999</v>
          </cell>
          <cell r="AF89">
            <v>18.1599</v>
          </cell>
          <cell r="AG89">
            <v>1.5940000000000001</v>
          </cell>
          <cell r="AH89">
            <v>81.427000000000007</v>
          </cell>
          <cell r="AI89">
            <v>73.807100000000005</v>
          </cell>
          <cell r="AJ89">
            <v>14.115</v>
          </cell>
          <cell r="AK89">
            <v>52.981299999999997</v>
          </cell>
          <cell r="AL89">
            <v>315.8553</v>
          </cell>
          <cell r="AM89">
            <v>43.981000000000002</v>
          </cell>
          <cell r="AN89">
            <v>484.14299999999997</v>
          </cell>
          <cell r="AO89">
            <v>687.4873</v>
          </cell>
        </row>
        <row r="90">
          <cell r="C90">
            <v>269.58980000000003</v>
          </cell>
          <cell r="D90">
            <v>35.255499999999998</v>
          </cell>
          <cell r="E90">
            <v>777.44680000000005</v>
          </cell>
          <cell r="F90">
            <v>11.7988</v>
          </cell>
          <cell r="G90">
            <v>120.2598</v>
          </cell>
          <cell r="H90">
            <v>4.1200000000000001E-2</v>
          </cell>
          <cell r="I90">
            <v>14.237</v>
          </cell>
          <cell r="J90">
            <v>64.998199999999997</v>
          </cell>
          <cell r="K90">
            <v>541.91999999999996</v>
          </cell>
          <cell r="L90">
            <v>31.005299999999998</v>
          </cell>
          <cell r="M90">
            <v>6.0316999999999998</v>
          </cell>
          <cell r="N90">
            <v>615.98400000000004</v>
          </cell>
          <cell r="O90">
            <v>29.156700000000001</v>
          </cell>
          <cell r="P90">
            <v>25.0547</v>
          </cell>
          <cell r="Q90">
            <v>347.4622</v>
          </cell>
          <cell r="R90">
            <v>3.7258</v>
          </cell>
          <cell r="S90">
            <v>858.82730000000004</v>
          </cell>
          <cell r="T90">
            <v>135.47999999999999</v>
          </cell>
          <cell r="U90">
            <v>42.255299999999998</v>
          </cell>
          <cell r="V90">
            <v>220.14089999999999</v>
          </cell>
          <cell r="W90">
            <v>248.04140000000001</v>
          </cell>
          <cell r="X90">
            <v>60.003300000000003</v>
          </cell>
          <cell r="Y90">
            <v>131.75630000000001</v>
          </cell>
          <cell r="Z90">
            <v>2.4198</v>
          </cell>
          <cell r="AA90">
            <v>1.8863000000000001</v>
          </cell>
          <cell r="AB90">
            <v>301.8272</v>
          </cell>
          <cell r="AC90">
            <v>11.1485</v>
          </cell>
          <cell r="AD90">
            <v>5.62E-2</v>
          </cell>
          <cell r="AE90">
            <v>10.4215</v>
          </cell>
          <cell r="AF90">
            <v>18.198899999999998</v>
          </cell>
          <cell r="AG90">
            <v>1.5942000000000001</v>
          </cell>
          <cell r="AH90">
            <v>81.592500000000001</v>
          </cell>
          <cell r="AI90">
            <v>73.957099999999997</v>
          </cell>
          <cell r="AJ90">
            <v>14.150700000000001</v>
          </cell>
          <cell r="AK90">
            <v>53.187899999999999</v>
          </cell>
          <cell r="AL90">
            <v>316.1053</v>
          </cell>
          <cell r="AM90">
            <v>44.038400000000003</v>
          </cell>
          <cell r="AN90">
            <v>485.1268</v>
          </cell>
          <cell r="AO90">
            <v>688.46969999999999</v>
          </cell>
        </row>
        <row r="91">
          <cell r="C91">
            <v>267.93110000000001</v>
          </cell>
          <cell r="D91">
            <v>34.890599999999999</v>
          </cell>
          <cell r="E91">
            <v>775.11410000000001</v>
          </cell>
          <cell r="F91">
            <v>11.798</v>
          </cell>
          <cell r="G91">
            <v>119.0151</v>
          </cell>
          <cell r="H91">
            <v>4.1200000000000001E-2</v>
          </cell>
          <cell r="I91">
            <v>14.089700000000001</v>
          </cell>
          <cell r="J91">
            <v>64.331500000000005</v>
          </cell>
          <cell r="K91">
            <v>541.88</v>
          </cell>
          <cell r="L91">
            <v>30.6843</v>
          </cell>
          <cell r="M91">
            <v>5.9522000000000004</v>
          </cell>
          <cell r="N91">
            <v>609.60850000000005</v>
          </cell>
          <cell r="O91">
            <v>28.854900000000001</v>
          </cell>
          <cell r="P91">
            <v>24.795400000000001</v>
          </cell>
          <cell r="Q91">
            <v>344.53219999999999</v>
          </cell>
          <cell r="R91">
            <v>3.7254999999999998</v>
          </cell>
          <cell r="S91">
            <v>861.49440000000004</v>
          </cell>
          <cell r="T91">
            <v>135.47</v>
          </cell>
          <cell r="U91">
            <v>42.238700000000001</v>
          </cell>
          <cell r="V91">
            <v>217.86250000000001</v>
          </cell>
          <cell r="W91">
            <v>245.47409999999999</v>
          </cell>
          <cell r="X91">
            <v>59.411700000000003</v>
          </cell>
          <cell r="Y91">
            <v>131.75960000000001</v>
          </cell>
          <cell r="Z91">
            <v>2.3948</v>
          </cell>
          <cell r="AA91">
            <v>1.8841000000000001</v>
          </cell>
          <cell r="AB91">
            <v>301.57389999999998</v>
          </cell>
          <cell r="AC91">
            <v>11.008100000000001</v>
          </cell>
          <cell r="AD91">
            <v>5.45E-2</v>
          </cell>
          <cell r="AE91">
            <v>10.4208</v>
          </cell>
          <cell r="AF91">
            <v>17.9983</v>
          </cell>
          <cell r="AG91">
            <v>1.5940000000000001</v>
          </cell>
          <cell r="AH91">
            <v>80.748000000000005</v>
          </cell>
          <cell r="AI91">
            <v>73.191599999999994</v>
          </cell>
          <cell r="AJ91">
            <v>13.960599999999999</v>
          </cell>
          <cell r="AK91">
            <v>52.540599999999998</v>
          </cell>
          <cell r="AL91">
            <v>313.71249999999998</v>
          </cell>
          <cell r="AM91">
            <v>44.532600000000002</v>
          </cell>
          <cell r="AN91">
            <v>480.10570000000001</v>
          </cell>
          <cell r="AO91">
            <v>687.12699999999995</v>
          </cell>
        </row>
        <row r="92">
          <cell r="C92">
            <v>267.01819999999998</v>
          </cell>
          <cell r="D92">
            <v>34.814500000000002</v>
          </cell>
          <cell r="E92">
            <v>779.20830000000001</v>
          </cell>
          <cell r="F92">
            <v>11.7988</v>
          </cell>
          <cell r="G92">
            <v>118.7552</v>
          </cell>
          <cell r="H92">
            <v>4.1200000000000001E-2</v>
          </cell>
          <cell r="I92">
            <v>14.0589</v>
          </cell>
          <cell r="J92">
            <v>64.193600000000004</v>
          </cell>
          <cell r="K92">
            <v>541.91999999999996</v>
          </cell>
          <cell r="L92">
            <v>30.6173</v>
          </cell>
          <cell r="M92">
            <v>5.9740000000000002</v>
          </cell>
          <cell r="N92">
            <v>608.27729999999997</v>
          </cell>
          <cell r="O92">
            <v>28.791899999999998</v>
          </cell>
          <cell r="P92">
            <v>24.741199999999999</v>
          </cell>
          <cell r="Q92">
            <v>345.04270000000002</v>
          </cell>
          <cell r="R92">
            <v>3.7258</v>
          </cell>
          <cell r="S92">
            <v>861.55799999999999</v>
          </cell>
          <cell r="T92">
            <v>135.47999999999999</v>
          </cell>
          <cell r="U92">
            <v>42.146900000000002</v>
          </cell>
          <cell r="V92">
            <v>217.38669999999999</v>
          </cell>
          <cell r="W92">
            <v>244.93809999999999</v>
          </cell>
          <cell r="X92">
            <v>59.399500000000003</v>
          </cell>
          <cell r="Y92">
            <v>132.49359999999999</v>
          </cell>
          <cell r="Z92">
            <v>2.3895</v>
          </cell>
          <cell r="AA92">
            <v>1.8843000000000001</v>
          </cell>
          <cell r="AB92">
            <v>301.06670000000003</v>
          </cell>
          <cell r="AC92">
            <v>10.98</v>
          </cell>
          <cell r="AD92">
            <v>4.9700000000000001E-2</v>
          </cell>
          <cell r="AE92">
            <v>10.4215</v>
          </cell>
          <cell r="AF92">
            <v>17.9604</v>
          </cell>
          <cell r="AG92">
            <v>1.5942000000000001</v>
          </cell>
          <cell r="AH92">
            <v>80.571700000000007</v>
          </cell>
          <cell r="AI92">
            <v>73.031800000000004</v>
          </cell>
          <cell r="AJ92">
            <v>13.8978</v>
          </cell>
          <cell r="AK92">
            <v>52.1083</v>
          </cell>
          <cell r="AL92">
            <v>313.56020000000001</v>
          </cell>
          <cell r="AM92">
            <v>43.966299999999997</v>
          </cell>
          <cell r="AN92">
            <v>479.0573</v>
          </cell>
          <cell r="AO92">
            <v>683.17190000000005</v>
          </cell>
        </row>
        <row r="93">
          <cell r="C93">
            <v>263.58839999999998</v>
          </cell>
          <cell r="D93">
            <v>34.782899999999998</v>
          </cell>
          <cell r="E93">
            <v>772.97119999999995</v>
          </cell>
          <cell r="F93">
            <v>11.7681</v>
          </cell>
          <cell r="G93">
            <v>118.6477</v>
          </cell>
          <cell r="H93">
            <v>4.1200000000000001E-2</v>
          </cell>
          <cell r="I93">
            <v>14.046200000000001</v>
          </cell>
          <cell r="J93">
            <v>64.135499999999993</v>
          </cell>
          <cell r="K93">
            <v>541.91999999999996</v>
          </cell>
          <cell r="L93">
            <v>30.589600000000001</v>
          </cell>
          <cell r="M93">
            <v>5.9206000000000003</v>
          </cell>
          <cell r="N93">
            <v>607.72680000000003</v>
          </cell>
          <cell r="O93">
            <v>28.765899999999998</v>
          </cell>
          <cell r="P93">
            <v>24.718900000000001</v>
          </cell>
          <cell r="Q93">
            <v>344.2346</v>
          </cell>
          <cell r="R93">
            <v>3.7258</v>
          </cell>
          <cell r="S93">
            <v>861.55799999999999</v>
          </cell>
          <cell r="T93">
            <v>135.47999999999999</v>
          </cell>
          <cell r="U93">
            <v>42.179299999999998</v>
          </cell>
          <cell r="V93">
            <v>217.19</v>
          </cell>
          <cell r="W93">
            <v>244.71639999999999</v>
          </cell>
          <cell r="X93">
            <v>59.404699999999998</v>
          </cell>
          <cell r="Y93">
            <v>132.7225</v>
          </cell>
          <cell r="Z93">
            <v>2.3874</v>
          </cell>
          <cell r="AA93">
            <v>1.8855999999999999</v>
          </cell>
          <cell r="AB93">
            <v>300.47320000000002</v>
          </cell>
          <cell r="AC93">
            <v>10.9618</v>
          </cell>
          <cell r="AD93">
            <v>5.3199999999999997E-2</v>
          </cell>
          <cell r="AE93">
            <v>10.4215</v>
          </cell>
          <cell r="AF93">
            <v>17.944800000000001</v>
          </cell>
          <cell r="AG93">
            <v>1.5942000000000001</v>
          </cell>
          <cell r="AH93">
            <v>80.498699999999999</v>
          </cell>
          <cell r="AI93">
            <v>72.965699999999998</v>
          </cell>
          <cell r="AJ93">
            <v>13.8523</v>
          </cell>
          <cell r="AK93">
            <v>52.268599999999999</v>
          </cell>
          <cell r="AL93">
            <v>313.42</v>
          </cell>
          <cell r="AM93">
            <v>43.220500000000001</v>
          </cell>
          <cell r="AN93">
            <v>478.62369999999999</v>
          </cell>
          <cell r="AO93">
            <v>686.53430000000003</v>
          </cell>
        </row>
        <row r="94">
          <cell r="C94">
            <v>273.86705806451607</v>
          </cell>
          <cell r="D94">
            <v>35.89329032258064</v>
          </cell>
          <cell r="E94">
            <v>784.06260322580636</v>
          </cell>
          <cell r="F94">
            <v>11.806877419354842</v>
          </cell>
          <cell r="G94">
            <v>122.43520967741937</v>
          </cell>
          <cell r="H94">
            <v>4.2574193548387082E-2</v>
          </cell>
          <cell r="I94">
            <v>14.494561290322576</v>
          </cell>
          <cell r="J94">
            <v>66.168238709677425</v>
          </cell>
          <cell r="K94">
            <v>542.13677419354838</v>
          </cell>
          <cell r="L94">
            <v>31.566103225806447</v>
          </cell>
          <cell r="M94">
            <v>6.1989322580645183</v>
          </cell>
          <cell r="N94">
            <v>627.12676129032252</v>
          </cell>
          <cell r="O94">
            <v>29.684145161290324</v>
          </cell>
          <cell r="P94">
            <v>25.507932258064514</v>
          </cell>
          <cell r="Q94">
            <v>348.34468709677418</v>
          </cell>
          <cell r="R94">
            <v>3.7285161290322586</v>
          </cell>
          <cell r="S94">
            <v>870.52239677419357</v>
          </cell>
          <cell r="T94">
            <v>135.53419354838709</v>
          </cell>
          <cell r="U94">
            <v>42.558774193548381</v>
          </cell>
          <cell r="V94">
            <v>224.12316451612901</v>
          </cell>
          <cell r="W94">
            <v>252.52830000000003</v>
          </cell>
          <cell r="X94">
            <v>60.479035483870973</v>
          </cell>
          <cell r="Y94">
            <v>133.64169999999999</v>
          </cell>
          <cell r="Z94">
            <v>2.4635774193548388</v>
          </cell>
          <cell r="AA94">
            <v>1.8906838709677416</v>
          </cell>
          <cell r="AB94">
            <v>306.38541612903225</v>
          </cell>
          <cell r="AC94">
            <v>11.295567741935482</v>
          </cell>
          <cell r="AD94">
            <v>5.5712903225806451E-2</v>
          </cell>
          <cell r="AE94">
            <v>10.425709677419352</v>
          </cell>
          <cell r="AF94">
            <v>18.53574193548387</v>
          </cell>
          <cell r="AG94">
            <v>1.6067064516129035</v>
          </cell>
          <cell r="AH94">
            <v>83.06841935483871</v>
          </cell>
          <cell r="AI94">
            <v>75.29493870967741</v>
          </cell>
          <cell r="AJ94">
            <v>14.267438709677419</v>
          </cell>
          <cell r="AK94">
            <v>54.17038387096774</v>
          </cell>
          <cell r="AL94">
            <v>321.61626129032254</v>
          </cell>
          <cell r="AM94">
            <v>44.758374193548377</v>
          </cell>
          <cell r="AN94">
            <v>493.90238064516126</v>
          </cell>
          <cell r="AO94">
            <v>694.4820290322582</v>
          </cell>
        </row>
        <row r="95">
          <cell r="C95">
            <v>263.58839999999998</v>
          </cell>
          <cell r="D95">
            <v>34.782899999999998</v>
          </cell>
          <cell r="E95">
            <v>772.97119999999995</v>
          </cell>
          <cell r="F95">
            <v>11.7681</v>
          </cell>
          <cell r="G95">
            <v>118.6477</v>
          </cell>
          <cell r="H95">
            <v>4.1200000000000001E-2</v>
          </cell>
          <cell r="I95">
            <v>14.046200000000001</v>
          </cell>
          <cell r="J95">
            <v>64.135499999999993</v>
          </cell>
          <cell r="K95">
            <v>541.91999999999996</v>
          </cell>
          <cell r="L95">
            <v>30.589600000000001</v>
          </cell>
          <cell r="M95">
            <v>5.9206000000000003</v>
          </cell>
          <cell r="N95">
            <v>607.72680000000003</v>
          </cell>
          <cell r="O95">
            <v>28.765899999999998</v>
          </cell>
          <cell r="P95">
            <v>24.718900000000001</v>
          </cell>
          <cell r="Q95">
            <v>344.2346</v>
          </cell>
          <cell r="R95">
            <v>3.7258</v>
          </cell>
          <cell r="S95">
            <v>861.55799999999999</v>
          </cell>
          <cell r="T95">
            <v>135.47999999999999</v>
          </cell>
          <cell r="U95">
            <v>42.179299999999998</v>
          </cell>
          <cell r="V95">
            <v>217.19</v>
          </cell>
          <cell r="W95">
            <v>244.71639999999999</v>
          </cell>
          <cell r="X95">
            <v>59.404699999999998</v>
          </cell>
          <cell r="Y95">
            <v>132.7225</v>
          </cell>
          <cell r="Z95">
            <v>2.3874</v>
          </cell>
          <cell r="AA95">
            <v>1.8855999999999999</v>
          </cell>
          <cell r="AB95">
            <v>300.47320000000002</v>
          </cell>
          <cell r="AC95">
            <v>10.9618</v>
          </cell>
          <cell r="AD95">
            <v>5.3199999999999997E-2</v>
          </cell>
          <cell r="AE95">
            <v>10.4215</v>
          </cell>
          <cell r="AF95">
            <v>17.944800000000001</v>
          </cell>
          <cell r="AG95">
            <v>1.5942000000000001</v>
          </cell>
          <cell r="AH95">
            <v>80.498699999999999</v>
          </cell>
          <cell r="AI95">
            <v>72.965699999999998</v>
          </cell>
          <cell r="AJ95">
            <v>13.8523</v>
          </cell>
          <cell r="AK95">
            <v>52.268599999999999</v>
          </cell>
          <cell r="AL95">
            <v>313.42</v>
          </cell>
          <cell r="AM95">
            <v>43.220500000000001</v>
          </cell>
          <cell r="AN95">
            <v>478.62369999999999</v>
          </cell>
          <cell r="AO95">
            <v>686.53430000000003</v>
          </cell>
        </row>
        <row r="96">
          <cell r="C96">
            <v>263.58839999999998</v>
          </cell>
          <cell r="D96">
            <v>34.782899999999998</v>
          </cell>
          <cell r="E96">
            <v>772.97119999999995</v>
          </cell>
          <cell r="F96">
            <v>11.7681</v>
          </cell>
          <cell r="G96">
            <v>118.6477</v>
          </cell>
          <cell r="H96">
            <v>4.1200000000000001E-2</v>
          </cell>
          <cell r="I96">
            <v>14.046200000000001</v>
          </cell>
          <cell r="J96">
            <v>64.135499999999993</v>
          </cell>
          <cell r="K96">
            <v>541.91999999999996</v>
          </cell>
          <cell r="L96">
            <v>30.589600000000001</v>
          </cell>
          <cell r="M96">
            <v>5.9206000000000003</v>
          </cell>
          <cell r="N96">
            <v>607.72680000000003</v>
          </cell>
          <cell r="O96">
            <v>28.765899999999998</v>
          </cell>
          <cell r="P96">
            <v>24.718900000000001</v>
          </cell>
          <cell r="Q96">
            <v>344.2346</v>
          </cell>
          <cell r="R96">
            <v>3.7258</v>
          </cell>
          <cell r="S96">
            <v>861.55799999999999</v>
          </cell>
          <cell r="T96">
            <v>135.47999999999999</v>
          </cell>
          <cell r="U96">
            <v>42.179299999999998</v>
          </cell>
          <cell r="V96">
            <v>217.19</v>
          </cell>
          <cell r="W96">
            <v>244.71639999999999</v>
          </cell>
          <cell r="X96">
            <v>59.404699999999998</v>
          </cell>
          <cell r="Y96">
            <v>132.7225</v>
          </cell>
          <cell r="Z96">
            <v>2.3874</v>
          </cell>
          <cell r="AA96">
            <v>1.8855999999999999</v>
          </cell>
          <cell r="AB96">
            <v>300.47320000000002</v>
          </cell>
          <cell r="AC96">
            <v>10.9618</v>
          </cell>
          <cell r="AD96">
            <v>5.3199999999999997E-2</v>
          </cell>
          <cell r="AE96">
            <v>10.4215</v>
          </cell>
          <cell r="AF96">
            <v>17.944800000000001</v>
          </cell>
          <cell r="AG96">
            <v>1.5942000000000001</v>
          </cell>
          <cell r="AH96">
            <v>80.498699999999999</v>
          </cell>
          <cell r="AI96">
            <v>72.965699999999998</v>
          </cell>
          <cell r="AJ96">
            <v>13.8523</v>
          </cell>
          <cell r="AK96">
            <v>52.268599999999999</v>
          </cell>
          <cell r="AL96">
            <v>313.42</v>
          </cell>
          <cell r="AM96">
            <v>43.220500000000001</v>
          </cell>
          <cell r="AN96">
            <v>478.62369999999999</v>
          </cell>
          <cell r="AO96">
            <v>686.53430000000003</v>
          </cell>
        </row>
        <row r="97">
          <cell r="C97">
            <v>261.72579999999999</v>
          </cell>
          <cell r="D97">
            <v>34.5505</v>
          </cell>
          <cell r="E97">
            <v>769.29589999999996</v>
          </cell>
          <cell r="F97">
            <v>11.769399999999999</v>
          </cell>
          <cell r="G97">
            <v>117.85469999999999</v>
          </cell>
          <cell r="H97">
            <v>4.1000000000000002E-2</v>
          </cell>
          <cell r="I97">
            <v>13.952299999999999</v>
          </cell>
          <cell r="J97">
            <v>63.716200000000001</v>
          </cell>
          <cell r="K97">
            <v>541.98</v>
          </cell>
          <cell r="L97">
            <v>30.385200000000001</v>
          </cell>
          <cell r="M97">
            <v>5.8811</v>
          </cell>
          <cell r="N97">
            <v>603.66499999999996</v>
          </cell>
          <cell r="O97">
            <v>28.573599999999999</v>
          </cell>
          <cell r="P97">
            <v>24.553599999999999</v>
          </cell>
          <cell r="Q97">
            <v>344.31119999999999</v>
          </cell>
          <cell r="R97">
            <v>3.7275</v>
          </cell>
          <cell r="S97">
            <v>861.65340000000003</v>
          </cell>
          <cell r="T97">
            <v>135.495</v>
          </cell>
          <cell r="U97">
            <v>42.135800000000003</v>
          </cell>
          <cell r="V97">
            <v>215.73840000000001</v>
          </cell>
          <cell r="W97">
            <v>243.08090000000001</v>
          </cell>
          <cell r="X97">
            <v>59.000399999999999</v>
          </cell>
          <cell r="Y97">
            <v>132.2535</v>
          </cell>
          <cell r="Z97">
            <v>2.3714</v>
          </cell>
          <cell r="AA97">
            <v>1.8837999999999999</v>
          </cell>
          <cell r="AB97">
            <v>298.69</v>
          </cell>
          <cell r="AC97">
            <v>10.8873</v>
          </cell>
          <cell r="AD97">
            <v>4.9299999999999997E-2</v>
          </cell>
          <cell r="AE97">
            <v>10.422700000000001</v>
          </cell>
          <cell r="AF97">
            <v>17.820900000000002</v>
          </cell>
          <cell r="AG97">
            <v>1.5846</v>
          </cell>
          <cell r="AH97">
            <v>79.960700000000003</v>
          </cell>
          <cell r="AI97">
            <v>72.478099999999998</v>
          </cell>
          <cell r="AJ97">
            <v>13.792400000000001</v>
          </cell>
          <cell r="AK97">
            <v>51.975999999999999</v>
          </cell>
          <cell r="AL97">
            <v>311.46809999999999</v>
          </cell>
          <cell r="AM97">
            <v>42.896799999999999</v>
          </cell>
          <cell r="AN97">
            <v>475.42489999999998</v>
          </cell>
          <cell r="AO97">
            <v>681.29369999999994</v>
          </cell>
        </row>
        <row r="98">
          <cell r="C98">
            <v>261.92869999999999</v>
          </cell>
          <cell r="D98">
            <v>34.841900000000003</v>
          </cell>
          <cell r="E98">
            <v>771.78750000000002</v>
          </cell>
          <cell r="F98">
            <v>11.7707</v>
          </cell>
          <cell r="G98">
            <v>118.84869999999999</v>
          </cell>
          <cell r="H98">
            <v>4.0899999999999999E-2</v>
          </cell>
          <cell r="I98">
            <v>14.07</v>
          </cell>
          <cell r="J98">
            <v>64.245800000000003</v>
          </cell>
          <cell r="K98">
            <v>542.04</v>
          </cell>
          <cell r="L98">
            <v>30.641400000000001</v>
          </cell>
          <cell r="M98">
            <v>5.8796999999999997</v>
          </cell>
          <cell r="N98">
            <v>608.75609999999995</v>
          </cell>
          <cell r="O98">
            <v>28.814599999999999</v>
          </cell>
          <cell r="P98">
            <v>24.7607</v>
          </cell>
          <cell r="Q98">
            <v>343.09030000000001</v>
          </cell>
          <cell r="R98">
            <v>3.7279</v>
          </cell>
          <cell r="S98">
            <v>861.74879999999996</v>
          </cell>
          <cell r="T98">
            <v>135.51</v>
          </cell>
          <cell r="U98">
            <v>42.118200000000002</v>
          </cell>
          <cell r="V98">
            <v>217.55779999999999</v>
          </cell>
          <cell r="W98">
            <v>245.1309</v>
          </cell>
          <cell r="X98">
            <v>59.207700000000003</v>
          </cell>
          <cell r="Y98">
            <v>133.13550000000001</v>
          </cell>
          <cell r="Z98">
            <v>2.3914</v>
          </cell>
          <cell r="AA98">
            <v>1.8782000000000001</v>
          </cell>
          <cell r="AB98">
            <v>298.89920000000001</v>
          </cell>
          <cell r="AC98">
            <v>11.0063</v>
          </cell>
          <cell r="AD98">
            <v>4.3700000000000003E-2</v>
          </cell>
          <cell r="AE98">
            <v>10.4238</v>
          </cell>
          <cell r="AF98">
            <v>17.974499999999999</v>
          </cell>
          <cell r="AG98">
            <v>1.5847</v>
          </cell>
          <cell r="AH98">
            <v>80.635099999999994</v>
          </cell>
          <cell r="AI98">
            <v>73.089299999999994</v>
          </cell>
          <cell r="AJ98">
            <v>13.8561</v>
          </cell>
          <cell r="AK98">
            <v>52.288600000000002</v>
          </cell>
          <cell r="AL98">
            <v>313.93029999999999</v>
          </cell>
          <cell r="AM98">
            <v>43.052700000000002</v>
          </cell>
          <cell r="AN98">
            <v>479.43439999999998</v>
          </cell>
          <cell r="AO98">
            <v>683.0856</v>
          </cell>
        </row>
        <row r="99">
          <cell r="C99">
            <v>263.93369999999999</v>
          </cell>
          <cell r="D99">
            <v>35.578499999999998</v>
          </cell>
          <cell r="E99">
            <v>778.45529999999997</v>
          </cell>
          <cell r="F99">
            <v>11.7707</v>
          </cell>
          <cell r="G99">
            <v>121.3614</v>
          </cell>
          <cell r="H99">
            <v>4.0899999999999999E-2</v>
          </cell>
          <cell r="I99">
            <v>14.3674</v>
          </cell>
          <cell r="J99">
            <v>65.575100000000006</v>
          </cell>
          <cell r="K99">
            <v>542.04</v>
          </cell>
          <cell r="L99">
            <v>31.289300000000001</v>
          </cell>
          <cell r="M99">
            <v>5.9013</v>
          </cell>
          <cell r="N99">
            <v>621.62630000000001</v>
          </cell>
          <cell r="O99">
            <v>29.4238</v>
          </cell>
          <cell r="P99">
            <v>25.284199999999998</v>
          </cell>
          <cell r="Q99">
            <v>344.57389999999998</v>
          </cell>
          <cell r="R99">
            <v>3.7279</v>
          </cell>
          <cell r="S99">
            <v>853.60630000000003</v>
          </cell>
          <cell r="T99">
            <v>135.51</v>
          </cell>
          <cell r="U99">
            <v>42.060299999999998</v>
          </cell>
          <cell r="V99">
            <v>222.1574</v>
          </cell>
          <cell r="W99">
            <v>250.3134</v>
          </cell>
          <cell r="X99">
            <v>59.838700000000003</v>
          </cell>
          <cell r="Y99">
            <v>134.01140000000001</v>
          </cell>
          <cell r="Z99">
            <v>2.4420000000000002</v>
          </cell>
          <cell r="AA99">
            <v>1.8782000000000001</v>
          </cell>
          <cell r="AB99">
            <v>298.48219999999998</v>
          </cell>
          <cell r="AC99">
            <v>11.236700000000001</v>
          </cell>
          <cell r="AD99">
            <v>4.4299999999999999E-2</v>
          </cell>
          <cell r="AE99">
            <v>10.4238</v>
          </cell>
          <cell r="AF99">
            <v>18.3538</v>
          </cell>
          <cell r="AG99">
            <v>1.5847</v>
          </cell>
          <cell r="AH99">
            <v>82.3399</v>
          </cell>
          <cell r="AI99">
            <v>74.634500000000003</v>
          </cell>
          <cell r="AJ99">
            <v>14.123699999999999</v>
          </cell>
          <cell r="AK99">
            <v>53.058500000000002</v>
          </cell>
          <cell r="AL99">
            <v>320.73540000000003</v>
          </cell>
          <cell r="AM99">
            <v>43.126399999999997</v>
          </cell>
          <cell r="AN99">
            <v>489.57049999999998</v>
          </cell>
          <cell r="AO99">
            <v>686.99530000000004</v>
          </cell>
        </row>
        <row r="100">
          <cell r="C100">
            <v>266.26690000000002</v>
          </cell>
          <cell r="D100">
            <v>35.527299999999997</v>
          </cell>
          <cell r="E100">
            <v>778.2011</v>
          </cell>
          <cell r="F100">
            <v>11.769399999999999</v>
          </cell>
          <cell r="G100">
            <v>121.1867</v>
          </cell>
          <cell r="H100">
            <v>4.0899999999999999E-2</v>
          </cell>
          <cell r="I100">
            <v>14.3468</v>
          </cell>
          <cell r="J100">
            <v>65.495599999999996</v>
          </cell>
          <cell r="K100">
            <v>541.98</v>
          </cell>
          <cell r="L100">
            <v>31.244199999999999</v>
          </cell>
          <cell r="M100">
            <v>5.8666</v>
          </cell>
          <cell r="N100">
            <v>620.73170000000005</v>
          </cell>
          <cell r="O100">
            <v>29.381399999999999</v>
          </cell>
          <cell r="P100">
            <v>25.247800000000002</v>
          </cell>
          <cell r="Q100">
            <v>344.17489999999998</v>
          </cell>
          <cell r="R100">
            <v>3.7275</v>
          </cell>
          <cell r="S100">
            <v>853.51179999999999</v>
          </cell>
          <cell r="T100">
            <v>135.495</v>
          </cell>
          <cell r="U100">
            <v>42.098799999999997</v>
          </cell>
          <cell r="V100">
            <v>221.83770000000001</v>
          </cell>
          <cell r="W100">
            <v>249.95320000000001</v>
          </cell>
          <cell r="X100">
            <v>59.858699999999999</v>
          </cell>
          <cell r="Y100">
            <v>134.88560000000001</v>
          </cell>
          <cell r="Z100">
            <v>2.4384999999999999</v>
          </cell>
          <cell r="AA100">
            <v>1.8779999999999999</v>
          </cell>
          <cell r="AB100">
            <v>299.73390000000001</v>
          </cell>
          <cell r="AC100">
            <v>11.2202</v>
          </cell>
          <cell r="AD100">
            <v>4.4299999999999999E-2</v>
          </cell>
          <cell r="AE100">
            <v>10.422700000000001</v>
          </cell>
          <cell r="AF100">
            <v>18.3233</v>
          </cell>
          <cell r="AG100">
            <v>1.5846</v>
          </cell>
          <cell r="AH100">
            <v>82.221400000000003</v>
          </cell>
          <cell r="AI100">
            <v>74.527100000000004</v>
          </cell>
          <cell r="AJ100">
            <v>14.0932</v>
          </cell>
          <cell r="AK100">
            <v>53.189599999999999</v>
          </cell>
          <cell r="AL100">
            <v>319.70830000000001</v>
          </cell>
          <cell r="AM100">
            <v>43.633200000000002</v>
          </cell>
          <cell r="AN100">
            <v>488.86599999999999</v>
          </cell>
          <cell r="AO100">
            <v>689.05370000000005</v>
          </cell>
        </row>
        <row r="101">
          <cell r="C101">
            <v>266.38630000000001</v>
          </cell>
          <cell r="D101">
            <v>35.212200000000003</v>
          </cell>
          <cell r="E101">
            <v>773.39210000000003</v>
          </cell>
          <cell r="F101">
            <v>11.769399999999999</v>
          </cell>
          <cell r="G101">
            <v>120.11190000000001</v>
          </cell>
          <cell r="H101">
            <v>4.0899999999999999E-2</v>
          </cell>
          <cell r="I101">
            <v>14.2195</v>
          </cell>
          <cell r="J101">
            <v>64.921700000000001</v>
          </cell>
          <cell r="K101">
            <v>541.98</v>
          </cell>
          <cell r="L101">
            <v>30.967099999999999</v>
          </cell>
          <cell r="M101">
            <v>5.8369999999999997</v>
          </cell>
          <cell r="N101">
            <v>615.22630000000004</v>
          </cell>
          <cell r="O101">
            <v>29.120799999999999</v>
          </cell>
          <cell r="P101">
            <v>25.023900000000001</v>
          </cell>
          <cell r="Q101">
            <v>344.24880000000002</v>
          </cell>
          <cell r="R101">
            <v>3.7275</v>
          </cell>
          <cell r="S101">
            <v>853.51179999999999</v>
          </cell>
          <cell r="T101">
            <v>135.495</v>
          </cell>
          <cell r="U101">
            <v>42.074300000000001</v>
          </cell>
          <cell r="V101">
            <v>219.87020000000001</v>
          </cell>
          <cell r="W101">
            <v>247.7363</v>
          </cell>
          <cell r="X101">
            <v>59.608800000000002</v>
          </cell>
          <cell r="Y101">
            <v>134.57300000000001</v>
          </cell>
          <cell r="Z101">
            <v>2.4167999999999998</v>
          </cell>
          <cell r="AA101">
            <v>1.8779999999999999</v>
          </cell>
          <cell r="AB101">
            <v>298.68700000000001</v>
          </cell>
          <cell r="AC101">
            <v>11.128399999999999</v>
          </cell>
          <cell r="AD101">
            <v>4.5900000000000003E-2</v>
          </cell>
          <cell r="AE101">
            <v>10.422700000000001</v>
          </cell>
          <cell r="AF101">
            <v>18.158799999999999</v>
          </cell>
          <cell r="AG101">
            <v>1.5846</v>
          </cell>
          <cell r="AH101">
            <v>81.492099999999994</v>
          </cell>
          <cell r="AI101">
            <v>73.866100000000003</v>
          </cell>
          <cell r="AJ101">
            <v>13.9977</v>
          </cell>
          <cell r="AK101">
            <v>53.009099999999997</v>
          </cell>
          <cell r="AL101">
            <v>317.18389999999999</v>
          </cell>
          <cell r="AM101">
            <v>43.502400000000002</v>
          </cell>
          <cell r="AN101">
            <v>484.5301</v>
          </cell>
          <cell r="AO101">
            <v>687.4316</v>
          </cell>
        </row>
        <row r="102">
          <cell r="C102">
            <v>266.38630000000001</v>
          </cell>
          <cell r="D102">
            <v>35.212200000000003</v>
          </cell>
          <cell r="E102">
            <v>773.39210000000003</v>
          </cell>
          <cell r="F102">
            <v>11.769399999999999</v>
          </cell>
          <cell r="G102">
            <v>120.11190000000001</v>
          </cell>
          <cell r="H102">
            <v>4.0899999999999999E-2</v>
          </cell>
          <cell r="I102">
            <v>14.2195</v>
          </cell>
          <cell r="J102">
            <v>64.921700000000001</v>
          </cell>
          <cell r="K102">
            <v>541.98</v>
          </cell>
          <cell r="L102">
            <v>30.967099999999999</v>
          </cell>
          <cell r="M102">
            <v>5.8369999999999997</v>
          </cell>
          <cell r="N102">
            <v>615.22630000000004</v>
          </cell>
          <cell r="O102">
            <v>29.120799999999999</v>
          </cell>
          <cell r="P102">
            <v>25.023900000000001</v>
          </cell>
          <cell r="Q102">
            <v>344.24880000000002</v>
          </cell>
          <cell r="R102">
            <v>3.7275</v>
          </cell>
          <cell r="S102">
            <v>853.51179999999999</v>
          </cell>
          <cell r="T102">
            <v>135.495</v>
          </cell>
          <cell r="U102">
            <v>42.074300000000001</v>
          </cell>
          <cell r="V102">
            <v>219.87020000000001</v>
          </cell>
          <cell r="W102">
            <v>247.7363</v>
          </cell>
          <cell r="X102">
            <v>59.608800000000002</v>
          </cell>
          <cell r="Y102">
            <v>134.57300000000001</v>
          </cell>
          <cell r="Z102">
            <v>2.4167999999999998</v>
          </cell>
          <cell r="AA102">
            <v>1.8779999999999999</v>
          </cell>
          <cell r="AB102">
            <v>298.68700000000001</v>
          </cell>
          <cell r="AC102">
            <v>11.128399999999999</v>
          </cell>
          <cell r="AD102">
            <v>4.5900000000000003E-2</v>
          </cell>
          <cell r="AE102">
            <v>10.422700000000001</v>
          </cell>
          <cell r="AF102">
            <v>18.158799999999999</v>
          </cell>
          <cell r="AG102">
            <v>1.5846</v>
          </cell>
          <cell r="AH102">
            <v>81.492099999999994</v>
          </cell>
          <cell r="AI102">
            <v>73.866100000000003</v>
          </cell>
          <cell r="AJ102">
            <v>13.9977</v>
          </cell>
          <cell r="AK102">
            <v>53.009099999999997</v>
          </cell>
          <cell r="AL102">
            <v>317.18389999999999</v>
          </cell>
          <cell r="AM102">
            <v>43.502400000000002</v>
          </cell>
          <cell r="AN102">
            <v>484.5301</v>
          </cell>
          <cell r="AO102">
            <v>687.4316</v>
          </cell>
        </row>
        <row r="103">
          <cell r="C103">
            <v>266.38630000000001</v>
          </cell>
          <cell r="D103">
            <v>35.212200000000003</v>
          </cell>
          <cell r="E103">
            <v>773.39210000000003</v>
          </cell>
          <cell r="F103">
            <v>11.769399999999999</v>
          </cell>
          <cell r="G103">
            <v>120.11190000000001</v>
          </cell>
          <cell r="H103">
            <v>4.0899999999999999E-2</v>
          </cell>
          <cell r="I103">
            <v>14.2195</v>
          </cell>
          <cell r="J103">
            <v>64.921700000000001</v>
          </cell>
          <cell r="K103">
            <v>541.98</v>
          </cell>
          <cell r="L103">
            <v>30.967099999999999</v>
          </cell>
          <cell r="M103">
            <v>5.8369999999999997</v>
          </cell>
          <cell r="N103">
            <v>615.22630000000004</v>
          </cell>
          <cell r="O103">
            <v>29.120799999999999</v>
          </cell>
          <cell r="P103">
            <v>25.023900000000001</v>
          </cell>
          <cell r="Q103">
            <v>344.24880000000002</v>
          </cell>
          <cell r="R103">
            <v>3.7275</v>
          </cell>
          <cell r="S103">
            <v>853.51179999999999</v>
          </cell>
          <cell r="T103">
            <v>135.495</v>
          </cell>
          <cell r="U103">
            <v>42.074300000000001</v>
          </cell>
          <cell r="V103">
            <v>219.87020000000001</v>
          </cell>
          <cell r="W103">
            <v>247.7363</v>
          </cell>
          <cell r="X103">
            <v>59.608800000000002</v>
          </cell>
          <cell r="Y103">
            <v>134.57300000000001</v>
          </cell>
          <cell r="Z103">
            <v>2.4167999999999998</v>
          </cell>
          <cell r="AA103">
            <v>1.8779999999999999</v>
          </cell>
          <cell r="AB103">
            <v>298.68700000000001</v>
          </cell>
          <cell r="AC103">
            <v>11.128399999999999</v>
          </cell>
          <cell r="AD103">
            <v>4.5900000000000003E-2</v>
          </cell>
          <cell r="AE103">
            <v>10.422700000000001</v>
          </cell>
          <cell r="AF103">
            <v>18.158799999999999</v>
          </cell>
          <cell r="AG103">
            <v>1.5846</v>
          </cell>
          <cell r="AH103">
            <v>81.492099999999994</v>
          </cell>
          <cell r="AI103">
            <v>73.866100000000003</v>
          </cell>
          <cell r="AJ103">
            <v>13.9977</v>
          </cell>
          <cell r="AK103">
            <v>53.009099999999997</v>
          </cell>
          <cell r="AL103">
            <v>317.18389999999999</v>
          </cell>
          <cell r="AM103">
            <v>43.502400000000002</v>
          </cell>
          <cell r="AN103">
            <v>484.5301</v>
          </cell>
          <cell r="AO103">
            <v>687.4316</v>
          </cell>
        </row>
        <row r="104">
          <cell r="C104">
            <v>267.82690000000002</v>
          </cell>
          <cell r="D104">
            <v>35.517400000000002</v>
          </cell>
          <cell r="E104">
            <v>782.84559999999999</v>
          </cell>
          <cell r="F104">
            <v>11.7432</v>
          </cell>
          <cell r="G104">
            <v>121.15309999999999</v>
          </cell>
          <cell r="H104">
            <v>4.07E-2</v>
          </cell>
          <cell r="I104">
            <v>14.3428</v>
          </cell>
          <cell r="J104">
            <v>65.484499999999997</v>
          </cell>
          <cell r="K104">
            <v>541.95000000000005</v>
          </cell>
          <cell r="L104">
            <v>31.235600000000002</v>
          </cell>
          <cell r="M104">
            <v>5.8742000000000001</v>
          </cell>
          <cell r="N104">
            <v>620.55970000000002</v>
          </cell>
          <cell r="O104">
            <v>29.3733</v>
          </cell>
          <cell r="P104">
            <v>25.2408</v>
          </cell>
          <cell r="Q104">
            <v>346.74029999999999</v>
          </cell>
          <cell r="R104">
            <v>3.7235</v>
          </cell>
          <cell r="S104">
            <v>858.87480000000005</v>
          </cell>
          <cell r="T104">
            <v>135.48750000000001</v>
          </cell>
          <cell r="U104">
            <v>42.070999999999998</v>
          </cell>
          <cell r="V104">
            <v>221.77619999999999</v>
          </cell>
          <cell r="W104">
            <v>249.88390000000001</v>
          </cell>
          <cell r="X104">
            <v>60.033200000000001</v>
          </cell>
          <cell r="Y104">
            <v>135.47620000000001</v>
          </cell>
          <cell r="Z104">
            <v>2.4378000000000002</v>
          </cell>
          <cell r="AA104">
            <v>1.8792</v>
          </cell>
          <cell r="AB104">
            <v>298.35210000000001</v>
          </cell>
          <cell r="AC104">
            <v>11.2416</v>
          </cell>
          <cell r="AD104">
            <v>4.4200000000000003E-2</v>
          </cell>
          <cell r="AE104">
            <v>10.4221</v>
          </cell>
          <cell r="AF104">
            <v>18.316199999999998</v>
          </cell>
          <cell r="AG104">
            <v>1.5758000000000001</v>
          </cell>
          <cell r="AH104">
            <v>82.198599999999999</v>
          </cell>
          <cell r="AI104">
            <v>74.506500000000003</v>
          </cell>
          <cell r="AJ104">
            <v>14.136200000000001</v>
          </cell>
          <cell r="AK104">
            <v>53.725000000000001</v>
          </cell>
          <cell r="AL104">
            <v>319.5779</v>
          </cell>
          <cell r="AM104">
            <v>43.327199999999998</v>
          </cell>
          <cell r="AN104">
            <v>488.73050000000001</v>
          </cell>
          <cell r="AO104">
            <v>688.60149999999999</v>
          </cell>
        </row>
        <row r="105">
          <cell r="C105">
            <v>268.35989999999998</v>
          </cell>
          <cell r="D105">
            <v>35.2273</v>
          </cell>
          <cell r="E105">
            <v>781.9624</v>
          </cell>
          <cell r="F105">
            <v>11.7424</v>
          </cell>
          <cell r="G105">
            <v>120.1635</v>
          </cell>
          <cell r="H105">
            <v>4.0399999999999998E-2</v>
          </cell>
          <cell r="I105">
            <v>14.2256</v>
          </cell>
          <cell r="J105">
            <v>64.948700000000002</v>
          </cell>
          <cell r="K105">
            <v>541.91</v>
          </cell>
          <cell r="L105">
            <v>30.980399999999999</v>
          </cell>
          <cell r="M105">
            <v>5.8507999999999996</v>
          </cell>
          <cell r="N105">
            <v>615.49090000000001</v>
          </cell>
          <cell r="O105">
            <v>29.133400000000002</v>
          </cell>
          <cell r="P105">
            <v>25.034700000000001</v>
          </cell>
          <cell r="Q105">
            <v>347.5077</v>
          </cell>
          <cell r="R105">
            <v>3.7231999999999998</v>
          </cell>
          <cell r="S105">
            <v>860.17460000000005</v>
          </cell>
          <cell r="T105">
            <v>135.47749999999999</v>
          </cell>
          <cell r="U105">
            <v>42.1038</v>
          </cell>
          <cell r="V105">
            <v>219.96469999999999</v>
          </cell>
          <cell r="W105">
            <v>247.84289999999999</v>
          </cell>
          <cell r="X105">
            <v>59.811</v>
          </cell>
          <cell r="Y105">
            <v>134.73570000000001</v>
          </cell>
          <cell r="Z105">
            <v>2.4178999999999999</v>
          </cell>
          <cell r="AA105">
            <v>1.8823000000000001</v>
          </cell>
          <cell r="AB105">
            <v>298.94450000000001</v>
          </cell>
          <cell r="AC105">
            <v>11.169600000000001</v>
          </cell>
          <cell r="AD105">
            <v>4.2200000000000001E-2</v>
          </cell>
          <cell r="AE105">
            <v>10.4213</v>
          </cell>
          <cell r="AF105">
            <v>18.1645</v>
          </cell>
          <cell r="AG105">
            <v>1.5757000000000001</v>
          </cell>
          <cell r="AH105">
            <v>81.527199999999993</v>
          </cell>
          <cell r="AI105">
            <v>73.897900000000007</v>
          </cell>
          <cell r="AJ105">
            <v>13.936500000000001</v>
          </cell>
          <cell r="AK105">
            <v>53.45</v>
          </cell>
          <cell r="AL105">
            <v>317.34109999999998</v>
          </cell>
          <cell r="AM105">
            <v>43.536799999999999</v>
          </cell>
          <cell r="AN105">
            <v>484.73849999999999</v>
          </cell>
          <cell r="AO105">
            <v>687.7921</v>
          </cell>
        </row>
        <row r="106">
          <cell r="C106">
            <v>271.63139999999999</v>
          </cell>
          <cell r="D106">
            <v>34.811900000000001</v>
          </cell>
          <cell r="E106">
            <v>775.24180000000001</v>
          </cell>
          <cell r="F106">
            <v>11.7417</v>
          </cell>
          <cell r="G106">
            <v>118.74639999999999</v>
          </cell>
          <cell r="H106">
            <v>4.0399999999999998E-2</v>
          </cell>
          <cell r="I106">
            <v>14.0579</v>
          </cell>
          <cell r="J106">
            <v>64.191400000000002</v>
          </cell>
          <cell r="K106">
            <v>541.88</v>
          </cell>
          <cell r="L106">
            <v>30.615100000000002</v>
          </cell>
          <cell r="M106">
            <v>5.8182999999999998</v>
          </cell>
          <cell r="N106">
            <v>608.23239999999998</v>
          </cell>
          <cell r="O106">
            <v>28.7898</v>
          </cell>
          <cell r="P106">
            <v>24.7394</v>
          </cell>
          <cell r="Q106">
            <v>347.99990000000003</v>
          </cell>
          <cell r="R106">
            <v>3.7229999999999999</v>
          </cell>
          <cell r="S106">
            <v>860.12699999999995</v>
          </cell>
          <cell r="T106">
            <v>135.47</v>
          </cell>
          <cell r="U106">
            <v>42.122100000000003</v>
          </cell>
          <cell r="V106">
            <v>217.3707</v>
          </cell>
          <cell r="W106">
            <v>244.92</v>
          </cell>
          <cell r="X106">
            <v>59.384099999999997</v>
          </cell>
          <cell r="Y106">
            <v>133.8237</v>
          </cell>
          <cell r="Z106">
            <v>2.3894000000000002</v>
          </cell>
          <cell r="AA106">
            <v>1.877</v>
          </cell>
          <cell r="AB106">
            <v>299.80090000000001</v>
          </cell>
          <cell r="AC106">
            <v>11.0351</v>
          </cell>
          <cell r="AD106">
            <v>4.2000000000000003E-2</v>
          </cell>
          <cell r="AE106">
            <v>10.4208</v>
          </cell>
          <cell r="AF106">
            <v>17.9436</v>
          </cell>
          <cell r="AG106">
            <v>1.5755999999999999</v>
          </cell>
          <cell r="AH106">
            <v>80.565700000000007</v>
          </cell>
          <cell r="AI106">
            <v>73.026399999999995</v>
          </cell>
          <cell r="AJ106">
            <v>13.7967</v>
          </cell>
          <cell r="AK106">
            <v>53.150799999999997</v>
          </cell>
          <cell r="AL106">
            <v>314.64920000000001</v>
          </cell>
          <cell r="AM106">
            <v>43.626800000000003</v>
          </cell>
          <cell r="AN106">
            <v>479.02190000000002</v>
          </cell>
          <cell r="AO106">
            <v>685.97270000000003</v>
          </cell>
        </row>
        <row r="107">
          <cell r="C107">
            <v>275.15949999999998</v>
          </cell>
          <cell r="D107">
            <v>34.844099999999997</v>
          </cell>
          <cell r="E107">
            <v>776.71370000000002</v>
          </cell>
          <cell r="F107">
            <v>11.740600000000001</v>
          </cell>
          <cell r="G107">
            <v>118.85639999999999</v>
          </cell>
          <cell r="H107">
            <v>4.0399999999999998E-2</v>
          </cell>
          <cell r="I107">
            <v>14.0709</v>
          </cell>
          <cell r="J107">
            <v>64.25</v>
          </cell>
          <cell r="K107">
            <v>541.83000000000004</v>
          </cell>
          <cell r="L107">
            <v>30.6434</v>
          </cell>
          <cell r="M107">
            <v>5.8216000000000001</v>
          </cell>
          <cell r="N107">
            <v>608.79539999999997</v>
          </cell>
          <cell r="O107">
            <v>28.816400000000002</v>
          </cell>
          <cell r="P107">
            <v>24.7623</v>
          </cell>
          <cell r="Q107">
            <v>347.69060000000002</v>
          </cell>
          <cell r="R107">
            <v>3.7225999999999999</v>
          </cell>
          <cell r="S107">
            <v>858.68460000000005</v>
          </cell>
          <cell r="T107">
            <v>135.45750000000001</v>
          </cell>
          <cell r="U107">
            <v>42.105800000000002</v>
          </cell>
          <cell r="V107">
            <v>217.5719</v>
          </cell>
          <cell r="W107">
            <v>245.14670000000001</v>
          </cell>
          <cell r="X107">
            <v>59.3949</v>
          </cell>
          <cell r="Y107">
            <v>134.61320000000001</v>
          </cell>
          <cell r="Z107">
            <v>2.3915999999999999</v>
          </cell>
          <cell r="AA107">
            <v>1.8774</v>
          </cell>
          <cell r="AB107">
            <v>301.0204</v>
          </cell>
          <cell r="AC107">
            <v>11.0626</v>
          </cell>
          <cell r="AD107">
            <v>4.2599999999999999E-2</v>
          </cell>
          <cell r="AE107">
            <v>10.4198</v>
          </cell>
          <cell r="AF107">
            <v>17.9588</v>
          </cell>
          <cell r="AG107">
            <v>1.5754999999999999</v>
          </cell>
          <cell r="AH107">
            <v>80.640299999999996</v>
          </cell>
          <cell r="AI107">
            <v>73.093999999999994</v>
          </cell>
          <cell r="AJ107">
            <v>13.9177</v>
          </cell>
          <cell r="AK107">
            <v>53.268000000000001</v>
          </cell>
          <cell r="AL107">
            <v>315.77010000000001</v>
          </cell>
          <cell r="AM107">
            <v>43.9876</v>
          </cell>
          <cell r="AN107">
            <v>479.46539999999999</v>
          </cell>
          <cell r="AO107">
            <v>685.75490000000002</v>
          </cell>
        </row>
        <row r="108">
          <cell r="C108">
            <v>275.14420000000001</v>
          </cell>
          <cell r="D108">
            <v>34.842199999999998</v>
          </cell>
          <cell r="E108">
            <v>776.67070000000001</v>
          </cell>
          <cell r="F108">
            <v>11.74</v>
          </cell>
          <cell r="G108">
            <v>118.8498</v>
          </cell>
          <cell r="H108">
            <v>4.0399999999999998E-2</v>
          </cell>
          <cell r="I108">
            <v>14.0701</v>
          </cell>
          <cell r="J108">
            <v>64.246399999999994</v>
          </cell>
          <cell r="K108">
            <v>541.79999999999995</v>
          </cell>
          <cell r="L108">
            <v>30.6417</v>
          </cell>
          <cell r="M108">
            <v>5.8212999999999999</v>
          </cell>
          <cell r="N108">
            <v>608.76170000000002</v>
          </cell>
          <cell r="O108">
            <v>28.814900000000002</v>
          </cell>
          <cell r="P108">
            <v>24.760899999999999</v>
          </cell>
          <cell r="Q108">
            <v>347.67140000000001</v>
          </cell>
          <cell r="R108">
            <v>3.7223999999999999</v>
          </cell>
          <cell r="S108">
            <v>858.63710000000003</v>
          </cell>
          <cell r="T108">
            <v>135.44999999999999</v>
          </cell>
          <cell r="U108">
            <v>42.1297</v>
          </cell>
          <cell r="V108">
            <v>217.5599</v>
          </cell>
          <cell r="W108">
            <v>245.13319999999999</v>
          </cell>
          <cell r="X108">
            <v>59.391599999999997</v>
          </cell>
          <cell r="Y108">
            <v>134.60579999999999</v>
          </cell>
          <cell r="Z108">
            <v>2.3914</v>
          </cell>
          <cell r="AA108">
            <v>1.8798999999999999</v>
          </cell>
          <cell r="AB108">
            <v>301.00380000000001</v>
          </cell>
          <cell r="AC108">
            <v>11.061999999999999</v>
          </cell>
          <cell r="AD108">
            <v>4.2599999999999999E-2</v>
          </cell>
          <cell r="AE108">
            <v>10.4192</v>
          </cell>
          <cell r="AF108">
            <v>17.957899999999999</v>
          </cell>
          <cell r="AG108">
            <v>1.5753999999999999</v>
          </cell>
          <cell r="AH108">
            <v>80.635800000000003</v>
          </cell>
          <cell r="AI108">
            <v>73.09</v>
          </cell>
          <cell r="AJ108">
            <v>13.9169</v>
          </cell>
          <cell r="AK108">
            <v>53.265099999999997</v>
          </cell>
          <cell r="AL108">
            <v>315.75259999999997</v>
          </cell>
          <cell r="AM108">
            <v>43.985199999999999</v>
          </cell>
          <cell r="AN108">
            <v>479.43880000000001</v>
          </cell>
          <cell r="AO108">
            <v>685.71690000000001</v>
          </cell>
        </row>
        <row r="109">
          <cell r="C109">
            <v>275.14420000000001</v>
          </cell>
          <cell r="D109">
            <v>34.842199999999998</v>
          </cell>
          <cell r="E109">
            <v>776.67070000000001</v>
          </cell>
          <cell r="F109">
            <v>11.74</v>
          </cell>
          <cell r="G109">
            <v>118.8498</v>
          </cell>
          <cell r="H109">
            <v>4.0399999999999998E-2</v>
          </cell>
          <cell r="I109">
            <v>14.0701</v>
          </cell>
          <cell r="J109">
            <v>64.246399999999994</v>
          </cell>
          <cell r="K109">
            <v>541.79999999999995</v>
          </cell>
          <cell r="L109">
            <v>30.6417</v>
          </cell>
          <cell r="M109">
            <v>5.8212999999999999</v>
          </cell>
          <cell r="N109">
            <v>608.76170000000002</v>
          </cell>
          <cell r="O109">
            <v>28.814900000000002</v>
          </cell>
          <cell r="P109">
            <v>24.760899999999999</v>
          </cell>
          <cell r="Q109">
            <v>347.67140000000001</v>
          </cell>
          <cell r="R109">
            <v>3.7223999999999999</v>
          </cell>
          <cell r="S109">
            <v>858.63710000000003</v>
          </cell>
          <cell r="T109">
            <v>135.44999999999999</v>
          </cell>
          <cell r="U109">
            <v>42.1297</v>
          </cell>
          <cell r="V109">
            <v>217.5599</v>
          </cell>
          <cell r="W109">
            <v>245.13319999999999</v>
          </cell>
          <cell r="X109">
            <v>59.391599999999997</v>
          </cell>
          <cell r="Y109">
            <v>134.60579999999999</v>
          </cell>
          <cell r="Z109">
            <v>2.3914</v>
          </cell>
          <cell r="AA109">
            <v>1.8798999999999999</v>
          </cell>
          <cell r="AB109">
            <v>301.00380000000001</v>
          </cell>
          <cell r="AC109">
            <v>11.061999999999999</v>
          </cell>
          <cell r="AD109">
            <v>4.2599999999999999E-2</v>
          </cell>
          <cell r="AE109">
            <v>10.4192</v>
          </cell>
          <cell r="AF109">
            <v>17.957899999999999</v>
          </cell>
          <cell r="AG109">
            <v>1.5753999999999999</v>
          </cell>
          <cell r="AH109">
            <v>80.635800000000003</v>
          </cell>
          <cell r="AI109">
            <v>73.09</v>
          </cell>
          <cell r="AJ109">
            <v>13.9169</v>
          </cell>
          <cell r="AK109">
            <v>53.265099999999997</v>
          </cell>
          <cell r="AL109">
            <v>315.75259999999997</v>
          </cell>
          <cell r="AM109">
            <v>43.985199999999999</v>
          </cell>
          <cell r="AN109">
            <v>479.43880000000001</v>
          </cell>
          <cell r="AO109">
            <v>685.71690000000001</v>
          </cell>
        </row>
        <row r="110">
          <cell r="C110">
            <v>275.14420000000001</v>
          </cell>
          <cell r="D110">
            <v>34.842199999999998</v>
          </cell>
          <cell r="E110">
            <v>776.67070000000001</v>
          </cell>
          <cell r="F110">
            <v>11.74</v>
          </cell>
          <cell r="G110">
            <v>118.8498</v>
          </cell>
          <cell r="H110">
            <v>4.0399999999999998E-2</v>
          </cell>
          <cell r="I110">
            <v>14.0701</v>
          </cell>
          <cell r="J110">
            <v>64.246399999999994</v>
          </cell>
          <cell r="K110">
            <v>541.79999999999995</v>
          </cell>
          <cell r="L110">
            <v>30.6417</v>
          </cell>
          <cell r="M110">
            <v>5.8212999999999999</v>
          </cell>
          <cell r="N110">
            <v>608.76170000000002</v>
          </cell>
          <cell r="O110">
            <v>28.814900000000002</v>
          </cell>
          <cell r="P110">
            <v>24.760899999999999</v>
          </cell>
          <cell r="Q110">
            <v>347.67140000000001</v>
          </cell>
          <cell r="R110">
            <v>3.7223999999999999</v>
          </cell>
          <cell r="S110">
            <v>858.63710000000003</v>
          </cell>
          <cell r="T110">
            <v>135.44999999999999</v>
          </cell>
          <cell r="U110">
            <v>42.1297</v>
          </cell>
          <cell r="V110">
            <v>217.5599</v>
          </cell>
          <cell r="W110">
            <v>245.13319999999999</v>
          </cell>
          <cell r="X110">
            <v>59.391599999999997</v>
          </cell>
          <cell r="Y110">
            <v>134.60579999999999</v>
          </cell>
          <cell r="Z110">
            <v>2.3914</v>
          </cell>
          <cell r="AA110">
            <v>1.8798999999999999</v>
          </cell>
          <cell r="AB110">
            <v>301.00380000000001</v>
          </cell>
          <cell r="AC110">
            <v>11.061999999999999</v>
          </cell>
          <cell r="AD110">
            <v>4.2599999999999999E-2</v>
          </cell>
          <cell r="AE110">
            <v>10.4192</v>
          </cell>
          <cell r="AF110">
            <v>17.957899999999999</v>
          </cell>
          <cell r="AG110">
            <v>1.5753999999999999</v>
          </cell>
          <cell r="AH110">
            <v>80.635800000000003</v>
          </cell>
          <cell r="AI110">
            <v>73.09</v>
          </cell>
          <cell r="AJ110">
            <v>13.9169</v>
          </cell>
          <cell r="AK110">
            <v>53.265099999999997</v>
          </cell>
          <cell r="AL110">
            <v>315.75259999999997</v>
          </cell>
          <cell r="AM110">
            <v>43.985199999999999</v>
          </cell>
          <cell r="AN110">
            <v>479.43880000000001</v>
          </cell>
          <cell r="AO110">
            <v>685.71690000000001</v>
          </cell>
        </row>
        <row r="111">
          <cell r="C111">
            <v>275.14420000000001</v>
          </cell>
          <cell r="D111">
            <v>34.842199999999998</v>
          </cell>
          <cell r="E111">
            <v>776.67070000000001</v>
          </cell>
          <cell r="F111">
            <v>11.74</v>
          </cell>
          <cell r="G111">
            <v>118.8498</v>
          </cell>
          <cell r="H111">
            <v>4.0399999999999998E-2</v>
          </cell>
          <cell r="I111">
            <v>14.0701</v>
          </cell>
          <cell r="J111">
            <v>64.246399999999994</v>
          </cell>
          <cell r="K111">
            <v>541.79999999999995</v>
          </cell>
          <cell r="L111">
            <v>30.6417</v>
          </cell>
          <cell r="M111">
            <v>5.8212999999999999</v>
          </cell>
          <cell r="N111">
            <v>608.76170000000002</v>
          </cell>
          <cell r="O111">
            <v>28.814900000000002</v>
          </cell>
          <cell r="P111">
            <v>24.760899999999999</v>
          </cell>
          <cell r="Q111">
            <v>347.67140000000001</v>
          </cell>
          <cell r="R111">
            <v>3.7223999999999999</v>
          </cell>
          <cell r="S111">
            <v>858.63710000000003</v>
          </cell>
          <cell r="T111">
            <v>135.44999999999999</v>
          </cell>
          <cell r="U111">
            <v>42.1297</v>
          </cell>
          <cell r="V111">
            <v>217.5599</v>
          </cell>
          <cell r="W111">
            <v>245.13319999999999</v>
          </cell>
          <cell r="X111">
            <v>59.391599999999997</v>
          </cell>
          <cell r="Y111">
            <v>134.60579999999999</v>
          </cell>
          <cell r="Z111">
            <v>2.3914</v>
          </cell>
          <cell r="AA111">
            <v>1.8798999999999999</v>
          </cell>
          <cell r="AB111">
            <v>301.00380000000001</v>
          </cell>
          <cell r="AC111">
            <v>11.061999999999999</v>
          </cell>
          <cell r="AD111">
            <v>4.2599999999999999E-2</v>
          </cell>
          <cell r="AE111">
            <v>10.4192</v>
          </cell>
          <cell r="AF111">
            <v>17.957899999999999</v>
          </cell>
          <cell r="AG111">
            <v>1.5753999999999999</v>
          </cell>
          <cell r="AH111">
            <v>80.635800000000003</v>
          </cell>
          <cell r="AI111">
            <v>73.09</v>
          </cell>
          <cell r="AJ111">
            <v>13.9169</v>
          </cell>
          <cell r="AK111">
            <v>53.265099999999997</v>
          </cell>
          <cell r="AL111">
            <v>315.75259999999997</v>
          </cell>
          <cell r="AM111">
            <v>43.985199999999999</v>
          </cell>
          <cell r="AN111">
            <v>479.43880000000001</v>
          </cell>
          <cell r="AO111">
            <v>685.71690000000001</v>
          </cell>
        </row>
        <row r="112">
          <cell r="C112">
            <v>273.72120000000001</v>
          </cell>
          <cell r="D112">
            <v>34.620199999999997</v>
          </cell>
          <cell r="E112">
            <v>777.00909999999999</v>
          </cell>
          <cell r="F112">
            <v>11.742100000000001</v>
          </cell>
          <cell r="G112">
            <v>118.0926</v>
          </cell>
          <cell r="H112">
            <v>4.0300000000000002E-2</v>
          </cell>
          <cell r="I112">
            <v>13.980499999999999</v>
          </cell>
          <cell r="J112">
            <v>63.837899999999998</v>
          </cell>
          <cell r="K112">
            <v>541.9</v>
          </cell>
          <cell r="L112">
            <v>30.4465</v>
          </cell>
          <cell r="M112">
            <v>5.7820999999999998</v>
          </cell>
          <cell r="N112">
            <v>604.88329999999996</v>
          </cell>
          <cell r="O112">
            <v>28.6313</v>
          </cell>
          <cell r="P112">
            <v>24.603200000000001</v>
          </cell>
          <cell r="Q112">
            <v>347.04180000000002</v>
          </cell>
          <cell r="R112">
            <v>3.7231000000000001</v>
          </cell>
          <cell r="S112">
            <v>858.79560000000004</v>
          </cell>
          <cell r="T112">
            <v>135.47499999999999</v>
          </cell>
          <cell r="U112">
            <v>42.1417</v>
          </cell>
          <cell r="V112">
            <v>216.1738</v>
          </cell>
          <cell r="W112">
            <v>243.57140000000001</v>
          </cell>
          <cell r="X112">
            <v>59.192900000000002</v>
          </cell>
          <cell r="Y112">
            <v>134.18520000000001</v>
          </cell>
          <cell r="Z112">
            <v>2.3761999999999999</v>
          </cell>
          <cell r="AA112">
            <v>1.8776999999999999</v>
          </cell>
          <cell r="AB112">
            <v>299.59390000000002</v>
          </cell>
          <cell r="AC112">
            <v>10.9842</v>
          </cell>
          <cell r="AD112">
            <v>4.4600000000000001E-2</v>
          </cell>
          <cell r="AE112">
            <v>10.421200000000001</v>
          </cell>
          <cell r="AF112">
            <v>17.843399999999999</v>
          </cell>
          <cell r="AG112">
            <v>1.5681</v>
          </cell>
          <cell r="AH112">
            <v>80.122100000000003</v>
          </cell>
          <cell r="AI112">
            <v>72.624300000000005</v>
          </cell>
          <cell r="AJ112">
            <v>13.8476</v>
          </cell>
          <cell r="AK112">
            <v>52.610100000000003</v>
          </cell>
          <cell r="AL112">
            <v>312.89609999999999</v>
          </cell>
          <cell r="AM112">
            <v>43.805500000000002</v>
          </cell>
          <cell r="AN112">
            <v>476.3843</v>
          </cell>
          <cell r="AO112">
            <v>683.77430000000004</v>
          </cell>
        </row>
        <row r="113">
          <cell r="C113">
            <v>269.07580000000002</v>
          </cell>
          <cell r="D113">
            <v>34.564500000000002</v>
          </cell>
          <cell r="E113">
            <v>772.60940000000005</v>
          </cell>
          <cell r="F113">
            <v>11.740600000000001</v>
          </cell>
          <cell r="G113">
            <v>117.9027</v>
          </cell>
          <cell r="H113">
            <v>4.0300000000000002E-2</v>
          </cell>
          <cell r="I113">
            <v>13.958</v>
          </cell>
          <cell r="J113">
            <v>63.739600000000003</v>
          </cell>
          <cell r="K113">
            <v>541.83000000000004</v>
          </cell>
          <cell r="L113">
            <v>30.397600000000001</v>
          </cell>
          <cell r="M113">
            <v>5.7580999999999998</v>
          </cell>
          <cell r="N113">
            <v>603.91079999999999</v>
          </cell>
          <cell r="O113">
            <v>28.5852</v>
          </cell>
          <cell r="P113">
            <v>24.563600000000001</v>
          </cell>
          <cell r="Q113">
            <v>345.40190000000001</v>
          </cell>
          <cell r="R113">
            <v>3.7225999999999999</v>
          </cell>
          <cell r="S113">
            <v>858.68460000000005</v>
          </cell>
          <cell r="T113">
            <v>135.45750000000001</v>
          </cell>
          <cell r="U113">
            <v>42.1599</v>
          </cell>
          <cell r="V113">
            <v>215.8262</v>
          </cell>
          <cell r="W113">
            <v>243.1798</v>
          </cell>
          <cell r="X113">
            <v>59.017000000000003</v>
          </cell>
          <cell r="Y113">
            <v>134.44280000000001</v>
          </cell>
          <cell r="Z113">
            <v>2.3723999999999998</v>
          </cell>
          <cell r="AA113">
            <v>1.8768</v>
          </cell>
          <cell r="AB113">
            <v>300.28309999999999</v>
          </cell>
          <cell r="AC113">
            <v>10.978400000000001</v>
          </cell>
          <cell r="AD113">
            <v>4.2999999999999997E-2</v>
          </cell>
          <cell r="AE113">
            <v>10.4198</v>
          </cell>
          <cell r="AF113">
            <v>17.8141</v>
          </cell>
          <cell r="AG113">
            <v>1.5679000000000001</v>
          </cell>
          <cell r="AH113">
            <v>79.993300000000005</v>
          </cell>
          <cell r="AI113">
            <v>72.507599999999996</v>
          </cell>
          <cell r="AJ113">
            <v>13.8293</v>
          </cell>
          <cell r="AK113">
            <v>52.5807</v>
          </cell>
          <cell r="AL113">
            <v>311.16669999999999</v>
          </cell>
          <cell r="AM113">
            <v>44.112299999999998</v>
          </cell>
          <cell r="AN113">
            <v>475.61840000000001</v>
          </cell>
          <cell r="AO113">
            <v>683.92070000000001</v>
          </cell>
        </row>
        <row r="114">
          <cell r="C114">
            <v>274.49220000000003</v>
          </cell>
          <cell r="D114">
            <v>34.753599999999999</v>
          </cell>
          <cell r="E114">
            <v>774.82240000000002</v>
          </cell>
          <cell r="F114">
            <v>11.7393</v>
          </cell>
          <cell r="G114">
            <v>118.54770000000001</v>
          </cell>
          <cell r="H114">
            <v>4.0300000000000002E-2</v>
          </cell>
          <cell r="I114">
            <v>14.0343</v>
          </cell>
          <cell r="J114">
            <v>64.086600000000004</v>
          </cell>
          <cell r="K114">
            <v>541.77</v>
          </cell>
          <cell r="L114">
            <v>30.5639</v>
          </cell>
          <cell r="M114">
            <v>5.7630999999999997</v>
          </cell>
          <cell r="N114">
            <v>607.21460000000002</v>
          </cell>
          <cell r="O114">
            <v>28.741599999999998</v>
          </cell>
          <cell r="P114">
            <v>24.698</v>
          </cell>
          <cell r="Q114">
            <v>348.27789999999999</v>
          </cell>
          <cell r="R114">
            <v>3.7222</v>
          </cell>
          <cell r="S114">
            <v>855.8768</v>
          </cell>
          <cell r="T114">
            <v>135.4425</v>
          </cell>
          <cell r="U114">
            <v>42.155200000000001</v>
          </cell>
          <cell r="V114">
            <v>217.0069</v>
          </cell>
          <cell r="W114">
            <v>244.5102</v>
          </cell>
          <cell r="X114">
            <v>59.328899999999997</v>
          </cell>
          <cell r="Y114">
            <v>134.7859</v>
          </cell>
          <cell r="Z114">
            <v>2.3854000000000002</v>
          </cell>
          <cell r="AA114">
            <v>1.8746</v>
          </cell>
          <cell r="AB114">
            <v>300.31420000000003</v>
          </cell>
          <cell r="AC114">
            <v>11.0495</v>
          </cell>
          <cell r="AD114">
            <v>4.4699999999999997E-2</v>
          </cell>
          <cell r="AE114">
            <v>10.418699999999999</v>
          </cell>
          <cell r="AF114">
            <v>17.908200000000001</v>
          </cell>
          <cell r="AG114">
            <v>1.5678000000000001</v>
          </cell>
          <cell r="AH114">
            <v>80.430899999999994</v>
          </cell>
          <cell r="AI114">
            <v>72.904200000000003</v>
          </cell>
          <cell r="AJ114">
            <v>13.8965</v>
          </cell>
          <cell r="AK114">
            <v>53.006</v>
          </cell>
          <cell r="AL114">
            <v>312.76679999999999</v>
          </cell>
          <cell r="AM114">
            <v>44.489800000000002</v>
          </cell>
          <cell r="AN114">
            <v>478.22039999999998</v>
          </cell>
          <cell r="AO114">
            <v>686.48080000000004</v>
          </cell>
        </row>
        <row r="115">
          <cell r="C115">
            <v>279.25850000000003</v>
          </cell>
          <cell r="D115">
            <v>35.387500000000003</v>
          </cell>
          <cell r="E115">
            <v>780.98339999999996</v>
          </cell>
          <cell r="F115">
            <v>11.738</v>
          </cell>
          <cell r="G115">
            <v>120.71</v>
          </cell>
          <cell r="H115">
            <v>4.0399999999999998E-2</v>
          </cell>
          <cell r="I115">
            <v>14.2903</v>
          </cell>
          <cell r="J115">
            <v>65.243300000000005</v>
          </cell>
          <cell r="K115">
            <v>541.71</v>
          </cell>
          <cell r="L115">
            <v>31.121300000000002</v>
          </cell>
          <cell r="M115">
            <v>5.8045</v>
          </cell>
          <cell r="N115">
            <v>618.29020000000003</v>
          </cell>
          <cell r="O115">
            <v>29.265899999999998</v>
          </cell>
          <cell r="P115">
            <v>25.148499999999999</v>
          </cell>
          <cell r="Q115">
            <v>350.54579999999999</v>
          </cell>
          <cell r="R115">
            <v>3.7218</v>
          </cell>
          <cell r="S115">
            <v>858.49450000000002</v>
          </cell>
          <cell r="T115">
            <v>135.42750000000001</v>
          </cell>
          <cell r="U115">
            <v>42.138100000000001</v>
          </cell>
          <cell r="V115">
            <v>220.96520000000001</v>
          </cell>
          <cell r="W115">
            <v>248.9701</v>
          </cell>
          <cell r="X115">
            <v>59.946199999999997</v>
          </cell>
          <cell r="Y115">
            <v>135.3673</v>
          </cell>
          <cell r="Z115">
            <v>2.4289000000000001</v>
          </cell>
          <cell r="AA115">
            <v>1.8756999999999999</v>
          </cell>
          <cell r="AB115">
            <v>298.37200000000001</v>
          </cell>
          <cell r="AC115">
            <v>11.2186</v>
          </cell>
          <cell r="AD115">
            <v>4.41E-2</v>
          </cell>
          <cell r="AE115">
            <v>10.4175</v>
          </cell>
          <cell r="AF115">
            <v>18.233499999999999</v>
          </cell>
          <cell r="AG115">
            <v>1.5676000000000001</v>
          </cell>
          <cell r="AH115">
            <v>81.897999999999996</v>
          </cell>
          <cell r="AI115">
            <v>74.233999999999995</v>
          </cell>
          <cell r="AJ115">
            <v>14.113099999999999</v>
          </cell>
          <cell r="AK115">
            <v>53.539700000000003</v>
          </cell>
          <cell r="AL115">
            <v>318.03480000000002</v>
          </cell>
          <cell r="AM115">
            <v>44.1952</v>
          </cell>
          <cell r="AN115">
            <v>486.94310000000002</v>
          </cell>
          <cell r="AO115">
            <v>690.36749999999995</v>
          </cell>
        </row>
        <row r="116">
          <cell r="C116">
            <v>279.25850000000003</v>
          </cell>
          <cell r="D116">
            <v>35.387500000000003</v>
          </cell>
          <cell r="E116">
            <v>780.98339999999996</v>
          </cell>
          <cell r="F116">
            <v>11.738</v>
          </cell>
          <cell r="G116">
            <v>120.71</v>
          </cell>
          <cell r="H116">
            <v>4.0399999999999998E-2</v>
          </cell>
          <cell r="I116">
            <v>14.2903</v>
          </cell>
          <cell r="J116">
            <v>65.243300000000005</v>
          </cell>
          <cell r="K116">
            <v>541.71</v>
          </cell>
          <cell r="L116">
            <v>31.121300000000002</v>
          </cell>
          <cell r="M116">
            <v>5.8045</v>
          </cell>
          <cell r="N116">
            <v>618.29020000000003</v>
          </cell>
          <cell r="O116">
            <v>29.265899999999998</v>
          </cell>
          <cell r="P116">
            <v>25.148499999999999</v>
          </cell>
          <cell r="Q116">
            <v>350.54579999999999</v>
          </cell>
          <cell r="R116">
            <v>3.7218</v>
          </cell>
          <cell r="S116">
            <v>858.49450000000002</v>
          </cell>
          <cell r="T116">
            <v>135.42750000000001</v>
          </cell>
          <cell r="U116">
            <v>42.138100000000001</v>
          </cell>
          <cell r="V116">
            <v>220.96520000000001</v>
          </cell>
          <cell r="W116">
            <v>248.9701</v>
          </cell>
          <cell r="X116">
            <v>59.946199999999997</v>
          </cell>
          <cell r="Y116">
            <v>135.3673</v>
          </cell>
          <cell r="Z116">
            <v>2.4289000000000001</v>
          </cell>
          <cell r="AA116">
            <v>1.8756999999999999</v>
          </cell>
          <cell r="AB116">
            <v>298.37200000000001</v>
          </cell>
          <cell r="AC116">
            <v>11.2186</v>
          </cell>
          <cell r="AD116">
            <v>4.41E-2</v>
          </cell>
          <cell r="AE116">
            <v>10.4175</v>
          </cell>
          <cell r="AF116">
            <v>18.233499999999999</v>
          </cell>
          <cell r="AG116">
            <v>1.5676000000000001</v>
          </cell>
          <cell r="AH116">
            <v>81.897999999999996</v>
          </cell>
          <cell r="AI116">
            <v>74.233999999999995</v>
          </cell>
          <cell r="AJ116">
            <v>14.113099999999999</v>
          </cell>
          <cell r="AK116">
            <v>53.539700000000003</v>
          </cell>
          <cell r="AL116">
            <v>318.03480000000002</v>
          </cell>
          <cell r="AM116">
            <v>44.1952</v>
          </cell>
          <cell r="AN116">
            <v>486.94310000000002</v>
          </cell>
          <cell r="AO116">
            <v>690.36749999999995</v>
          </cell>
        </row>
        <row r="117">
          <cell r="C117">
            <v>279.25850000000003</v>
          </cell>
          <cell r="D117">
            <v>35.387500000000003</v>
          </cell>
          <cell r="E117">
            <v>780.98339999999996</v>
          </cell>
          <cell r="F117">
            <v>11.738</v>
          </cell>
          <cell r="G117">
            <v>120.71</v>
          </cell>
          <cell r="H117">
            <v>4.0399999999999998E-2</v>
          </cell>
          <cell r="I117">
            <v>14.2903</v>
          </cell>
          <cell r="J117">
            <v>65.243300000000005</v>
          </cell>
          <cell r="K117">
            <v>541.71</v>
          </cell>
          <cell r="L117">
            <v>31.121300000000002</v>
          </cell>
          <cell r="M117">
            <v>5.8045</v>
          </cell>
          <cell r="N117">
            <v>618.29020000000003</v>
          </cell>
          <cell r="O117">
            <v>29.265899999999998</v>
          </cell>
          <cell r="P117">
            <v>25.148499999999999</v>
          </cell>
          <cell r="Q117">
            <v>350.54579999999999</v>
          </cell>
          <cell r="R117">
            <v>3.7218</v>
          </cell>
          <cell r="S117">
            <v>858.49450000000002</v>
          </cell>
          <cell r="T117">
            <v>135.42750000000001</v>
          </cell>
          <cell r="U117">
            <v>42.138100000000001</v>
          </cell>
          <cell r="V117">
            <v>220.96520000000001</v>
          </cell>
          <cell r="W117">
            <v>248.9701</v>
          </cell>
          <cell r="X117">
            <v>59.946199999999997</v>
          </cell>
          <cell r="Y117">
            <v>135.3673</v>
          </cell>
          <cell r="Z117">
            <v>2.4289000000000001</v>
          </cell>
          <cell r="AA117">
            <v>1.8756999999999999</v>
          </cell>
          <cell r="AB117">
            <v>298.37200000000001</v>
          </cell>
          <cell r="AC117">
            <v>11.2186</v>
          </cell>
          <cell r="AD117">
            <v>4.41E-2</v>
          </cell>
          <cell r="AE117">
            <v>10.4175</v>
          </cell>
          <cell r="AF117">
            <v>18.233499999999999</v>
          </cell>
          <cell r="AG117">
            <v>1.5676000000000001</v>
          </cell>
          <cell r="AH117">
            <v>81.897999999999996</v>
          </cell>
          <cell r="AI117">
            <v>74.233999999999995</v>
          </cell>
          <cell r="AJ117">
            <v>14.113099999999999</v>
          </cell>
          <cell r="AK117">
            <v>53.539700000000003</v>
          </cell>
          <cell r="AL117">
            <v>318.03480000000002</v>
          </cell>
          <cell r="AM117">
            <v>44.1952</v>
          </cell>
          <cell r="AN117">
            <v>486.94310000000002</v>
          </cell>
          <cell r="AO117">
            <v>690.36749999999995</v>
          </cell>
        </row>
        <row r="118">
          <cell r="C118">
            <v>274.03640000000001</v>
          </cell>
          <cell r="D118">
            <v>35.436799999999998</v>
          </cell>
          <cell r="E118">
            <v>780.69219999999996</v>
          </cell>
          <cell r="F118">
            <v>11.7196</v>
          </cell>
          <cell r="G118">
            <v>120.8779</v>
          </cell>
          <cell r="H118">
            <v>4.02E-2</v>
          </cell>
          <cell r="I118">
            <v>14.3102</v>
          </cell>
          <cell r="J118">
            <v>65.333100000000002</v>
          </cell>
          <cell r="K118">
            <v>541.67999999999995</v>
          </cell>
          <cell r="L118">
            <v>31.1646</v>
          </cell>
          <cell r="M118">
            <v>5.7850000000000001</v>
          </cell>
          <cell r="N118">
            <v>619.15009999999995</v>
          </cell>
          <cell r="O118">
            <v>29.3066</v>
          </cell>
          <cell r="P118">
            <v>25.183499999999999</v>
          </cell>
          <cell r="Q118">
            <v>350.5034</v>
          </cell>
          <cell r="R118">
            <v>3.7216</v>
          </cell>
          <cell r="S118">
            <v>858.44690000000003</v>
          </cell>
          <cell r="T118">
            <v>135.41999999999999</v>
          </cell>
          <cell r="U118">
            <v>42.114800000000002</v>
          </cell>
          <cell r="V118">
            <v>221.27250000000001</v>
          </cell>
          <cell r="W118">
            <v>249.31630000000001</v>
          </cell>
          <cell r="X118">
            <v>59.856400000000001</v>
          </cell>
          <cell r="Y118">
            <v>133.95429999999999</v>
          </cell>
          <cell r="Z118">
            <v>2.4321999999999999</v>
          </cell>
          <cell r="AA118">
            <v>1.8782000000000001</v>
          </cell>
          <cell r="AB118">
            <v>299.31880000000001</v>
          </cell>
          <cell r="AC118">
            <v>11.2301</v>
          </cell>
          <cell r="AD118">
            <v>4.4200000000000003E-2</v>
          </cell>
          <cell r="AE118">
            <v>10.4169</v>
          </cell>
          <cell r="AF118">
            <v>18.255400000000002</v>
          </cell>
          <cell r="AG118">
            <v>1.5602</v>
          </cell>
          <cell r="AH118">
            <v>82.011899999999997</v>
          </cell>
          <cell r="AI118">
            <v>74.337199999999996</v>
          </cell>
          <cell r="AJ118">
            <v>14.18</v>
          </cell>
          <cell r="AK118">
            <v>53.382300000000001</v>
          </cell>
          <cell r="AL118">
            <v>318.47710000000001</v>
          </cell>
          <cell r="AM118">
            <v>44.446300000000001</v>
          </cell>
          <cell r="AN118">
            <v>487.62029999999999</v>
          </cell>
          <cell r="AO118">
            <v>690.33109999999999</v>
          </cell>
        </row>
        <row r="119">
          <cell r="C119">
            <v>272.69909999999999</v>
          </cell>
          <cell r="D119">
            <v>35.321300000000001</v>
          </cell>
          <cell r="E119">
            <v>779.3963</v>
          </cell>
          <cell r="F119">
            <v>11.719200000000001</v>
          </cell>
          <cell r="G119">
            <v>120.4841</v>
          </cell>
          <cell r="H119">
            <v>4.0099999999999997E-2</v>
          </cell>
          <cell r="I119">
            <v>14.2636</v>
          </cell>
          <cell r="J119">
            <v>65.123699999999999</v>
          </cell>
          <cell r="K119">
            <v>541.66</v>
          </cell>
          <cell r="L119">
            <v>31.063099999999999</v>
          </cell>
          <cell r="M119">
            <v>5.7614000000000001</v>
          </cell>
          <cell r="N119">
            <v>617.1327</v>
          </cell>
          <cell r="O119">
            <v>29.211099999999998</v>
          </cell>
          <cell r="P119">
            <v>25.101400000000002</v>
          </cell>
          <cell r="Q119">
            <v>349.7636</v>
          </cell>
          <cell r="R119">
            <v>3.7214999999999998</v>
          </cell>
          <cell r="S119">
            <v>858.41520000000003</v>
          </cell>
          <cell r="T119">
            <v>135.41499999999999</v>
          </cell>
          <cell r="U119">
            <v>42.113199999999999</v>
          </cell>
          <cell r="V119">
            <v>220.5515</v>
          </cell>
          <cell r="W119">
            <v>248.50399999999999</v>
          </cell>
          <cell r="X119">
            <v>59.657699999999998</v>
          </cell>
          <cell r="Y119">
            <v>134.14060000000001</v>
          </cell>
          <cell r="Z119">
            <v>2.4243000000000001</v>
          </cell>
          <cell r="AA119">
            <v>1.8774999999999999</v>
          </cell>
          <cell r="AB119">
            <v>298.7654</v>
          </cell>
          <cell r="AC119">
            <v>11.191700000000001</v>
          </cell>
          <cell r="AD119">
            <v>4.3299999999999998E-2</v>
          </cell>
          <cell r="AE119">
            <v>10.416499999999999</v>
          </cell>
          <cell r="AF119">
            <v>18.191800000000001</v>
          </cell>
          <cell r="AG119">
            <v>1.5602</v>
          </cell>
          <cell r="AH119">
            <v>81.744600000000005</v>
          </cell>
          <cell r="AI119">
            <v>74.094999999999999</v>
          </cell>
          <cell r="AJ119">
            <v>14.105499999999999</v>
          </cell>
          <cell r="AK119">
            <v>53.025500000000001</v>
          </cell>
          <cell r="AL119">
            <v>318.04180000000002</v>
          </cell>
          <cell r="AM119">
            <v>44.532800000000002</v>
          </cell>
          <cell r="AN119">
            <v>486.03149999999999</v>
          </cell>
          <cell r="AO119">
            <v>689.59990000000005</v>
          </cell>
        </row>
        <row r="120">
          <cell r="C120">
            <v>273.012</v>
          </cell>
          <cell r="D120">
            <v>35.216999999999999</v>
          </cell>
          <cell r="E120">
            <v>778.21799999999996</v>
          </cell>
          <cell r="F120">
            <v>11.718500000000001</v>
          </cell>
          <cell r="G120">
            <v>120.1283</v>
          </cell>
          <cell r="H120">
            <v>4.02E-2</v>
          </cell>
          <cell r="I120">
            <v>14.221500000000001</v>
          </cell>
          <cell r="J120">
            <v>64.927099999999996</v>
          </cell>
          <cell r="K120">
            <v>541.63</v>
          </cell>
          <cell r="L120">
            <v>30.971399999999999</v>
          </cell>
          <cell r="M120">
            <v>5.7526000000000002</v>
          </cell>
          <cell r="N120">
            <v>615.31050000000005</v>
          </cell>
          <cell r="O120">
            <v>29.1248</v>
          </cell>
          <cell r="P120">
            <v>25.0273</v>
          </cell>
          <cell r="Q120">
            <v>351.05500000000001</v>
          </cell>
          <cell r="R120">
            <v>3.7212999999999998</v>
          </cell>
          <cell r="S120">
            <v>862.46820000000002</v>
          </cell>
          <cell r="T120">
            <v>135.4075</v>
          </cell>
          <cell r="U120">
            <v>42.027200000000001</v>
          </cell>
          <cell r="V120">
            <v>219.90020000000001</v>
          </cell>
          <cell r="W120">
            <v>247.77019999999999</v>
          </cell>
          <cell r="X120">
            <v>59.368600000000001</v>
          </cell>
          <cell r="Y120">
            <v>134.66249999999999</v>
          </cell>
          <cell r="Z120">
            <v>2.4171999999999998</v>
          </cell>
          <cell r="AA120">
            <v>1.8742000000000001</v>
          </cell>
          <cell r="AB120">
            <v>298.06639999999999</v>
          </cell>
          <cell r="AC120">
            <v>11.153</v>
          </cell>
          <cell r="AD120">
            <v>4.4999999999999998E-2</v>
          </cell>
          <cell r="AE120">
            <v>10.416</v>
          </cell>
          <cell r="AF120">
            <v>18.142199999999999</v>
          </cell>
          <cell r="AG120">
            <v>1.5601</v>
          </cell>
          <cell r="AH120">
            <v>81.503299999999996</v>
          </cell>
          <cell r="AI120">
            <v>73.876199999999997</v>
          </cell>
          <cell r="AJ120">
            <v>13.991899999999999</v>
          </cell>
          <cell r="AK120">
            <v>52.868899999999996</v>
          </cell>
          <cell r="AL120">
            <v>316.31619999999998</v>
          </cell>
          <cell r="AM120">
            <v>44.235199999999999</v>
          </cell>
          <cell r="AN120">
            <v>484.59640000000002</v>
          </cell>
          <cell r="AO120">
            <v>688.19309999999996</v>
          </cell>
        </row>
        <row r="121">
          <cell r="C121">
            <v>275.06229999999999</v>
          </cell>
          <cell r="D121">
            <v>35.475499999999997</v>
          </cell>
          <cell r="E121">
            <v>781.54510000000005</v>
          </cell>
          <cell r="F121">
            <v>11.7181</v>
          </cell>
          <cell r="G121">
            <v>121.01</v>
          </cell>
          <cell r="H121">
            <v>4.0300000000000002E-2</v>
          </cell>
          <cell r="I121">
            <v>14.325799999999999</v>
          </cell>
          <cell r="J121">
            <v>65.401899999999998</v>
          </cell>
          <cell r="K121">
            <v>541.61</v>
          </cell>
          <cell r="L121">
            <v>31.198699999999999</v>
          </cell>
          <cell r="M121">
            <v>5.7701000000000002</v>
          </cell>
          <cell r="N121">
            <v>619.82659999999998</v>
          </cell>
          <cell r="O121">
            <v>29.3386</v>
          </cell>
          <cell r="P121">
            <v>25.210999999999999</v>
          </cell>
          <cell r="Q121">
            <v>350.6343</v>
          </cell>
          <cell r="R121">
            <v>3.7210999999999999</v>
          </cell>
          <cell r="S121">
            <v>861.0652</v>
          </cell>
          <cell r="T121">
            <v>135.4025</v>
          </cell>
          <cell r="U121">
            <v>41.990200000000002</v>
          </cell>
          <cell r="V121">
            <v>221.51419999999999</v>
          </cell>
          <cell r="W121">
            <v>249.58869999999999</v>
          </cell>
          <cell r="X121">
            <v>59.775100000000002</v>
          </cell>
          <cell r="Y121">
            <v>135.50399999999999</v>
          </cell>
          <cell r="Z121">
            <v>2.4348999999999998</v>
          </cell>
          <cell r="AA121">
            <v>1.8767</v>
          </cell>
          <cell r="AB121">
            <v>298.19979999999998</v>
          </cell>
          <cell r="AC121">
            <v>11.235099999999999</v>
          </cell>
          <cell r="AD121">
            <v>4.3700000000000003E-2</v>
          </cell>
          <cell r="AE121">
            <v>10.4156</v>
          </cell>
          <cell r="AF121">
            <v>18.267800000000001</v>
          </cell>
          <cell r="AG121">
            <v>1.56</v>
          </cell>
          <cell r="AH121">
            <v>82.101500000000001</v>
          </cell>
          <cell r="AI121">
            <v>74.418499999999995</v>
          </cell>
          <cell r="AJ121">
            <v>14.099500000000001</v>
          </cell>
          <cell r="AK121">
            <v>53.308100000000003</v>
          </cell>
          <cell r="AL121">
            <v>318.34690000000001</v>
          </cell>
          <cell r="AM121">
            <v>44.232799999999997</v>
          </cell>
          <cell r="AN121">
            <v>488.15309999999999</v>
          </cell>
          <cell r="AO121">
            <v>689.07650000000001</v>
          </cell>
        </row>
        <row r="122">
          <cell r="C122">
            <v>277.16390000000001</v>
          </cell>
          <cell r="D122">
            <v>35.512900000000002</v>
          </cell>
          <cell r="E122">
            <v>781.36810000000003</v>
          </cell>
          <cell r="F122">
            <v>11.7174</v>
          </cell>
          <cell r="G122">
            <v>121.1375</v>
          </cell>
          <cell r="H122">
            <v>4.0300000000000002E-2</v>
          </cell>
          <cell r="I122">
            <v>14.3409</v>
          </cell>
          <cell r="J122">
            <v>65.465599999999995</v>
          </cell>
          <cell r="K122">
            <v>541.58000000000004</v>
          </cell>
          <cell r="L122">
            <v>31.2316</v>
          </cell>
          <cell r="M122">
            <v>5.7496999999999998</v>
          </cell>
          <cell r="N122">
            <v>620.47990000000004</v>
          </cell>
          <cell r="O122">
            <v>29.369499999999999</v>
          </cell>
          <cell r="P122">
            <v>25.2376</v>
          </cell>
          <cell r="Q122">
            <v>350.82749999999999</v>
          </cell>
          <cell r="R122">
            <v>3.7208999999999999</v>
          </cell>
          <cell r="S122">
            <v>861.01750000000004</v>
          </cell>
          <cell r="T122">
            <v>135.39500000000001</v>
          </cell>
          <cell r="U122">
            <v>41.9878</v>
          </cell>
          <cell r="V122">
            <v>221.74770000000001</v>
          </cell>
          <cell r="W122">
            <v>249.8518</v>
          </cell>
          <cell r="X122">
            <v>59.922499999999999</v>
          </cell>
          <cell r="Y122">
            <v>136.75909999999999</v>
          </cell>
          <cell r="Z122">
            <v>2.4375</v>
          </cell>
          <cell r="AA122">
            <v>1.8785000000000001</v>
          </cell>
          <cell r="AB122">
            <v>297.65949999999998</v>
          </cell>
          <cell r="AC122">
            <v>11.214399999999999</v>
          </cell>
          <cell r="AD122">
            <v>4.65E-2</v>
          </cell>
          <cell r="AE122">
            <v>10.414999999999999</v>
          </cell>
          <cell r="AF122">
            <v>18.280200000000001</v>
          </cell>
          <cell r="AG122">
            <v>1.5599000000000001</v>
          </cell>
          <cell r="AH122">
            <v>82.188000000000002</v>
          </cell>
          <cell r="AI122">
            <v>74.496899999999997</v>
          </cell>
          <cell r="AJ122">
            <v>14.105</v>
          </cell>
          <cell r="AK122">
            <v>53.584899999999998</v>
          </cell>
          <cell r="AL122">
            <v>317.7706</v>
          </cell>
          <cell r="AM122">
            <v>43.627099999999999</v>
          </cell>
          <cell r="AN122">
            <v>488.66759999999999</v>
          </cell>
          <cell r="AO122">
            <v>685.52779999999996</v>
          </cell>
        </row>
        <row r="123">
          <cell r="C123">
            <v>277.16390000000001</v>
          </cell>
          <cell r="D123">
            <v>35.512900000000002</v>
          </cell>
          <cell r="E123">
            <v>781.36810000000003</v>
          </cell>
          <cell r="F123">
            <v>11.7174</v>
          </cell>
          <cell r="G123">
            <v>121.1375</v>
          </cell>
          <cell r="H123">
            <v>4.0300000000000002E-2</v>
          </cell>
          <cell r="I123">
            <v>14.3409</v>
          </cell>
          <cell r="J123">
            <v>65.465599999999995</v>
          </cell>
          <cell r="K123">
            <v>541.58000000000004</v>
          </cell>
          <cell r="L123">
            <v>31.2316</v>
          </cell>
          <cell r="M123">
            <v>5.7496999999999998</v>
          </cell>
          <cell r="N123">
            <v>620.47990000000004</v>
          </cell>
          <cell r="O123">
            <v>29.369499999999999</v>
          </cell>
          <cell r="P123">
            <v>25.2376</v>
          </cell>
          <cell r="Q123">
            <v>350.82749999999999</v>
          </cell>
          <cell r="R123">
            <v>3.7208999999999999</v>
          </cell>
          <cell r="S123">
            <v>861.01750000000004</v>
          </cell>
          <cell r="T123">
            <v>135.39500000000001</v>
          </cell>
          <cell r="U123">
            <v>41.9878</v>
          </cell>
          <cell r="V123">
            <v>221.74770000000001</v>
          </cell>
          <cell r="W123">
            <v>249.8518</v>
          </cell>
          <cell r="X123">
            <v>59.922499999999999</v>
          </cell>
          <cell r="Y123">
            <v>136.75909999999999</v>
          </cell>
          <cell r="Z123">
            <v>2.4375</v>
          </cell>
          <cell r="AA123">
            <v>1.8785000000000001</v>
          </cell>
          <cell r="AB123">
            <v>297.65949999999998</v>
          </cell>
          <cell r="AC123">
            <v>11.214399999999999</v>
          </cell>
          <cell r="AD123">
            <v>4.65E-2</v>
          </cell>
          <cell r="AE123">
            <v>10.414999999999999</v>
          </cell>
          <cell r="AF123">
            <v>18.280200000000001</v>
          </cell>
          <cell r="AG123">
            <v>1.5599000000000001</v>
          </cell>
          <cell r="AH123">
            <v>82.188000000000002</v>
          </cell>
          <cell r="AI123">
            <v>74.496899999999997</v>
          </cell>
          <cell r="AJ123">
            <v>14.105</v>
          </cell>
          <cell r="AK123">
            <v>53.584899999999998</v>
          </cell>
          <cell r="AL123">
            <v>317.7706</v>
          </cell>
          <cell r="AM123">
            <v>43.627099999999999</v>
          </cell>
          <cell r="AN123">
            <v>488.66759999999999</v>
          </cell>
          <cell r="AO123">
            <v>685.52779999999996</v>
          </cell>
        </row>
        <row r="124">
          <cell r="C124">
            <v>277.16390000000001</v>
          </cell>
          <cell r="D124">
            <v>35.512900000000002</v>
          </cell>
          <cell r="E124">
            <v>781.36810000000003</v>
          </cell>
          <cell r="F124">
            <v>11.7174</v>
          </cell>
          <cell r="G124">
            <v>121.1375</v>
          </cell>
          <cell r="H124">
            <v>4.0300000000000002E-2</v>
          </cell>
          <cell r="I124">
            <v>14.3409</v>
          </cell>
          <cell r="J124">
            <v>65.465599999999995</v>
          </cell>
          <cell r="K124">
            <v>541.58000000000004</v>
          </cell>
          <cell r="L124">
            <v>31.2316</v>
          </cell>
          <cell r="M124">
            <v>5.7496999999999998</v>
          </cell>
          <cell r="N124">
            <v>620.47990000000004</v>
          </cell>
          <cell r="O124">
            <v>29.369499999999999</v>
          </cell>
          <cell r="P124">
            <v>25.2376</v>
          </cell>
          <cell r="Q124">
            <v>350.82749999999999</v>
          </cell>
          <cell r="R124">
            <v>3.7208999999999999</v>
          </cell>
          <cell r="S124">
            <v>861.01750000000004</v>
          </cell>
          <cell r="T124">
            <v>135.39500000000001</v>
          </cell>
          <cell r="U124">
            <v>41.9878</v>
          </cell>
          <cell r="V124">
            <v>221.74770000000001</v>
          </cell>
          <cell r="W124">
            <v>249.8518</v>
          </cell>
          <cell r="X124">
            <v>59.922499999999999</v>
          </cell>
          <cell r="Y124">
            <v>136.75909999999999</v>
          </cell>
          <cell r="Z124">
            <v>2.4375</v>
          </cell>
          <cell r="AA124">
            <v>1.8785000000000001</v>
          </cell>
          <cell r="AB124">
            <v>297.65949999999998</v>
          </cell>
          <cell r="AC124">
            <v>11.214399999999999</v>
          </cell>
          <cell r="AD124">
            <v>4.65E-2</v>
          </cell>
          <cell r="AE124">
            <v>10.414999999999999</v>
          </cell>
          <cell r="AF124">
            <v>18.280200000000001</v>
          </cell>
          <cell r="AG124">
            <v>1.5599000000000001</v>
          </cell>
          <cell r="AH124">
            <v>82.188000000000002</v>
          </cell>
          <cell r="AI124">
            <v>74.496899999999997</v>
          </cell>
          <cell r="AJ124">
            <v>14.105</v>
          </cell>
          <cell r="AK124">
            <v>53.584899999999998</v>
          </cell>
          <cell r="AL124">
            <v>317.7706</v>
          </cell>
          <cell r="AM124">
            <v>43.627099999999999</v>
          </cell>
          <cell r="AN124">
            <v>488.66759999999999</v>
          </cell>
          <cell r="AO124">
            <v>685.52779999999996</v>
          </cell>
        </row>
        <row r="125">
          <cell r="C125">
            <v>271.50371666666655</v>
          </cell>
          <cell r="D125">
            <v>35.118673333333327</v>
          </cell>
          <cell r="E125">
            <v>777.28839333333337</v>
          </cell>
          <cell r="F125">
            <v>11.743870000000003</v>
          </cell>
          <cell r="G125">
            <v>119.79289999999999</v>
          </cell>
          <cell r="H125">
            <v>4.0536666666666665E-2</v>
          </cell>
          <cell r="I125">
            <v>14.181749999999996</v>
          </cell>
          <cell r="J125">
            <v>64.750186666666693</v>
          </cell>
          <cell r="K125">
            <v>541.81799999999987</v>
          </cell>
          <cell r="L125">
            <v>30.884879999999995</v>
          </cell>
          <cell r="M125">
            <v>5.8188666666666657</v>
          </cell>
          <cell r="N125">
            <v>613.59252333333302</v>
          </cell>
          <cell r="O125">
            <v>29.043516666666669</v>
          </cell>
          <cell r="P125">
            <v>24.957430000000002</v>
          </cell>
          <cell r="Q125">
            <v>347.49292666666662</v>
          </cell>
          <cell r="R125">
            <v>3.7236100000000003</v>
          </cell>
          <cell r="S125">
            <v>858.62898666666683</v>
          </cell>
          <cell r="T125">
            <v>135.45449999999997</v>
          </cell>
          <cell r="U125">
            <v>42.099866666666671</v>
          </cell>
          <cell r="V125">
            <v>219.28629999999995</v>
          </cell>
          <cell r="W125">
            <v>247.07842333333343</v>
          </cell>
          <cell r="X125">
            <v>59.584453333333336</v>
          </cell>
          <cell r="Y125">
            <v>134.61921666666663</v>
          </cell>
          <cell r="Z125">
            <v>2.4104199999999998</v>
          </cell>
          <cell r="AA125">
            <v>1.8785733333333339</v>
          </cell>
          <cell r="AB125">
            <v>299.25273000000004</v>
          </cell>
          <cell r="AC125">
            <v>11.117906666666672</v>
          </cell>
          <cell r="AD125">
            <v>4.4913333333333326E-2</v>
          </cell>
          <cell r="AE125">
            <v>10.41957</v>
          </cell>
          <cell r="AF125">
            <v>18.100573333333333</v>
          </cell>
          <cell r="AG125">
            <v>1.5737266666666665</v>
          </cell>
          <cell r="AH125">
            <v>81.275713333333343</v>
          </cell>
          <cell r="AI125">
            <v>73.669973333333303</v>
          </cell>
          <cell r="AJ125">
            <v>13.987413333333331</v>
          </cell>
          <cell r="AK125">
            <v>53.096226666666666</v>
          </cell>
          <cell r="AL125">
            <v>316.33367666666669</v>
          </cell>
          <cell r="AM125">
            <v>43.779936666666664</v>
          </cell>
          <cell r="AN125">
            <v>483.24338333333338</v>
          </cell>
          <cell r="AO125">
            <v>686.8614266666666</v>
          </cell>
        </row>
        <row r="126">
          <cell r="C126">
            <v>277.16390000000001</v>
          </cell>
          <cell r="D126">
            <v>35.512900000000002</v>
          </cell>
          <cell r="E126">
            <v>781.36810000000003</v>
          </cell>
          <cell r="F126">
            <v>11.7174</v>
          </cell>
          <cell r="G126">
            <v>121.1375</v>
          </cell>
          <cell r="H126">
            <v>4.0300000000000002E-2</v>
          </cell>
          <cell r="I126">
            <v>14.3409</v>
          </cell>
          <cell r="J126">
            <v>65.465599999999995</v>
          </cell>
          <cell r="K126">
            <v>541.58000000000004</v>
          </cell>
          <cell r="L126">
            <v>31.2316</v>
          </cell>
          <cell r="M126">
            <v>5.7496999999999998</v>
          </cell>
          <cell r="N126">
            <v>620.47990000000004</v>
          </cell>
          <cell r="O126">
            <v>29.369499999999999</v>
          </cell>
          <cell r="P126">
            <v>25.2376</v>
          </cell>
          <cell r="Q126">
            <v>350.82749999999999</v>
          </cell>
          <cell r="R126">
            <v>3.7208999999999999</v>
          </cell>
          <cell r="S126">
            <v>861.01750000000004</v>
          </cell>
          <cell r="T126">
            <v>135.39500000000001</v>
          </cell>
          <cell r="U126">
            <v>41.9878</v>
          </cell>
          <cell r="V126">
            <v>221.74770000000001</v>
          </cell>
          <cell r="W126">
            <v>249.8518</v>
          </cell>
          <cell r="X126">
            <v>59.922499999999999</v>
          </cell>
          <cell r="Y126">
            <v>136.75909999999999</v>
          </cell>
          <cell r="Z126">
            <v>2.4375</v>
          </cell>
          <cell r="AA126">
            <v>1.8785000000000001</v>
          </cell>
          <cell r="AB126">
            <v>297.65949999999998</v>
          </cell>
          <cell r="AC126">
            <v>11.214399999999999</v>
          </cell>
          <cell r="AD126">
            <v>4.65E-2</v>
          </cell>
          <cell r="AE126">
            <v>10.414999999999999</v>
          </cell>
          <cell r="AF126">
            <v>18.280200000000001</v>
          </cell>
          <cell r="AG126">
            <v>1.5599000000000001</v>
          </cell>
          <cell r="AH126">
            <v>82.188000000000002</v>
          </cell>
          <cell r="AI126">
            <v>74.496899999999997</v>
          </cell>
          <cell r="AJ126">
            <v>14.105</v>
          </cell>
          <cell r="AK126">
            <v>53.584899999999998</v>
          </cell>
          <cell r="AL126">
            <v>317.7706</v>
          </cell>
          <cell r="AM126">
            <v>43.627099999999999</v>
          </cell>
          <cell r="AN126">
            <v>488.66759999999999</v>
          </cell>
          <cell r="AO126">
            <v>689.18129999999996</v>
          </cell>
        </row>
        <row r="127">
          <cell r="C127">
            <v>277.16390000000001</v>
          </cell>
          <cell r="D127">
            <v>35.512900000000002</v>
          </cell>
          <cell r="E127">
            <v>781.36810000000003</v>
          </cell>
          <cell r="F127">
            <v>11.7174</v>
          </cell>
          <cell r="G127">
            <v>121.1375</v>
          </cell>
          <cell r="H127">
            <v>4.0300000000000002E-2</v>
          </cell>
          <cell r="I127">
            <v>14.3409</v>
          </cell>
          <cell r="J127">
            <v>65.465599999999995</v>
          </cell>
          <cell r="K127">
            <v>541.58000000000004</v>
          </cell>
          <cell r="L127">
            <v>31.2316</v>
          </cell>
          <cell r="M127">
            <v>5.7496999999999998</v>
          </cell>
          <cell r="N127">
            <v>620.47990000000004</v>
          </cell>
          <cell r="O127">
            <v>29.369499999999999</v>
          </cell>
          <cell r="P127">
            <v>25.2376</v>
          </cell>
          <cell r="Q127">
            <v>350.82749999999999</v>
          </cell>
          <cell r="R127">
            <v>3.7208999999999999</v>
          </cell>
          <cell r="S127">
            <v>861.01750000000004</v>
          </cell>
          <cell r="T127">
            <v>135.39500000000001</v>
          </cell>
          <cell r="U127">
            <v>41.9878</v>
          </cell>
          <cell r="V127">
            <v>221.74770000000001</v>
          </cell>
          <cell r="W127">
            <v>249.8518</v>
          </cell>
          <cell r="X127">
            <v>59.922499999999999</v>
          </cell>
          <cell r="Y127">
            <v>136.75909999999999</v>
          </cell>
          <cell r="Z127">
            <v>2.4375</v>
          </cell>
          <cell r="AA127">
            <v>1.8785000000000001</v>
          </cell>
          <cell r="AB127">
            <v>297.65949999999998</v>
          </cell>
          <cell r="AC127">
            <v>11.214399999999999</v>
          </cell>
          <cell r="AD127">
            <v>4.65E-2</v>
          </cell>
          <cell r="AE127">
            <v>10.414999999999999</v>
          </cell>
          <cell r="AF127">
            <v>18.280200000000001</v>
          </cell>
          <cell r="AG127">
            <v>1.5599000000000001</v>
          </cell>
          <cell r="AH127">
            <v>82.188000000000002</v>
          </cell>
          <cell r="AI127">
            <v>74.496899999999997</v>
          </cell>
          <cell r="AJ127">
            <v>14.105</v>
          </cell>
          <cell r="AK127">
            <v>53.584899999999998</v>
          </cell>
          <cell r="AL127">
            <v>317.7706</v>
          </cell>
          <cell r="AM127">
            <v>43.627099999999999</v>
          </cell>
          <cell r="AN127">
            <v>488.66759999999999</v>
          </cell>
          <cell r="AO127">
            <v>689.18129999999996</v>
          </cell>
        </row>
        <row r="128">
          <cell r="C128">
            <v>277.16390000000001</v>
          </cell>
          <cell r="D128">
            <v>35.512900000000002</v>
          </cell>
          <cell r="E128">
            <v>781.36810000000003</v>
          </cell>
          <cell r="F128">
            <v>11.7174</v>
          </cell>
          <cell r="G128">
            <v>121.1375</v>
          </cell>
          <cell r="H128">
            <v>4.0300000000000002E-2</v>
          </cell>
          <cell r="I128">
            <v>14.3409</v>
          </cell>
          <cell r="J128">
            <v>65.465599999999995</v>
          </cell>
          <cell r="K128">
            <v>541.58000000000004</v>
          </cell>
          <cell r="L128">
            <v>31.2316</v>
          </cell>
          <cell r="M128">
            <v>5.7496999999999998</v>
          </cell>
          <cell r="N128">
            <v>620.47990000000004</v>
          </cell>
          <cell r="O128">
            <v>29.369499999999999</v>
          </cell>
          <cell r="P128">
            <v>25.2376</v>
          </cell>
          <cell r="Q128">
            <v>350.82749999999999</v>
          </cell>
          <cell r="R128">
            <v>3.7208999999999999</v>
          </cell>
          <cell r="S128">
            <v>861.01750000000004</v>
          </cell>
          <cell r="T128">
            <v>135.39500000000001</v>
          </cell>
          <cell r="U128">
            <v>41.9878</v>
          </cell>
          <cell r="V128">
            <v>221.74770000000001</v>
          </cell>
          <cell r="W128">
            <v>249.8518</v>
          </cell>
          <cell r="X128">
            <v>59.922499999999999</v>
          </cell>
          <cell r="Y128">
            <v>136.75909999999999</v>
          </cell>
          <cell r="Z128">
            <v>2.4375</v>
          </cell>
          <cell r="AA128">
            <v>1.8785000000000001</v>
          </cell>
          <cell r="AB128">
            <v>297.65949999999998</v>
          </cell>
          <cell r="AC128">
            <v>11.214399999999999</v>
          </cell>
          <cell r="AD128">
            <v>4.65E-2</v>
          </cell>
          <cell r="AE128">
            <v>10.414999999999999</v>
          </cell>
          <cell r="AF128">
            <v>18.280200000000001</v>
          </cell>
          <cell r="AG128">
            <v>1.5599000000000001</v>
          </cell>
          <cell r="AH128">
            <v>82.188000000000002</v>
          </cell>
          <cell r="AI128">
            <v>74.496899999999997</v>
          </cell>
          <cell r="AJ128">
            <v>14.105</v>
          </cell>
          <cell r="AK128">
            <v>53.584899999999998</v>
          </cell>
          <cell r="AL128">
            <v>317.7706</v>
          </cell>
          <cell r="AM128">
            <v>43.627099999999999</v>
          </cell>
          <cell r="AN128">
            <v>488.66759999999999</v>
          </cell>
          <cell r="AO128">
            <v>689.18129999999996</v>
          </cell>
        </row>
        <row r="129">
          <cell r="C129">
            <v>282.32799999999997</v>
          </cell>
          <cell r="D129">
            <v>35.039900000000003</v>
          </cell>
          <cell r="E129">
            <v>774.92729999999995</v>
          </cell>
          <cell r="F129">
            <v>11.712199999999999</v>
          </cell>
          <cell r="G129">
            <v>119.5243</v>
          </cell>
          <cell r="H129">
            <v>0.04</v>
          </cell>
          <cell r="I129">
            <v>14.15</v>
          </cell>
          <cell r="J129">
            <v>64.592799999999997</v>
          </cell>
          <cell r="K129">
            <v>541.57000000000005</v>
          </cell>
          <cell r="L129">
            <v>30.8156</v>
          </cell>
          <cell r="M129">
            <v>5.2931999999999997</v>
          </cell>
          <cell r="N129">
            <v>612.21659999999997</v>
          </cell>
          <cell r="O129">
            <v>28.978400000000001</v>
          </cell>
          <cell r="P129">
            <v>24.901499999999999</v>
          </cell>
          <cell r="Q129">
            <v>353.0754</v>
          </cell>
          <cell r="R129">
            <v>3.7183000000000002</v>
          </cell>
          <cell r="S129">
            <v>861.00160000000005</v>
          </cell>
          <cell r="T129">
            <v>135.39250000000001</v>
          </cell>
          <cell r="U129">
            <v>41.766199999999998</v>
          </cell>
          <cell r="V129">
            <v>218.7946</v>
          </cell>
          <cell r="W129">
            <v>246.52440000000001</v>
          </cell>
          <cell r="X129">
            <v>59.533200000000001</v>
          </cell>
          <cell r="Y129">
            <v>136.81010000000001</v>
          </cell>
          <cell r="Z129">
            <v>2.4049999999999998</v>
          </cell>
          <cell r="AA129">
            <v>1.8752</v>
          </cell>
          <cell r="AB129">
            <v>297.48259999999999</v>
          </cell>
          <cell r="AC129">
            <v>11.120699999999999</v>
          </cell>
          <cell r="AD129">
            <v>4.6399999999999997E-2</v>
          </cell>
          <cell r="AE129">
            <v>10.4148</v>
          </cell>
          <cell r="AF129">
            <v>18.0382</v>
          </cell>
          <cell r="AG129">
            <v>1.5599000000000001</v>
          </cell>
          <cell r="AH129">
            <v>81.093500000000006</v>
          </cell>
          <cell r="AI129">
            <v>73.504800000000003</v>
          </cell>
          <cell r="AJ129">
            <v>13.921200000000001</v>
          </cell>
          <cell r="AK129">
            <v>52.88</v>
          </cell>
          <cell r="AL129">
            <v>312.70499999999998</v>
          </cell>
          <cell r="AM129">
            <v>44.545400000000001</v>
          </cell>
          <cell r="AN129">
            <v>482.15980000000002</v>
          </cell>
          <cell r="AO129">
            <v>687.38149999999996</v>
          </cell>
        </row>
        <row r="130">
          <cell r="C130">
            <v>282.1592</v>
          </cell>
          <cell r="D130">
            <v>35.180999999999997</v>
          </cell>
          <cell r="E130">
            <v>777.54660000000001</v>
          </cell>
          <cell r="F130">
            <v>11.7119</v>
          </cell>
          <cell r="G130">
            <v>120.00539999999999</v>
          </cell>
          <cell r="H130">
            <v>3.9899999999999998E-2</v>
          </cell>
          <cell r="I130">
            <v>14.206899999999999</v>
          </cell>
          <cell r="J130">
            <v>64.848500000000001</v>
          </cell>
          <cell r="K130">
            <v>541.55999999999995</v>
          </cell>
          <cell r="L130">
            <v>30.939699999999998</v>
          </cell>
          <cell r="M130">
            <v>5.2671000000000001</v>
          </cell>
          <cell r="N130">
            <v>614.68079999999998</v>
          </cell>
          <cell r="O130">
            <v>29.094999999999999</v>
          </cell>
          <cell r="P130">
            <v>25.0017</v>
          </cell>
          <cell r="Q130">
            <v>353.71949999999998</v>
          </cell>
          <cell r="R130">
            <v>3.7181999999999999</v>
          </cell>
          <cell r="S130">
            <v>862.35670000000005</v>
          </cell>
          <cell r="T130">
            <v>135.38999999999999</v>
          </cell>
          <cell r="U130">
            <v>41.7194</v>
          </cell>
          <cell r="V130">
            <v>219.67519999999999</v>
          </cell>
          <cell r="W130">
            <v>247.51660000000001</v>
          </cell>
          <cell r="X130">
            <v>59.820900000000002</v>
          </cell>
          <cell r="Y130">
            <v>136.95660000000001</v>
          </cell>
          <cell r="Z130">
            <v>2.4146999999999998</v>
          </cell>
          <cell r="AA130">
            <v>1.87</v>
          </cell>
          <cell r="AB130">
            <v>297.1035</v>
          </cell>
          <cell r="AC130">
            <v>11.192600000000001</v>
          </cell>
          <cell r="AD130">
            <v>4.7399999999999998E-2</v>
          </cell>
          <cell r="AE130">
            <v>10.4146</v>
          </cell>
          <cell r="AF130">
            <v>18.4602</v>
          </cell>
          <cell r="AG130">
            <v>1.5599000000000001</v>
          </cell>
          <cell r="AH130">
            <v>81.419899999999998</v>
          </cell>
          <cell r="AI130">
            <v>73.800600000000003</v>
          </cell>
          <cell r="AJ130">
            <v>13.979200000000001</v>
          </cell>
          <cell r="AK130">
            <v>52.9923</v>
          </cell>
          <cell r="AL130">
            <v>313.6585</v>
          </cell>
          <cell r="AM130">
            <v>44.745399999999997</v>
          </cell>
          <cell r="AN130">
            <v>484.10050000000001</v>
          </cell>
          <cell r="AO130">
            <v>688.27470000000005</v>
          </cell>
        </row>
        <row r="131">
          <cell r="C131">
            <v>282.1592</v>
          </cell>
          <cell r="D131">
            <v>35.180999999999997</v>
          </cell>
          <cell r="E131">
            <v>777.54660000000001</v>
          </cell>
          <cell r="F131">
            <v>11.7119</v>
          </cell>
          <cell r="G131">
            <v>120.00539999999999</v>
          </cell>
          <cell r="H131">
            <v>3.9899999999999998E-2</v>
          </cell>
          <cell r="I131">
            <v>14.206899999999999</v>
          </cell>
          <cell r="J131">
            <v>64.848500000000001</v>
          </cell>
          <cell r="K131">
            <v>541.55999999999995</v>
          </cell>
          <cell r="L131">
            <v>30.939699999999998</v>
          </cell>
          <cell r="M131">
            <v>5.2671000000000001</v>
          </cell>
          <cell r="N131">
            <v>614.68079999999998</v>
          </cell>
          <cell r="O131">
            <v>29.094999999999999</v>
          </cell>
          <cell r="P131">
            <v>25.0017</v>
          </cell>
          <cell r="Q131">
            <v>353.71949999999998</v>
          </cell>
          <cell r="R131">
            <v>3.7181999999999999</v>
          </cell>
          <cell r="S131">
            <v>862.35670000000005</v>
          </cell>
          <cell r="T131">
            <v>135.38999999999999</v>
          </cell>
          <cell r="U131">
            <v>41.7194</v>
          </cell>
          <cell r="V131">
            <v>219.67519999999999</v>
          </cell>
          <cell r="W131">
            <v>247.51660000000001</v>
          </cell>
          <cell r="X131">
            <v>59.820900000000002</v>
          </cell>
          <cell r="Y131">
            <v>136.95660000000001</v>
          </cell>
          <cell r="Z131">
            <v>2.4146999999999998</v>
          </cell>
          <cell r="AA131">
            <v>1.87</v>
          </cell>
          <cell r="AB131">
            <v>297.1035</v>
          </cell>
          <cell r="AC131">
            <v>11.192600000000001</v>
          </cell>
          <cell r="AD131">
            <v>4.7399999999999998E-2</v>
          </cell>
          <cell r="AE131">
            <v>10.4146</v>
          </cell>
          <cell r="AF131">
            <v>18.4602</v>
          </cell>
          <cell r="AG131">
            <v>1.5599000000000001</v>
          </cell>
          <cell r="AH131">
            <v>81.419899999999998</v>
          </cell>
          <cell r="AI131">
            <v>73.800600000000003</v>
          </cell>
          <cell r="AJ131">
            <v>13.979200000000001</v>
          </cell>
          <cell r="AK131">
            <v>52.9923</v>
          </cell>
          <cell r="AL131">
            <v>313.6585</v>
          </cell>
          <cell r="AM131">
            <v>44.745399999999997</v>
          </cell>
          <cell r="AN131">
            <v>484.10050000000001</v>
          </cell>
          <cell r="AO131">
            <v>688.27470000000005</v>
          </cell>
        </row>
        <row r="132">
          <cell r="C132">
            <v>282.1592</v>
          </cell>
          <cell r="D132">
            <v>35.180999999999997</v>
          </cell>
          <cell r="E132">
            <v>777.54660000000001</v>
          </cell>
          <cell r="F132">
            <v>11.7119</v>
          </cell>
          <cell r="G132">
            <v>120.00539999999999</v>
          </cell>
          <cell r="H132">
            <v>3.9899999999999998E-2</v>
          </cell>
          <cell r="I132">
            <v>14.206899999999999</v>
          </cell>
          <cell r="J132">
            <v>64.848500000000001</v>
          </cell>
          <cell r="K132">
            <v>541.55999999999995</v>
          </cell>
          <cell r="L132">
            <v>30.939699999999998</v>
          </cell>
          <cell r="M132">
            <v>5.2671000000000001</v>
          </cell>
          <cell r="N132">
            <v>614.68079999999998</v>
          </cell>
          <cell r="O132">
            <v>29.094999999999999</v>
          </cell>
          <cell r="P132">
            <v>25.0017</v>
          </cell>
          <cell r="Q132">
            <v>353.71949999999998</v>
          </cell>
          <cell r="R132">
            <v>3.7181999999999999</v>
          </cell>
          <cell r="S132">
            <v>862.35670000000005</v>
          </cell>
          <cell r="T132">
            <v>135.38999999999999</v>
          </cell>
          <cell r="U132">
            <v>41.7194</v>
          </cell>
          <cell r="V132">
            <v>219.67519999999999</v>
          </cell>
          <cell r="W132">
            <v>247.51660000000001</v>
          </cell>
          <cell r="X132">
            <v>59.820900000000002</v>
          </cell>
          <cell r="Y132">
            <v>136.95660000000001</v>
          </cell>
          <cell r="Z132">
            <v>2.4146999999999998</v>
          </cell>
          <cell r="AA132">
            <v>1.87</v>
          </cell>
          <cell r="AB132">
            <v>297.1035</v>
          </cell>
          <cell r="AC132">
            <v>11.192600000000001</v>
          </cell>
          <cell r="AD132">
            <v>4.7399999999999998E-2</v>
          </cell>
          <cell r="AE132">
            <v>10.4146</v>
          </cell>
          <cell r="AF132">
            <v>18.4602</v>
          </cell>
          <cell r="AG132">
            <v>1.5599000000000001</v>
          </cell>
          <cell r="AH132">
            <v>81.419899999999998</v>
          </cell>
          <cell r="AI132">
            <v>73.800600000000003</v>
          </cell>
          <cell r="AJ132">
            <v>13.979200000000001</v>
          </cell>
          <cell r="AK132">
            <v>52.9923</v>
          </cell>
          <cell r="AL132">
            <v>313.6585</v>
          </cell>
          <cell r="AM132">
            <v>44.745399999999997</v>
          </cell>
          <cell r="AN132">
            <v>484.10050000000001</v>
          </cell>
          <cell r="AO132">
            <v>688.27470000000005</v>
          </cell>
        </row>
        <row r="133">
          <cell r="C133">
            <v>280.79289999999997</v>
          </cell>
          <cell r="D133">
            <v>35.098399999999998</v>
          </cell>
          <cell r="E133">
            <v>778.97400000000005</v>
          </cell>
          <cell r="F133">
            <v>11.710599999999999</v>
          </cell>
          <cell r="G133">
            <v>119.7236</v>
          </cell>
          <cell r="H133">
            <v>3.9800000000000002E-2</v>
          </cell>
          <cell r="I133">
            <v>14.1736</v>
          </cell>
          <cell r="J133">
            <v>64.698800000000006</v>
          </cell>
          <cell r="K133">
            <v>541.5</v>
          </cell>
          <cell r="L133">
            <v>30.867000000000001</v>
          </cell>
          <cell r="M133">
            <v>5.3348000000000004</v>
          </cell>
          <cell r="N133">
            <v>613.23760000000004</v>
          </cell>
          <cell r="O133">
            <v>29.026700000000002</v>
          </cell>
          <cell r="P133">
            <v>24.943000000000001</v>
          </cell>
          <cell r="Q133">
            <v>352.88900000000001</v>
          </cell>
          <cell r="R133">
            <v>3.714</v>
          </cell>
          <cell r="S133">
            <v>862.26110000000006</v>
          </cell>
          <cell r="T133">
            <v>135.375</v>
          </cell>
          <cell r="U133">
            <v>41.613799999999998</v>
          </cell>
          <cell r="V133">
            <v>219.15940000000001</v>
          </cell>
          <cell r="W133">
            <v>246.93549999999999</v>
          </cell>
          <cell r="X133">
            <v>59.780200000000001</v>
          </cell>
          <cell r="Y133">
            <v>137.16669999999999</v>
          </cell>
          <cell r="Z133">
            <v>2.4089999999999998</v>
          </cell>
          <cell r="AA133">
            <v>1.8697999999999999</v>
          </cell>
          <cell r="AB133">
            <v>297.4282</v>
          </cell>
          <cell r="AC133">
            <v>11.1686</v>
          </cell>
          <cell r="AD133">
            <v>4.7800000000000002E-2</v>
          </cell>
          <cell r="AE133">
            <v>10.413500000000001</v>
          </cell>
          <cell r="AF133">
            <v>18.555499999999999</v>
          </cell>
          <cell r="AG133">
            <v>1.5461</v>
          </cell>
          <cell r="AH133">
            <v>81.228700000000003</v>
          </cell>
          <cell r="AI133">
            <v>73.627399999999994</v>
          </cell>
          <cell r="AJ133">
            <v>13.982699999999999</v>
          </cell>
          <cell r="AK133">
            <v>53.021099999999997</v>
          </cell>
          <cell r="AL133">
            <v>312.96260000000001</v>
          </cell>
          <cell r="AM133">
            <v>44.636200000000002</v>
          </cell>
          <cell r="AN133">
            <v>482.96390000000002</v>
          </cell>
          <cell r="AO133">
            <v>688.19839999999999</v>
          </cell>
        </row>
        <row r="134">
          <cell r="C134">
            <v>281.52710000000002</v>
          </cell>
          <cell r="D134">
            <v>34.885300000000001</v>
          </cell>
          <cell r="E134">
            <v>776.12260000000003</v>
          </cell>
          <cell r="F134">
            <v>11.709099999999999</v>
          </cell>
          <cell r="G134">
            <v>118.99679999999999</v>
          </cell>
          <cell r="H134">
            <v>3.9800000000000002E-2</v>
          </cell>
          <cell r="I134">
            <v>14.0875</v>
          </cell>
          <cell r="J134">
            <v>64.310400000000001</v>
          </cell>
          <cell r="K134">
            <v>541.42999999999995</v>
          </cell>
          <cell r="L134">
            <v>30.679600000000001</v>
          </cell>
          <cell r="M134">
            <v>5.4124999999999996</v>
          </cell>
          <cell r="N134">
            <v>609.51469999999995</v>
          </cell>
          <cell r="O134">
            <v>28.8505</v>
          </cell>
          <cell r="P134">
            <v>24.791599999999999</v>
          </cell>
          <cell r="Q134">
            <v>350.97739999999999</v>
          </cell>
          <cell r="R134">
            <v>3.7134999999999998</v>
          </cell>
          <cell r="S134">
            <v>860.779</v>
          </cell>
          <cell r="T134">
            <v>135.35749999999999</v>
          </cell>
          <cell r="U134">
            <v>41.524799999999999</v>
          </cell>
          <cell r="V134">
            <v>217.82900000000001</v>
          </cell>
          <cell r="W134">
            <v>245.43639999999999</v>
          </cell>
          <cell r="X134">
            <v>59.601700000000001</v>
          </cell>
          <cell r="Y134">
            <v>137.14410000000001</v>
          </cell>
          <cell r="Z134">
            <v>2.3944000000000001</v>
          </cell>
          <cell r="AA134">
            <v>1.8695999999999999</v>
          </cell>
          <cell r="AB134">
            <v>296.68220000000002</v>
          </cell>
          <cell r="AC134">
            <v>11.0967</v>
          </cell>
          <cell r="AD134">
            <v>4.7300000000000002E-2</v>
          </cell>
          <cell r="AE134">
            <v>10.412100000000001</v>
          </cell>
          <cell r="AF134">
            <v>18.571300000000001</v>
          </cell>
          <cell r="AG134">
            <v>1.5459000000000001</v>
          </cell>
          <cell r="AH134">
            <v>80.735600000000005</v>
          </cell>
          <cell r="AI134">
            <v>73.180400000000006</v>
          </cell>
          <cell r="AJ134">
            <v>13.92</v>
          </cell>
          <cell r="AK134">
            <v>52.699199999999998</v>
          </cell>
          <cell r="AL134">
            <v>311.32490000000001</v>
          </cell>
          <cell r="AM134">
            <v>44.3611</v>
          </cell>
          <cell r="AN134">
            <v>480.03179999999998</v>
          </cell>
          <cell r="AO134">
            <v>686.69650000000001</v>
          </cell>
        </row>
        <row r="135">
          <cell r="C135">
            <v>281.52710000000002</v>
          </cell>
          <cell r="D135">
            <v>34.885300000000001</v>
          </cell>
          <cell r="E135">
            <v>776.12260000000003</v>
          </cell>
          <cell r="F135">
            <v>11.709099999999999</v>
          </cell>
          <cell r="G135">
            <v>118.99679999999999</v>
          </cell>
          <cell r="H135">
            <v>3.9800000000000002E-2</v>
          </cell>
          <cell r="I135">
            <v>14.0875</v>
          </cell>
          <cell r="J135">
            <v>64.310400000000001</v>
          </cell>
          <cell r="K135">
            <v>541.42999999999995</v>
          </cell>
          <cell r="L135">
            <v>30.679600000000001</v>
          </cell>
          <cell r="M135">
            <v>5.4124999999999996</v>
          </cell>
          <cell r="N135">
            <v>609.51469999999995</v>
          </cell>
          <cell r="O135">
            <v>28.8505</v>
          </cell>
          <cell r="P135">
            <v>24.791599999999999</v>
          </cell>
          <cell r="Q135">
            <v>350.97739999999999</v>
          </cell>
          <cell r="R135">
            <v>3.7134999999999998</v>
          </cell>
          <cell r="S135">
            <v>860.779</v>
          </cell>
          <cell r="T135">
            <v>135.35749999999999</v>
          </cell>
          <cell r="U135">
            <v>41.524799999999999</v>
          </cell>
          <cell r="V135">
            <v>217.82900000000001</v>
          </cell>
          <cell r="W135">
            <v>245.43639999999999</v>
          </cell>
          <cell r="X135">
            <v>59.601700000000001</v>
          </cell>
          <cell r="Y135">
            <v>137.14410000000001</v>
          </cell>
          <cell r="Z135">
            <v>2.3944000000000001</v>
          </cell>
          <cell r="AA135">
            <v>1.8695999999999999</v>
          </cell>
          <cell r="AB135">
            <v>296.68220000000002</v>
          </cell>
          <cell r="AC135">
            <v>11.0967</v>
          </cell>
          <cell r="AD135">
            <v>4.7300000000000002E-2</v>
          </cell>
          <cell r="AE135">
            <v>10.412100000000001</v>
          </cell>
          <cell r="AF135">
            <v>18.571300000000001</v>
          </cell>
          <cell r="AG135">
            <v>1.5459000000000001</v>
          </cell>
          <cell r="AH135">
            <v>80.735600000000005</v>
          </cell>
          <cell r="AI135">
            <v>73.180400000000006</v>
          </cell>
          <cell r="AJ135">
            <v>13.92</v>
          </cell>
          <cell r="AK135">
            <v>52.699199999999998</v>
          </cell>
          <cell r="AL135">
            <v>311.32490000000001</v>
          </cell>
          <cell r="AM135">
            <v>44.3611</v>
          </cell>
          <cell r="AN135">
            <v>480.03179999999998</v>
          </cell>
          <cell r="AO135">
            <v>686.69650000000001</v>
          </cell>
        </row>
        <row r="136">
          <cell r="C136">
            <v>283.14460000000003</v>
          </cell>
          <cell r="D136">
            <v>34.822299999999998</v>
          </cell>
          <cell r="E136">
            <v>769.99120000000005</v>
          </cell>
          <cell r="F136">
            <v>11.709099999999999</v>
          </cell>
          <cell r="G136">
            <v>118.782</v>
          </cell>
          <cell r="H136">
            <v>3.9800000000000002E-2</v>
          </cell>
          <cell r="I136">
            <v>14.062099999999999</v>
          </cell>
          <cell r="J136">
            <v>64.2012</v>
          </cell>
          <cell r="K136">
            <v>541.42999999999995</v>
          </cell>
          <cell r="L136">
            <v>30.624300000000002</v>
          </cell>
          <cell r="M136">
            <v>5.5433000000000003</v>
          </cell>
          <cell r="N136">
            <v>608.41470000000004</v>
          </cell>
          <cell r="O136">
            <v>28.798400000000001</v>
          </cell>
          <cell r="P136">
            <v>24.7468</v>
          </cell>
          <cell r="Q136">
            <v>351.62950000000001</v>
          </cell>
          <cell r="R136">
            <v>3.7134999999999998</v>
          </cell>
          <cell r="S136">
            <v>860.779</v>
          </cell>
          <cell r="T136">
            <v>135.35749999999999</v>
          </cell>
          <cell r="U136">
            <v>41.494599999999998</v>
          </cell>
          <cell r="V136">
            <v>217.4358</v>
          </cell>
          <cell r="W136">
            <v>244.99350000000001</v>
          </cell>
          <cell r="X136">
            <v>59.3688</v>
          </cell>
          <cell r="Y136">
            <v>136.0763</v>
          </cell>
          <cell r="Z136">
            <v>2.3900999999999999</v>
          </cell>
          <cell r="AA136">
            <v>1.8702000000000001</v>
          </cell>
          <cell r="AB136">
            <v>298.13690000000003</v>
          </cell>
          <cell r="AC136">
            <v>11.0769</v>
          </cell>
          <cell r="AD136">
            <v>4.7199999999999999E-2</v>
          </cell>
          <cell r="AE136">
            <v>10.412100000000001</v>
          </cell>
          <cell r="AF136">
            <v>18.531400000000001</v>
          </cell>
          <cell r="AG136">
            <v>1.5459000000000001</v>
          </cell>
          <cell r="AH136">
            <v>80.5899</v>
          </cell>
          <cell r="AI136">
            <v>73.048299999999998</v>
          </cell>
          <cell r="AJ136">
            <v>13.9224</v>
          </cell>
          <cell r="AK136">
            <v>52.815199999999997</v>
          </cell>
          <cell r="AL136">
            <v>311.06569999999999</v>
          </cell>
          <cell r="AM136">
            <v>44.297499999999999</v>
          </cell>
          <cell r="AN136">
            <v>479.16559999999998</v>
          </cell>
          <cell r="AO136">
            <v>685.82060000000001</v>
          </cell>
        </row>
        <row r="137">
          <cell r="C137">
            <v>283.67360000000002</v>
          </cell>
          <cell r="D137">
            <v>34.514200000000002</v>
          </cell>
          <cell r="E137">
            <v>768.36490000000003</v>
          </cell>
          <cell r="F137">
            <v>11.7049</v>
          </cell>
          <cell r="G137">
            <v>117.7312</v>
          </cell>
          <cell r="H137">
            <v>3.9800000000000002E-2</v>
          </cell>
          <cell r="I137">
            <v>13.9377</v>
          </cell>
          <cell r="J137">
            <v>63.646000000000001</v>
          </cell>
          <cell r="K137">
            <v>541.35</v>
          </cell>
          <cell r="L137">
            <v>30.353300000000001</v>
          </cell>
          <cell r="M137">
            <v>5.4878999999999998</v>
          </cell>
          <cell r="N137">
            <v>603.03210000000001</v>
          </cell>
          <cell r="O137">
            <v>28.543600000000001</v>
          </cell>
          <cell r="P137">
            <v>24.527899999999999</v>
          </cell>
          <cell r="Q137">
            <v>351.04320000000001</v>
          </cell>
          <cell r="R137">
            <v>3.7130000000000001</v>
          </cell>
          <cell r="S137">
            <v>857.9239</v>
          </cell>
          <cell r="T137">
            <v>135.33750000000001</v>
          </cell>
          <cell r="U137">
            <v>41.3949</v>
          </cell>
          <cell r="V137">
            <v>215.51220000000001</v>
          </cell>
          <cell r="W137">
            <v>242.82599999999999</v>
          </cell>
          <cell r="X137">
            <v>59.2288</v>
          </cell>
          <cell r="Y137">
            <v>135.9846</v>
          </cell>
          <cell r="Z137">
            <v>2.3689</v>
          </cell>
          <cell r="AA137">
            <v>1.8693</v>
          </cell>
          <cell r="AB137">
            <v>298.75220000000002</v>
          </cell>
          <cell r="AC137">
            <v>10.982699999999999</v>
          </cell>
          <cell r="AD137">
            <v>4.7100000000000003E-2</v>
          </cell>
          <cell r="AE137">
            <v>10.410600000000001</v>
          </cell>
          <cell r="AF137">
            <v>18.450199999999999</v>
          </cell>
          <cell r="AG137">
            <v>1.5457000000000001</v>
          </cell>
          <cell r="AH137">
            <v>79.876900000000006</v>
          </cell>
          <cell r="AI137">
            <v>72.402100000000004</v>
          </cell>
          <cell r="AJ137">
            <v>13.81</v>
          </cell>
          <cell r="AK137">
            <v>52.948999999999998</v>
          </cell>
          <cell r="AL137">
            <v>309.33780000000002</v>
          </cell>
          <cell r="AM137">
            <v>44.240900000000003</v>
          </cell>
          <cell r="AN137">
            <v>474.9264</v>
          </cell>
          <cell r="AO137">
            <v>682.86400000000003</v>
          </cell>
        </row>
        <row r="138">
          <cell r="C138">
            <v>283.67360000000002</v>
          </cell>
          <cell r="D138">
            <v>34.514200000000002</v>
          </cell>
          <cell r="E138">
            <v>768.36490000000003</v>
          </cell>
          <cell r="F138">
            <v>11.7049</v>
          </cell>
          <cell r="G138">
            <v>117.7312</v>
          </cell>
          <cell r="H138">
            <v>3.9800000000000002E-2</v>
          </cell>
          <cell r="I138">
            <v>13.9377</v>
          </cell>
          <cell r="J138">
            <v>63.646000000000001</v>
          </cell>
          <cell r="K138">
            <v>541.35</v>
          </cell>
          <cell r="L138">
            <v>30.353300000000001</v>
          </cell>
          <cell r="M138">
            <v>5.4878999999999998</v>
          </cell>
          <cell r="N138">
            <v>603.03210000000001</v>
          </cell>
          <cell r="O138">
            <v>28.543600000000001</v>
          </cell>
          <cell r="P138">
            <v>24.527899999999999</v>
          </cell>
          <cell r="Q138">
            <v>351.04320000000001</v>
          </cell>
          <cell r="R138">
            <v>3.7130000000000001</v>
          </cell>
          <cell r="S138">
            <v>857.9239</v>
          </cell>
          <cell r="T138">
            <v>135.33750000000001</v>
          </cell>
          <cell r="U138">
            <v>41.3949</v>
          </cell>
          <cell r="V138">
            <v>215.51220000000001</v>
          </cell>
          <cell r="W138">
            <v>242.82599999999999</v>
          </cell>
          <cell r="X138">
            <v>59.2288</v>
          </cell>
          <cell r="Y138">
            <v>135.9846</v>
          </cell>
          <cell r="Z138">
            <v>2.3689</v>
          </cell>
          <cell r="AA138">
            <v>1.8693</v>
          </cell>
          <cell r="AB138">
            <v>298.75220000000002</v>
          </cell>
          <cell r="AC138">
            <v>10.982699999999999</v>
          </cell>
          <cell r="AD138">
            <v>4.7100000000000003E-2</v>
          </cell>
          <cell r="AE138">
            <v>10.410600000000001</v>
          </cell>
          <cell r="AF138">
            <v>18.450199999999999</v>
          </cell>
          <cell r="AG138">
            <v>1.5457000000000001</v>
          </cell>
          <cell r="AH138">
            <v>79.876900000000006</v>
          </cell>
          <cell r="AI138">
            <v>72.402100000000004</v>
          </cell>
          <cell r="AJ138">
            <v>13.81</v>
          </cell>
          <cell r="AK138">
            <v>52.948999999999998</v>
          </cell>
          <cell r="AL138">
            <v>309.33780000000002</v>
          </cell>
          <cell r="AM138">
            <v>44.240900000000003</v>
          </cell>
          <cell r="AN138">
            <v>474.9264</v>
          </cell>
          <cell r="AO138">
            <v>682.86400000000003</v>
          </cell>
        </row>
        <row r="139">
          <cell r="C139">
            <v>283.67360000000002</v>
          </cell>
          <cell r="D139">
            <v>34.514200000000002</v>
          </cell>
          <cell r="E139">
            <v>768.36490000000003</v>
          </cell>
          <cell r="F139">
            <v>11.7049</v>
          </cell>
          <cell r="G139">
            <v>117.7312</v>
          </cell>
          <cell r="H139">
            <v>3.9800000000000002E-2</v>
          </cell>
          <cell r="I139">
            <v>13.9377</v>
          </cell>
          <cell r="J139">
            <v>63.646000000000001</v>
          </cell>
          <cell r="K139">
            <v>541.35</v>
          </cell>
          <cell r="L139">
            <v>30.353300000000001</v>
          </cell>
          <cell r="M139">
            <v>5.4878999999999998</v>
          </cell>
          <cell r="N139">
            <v>603.03210000000001</v>
          </cell>
          <cell r="O139">
            <v>28.543600000000001</v>
          </cell>
          <cell r="P139">
            <v>24.527899999999999</v>
          </cell>
          <cell r="Q139">
            <v>351.04320000000001</v>
          </cell>
          <cell r="R139">
            <v>3.7130000000000001</v>
          </cell>
          <cell r="S139">
            <v>857.9239</v>
          </cell>
          <cell r="T139">
            <v>135.33750000000001</v>
          </cell>
          <cell r="U139">
            <v>41.3949</v>
          </cell>
          <cell r="V139">
            <v>215.51220000000001</v>
          </cell>
          <cell r="W139">
            <v>242.82599999999999</v>
          </cell>
          <cell r="X139">
            <v>59.2288</v>
          </cell>
          <cell r="Y139">
            <v>135.9846</v>
          </cell>
          <cell r="Z139">
            <v>2.3689</v>
          </cell>
          <cell r="AA139">
            <v>1.8693</v>
          </cell>
          <cell r="AB139">
            <v>298.75220000000002</v>
          </cell>
          <cell r="AC139">
            <v>10.982699999999999</v>
          </cell>
          <cell r="AD139">
            <v>4.7100000000000003E-2</v>
          </cell>
          <cell r="AE139">
            <v>10.410600000000001</v>
          </cell>
          <cell r="AF139">
            <v>18.450199999999999</v>
          </cell>
          <cell r="AG139">
            <v>1.5457000000000001</v>
          </cell>
          <cell r="AH139">
            <v>79.876900000000006</v>
          </cell>
          <cell r="AI139">
            <v>72.402100000000004</v>
          </cell>
          <cell r="AJ139">
            <v>13.81</v>
          </cell>
          <cell r="AK139">
            <v>52.948999999999998</v>
          </cell>
          <cell r="AL139">
            <v>309.33780000000002</v>
          </cell>
          <cell r="AM139">
            <v>44.240900000000003</v>
          </cell>
          <cell r="AN139">
            <v>474.9264</v>
          </cell>
          <cell r="AO139">
            <v>682.86400000000003</v>
          </cell>
        </row>
        <row r="140">
          <cell r="C140">
            <v>279.9828</v>
          </cell>
          <cell r="D140">
            <v>34.4009</v>
          </cell>
          <cell r="E140">
            <v>766.95860000000005</v>
          </cell>
          <cell r="F140">
            <v>11.703799999999999</v>
          </cell>
          <cell r="G140">
            <v>117.3446</v>
          </cell>
          <cell r="H140">
            <v>3.9699999999999999E-2</v>
          </cell>
          <cell r="I140">
            <v>13.8919</v>
          </cell>
          <cell r="J140">
            <v>63.442900000000002</v>
          </cell>
          <cell r="K140">
            <v>541.29999999999995</v>
          </cell>
          <cell r="L140">
            <v>30.253699999999998</v>
          </cell>
          <cell r="M140">
            <v>5.5049000000000001</v>
          </cell>
          <cell r="N140">
            <v>601.05190000000005</v>
          </cell>
          <cell r="O140">
            <v>28.4499</v>
          </cell>
          <cell r="P140">
            <v>24.447399999999998</v>
          </cell>
          <cell r="Q140">
            <v>348.57650000000001</v>
          </cell>
          <cell r="R140">
            <v>3.7075</v>
          </cell>
          <cell r="S140">
            <v>855.13430000000005</v>
          </cell>
          <cell r="T140">
            <v>135.32499999999999</v>
          </cell>
          <cell r="U140">
            <v>41.371099999999998</v>
          </cell>
          <cell r="V140">
            <v>214.80449999999999</v>
          </cell>
          <cell r="W140">
            <v>242.02860000000001</v>
          </cell>
          <cell r="X140">
            <v>59.244900000000001</v>
          </cell>
          <cell r="Y140">
            <v>134.58240000000001</v>
          </cell>
          <cell r="Z140">
            <v>2.3611</v>
          </cell>
          <cell r="AA140">
            <v>1.8672</v>
          </cell>
          <cell r="AB140">
            <v>297.86489999999998</v>
          </cell>
          <cell r="AC140">
            <v>10.9505</v>
          </cell>
          <cell r="AD140">
            <v>4.7399999999999998E-2</v>
          </cell>
          <cell r="AE140">
            <v>10.409599999999999</v>
          </cell>
          <cell r="AF140">
            <v>18.3917</v>
          </cell>
          <cell r="AG140">
            <v>1.5387</v>
          </cell>
          <cell r="AH140">
            <v>79.614599999999996</v>
          </cell>
          <cell r="AI140">
            <v>72.164299999999997</v>
          </cell>
          <cell r="AJ140">
            <v>13.769500000000001</v>
          </cell>
          <cell r="AK140">
            <v>52.581699999999998</v>
          </cell>
          <cell r="AL140">
            <v>308.8451</v>
          </cell>
          <cell r="AM140">
            <v>43.984999999999999</v>
          </cell>
          <cell r="AN140">
            <v>473.36689999999999</v>
          </cell>
          <cell r="AO140">
            <v>682.01120000000003</v>
          </cell>
        </row>
        <row r="141">
          <cell r="C141">
            <v>279.79340000000002</v>
          </cell>
          <cell r="D141">
            <v>34.4895</v>
          </cell>
          <cell r="E141">
            <v>767.31700000000001</v>
          </cell>
          <cell r="F141">
            <v>11.703099999999999</v>
          </cell>
          <cell r="G141">
            <v>117.6467</v>
          </cell>
          <cell r="H141">
            <v>3.9800000000000002E-2</v>
          </cell>
          <cell r="I141">
            <v>13.9277</v>
          </cell>
          <cell r="J141">
            <v>63.605400000000003</v>
          </cell>
          <cell r="K141">
            <v>541.27</v>
          </cell>
          <cell r="L141">
            <v>30.331499999999998</v>
          </cell>
          <cell r="M141">
            <v>5.4294000000000002</v>
          </cell>
          <cell r="N141">
            <v>602.59929999999997</v>
          </cell>
          <cell r="O141">
            <v>28.523199999999999</v>
          </cell>
          <cell r="P141">
            <v>24.510300000000001</v>
          </cell>
          <cell r="Q141">
            <v>348.42189999999999</v>
          </cell>
          <cell r="R141">
            <v>3.7073</v>
          </cell>
          <cell r="S141">
            <v>852.39369999999997</v>
          </cell>
          <cell r="T141">
            <v>135.3175</v>
          </cell>
          <cell r="U141">
            <v>41.366999999999997</v>
          </cell>
          <cell r="V141">
            <v>215.35749999999999</v>
          </cell>
          <cell r="W141">
            <v>242.65170000000001</v>
          </cell>
          <cell r="X141">
            <v>59.182600000000001</v>
          </cell>
          <cell r="Y141">
            <v>134.8331</v>
          </cell>
          <cell r="Z141">
            <v>2.3672</v>
          </cell>
          <cell r="AA141">
            <v>1.8638999999999999</v>
          </cell>
          <cell r="AB141">
            <v>297.56439999999998</v>
          </cell>
          <cell r="AC141">
            <v>10.988799999999999</v>
          </cell>
          <cell r="AD141">
            <v>4.7500000000000001E-2</v>
          </cell>
          <cell r="AE141">
            <v>10.409000000000001</v>
          </cell>
          <cell r="AF141">
            <v>18.376999999999999</v>
          </cell>
          <cell r="AG141">
            <v>1.5387</v>
          </cell>
          <cell r="AH141">
            <v>79.819599999999994</v>
          </cell>
          <cell r="AI141">
            <v>72.350099999999998</v>
          </cell>
          <cell r="AJ141">
            <v>13.789300000000001</v>
          </cell>
          <cell r="AK141">
            <v>52.734699999999997</v>
          </cell>
          <cell r="AL141">
            <v>309.80189999999999</v>
          </cell>
          <cell r="AM141">
            <v>43.801200000000001</v>
          </cell>
          <cell r="AN141">
            <v>474.58550000000002</v>
          </cell>
          <cell r="AO141">
            <v>682.16759999999999</v>
          </cell>
        </row>
        <row r="142">
          <cell r="C142">
            <v>282.55540000000002</v>
          </cell>
          <cell r="D142">
            <v>34.747799999999998</v>
          </cell>
          <cell r="E142">
            <v>772.06560000000002</v>
          </cell>
          <cell r="F142">
            <v>11.7027</v>
          </cell>
          <cell r="G142">
            <v>118.5279</v>
          </cell>
          <cell r="H142">
            <v>3.9800000000000002E-2</v>
          </cell>
          <cell r="I142">
            <v>14.032</v>
          </cell>
          <cell r="J142">
            <v>64.075800000000001</v>
          </cell>
          <cell r="K142">
            <v>541.25</v>
          </cell>
          <cell r="L142">
            <v>30.558700000000002</v>
          </cell>
          <cell r="M142">
            <v>5.4063999999999997</v>
          </cell>
          <cell r="N142">
            <v>607.11289999999997</v>
          </cell>
          <cell r="O142">
            <v>28.736799999999999</v>
          </cell>
          <cell r="P142">
            <v>24.693899999999999</v>
          </cell>
          <cell r="Q142">
            <v>349.87580000000003</v>
          </cell>
          <cell r="R142">
            <v>3.7071999999999998</v>
          </cell>
          <cell r="S142">
            <v>852.36220000000003</v>
          </cell>
          <cell r="T142">
            <v>135.3125</v>
          </cell>
          <cell r="U142">
            <v>41.365400000000001</v>
          </cell>
          <cell r="V142">
            <v>216.97059999999999</v>
          </cell>
          <cell r="W142">
            <v>244.4692</v>
          </cell>
          <cell r="X142">
            <v>59.518300000000004</v>
          </cell>
          <cell r="Y142">
            <v>135.88159999999999</v>
          </cell>
          <cell r="Z142">
            <v>2.3849999999999998</v>
          </cell>
          <cell r="AA142">
            <v>1.8651</v>
          </cell>
          <cell r="AB142">
            <v>298.53910000000002</v>
          </cell>
          <cell r="AC142">
            <v>11.0578</v>
          </cell>
          <cell r="AD142">
            <v>4.8000000000000001E-2</v>
          </cell>
          <cell r="AE142">
            <v>10.4087</v>
          </cell>
          <cell r="AF142">
            <v>18.499600000000001</v>
          </cell>
          <cell r="AG142">
            <v>1.5386</v>
          </cell>
          <cell r="AH142">
            <v>80.417400000000001</v>
          </cell>
          <cell r="AI142">
            <v>72.891999999999996</v>
          </cell>
          <cell r="AJ142">
            <v>13.919700000000001</v>
          </cell>
          <cell r="AK142">
            <v>52.709699999999998</v>
          </cell>
          <cell r="AL142">
            <v>311.9187</v>
          </cell>
          <cell r="AM142">
            <v>43.761699999999998</v>
          </cell>
          <cell r="AN142">
            <v>478.14030000000002</v>
          </cell>
          <cell r="AO142">
            <v>683.78150000000005</v>
          </cell>
        </row>
        <row r="143">
          <cell r="C143">
            <v>285.89060000000001</v>
          </cell>
          <cell r="D143">
            <v>34.671799999999998</v>
          </cell>
          <cell r="E143">
            <v>773.87549999999999</v>
          </cell>
          <cell r="F143">
            <v>11.702299999999999</v>
          </cell>
          <cell r="G143">
            <v>118.26860000000001</v>
          </cell>
          <cell r="H143">
            <v>3.9800000000000002E-2</v>
          </cell>
          <cell r="I143">
            <v>14.001300000000001</v>
          </cell>
          <cell r="J143">
            <v>63.935699999999997</v>
          </cell>
          <cell r="K143">
            <v>541.23</v>
          </cell>
          <cell r="L143">
            <v>30.491900000000001</v>
          </cell>
          <cell r="M143">
            <v>5.4203000000000001</v>
          </cell>
          <cell r="N143">
            <v>605.78470000000004</v>
          </cell>
          <cell r="O143">
            <v>28.6739</v>
          </cell>
          <cell r="P143">
            <v>24.639900000000001</v>
          </cell>
          <cell r="Q143">
            <v>352.35910000000001</v>
          </cell>
          <cell r="R143">
            <v>3.7071000000000001</v>
          </cell>
          <cell r="S143">
            <v>852.33069999999998</v>
          </cell>
          <cell r="T143">
            <v>135.3075</v>
          </cell>
          <cell r="U143">
            <v>41.366100000000003</v>
          </cell>
          <cell r="V143">
            <v>216.49590000000001</v>
          </cell>
          <cell r="W143">
            <v>243.93440000000001</v>
          </cell>
          <cell r="X143">
            <v>59.614400000000003</v>
          </cell>
          <cell r="Y143">
            <v>136.20760000000001</v>
          </cell>
          <cell r="Z143">
            <v>2.3797000000000001</v>
          </cell>
          <cell r="AA143">
            <v>1.8617999999999999</v>
          </cell>
          <cell r="AB143">
            <v>299.19369999999998</v>
          </cell>
          <cell r="AC143">
            <v>11.0405</v>
          </cell>
          <cell r="AD143">
            <v>4.8500000000000001E-2</v>
          </cell>
          <cell r="AE143">
            <v>10.408300000000001</v>
          </cell>
          <cell r="AF143">
            <v>18.531500000000001</v>
          </cell>
          <cell r="AG143">
            <v>1.5385</v>
          </cell>
          <cell r="AH143">
            <v>80.241500000000002</v>
          </cell>
          <cell r="AI143">
            <v>72.732500000000002</v>
          </cell>
          <cell r="AJ143">
            <v>13.9001</v>
          </cell>
          <cell r="AK143">
            <v>52.824399999999997</v>
          </cell>
          <cell r="AL143">
            <v>311.21609999999998</v>
          </cell>
          <cell r="AM143">
            <v>43.939399999999999</v>
          </cell>
          <cell r="AN143">
            <v>477.0942</v>
          </cell>
          <cell r="AO143">
            <v>684.31989999999996</v>
          </cell>
        </row>
        <row r="144">
          <cell r="C144">
            <v>284.67</v>
          </cell>
          <cell r="D144">
            <v>34.521700000000003</v>
          </cell>
          <cell r="E144">
            <v>774.04070000000002</v>
          </cell>
          <cell r="F144">
            <v>11.7021</v>
          </cell>
          <cell r="G144">
            <v>117.75660000000001</v>
          </cell>
          <cell r="H144">
            <v>3.9800000000000002E-2</v>
          </cell>
          <cell r="I144">
            <v>13.9407</v>
          </cell>
          <cell r="J144">
            <v>63.6691</v>
          </cell>
          <cell r="K144">
            <v>541.22</v>
          </cell>
          <cell r="L144">
            <v>30.3599</v>
          </cell>
          <cell r="M144">
            <v>5.3766999999999996</v>
          </cell>
          <cell r="N144">
            <v>603.16210000000001</v>
          </cell>
          <cell r="O144">
            <v>28.549800000000001</v>
          </cell>
          <cell r="P144">
            <v>24.533200000000001</v>
          </cell>
          <cell r="Q144">
            <v>352.23849999999999</v>
          </cell>
          <cell r="R144">
            <v>3.7069999999999999</v>
          </cell>
          <cell r="S144">
            <v>856.36080000000004</v>
          </cell>
          <cell r="T144">
            <v>135.30500000000001</v>
          </cell>
          <cell r="U144">
            <v>41.349499999999999</v>
          </cell>
          <cell r="V144">
            <v>215.55869999999999</v>
          </cell>
          <cell r="W144">
            <v>242.8784</v>
          </cell>
          <cell r="X144">
            <v>59.673200000000001</v>
          </cell>
          <cell r="Y144">
            <v>136.3184</v>
          </cell>
          <cell r="Z144">
            <v>2.3694000000000002</v>
          </cell>
          <cell r="AA144">
            <v>1.8605</v>
          </cell>
          <cell r="AB144">
            <v>299.02350000000001</v>
          </cell>
          <cell r="AC144">
            <v>10.9762</v>
          </cell>
          <cell r="AD144">
            <v>4.8599999999999997E-2</v>
          </cell>
          <cell r="AE144">
            <v>10.408099999999999</v>
          </cell>
          <cell r="AF144">
            <v>18.415500000000002</v>
          </cell>
          <cell r="AG144">
            <v>1.5385</v>
          </cell>
          <cell r="AH144">
            <v>79.894099999999995</v>
          </cell>
          <cell r="AI144">
            <v>72.417699999999996</v>
          </cell>
          <cell r="AJ144">
            <v>13.827500000000001</v>
          </cell>
          <cell r="AK144">
            <v>52.710700000000003</v>
          </cell>
          <cell r="AL144">
            <v>309.64659999999998</v>
          </cell>
          <cell r="AM144">
            <v>43.842100000000002</v>
          </cell>
          <cell r="AN144">
            <v>475.02879999999999</v>
          </cell>
          <cell r="AO144">
            <v>682.75260000000003</v>
          </cell>
        </row>
        <row r="145">
          <cell r="C145">
            <v>284.67</v>
          </cell>
          <cell r="D145">
            <v>34.521700000000003</v>
          </cell>
          <cell r="E145">
            <v>774.04070000000002</v>
          </cell>
          <cell r="F145">
            <v>11.7021</v>
          </cell>
          <cell r="G145">
            <v>117.75660000000001</v>
          </cell>
          <cell r="H145">
            <v>3.9800000000000002E-2</v>
          </cell>
          <cell r="I145">
            <v>13.9407</v>
          </cell>
          <cell r="J145">
            <v>63.6691</v>
          </cell>
          <cell r="K145">
            <v>541.22</v>
          </cell>
          <cell r="L145">
            <v>30.3599</v>
          </cell>
          <cell r="M145">
            <v>5.3766999999999996</v>
          </cell>
          <cell r="N145">
            <v>603.16210000000001</v>
          </cell>
          <cell r="O145">
            <v>28.549800000000001</v>
          </cell>
          <cell r="P145">
            <v>24.533200000000001</v>
          </cell>
          <cell r="Q145">
            <v>352.23849999999999</v>
          </cell>
          <cell r="R145">
            <v>3.7069999999999999</v>
          </cell>
          <cell r="S145">
            <v>856.36080000000004</v>
          </cell>
          <cell r="T145">
            <v>135.30500000000001</v>
          </cell>
          <cell r="U145">
            <v>41.349499999999999</v>
          </cell>
          <cell r="V145">
            <v>215.55869999999999</v>
          </cell>
          <cell r="W145">
            <v>242.8784</v>
          </cell>
          <cell r="X145">
            <v>59.673200000000001</v>
          </cell>
          <cell r="Y145">
            <v>136.3184</v>
          </cell>
          <cell r="Z145">
            <v>2.3694000000000002</v>
          </cell>
          <cell r="AA145">
            <v>1.8605</v>
          </cell>
          <cell r="AB145">
            <v>299.02350000000001</v>
          </cell>
          <cell r="AC145">
            <v>10.9762</v>
          </cell>
          <cell r="AD145">
            <v>4.8599999999999997E-2</v>
          </cell>
          <cell r="AE145">
            <v>10.408099999999999</v>
          </cell>
          <cell r="AF145">
            <v>18.415500000000002</v>
          </cell>
          <cell r="AG145">
            <v>1.5385</v>
          </cell>
          <cell r="AH145">
            <v>79.894099999999995</v>
          </cell>
          <cell r="AI145">
            <v>72.417699999999996</v>
          </cell>
          <cell r="AJ145">
            <v>13.827500000000001</v>
          </cell>
          <cell r="AK145">
            <v>52.710700000000003</v>
          </cell>
          <cell r="AL145">
            <v>309.64659999999998</v>
          </cell>
          <cell r="AM145">
            <v>43.842100000000002</v>
          </cell>
          <cell r="AN145">
            <v>475.02879999999999</v>
          </cell>
          <cell r="AO145">
            <v>682.75260000000003</v>
          </cell>
        </row>
        <row r="146">
          <cell r="C146">
            <v>284.67</v>
          </cell>
          <cell r="D146">
            <v>34.521700000000003</v>
          </cell>
          <cell r="E146">
            <v>774.04070000000002</v>
          </cell>
          <cell r="F146">
            <v>11.7021</v>
          </cell>
          <cell r="G146">
            <v>117.75660000000001</v>
          </cell>
          <cell r="H146">
            <v>3.9800000000000002E-2</v>
          </cell>
          <cell r="I146">
            <v>13.9407</v>
          </cell>
          <cell r="J146">
            <v>63.6691</v>
          </cell>
          <cell r="K146">
            <v>541.22</v>
          </cell>
          <cell r="L146">
            <v>30.3599</v>
          </cell>
          <cell r="M146">
            <v>5.3766999999999996</v>
          </cell>
          <cell r="N146">
            <v>603.16210000000001</v>
          </cell>
          <cell r="O146">
            <v>28.549800000000001</v>
          </cell>
          <cell r="P146">
            <v>24.533200000000001</v>
          </cell>
          <cell r="Q146">
            <v>352.23849999999999</v>
          </cell>
          <cell r="R146">
            <v>3.7069999999999999</v>
          </cell>
          <cell r="S146">
            <v>856.36080000000004</v>
          </cell>
          <cell r="T146">
            <v>135.30500000000001</v>
          </cell>
          <cell r="U146">
            <v>41.349499999999999</v>
          </cell>
          <cell r="V146">
            <v>215.55869999999999</v>
          </cell>
          <cell r="W146">
            <v>242.8784</v>
          </cell>
          <cell r="X146">
            <v>59.673200000000001</v>
          </cell>
          <cell r="Y146">
            <v>136.3184</v>
          </cell>
          <cell r="Z146">
            <v>2.3694000000000002</v>
          </cell>
          <cell r="AA146">
            <v>1.8605</v>
          </cell>
          <cell r="AB146">
            <v>299.02350000000001</v>
          </cell>
          <cell r="AC146">
            <v>10.9762</v>
          </cell>
          <cell r="AD146">
            <v>4.8599999999999997E-2</v>
          </cell>
          <cell r="AE146">
            <v>10.408099999999999</v>
          </cell>
          <cell r="AF146">
            <v>18.415500000000002</v>
          </cell>
          <cell r="AG146">
            <v>1.5385</v>
          </cell>
          <cell r="AH146">
            <v>79.894099999999995</v>
          </cell>
          <cell r="AI146">
            <v>72.417699999999996</v>
          </cell>
          <cell r="AJ146">
            <v>13.827500000000001</v>
          </cell>
          <cell r="AK146">
            <v>52.710700000000003</v>
          </cell>
          <cell r="AL146">
            <v>309.64659999999998</v>
          </cell>
          <cell r="AM146">
            <v>43.842100000000002</v>
          </cell>
          <cell r="AN146">
            <v>475.02879999999999</v>
          </cell>
          <cell r="AO146">
            <v>682.75260000000003</v>
          </cell>
        </row>
        <row r="147">
          <cell r="C147">
            <v>285.84780000000001</v>
          </cell>
          <cell r="D147">
            <v>34.431899999999999</v>
          </cell>
          <cell r="E147">
            <v>777.98479999999995</v>
          </cell>
          <cell r="F147">
            <v>11.702299999999999</v>
          </cell>
          <cell r="G147">
            <v>117.4502</v>
          </cell>
          <cell r="H147">
            <v>3.9699999999999999E-2</v>
          </cell>
          <cell r="I147">
            <v>13.904400000000001</v>
          </cell>
          <cell r="J147">
            <v>63.504300000000001</v>
          </cell>
          <cell r="K147">
            <v>541.23</v>
          </cell>
          <cell r="L147">
            <v>30.280899999999999</v>
          </cell>
          <cell r="M147">
            <v>5.3901000000000003</v>
          </cell>
          <cell r="N147">
            <v>601.59270000000004</v>
          </cell>
          <cell r="O147">
            <v>28.4755</v>
          </cell>
          <cell r="P147">
            <v>24.4694</v>
          </cell>
          <cell r="Q147">
            <v>352.73430000000002</v>
          </cell>
          <cell r="R147">
            <v>3.7044999999999999</v>
          </cell>
          <cell r="S147">
            <v>855.02369999999996</v>
          </cell>
          <cell r="T147">
            <v>135.3075</v>
          </cell>
          <cell r="U147">
            <v>41.3172</v>
          </cell>
          <cell r="V147">
            <v>214.99780000000001</v>
          </cell>
          <cell r="W147">
            <v>242.24639999999999</v>
          </cell>
          <cell r="X147">
            <v>59.7393</v>
          </cell>
          <cell r="Y147">
            <v>135.58240000000001</v>
          </cell>
          <cell r="Z147">
            <v>2.3633000000000002</v>
          </cell>
          <cell r="AA147">
            <v>1.8605</v>
          </cell>
          <cell r="AB147">
            <v>298.8098</v>
          </cell>
          <cell r="AC147">
            <v>10.960100000000001</v>
          </cell>
          <cell r="AD147">
            <v>4.8500000000000001E-2</v>
          </cell>
          <cell r="AE147">
            <v>10.408300000000001</v>
          </cell>
          <cell r="AF147">
            <v>18.327100000000002</v>
          </cell>
          <cell r="AG147">
            <v>1.5301</v>
          </cell>
          <cell r="AH147">
            <v>79.686199999999999</v>
          </cell>
          <cell r="AI147">
            <v>72.229200000000006</v>
          </cell>
          <cell r="AJ147">
            <v>13.802300000000001</v>
          </cell>
          <cell r="AK147">
            <v>52.760899999999999</v>
          </cell>
          <cell r="AL147">
            <v>309.34500000000003</v>
          </cell>
          <cell r="AM147">
            <v>43.955199999999998</v>
          </cell>
          <cell r="AN147">
            <v>473.79270000000002</v>
          </cell>
          <cell r="AO147">
            <v>682.63080000000002</v>
          </cell>
        </row>
        <row r="148">
          <cell r="C148">
            <v>283.27659999999997</v>
          </cell>
          <cell r="D148">
            <v>34.159199999999998</v>
          </cell>
          <cell r="E148">
            <v>774.49480000000005</v>
          </cell>
          <cell r="F148">
            <v>11.7018</v>
          </cell>
          <cell r="G148">
            <v>116.5201</v>
          </cell>
          <cell r="H148">
            <v>3.9699999999999999E-2</v>
          </cell>
          <cell r="I148">
            <v>13.7943</v>
          </cell>
          <cell r="J148">
            <v>63.014899999999997</v>
          </cell>
          <cell r="K148">
            <v>541.21</v>
          </cell>
          <cell r="L148">
            <v>30.0411</v>
          </cell>
          <cell r="M148">
            <v>5.3724999999999996</v>
          </cell>
          <cell r="N148">
            <v>596.8288</v>
          </cell>
          <cell r="O148">
            <v>28.25</v>
          </cell>
          <cell r="P148">
            <v>24.275600000000001</v>
          </cell>
          <cell r="Q148">
            <v>351.80070000000001</v>
          </cell>
          <cell r="R148">
            <v>3.7044000000000001</v>
          </cell>
          <cell r="S148">
            <v>856.34490000000005</v>
          </cell>
          <cell r="T148">
            <v>135.30250000000001</v>
          </cell>
          <cell r="U148">
            <v>41.315600000000003</v>
          </cell>
          <cell r="V148">
            <v>213.2953</v>
          </cell>
          <cell r="W148">
            <v>240.32810000000001</v>
          </cell>
          <cell r="X148">
            <v>59.262500000000003</v>
          </cell>
          <cell r="Y148">
            <v>135.55609999999999</v>
          </cell>
          <cell r="Z148">
            <v>2.3445999999999998</v>
          </cell>
          <cell r="AA148">
            <v>1.8611</v>
          </cell>
          <cell r="AB148">
            <v>298.7611</v>
          </cell>
          <cell r="AC148">
            <v>10.8642</v>
          </cell>
          <cell r="AD148">
            <v>4.8800000000000003E-2</v>
          </cell>
          <cell r="AE148">
            <v>10.4079</v>
          </cell>
          <cell r="AF148">
            <v>18.188300000000002</v>
          </cell>
          <cell r="AG148">
            <v>1.5301</v>
          </cell>
          <cell r="AH148">
            <v>79.055199999999999</v>
          </cell>
          <cell r="AI148">
            <v>71.657300000000006</v>
          </cell>
          <cell r="AJ148">
            <v>13.7202</v>
          </cell>
          <cell r="AK148">
            <v>52.386800000000001</v>
          </cell>
          <cell r="AL148">
            <v>306.87529999999998</v>
          </cell>
          <cell r="AM148">
            <v>43.945500000000003</v>
          </cell>
          <cell r="AN148">
            <v>470.04090000000002</v>
          </cell>
          <cell r="AO148">
            <v>681.67020000000002</v>
          </cell>
        </row>
        <row r="149">
          <cell r="C149">
            <v>280.31900000000002</v>
          </cell>
          <cell r="D149">
            <v>33.765900000000002</v>
          </cell>
          <cell r="E149">
            <v>769.63520000000005</v>
          </cell>
          <cell r="F149">
            <v>11.7018</v>
          </cell>
          <cell r="G149">
            <v>115.1785</v>
          </cell>
          <cell r="H149">
            <v>3.9699999999999999E-2</v>
          </cell>
          <cell r="I149">
            <v>13.6355</v>
          </cell>
          <cell r="J149">
            <v>62.288499999999999</v>
          </cell>
          <cell r="K149">
            <v>541.21</v>
          </cell>
          <cell r="L149">
            <v>29.6952</v>
          </cell>
          <cell r="M149">
            <v>5.3423999999999996</v>
          </cell>
          <cell r="N149">
            <v>589.95690000000002</v>
          </cell>
          <cell r="O149">
            <v>27.924800000000001</v>
          </cell>
          <cell r="P149">
            <v>23.996099999999998</v>
          </cell>
          <cell r="Q149">
            <v>350.16109999999998</v>
          </cell>
          <cell r="R149">
            <v>3.7044000000000001</v>
          </cell>
          <cell r="S149">
            <v>853.64350000000002</v>
          </cell>
          <cell r="T149">
            <v>135.30250000000001</v>
          </cell>
          <cell r="U149">
            <v>41.332999999999998</v>
          </cell>
          <cell r="V149">
            <v>210.83940000000001</v>
          </cell>
          <cell r="W149">
            <v>237.5609</v>
          </cell>
          <cell r="X149">
            <v>58.488</v>
          </cell>
          <cell r="Y149">
            <v>135.38130000000001</v>
          </cell>
          <cell r="Z149">
            <v>2.3176000000000001</v>
          </cell>
          <cell r="AA149">
            <v>1.8616999999999999</v>
          </cell>
          <cell r="AB149">
            <v>299.79919999999998</v>
          </cell>
          <cell r="AC149">
            <v>10.777699999999999</v>
          </cell>
          <cell r="AD149">
            <v>4.8599999999999997E-2</v>
          </cell>
          <cell r="AE149">
            <v>10.4079</v>
          </cell>
          <cell r="AF149">
            <v>18.0642</v>
          </cell>
          <cell r="AG149">
            <v>1.5301</v>
          </cell>
          <cell r="AH149">
            <v>78.144999999999996</v>
          </cell>
          <cell r="AI149">
            <v>70.8322</v>
          </cell>
          <cell r="AJ149">
            <v>13.5725</v>
          </cell>
          <cell r="AK149">
            <v>51.331699999999998</v>
          </cell>
          <cell r="AL149">
            <v>304.2955</v>
          </cell>
          <cell r="AM149">
            <v>44.671500000000002</v>
          </cell>
          <cell r="AN149">
            <v>464.62880000000001</v>
          </cell>
          <cell r="AO149">
            <v>679.83519999999999</v>
          </cell>
        </row>
        <row r="150">
          <cell r="C150">
            <v>278.59390000000002</v>
          </cell>
          <cell r="D150">
            <v>33.837499999999999</v>
          </cell>
          <cell r="E150">
            <v>766.19069999999999</v>
          </cell>
          <cell r="F150">
            <v>11.700799999999999</v>
          </cell>
          <cell r="G150">
            <v>115.42270000000001</v>
          </cell>
          <cell r="H150">
            <v>3.9600000000000003E-2</v>
          </cell>
          <cell r="I150">
            <v>13.664400000000001</v>
          </cell>
          <cell r="J150">
            <v>62.428100000000001</v>
          </cell>
          <cell r="K150">
            <v>541.16</v>
          </cell>
          <cell r="L150">
            <v>29.758199999999999</v>
          </cell>
          <cell r="M150">
            <v>5.3555999999999999</v>
          </cell>
          <cell r="N150">
            <v>591.2079</v>
          </cell>
          <cell r="O150">
            <v>27.984000000000002</v>
          </cell>
          <cell r="P150">
            <v>24.047000000000001</v>
          </cell>
          <cell r="Q150">
            <v>348.90530000000001</v>
          </cell>
          <cell r="R150">
            <v>3.7040000000000002</v>
          </cell>
          <cell r="S150">
            <v>852.22050000000002</v>
          </cell>
          <cell r="T150">
            <v>135.29</v>
          </cell>
          <cell r="U150">
            <v>41.3431</v>
          </cell>
          <cell r="V150">
            <v>211.28649999999999</v>
          </cell>
          <cell r="W150">
            <v>238.06469999999999</v>
          </cell>
          <cell r="X150">
            <v>58.697000000000003</v>
          </cell>
          <cell r="Y150">
            <v>135.3844</v>
          </cell>
          <cell r="Z150">
            <v>2.3224999999999998</v>
          </cell>
          <cell r="AA150">
            <v>1.8609</v>
          </cell>
          <cell r="AB150">
            <v>300.08640000000003</v>
          </cell>
          <cell r="AC150">
            <v>10.843400000000001</v>
          </cell>
          <cell r="AD150">
            <v>4.8500000000000001E-2</v>
          </cell>
          <cell r="AE150">
            <v>10.4069</v>
          </cell>
          <cell r="AF150">
            <v>18.1342</v>
          </cell>
          <cell r="AG150">
            <v>1.5299</v>
          </cell>
          <cell r="AH150">
            <v>78.310699999999997</v>
          </cell>
          <cell r="AI150">
            <v>70.982399999999998</v>
          </cell>
          <cell r="AJ150">
            <v>13.5862</v>
          </cell>
          <cell r="AK150">
            <v>51.622999999999998</v>
          </cell>
          <cell r="AL150">
            <v>304.94080000000002</v>
          </cell>
          <cell r="AM150">
            <v>45.139499999999998</v>
          </cell>
          <cell r="AN150">
            <v>465.61410000000001</v>
          </cell>
          <cell r="AO150">
            <v>680.78229999999996</v>
          </cell>
        </row>
        <row r="151">
          <cell r="C151">
            <v>282.06729999999999</v>
          </cell>
          <cell r="D151">
            <v>33.792000000000002</v>
          </cell>
          <cell r="E151">
            <v>769.21069999999997</v>
          </cell>
          <cell r="F151">
            <v>11.7027</v>
          </cell>
          <cell r="G151">
            <v>115.2675</v>
          </cell>
          <cell r="H151">
            <v>3.9699999999999999E-2</v>
          </cell>
          <cell r="I151">
            <v>13.646000000000001</v>
          </cell>
          <cell r="J151">
            <v>62.337499999999999</v>
          </cell>
          <cell r="K151">
            <v>541.25</v>
          </cell>
          <cell r="L151">
            <v>29.7181</v>
          </cell>
          <cell r="M151">
            <v>5.3349000000000002</v>
          </cell>
          <cell r="N151">
            <v>590.41279999999995</v>
          </cell>
          <cell r="O151">
            <v>27.946300000000001</v>
          </cell>
          <cell r="P151">
            <v>24.014600000000002</v>
          </cell>
          <cell r="Q151">
            <v>351.19929999999999</v>
          </cell>
          <cell r="R151">
            <v>3.7046999999999999</v>
          </cell>
          <cell r="S151">
            <v>849.68600000000004</v>
          </cell>
          <cell r="T151">
            <v>135.3125</v>
          </cell>
          <cell r="U151">
            <v>41.474499999999999</v>
          </cell>
          <cell r="V151">
            <v>211.00229999999999</v>
          </cell>
          <cell r="W151">
            <v>237.74449999999999</v>
          </cell>
          <cell r="X151">
            <v>58.851799999999997</v>
          </cell>
          <cell r="Y151">
            <v>135.46619999999999</v>
          </cell>
          <cell r="Z151">
            <v>2.3193000000000001</v>
          </cell>
          <cell r="AA151">
            <v>1.8619000000000001</v>
          </cell>
          <cell r="AB151">
            <v>299.12380000000002</v>
          </cell>
          <cell r="AC151">
            <v>10.8604</v>
          </cell>
          <cell r="AD151">
            <v>4.8800000000000003E-2</v>
          </cell>
          <cell r="AE151">
            <v>10.4087</v>
          </cell>
          <cell r="AF151">
            <v>18.209800000000001</v>
          </cell>
          <cell r="AG151">
            <v>1.5302</v>
          </cell>
          <cell r="AH151">
            <v>78.205299999999994</v>
          </cell>
          <cell r="AI151">
            <v>70.886899999999997</v>
          </cell>
          <cell r="AJ151">
            <v>13.561199999999999</v>
          </cell>
          <cell r="AK151">
            <v>51.365699999999997</v>
          </cell>
          <cell r="AL151">
            <v>304.4708</v>
          </cell>
          <cell r="AM151">
            <v>44.908999999999999</v>
          </cell>
          <cell r="AN151">
            <v>464.98790000000002</v>
          </cell>
          <cell r="AO151">
            <v>679.75819999999999</v>
          </cell>
        </row>
        <row r="152">
          <cell r="C152">
            <v>282.06729999999999</v>
          </cell>
          <cell r="D152">
            <v>33.792000000000002</v>
          </cell>
          <cell r="E152">
            <v>769.21069999999997</v>
          </cell>
          <cell r="F152">
            <v>11.7027</v>
          </cell>
          <cell r="G152">
            <v>115.2675</v>
          </cell>
          <cell r="H152">
            <v>3.9699999999999999E-2</v>
          </cell>
          <cell r="I152">
            <v>13.646000000000001</v>
          </cell>
          <cell r="J152">
            <v>62.337499999999999</v>
          </cell>
          <cell r="K152">
            <v>541.25</v>
          </cell>
          <cell r="L152">
            <v>29.7181</v>
          </cell>
          <cell r="M152">
            <v>5.3349000000000002</v>
          </cell>
          <cell r="N152">
            <v>590.41279999999995</v>
          </cell>
          <cell r="O152">
            <v>27.946300000000001</v>
          </cell>
          <cell r="P152">
            <v>24.014600000000002</v>
          </cell>
          <cell r="Q152">
            <v>351.19929999999999</v>
          </cell>
          <cell r="R152">
            <v>3.7046999999999999</v>
          </cell>
          <cell r="S152">
            <v>849.68600000000004</v>
          </cell>
          <cell r="T152">
            <v>135.3125</v>
          </cell>
          <cell r="U152">
            <v>41.474499999999999</v>
          </cell>
          <cell r="V152">
            <v>211.00229999999999</v>
          </cell>
          <cell r="W152">
            <v>237.74449999999999</v>
          </cell>
          <cell r="X152">
            <v>58.851799999999997</v>
          </cell>
          <cell r="Y152">
            <v>135.46619999999999</v>
          </cell>
          <cell r="Z152">
            <v>2.3193000000000001</v>
          </cell>
          <cell r="AA152">
            <v>1.8619000000000001</v>
          </cell>
          <cell r="AB152">
            <v>299.12380000000002</v>
          </cell>
          <cell r="AC152">
            <v>10.8604</v>
          </cell>
          <cell r="AD152">
            <v>4.8800000000000003E-2</v>
          </cell>
          <cell r="AE152">
            <v>10.4087</v>
          </cell>
          <cell r="AF152">
            <v>18.209800000000001</v>
          </cell>
          <cell r="AG152">
            <v>1.5302</v>
          </cell>
          <cell r="AH152">
            <v>78.205299999999994</v>
          </cell>
          <cell r="AI152">
            <v>70.886899999999997</v>
          </cell>
          <cell r="AJ152">
            <v>13.561199999999999</v>
          </cell>
          <cell r="AK152">
            <v>51.365699999999997</v>
          </cell>
          <cell r="AL152">
            <v>304.4708</v>
          </cell>
          <cell r="AM152">
            <v>44.908999999999999</v>
          </cell>
          <cell r="AN152">
            <v>464.98790000000002</v>
          </cell>
          <cell r="AO152">
            <v>679.75819999999999</v>
          </cell>
        </row>
        <row r="153">
          <cell r="C153">
            <v>282.06729999999999</v>
          </cell>
          <cell r="D153">
            <v>33.792000000000002</v>
          </cell>
          <cell r="E153">
            <v>769.21069999999997</v>
          </cell>
          <cell r="F153">
            <v>11.7027</v>
          </cell>
          <cell r="G153">
            <v>115.2675</v>
          </cell>
          <cell r="H153">
            <v>3.9699999999999999E-2</v>
          </cell>
          <cell r="I153">
            <v>13.646000000000001</v>
          </cell>
          <cell r="J153">
            <v>62.337499999999999</v>
          </cell>
          <cell r="K153">
            <v>541.25</v>
          </cell>
          <cell r="L153">
            <v>29.7181</v>
          </cell>
          <cell r="M153">
            <v>5.3349000000000002</v>
          </cell>
          <cell r="N153">
            <v>590.41279999999995</v>
          </cell>
          <cell r="O153">
            <v>27.946300000000001</v>
          </cell>
          <cell r="P153">
            <v>24.014600000000002</v>
          </cell>
          <cell r="Q153">
            <v>351.19929999999999</v>
          </cell>
          <cell r="R153">
            <v>3.7046999999999999</v>
          </cell>
          <cell r="S153">
            <v>849.68600000000004</v>
          </cell>
          <cell r="T153">
            <v>135.3125</v>
          </cell>
          <cell r="U153">
            <v>41.474499999999999</v>
          </cell>
          <cell r="V153">
            <v>211.00229999999999</v>
          </cell>
          <cell r="W153">
            <v>237.74449999999999</v>
          </cell>
          <cell r="X153">
            <v>58.851799999999997</v>
          </cell>
          <cell r="Y153">
            <v>135.46619999999999</v>
          </cell>
          <cell r="Z153">
            <v>2.3193000000000001</v>
          </cell>
          <cell r="AA153">
            <v>1.8619000000000001</v>
          </cell>
          <cell r="AB153">
            <v>299.12380000000002</v>
          </cell>
          <cell r="AC153">
            <v>10.8604</v>
          </cell>
          <cell r="AD153">
            <v>4.8800000000000003E-2</v>
          </cell>
          <cell r="AE153">
            <v>10.4087</v>
          </cell>
          <cell r="AF153">
            <v>18.209800000000001</v>
          </cell>
          <cell r="AG153">
            <v>1.5302</v>
          </cell>
          <cell r="AH153">
            <v>78.205299999999994</v>
          </cell>
          <cell r="AI153">
            <v>70.886899999999997</v>
          </cell>
          <cell r="AJ153">
            <v>13.561199999999999</v>
          </cell>
          <cell r="AK153">
            <v>51.365699999999997</v>
          </cell>
          <cell r="AL153">
            <v>304.4708</v>
          </cell>
          <cell r="AM153">
            <v>44.908999999999999</v>
          </cell>
          <cell r="AN153">
            <v>464.98790000000002</v>
          </cell>
          <cell r="AO153">
            <v>679.75819999999999</v>
          </cell>
        </row>
        <row r="154">
          <cell r="C154">
            <v>281.49590000000001</v>
          </cell>
          <cell r="D154">
            <v>33.764499999999998</v>
          </cell>
          <cell r="E154">
            <v>768.20270000000005</v>
          </cell>
          <cell r="F154">
            <v>11.7027</v>
          </cell>
          <cell r="G154">
            <v>115.17359999999999</v>
          </cell>
          <cell r="H154">
            <v>3.9600000000000003E-2</v>
          </cell>
          <cell r="I154">
            <v>13.6349</v>
          </cell>
          <cell r="J154">
            <v>62.295099999999998</v>
          </cell>
          <cell r="K154">
            <v>541.25</v>
          </cell>
          <cell r="L154">
            <v>29.693899999999999</v>
          </cell>
          <cell r="M154">
            <v>5.3372999999999999</v>
          </cell>
          <cell r="N154">
            <v>589.93169999999998</v>
          </cell>
          <cell r="O154">
            <v>27.9236</v>
          </cell>
          <cell r="P154">
            <v>23.995100000000001</v>
          </cell>
          <cell r="Q154">
            <v>350.56889999999999</v>
          </cell>
          <cell r="R154">
            <v>3.7046999999999999</v>
          </cell>
          <cell r="S154">
            <v>849.68600000000004</v>
          </cell>
          <cell r="T154">
            <v>135.3125</v>
          </cell>
          <cell r="U154">
            <v>41.578600000000002</v>
          </cell>
          <cell r="V154">
            <v>210.8304</v>
          </cell>
          <cell r="W154">
            <v>237.55080000000001</v>
          </cell>
          <cell r="X154">
            <v>58.7258</v>
          </cell>
          <cell r="Y154">
            <v>134.56399999999999</v>
          </cell>
          <cell r="Z154">
            <v>2.3174999999999999</v>
          </cell>
          <cell r="AA154">
            <v>1.8619000000000001</v>
          </cell>
          <cell r="AB154">
            <v>298.70710000000003</v>
          </cell>
          <cell r="AC154">
            <v>10.839399999999999</v>
          </cell>
          <cell r="AD154">
            <v>4.8500000000000001E-2</v>
          </cell>
          <cell r="AE154">
            <v>10.4087</v>
          </cell>
          <cell r="AF154">
            <v>18.195</v>
          </cell>
          <cell r="AG154">
            <v>1.5235000000000001</v>
          </cell>
          <cell r="AH154">
            <v>78.141599999999997</v>
          </cell>
          <cell r="AI154">
            <v>70.8292</v>
          </cell>
          <cell r="AJ154">
            <v>13.5383</v>
          </cell>
          <cell r="AK154">
            <v>51.284199999999998</v>
          </cell>
          <cell r="AL154">
            <v>304.22280000000001</v>
          </cell>
          <cell r="AM154">
            <v>44.682499999999997</v>
          </cell>
          <cell r="AN154">
            <v>464.60899999999998</v>
          </cell>
          <cell r="AO154">
            <v>679.75819999999999</v>
          </cell>
        </row>
        <row r="155">
          <cell r="C155">
            <v>278.87720000000002</v>
          </cell>
          <cell r="D155">
            <v>33.659100000000002</v>
          </cell>
          <cell r="E155">
            <v>767.83690000000001</v>
          </cell>
          <cell r="F155">
            <v>11.7098</v>
          </cell>
          <cell r="G155">
            <v>114.8142</v>
          </cell>
          <cell r="H155">
            <v>3.9600000000000003E-2</v>
          </cell>
          <cell r="I155">
            <v>13.5923</v>
          </cell>
          <cell r="J155">
            <v>62.106499999999997</v>
          </cell>
          <cell r="K155">
            <v>541.58000000000004</v>
          </cell>
          <cell r="L155">
            <v>29.601299999999998</v>
          </cell>
          <cell r="M155">
            <v>5.2488999999999999</v>
          </cell>
          <cell r="N155">
            <v>588.09090000000003</v>
          </cell>
          <cell r="O155">
            <v>27.836400000000001</v>
          </cell>
          <cell r="P155">
            <v>23.920200000000001</v>
          </cell>
          <cell r="Q155">
            <v>351.75760000000002</v>
          </cell>
          <cell r="R155">
            <v>3.7069000000000001</v>
          </cell>
          <cell r="S155">
            <v>851.54089999999997</v>
          </cell>
          <cell r="T155">
            <v>135.39500000000001</v>
          </cell>
          <cell r="U155">
            <v>41.646900000000002</v>
          </cell>
          <cell r="V155">
            <v>210.17250000000001</v>
          </cell>
          <cell r="W155">
            <v>236.80950000000001</v>
          </cell>
          <cell r="X155">
            <v>58.728099999999998</v>
          </cell>
          <cell r="Y155">
            <v>134.13630000000001</v>
          </cell>
          <cell r="Z155">
            <v>2.3102</v>
          </cell>
          <cell r="AA155">
            <v>1.8611</v>
          </cell>
          <cell r="AB155">
            <v>299.79880000000003</v>
          </cell>
          <cell r="AC155">
            <v>10.7867</v>
          </cell>
          <cell r="AD155">
            <v>4.8399999999999999E-2</v>
          </cell>
          <cell r="AE155">
            <v>10.414999999999999</v>
          </cell>
          <cell r="AF155">
            <v>18.2346</v>
          </cell>
          <cell r="AG155">
            <v>1.5245</v>
          </cell>
          <cell r="AH155">
            <v>77.897800000000004</v>
          </cell>
          <cell r="AI155">
            <v>70.608199999999997</v>
          </cell>
          <cell r="AJ155">
            <v>13.5351</v>
          </cell>
          <cell r="AK155">
            <v>51.262799999999999</v>
          </cell>
          <cell r="AL155">
            <v>303.51190000000003</v>
          </cell>
          <cell r="AM155">
            <v>45.019399999999997</v>
          </cell>
          <cell r="AN155">
            <v>463.1592</v>
          </cell>
          <cell r="AO155">
            <v>680.05050000000006</v>
          </cell>
        </row>
        <row r="156">
          <cell r="C156">
            <v>277.95409999999998</v>
          </cell>
          <cell r="D156">
            <v>33.679000000000002</v>
          </cell>
          <cell r="E156">
            <v>769.31079999999997</v>
          </cell>
          <cell r="F156">
            <v>11.708500000000001</v>
          </cell>
          <cell r="G156">
            <v>114.88200000000001</v>
          </cell>
          <cell r="H156">
            <v>3.95E-2</v>
          </cell>
          <cell r="I156">
            <v>13.6004</v>
          </cell>
          <cell r="J156">
            <v>62.149900000000002</v>
          </cell>
          <cell r="K156">
            <v>541.52</v>
          </cell>
          <cell r="L156">
            <v>29.6188</v>
          </cell>
          <cell r="M156">
            <v>5.1860999999999997</v>
          </cell>
          <cell r="N156">
            <v>588.43830000000003</v>
          </cell>
          <cell r="O156">
            <v>27.852900000000002</v>
          </cell>
          <cell r="P156">
            <v>23.9343</v>
          </cell>
          <cell r="Q156">
            <v>351.24509999999998</v>
          </cell>
          <cell r="R156">
            <v>3.7065000000000001</v>
          </cell>
          <cell r="S156">
            <v>850.10990000000004</v>
          </cell>
          <cell r="T156">
            <v>135.38</v>
          </cell>
          <cell r="U156">
            <v>41.720500000000001</v>
          </cell>
          <cell r="V156">
            <v>210.29660000000001</v>
          </cell>
          <cell r="W156">
            <v>236.9494</v>
          </cell>
          <cell r="X156">
            <v>58.603000000000002</v>
          </cell>
          <cell r="Y156">
            <v>135.2141</v>
          </cell>
          <cell r="Z156">
            <v>2.3115999999999999</v>
          </cell>
          <cell r="AA156">
            <v>1.8614999999999999</v>
          </cell>
          <cell r="AB156">
            <v>299.29790000000003</v>
          </cell>
          <cell r="AC156">
            <v>10.807399999999999</v>
          </cell>
          <cell r="AD156">
            <v>4.7199999999999999E-2</v>
          </cell>
          <cell r="AE156">
            <v>10.4138</v>
          </cell>
          <cell r="AF156">
            <v>18.270600000000002</v>
          </cell>
          <cell r="AG156">
            <v>1.5243</v>
          </cell>
          <cell r="AH156">
            <v>77.943799999999996</v>
          </cell>
          <cell r="AI156">
            <v>70.649900000000002</v>
          </cell>
          <cell r="AJ156">
            <v>13.5761</v>
          </cell>
          <cell r="AK156">
            <v>51.038899999999998</v>
          </cell>
          <cell r="AL156">
            <v>303.85050000000001</v>
          </cell>
          <cell r="AM156">
            <v>45.094200000000001</v>
          </cell>
          <cell r="AN156">
            <v>463.43279999999999</v>
          </cell>
          <cell r="AO156">
            <v>679.18799999999999</v>
          </cell>
        </row>
        <row r="157">
          <cell r="C157">
            <v>281.71317419354841</v>
          </cell>
          <cell r="D157">
            <v>34.545280645161291</v>
          </cell>
          <cell r="E157">
            <v>772.95494516129031</v>
          </cell>
          <cell r="F157">
            <v>11.706667741935483</v>
          </cell>
          <cell r="G157">
            <v>117.83700645161289</v>
          </cell>
          <cell r="H157">
            <v>3.9812903225806474E-2</v>
          </cell>
          <cell r="I157">
            <v>13.950206451612907</v>
          </cell>
          <cell r="J157">
            <v>63.705187096774203</v>
          </cell>
          <cell r="K157">
            <v>541.36935483870957</v>
          </cell>
          <cell r="L157">
            <v>30.380616129032266</v>
          </cell>
          <cell r="M157">
            <v>5.407712903225808</v>
          </cell>
          <cell r="N157">
            <v>603.5741096774193</v>
          </cell>
          <cell r="O157">
            <v>28.569293548387098</v>
          </cell>
          <cell r="P157">
            <v>24.549958064516126</v>
          </cell>
          <cell r="Q157">
            <v>351.38835483870974</v>
          </cell>
          <cell r="R157">
            <v>3.7106032258064516</v>
          </cell>
          <cell r="S157">
            <v>856.40079677419362</v>
          </cell>
          <cell r="T157">
            <v>135.34233870967739</v>
          </cell>
          <cell r="U157">
            <v>41.529903225806457</v>
          </cell>
          <cell r="V157">
            <v>215.70590645161286</v>
          </cell>
          <cell r="W157">
            <v>243.0442516129032</v>
          </cell>
          <cell r="X157">
            <v>59.360680645161281</v>
          </cell>
          <cell r="Y157">
            <v>136.00384838709675</v>
          </cell>
          <cell r="Z157">
            <v>2.3710516129032251</v>
          </cell>
          <cell r="AA157">
            <v>1.8665064516129035</v>
          </cell>
          <cell r="AB157">
            <v>298.38135483870968</v>
          </cell>
          <cell r="AC157">
            <v>11.005000000000003</v>
          </cell>
          <cell r="AD157">
            <v>4.7777419354838709E-2</v>
          </cell>
          <cell r="AE157">
            <v>10.41095806451613</v>
          </cell>
          <cell r="AF157">
            <v>18.352554838709679</v>
          </cell>
          <cell r="AG157">
            <v>1.5417193548387094</v>
          </cell>
          <cell r="AH157">
            <v>79.948687096774208</v>
          </cell>
          <cell r="AI157">
            <v>72.467135483870976</v>
          </cell>
          <cell r="AJ157">
            <v>13.81368709677419</v>
          </cell>
          <cell r="AK157">
            <v>52.498751612903227</v>
          </cell>
          <cell r="AL157">
            <v>309.76966451612901</v>
          </cell>
          <cell r="AM157">
            <v>44.331932258064526</v>
          </cell>
          <cell r="AN157">
            <v>475.3532548387098</v>
          </cell>
          <cell r="AO157">
            <v>683.85423548387109</v>
          </cell>
        </row>
        <row r="158">
          <cell r="C158">
            <v>274.51639999999998</v>
          </cell>
          <cell r="D158">
            <v>33.370199999999997</v>
          </cell>
          <cell r="E158">
            <v>768.76530000000002</v>
          </cell>
          <cell r="F158">
            <v>11.7079</v>
          </cell>
          <cell r="G158">
            <v>113.82859999999999</v>
          </cell>
          <cell r="H158">
            <v>3.9600000000000003E-2</v>
          </cell>
          <cell r="I158">
            <v>13.4757</v>
          </cell>
          <cell r="J158">
            <v>61.589100000000002</v>
          </cell>
          <cell r="K158">
            <v>541.49</v>
          </cell>
          <cell r="L158">
            <v>29.347200000000001</v>
          </cell>
          <cell r="M158">
            <v>5.1703999999999999</v>
          </cell>
          <cell r="N158">
            <v>583.04280000000006</v>
          </cell>
          <cell r="O158">
            <v>27.5975</v>
          </cell>
          <cell r="P158">
            <v>23.7148</v>
          </cell>
          <cell r="Q158">
            <v>349.29520000000002</v>
          </cell>
          <cell r="R158">
            <v>3.7063000000000001</v>
          </cell>
          <cell r="S158">
            <v>851.39940000000001</v>
          </cell>
          <cell r="T158">
            <v>135.3725</v>
          </cell>
          <cell r="U158">
            <v>41.784199999999998</v>
          </cell>
          <cell r="V158">
            <v>208.36840000000001</v>
          </cell>
          <cell r="W158">
            <v>234.77680000000001</v>
          </cell>
          <cell r="X158">
            <v>57.904600000000002</v>
          </cell>
          <cell r="Y158">
            <v>135.33260000000001</v>
          </cell>
          <cell r="Z158">
            <v>2.2904</v>
          </cell>
          <cell r="AA158">
            <v>1.8582000000000001</v>
          </cell>
          <cell r="AB158">
            <v>299.22030000000001</v>
          </cell>
          <cell r="AC158">
            <v>10.693899999999999</v>
          </cell>
          <cell r="AD158">
            <v>4.6100000000000002E-2</v>
          </cell>
          <cell r="AE158">
            <v>10.4133</v>
          </cell>
          <cell r="AF158">
            <v>18.0959</v>
          </cell>
          <cell r="AG158">
            <v>1.5242</v>
          </cell>
          <cell r="AH158">
            <v>77.229100000000003</v>
          </cell>
          <cell r="AI158">
            <v>70.002099999999999</v>
          </cell>
          <cell r="AJ158">
            <v>13.4284</v>
          </cell>
          <cell r="AK158">
            <v>50.3215</v>
          </cell>
          <cell r="AL158">
            <v>301.97519999999997</v>
          </cell>
          <cell r="AM158">
            <v>45.463700000000003</v>
          </cell>
          <cell r="AN158">
            <v>459.18349999999998</v>
          </cell>
          <cell r="AO158">
            <v>679.15039999999999</v>
          </cell>
        </row>
        <row r="159">
          <cell r="C159">
            <v>275.54520000000002</v>
          </cell>
          <cell r="D159">
            <v>33.3611</v>
          </cell>
          <cell r="E159">
            <v>767.91279999999995</v>
          </cell>
          <cell r="F159">
            <v>11.7075</v>
          </cell>
          <cell r="G159">
            <v>113.7976</v>
          </cell>
          <cell r="H159">
            <v>3.95E-2</v>
          </cell>
          <cell r="I159">
            <v>13.472</v>
          </cell>
          <cell r="J159">
            <v>61.5657</v>
          </cell>
          <cell r="K159">
            <v>541.47</v>
          </cell>
          <cell r="L159">
            <v>29.339200000000002</v>
          </cell>
          <cell r="M159">
            <v>5.2260999999999997</v>
          </cell>
          <cell r="N159">
            <v>582.88379999999995</v>
          </cell>
          <cell r="O159">
            <v>27.59</v>
          </cell>
          <cell r="P159">
            <v>23.708400000000001</v>
          </cell>
          <cell r="Q159">
            <v>352.87740000000002</v>
          </cell>
          <cell r="R159">
            <v>3.7061999999999999</v>
          </cell>
          <cell r="S159">
            <v>851.36789999999996</v>
          </cell>
          <cell r="T159">
            <v>135.36750000000001</v>
          </cell>
          <cell r="U159">
            <v>41.8292</v>
          </cell>
          <cell r="V159">
            <v>208.3116</v>
          </cell>
          <cell r="W159">
            <v>234.71279999999999</v>
          </cell>
          <cell r="X159">
            <v>57.511699999999998</v>
          </cell>
          <cell r="Y159">
            <v>135.89240000000001</v>
          </cell>
          <cell r="Z159">
            <v>2.2898000000000001</v>
          </cell>
          <cell r="AA159">
            <v>1.8574999999999999</v>
          </cell>
          <cell r="AB159">
            <v>299.2167</v>
          </cell>
          <cell r="AC159">
            <v>10.7012</v>
          </cell>
          <cell r="AD159">
            <v>4.7100000000000003E-2</v>
          </cell>
          <cell r="AE159">
            <v>10.4129</v>
          </cell>
          <cell r="AF159">
            <v>18.1052</v>
          </cell>
          <cell r="AG159">
            <v>1.5242</v>
          </cell>
          <cell r="AH159">
            <v>77.208100000000002</v>
          </cell>
          <cell r="AI159">
            <v>69.983000000000004</v>
          </cell>
          <cell r="AJ159">
            <v>13.480700000000001</v>
          </cell>
          <cell r="AK159">
            <v>50.047199999999997</v>
          </cell>
          <cell r="AL159">
            <v>301.83330000000001</v>
          </cell>
          <cell r="AM159">
            <v>45.622999999999998</v>
          </cell>
          <cell r="AN159">
            <v>459.05829999999997</v>
          </cell>
          <cell r="AO159">
            <v>679.20029999999997</v>
          </cell>
        </row>
        <row r="160">
          <cell r="C160">
            <v>275.54520000000002</v>
          </cell>
          <cell r="D160">
            <v>33.3611</v>
          </cell>
          <cell r="E160">
            <v>767.91279999999995</v>
          </cell>
          <cell r="F160">
            <v>11.7075</v>
          </cell>
          <cell r="G160">
            <v>113.7976</v>
          </cell>
          <cell r="H160">
            <v>3.95E-2</v>
          </cell>
          <cell r="I160">
            <v>13.472</v>
          </cell>
          <cell r="J160">
            <v>61.5657</v>
          </cell>
          <cell r="K160">
            <v>541.47</v>
          </cell>
          <cell r="L160">
            <v>29.339200000000002</v>
          </cell>
          <cell r="M160">
            <v>5.2260999999999997</v>
          </cell>
          <cell r="N160">
            <v>582.88379999999995</v>
          </cell>
          <cell r="O160">
            <v>27.59</v>
          </cell>
          <cell r="P160">
            <v>23.708400000000001</v>
          </cell>
          <cell r="Q160">
            <v>352.87740000000002</v>
          </cell>
          <cell r="R160">
            <v>3.7061999999999999</v>
          </cell>
          <cell r="S160">
            <v>851.36789999999996</v>
          </cell>
          <cell r="T160">
            <v>135.36750000000001</v>
          </cell>
          <cell r="U160">
            <v>41.8292</v>
          </cell>
          <cell r="V160">
            <v>208.3116</v>
          </cell>
          <cell r="W160">
            <v>234.71279999999999</v>
          </cell>
          <cell r="X160">
            <v>57.511699999999998</v>
          </cell>
          <cell r="Y160">
            <v>135.89240000000001</v>
          </cell>
          <cell r="Z160">
            <v>2.2898000000000001</v>
          </cell>
          <cell r="AA160">
            <v>1.8574999999999999</v>
          </cell>
          <cell r="AB160">
            <v>299.2167</v>
          </cell>
          <cell r="AC160">
            <v>10.7012</v>
          </cell>
          <cell r="AD160">
            <v>4.7100000000000003E-2</v>
          </cell>
          <cell r="AE160">
            <v>10.4129</v>
          </cell>
          <cell r="AF160">
            <v>18.1052</v>
          </cell>
          <cell r="AG160">
            <v>1.5242</v>
          </cell>
          <cell r="AH160">
            <v>77.208100000000002</v>
          </cell>
          <cell r="AI160">
            <v>69.983000000000004</v>
          </cell>
          <cell r="AJ160">
            <v>13.480700000000001</v>
          </cell>
          <cell r="AK160">
            <v>50.047199999999997</v>
          </cell>
          <cell r="AL160">
            <v>301.83330000000001</v>
          </cell>
          <cell r="AM160">
            <v>45.622999999999998</v>
          </cell>
          <cell r="AN160">
            <v>459.05829999999997</v>
          </cell>
          <cell r="AO160">
            <v>679.20029999999997</v>
          </cell>
        </row>
        <row r="161">
          <cell r="C161">
            <v>275.54520000000002</v>
          </cell>
          <cell r="D161">
            <v>33.3611</v>
          </cell>
          <cell r="E161">
            <v>767.91279999999995</v>
          </cell>
          <cell r="F161">
            <v>11.7075</v>
          </cell>
          <cell r="G161">
            <v>113.7976</v>
          </cell>
          <cell r="H161">
            <v>3.95E-2</v>
          </cell>
          <cell r="I161">
            <v>13.472</v>
          </cell>
          <cell r="J161">
            <v>61.5657</v>
          </cell>
          <cell r="K161">
            <v>541.47</v>
          </cell>
          <cell r="L161">
            <v>29.339200000000002</v>
          </cell>
          <cell r="M161">
            <v>5.2260999999999997</v>
          </cell>
          <cell r="N161">
            <v>582.88379999999995</v>
          </cell>
          <cell r="O161">
            <v>27.59</v>
          </cell>
          <cell r="P161">
            <v>23.708400000000001</v>
          </cell>
          <cell r="Q161">
            <v>352.87740000000002</v>
          </cell>
          <cell r="R161">
            <v>3.7061999999999999</v>
          </cell>
          <cell r="S161">
            <v>851.36789999999996</v>
          </cell>
          <cell r="T161">
            <v>135.36750000000001</v>
          </cell>
          <cell r="U161">
            <v>41.8292</v>
          </cell>
          <cell r="V161">
            <v>208.3116</v>
          </cell>
          <cell r="W161">
            <v>234.71279999999999</v>
          </cell>
          <cell r="X161">
            <v>57.511699999999998</v>
          </cell>
          <cell r="Y161">
            <v>135.89240000000001</v>
          </cell>
          <cell r="Z161">
            <v>2.2898000000000001</v>
          </cell>
          <cell r="AA161">
            <v>1.8574999999999999</v>
          </cell>
          <cell r="AB161">
            <v>299.2167</v>
          </cell>
          <cell r="AC161">
            <v>10.7012</v>
          </cell>
          <cell r="AD161">
            <v>4.7100000000000003E-2</v>
          </cell>
          <cell r="AE161">
            <v>10.4129</v>
          </cell>
          <cell r="AF161">
            <v>18.1052</v>
          </cell>
          <cell r="AG161">
            <v>1.5242</v>
          </cell>
          <cell r="AH161">
            <v>77.208100000000002</v>
          </cell>
          <cell r="AI161">
            <v>69.983000000000004</v>
          </cell>
          <cell r="AJ161">
            <v>13.480700000000001</v>
          </cell>
          <cell r="AK161">
            <v>50.047199999999997</v>
          </cell>
          <cell r="AL161">
            <v>301.83330000000001</v>
          </cell>
          <cell r="AM161">
            <v>45.622999999999998</v>
          </cell>
          <cell r="AN161">
            <v>459.05829999999997</v>
          </cell>
          <cell r="AO161">
            <v>679.20029999999997</v>
          </cell>
        </row>
        <row r="162">
          <cell r="C162">
            <v>275.54520000000002</v>
          </cell>
          <cell r="D162">
            <v>33.3611</v>
          </cell>
          <cell r="E162">
            <v>767.91279999999995</v>
          </cell>
          <cell r="F162">
            <v>11.7075</v>
          </cell>
          <cell r="G162">
            <v>113.7976</v>
          </cell>
          <cell r="H162">
            <v>3.95E-2</v>
          </cell>
          <cell r="I162">
            <v>13.472</v>
          </cell>
          <cell r="J162">
            <v>61.5657</v>
          </cell>
          <cell r="K162">
            <v>541.47</v>
          </cell>
          <cell r="L162">
            <v>29.339200000000002</v>
          </cell>
          <cell r="M162">
            <v>5.2260999999999997</v>
          </cell>
          <cell r="N162">
            <v>582.88379999999995</v>
          </cell>
          <cell r="O162">
            <v>27.59</v>
          </cell>
          <cell r="P162">
            <v>23.708400000000001</v>
          </cell>
          <cell r="Q162">
            <v>352.87740000000002</v>
          </cell>
          <cell r="R162">
            <v>3.7061999999999999</v>
          </cell>
          <cell r="S162">
            <v>851.36789999999996</v>
          </cell>
          <cell r="T162">
            <v>135.36750000000001</v>
          </cell>
          <cell r="U162">
            <v>41.8292</v>
          </cell>
          <cell r="V162">
            <v>208.3116</v>
          </cell>
          <cell r="W162">
            <v>234.71279999999999</v>
          </cell>
          <cell r="X162">
            <v>57.511699999999998</v>
          </cell>
          <cell r="Y162">
            <v>135.89240000000001</v>
          </cell>
          <cell r="Z162">
            <v>2.2898000000000001</v>
          </cell>
          <cell r="AA162">
            <v>1.8574999999999999</v>
          </cell>
          <cell r="AB162">
            <v>299.2167</v>
          </cell>
          <cell r="AC162">
            <v>10.7012</v>
          </cell>
          <cell r="AD162">
            <v>4.7100000000000003E-2</v>
          </cell>
          <cell r="AE162">
            <v>10.4129</v>
          </cell>
          <cell r="AF162">
            <v>18.1052</v>
          </cell>
          <cell r="AG162">
            <v>1.5242</v>
          </cell>
          <cell r="AH162">
            <v>77.208100000000002</v>
          </cell>
          <cell r="AI162">
            <v>69.983000000000004</v>
          </cell>
          <cell r="AJ162">
            <v>13.480700000000001</v>
          </cell>
          <cell r="AK162">
            <v>50.047199999999997</v>
          </cell>
          <cell r="AL162">
            <v>301.83330000000001</v>
          </cell>
          <cell r="AM162">
            <v>45.622999999999998</v>
          </cell>
          <cell r="AN162">
            <v>459.05829999999997</v>
          </cell>
          <cell r="AO162">
            <v>679.20029999999997</v>
          </cell>
        </row>
        <row r="163">
          <cell r="C163">
            <v>274.84980000000002</v>
          </cell>
          <cell r="D163">
            <v>33.306800000000003</v>
          </cell>
          <cell r="E163">
            <v>764.10810000000004</v>
          </cell>
          <cell r="F163">
            <v>11.686199999999999</v>
          </cell>
          <cell r="G163">
            <v>113.6126</v>
          </cell>
          <cell r="H163">
            <v>3.9199999999999999E-2</v>
          </cell>
          <cell r="I163">
            <v>13.450100000000001</v>
          </cell>
          <cell r="J163">
            <v>61.468899999999998</v>
          </cell>
          <cell r="K163">
            <v>541.41999999999996</v>
          </cell>
          <cell r="L163">
            <v>29.291499999999999</v>
          </cell>
          <cell r="M163">
            <v>5.1368999999999998</v>
          </cell>
          <cell r="N163">
            <v>581.93619999999999</v>
          </cell>
          <cell r="O163">
            <v>27.545100000000001</v>
          </cell>
          <cell r="P163">
            <v>23.669799999999999</v>
          </cell>
          <cell r="Q163">
            <v>352.41219999999998</v>
          </cell>
          <cell r="R163">
            <v>3.7008000000000001</v>
          </cell>
          <cell r="S163">
            <v>849.9529</v>
          </cell>
          <cell r="T163">
            <v>135.35499999999999</v>
          </cell>
          <cell r="U163">
            <v>41.8292</v>
          </cell>
          <cell r="V163">
            <v>207.97290000000001</v>
          </cell>
          <cell r="W163">
            <v>234.3312</v>
          </cell>
          <cell r="X163">
            <v>57.511899999999997</v>
          </cell>
          <cell r="Y163">
            <v>135.8767</v>
          </cell>
          <cell r="Z163">
            <v>2.2860999999999998</v>
          </cell>
          <cell r="AA163">
            <v>1.8567</v>
          </cell>
          <cell r="AB163">
            <v>298.96409999999997</v>
          </cell>
          <cell r="AC163">
            <v>10.686</v>
          </cell>
          <cell r="AD163">
            <v>4.6300000000000001E-2</v>
          </cell>
          <cell r="AE163">
            <v>10.411899999999999</v>
          </cell>
          <cell r="AF163">
            <v>18.215199999999999</v>
          </cell>
          <cell r="AG163">
            <v>1.5102</v>
          </cell>
          <cell r="AH163">
            <v>77.082499999999996</v>
          </cell>
          <cell r="AI163">
            <v>69.869200000000006</v>
          </cell>
          <cell r="AJ163">
            <v>13.4976</v>
          </cell>
          <cell r="AK163">
            <v>49.5944</v>
          </cell>
          <cell r="AL163">
            <v>302.67599999999999</v>
          </cell>
          <cell r="AM163">
            <v>45.180599999999998</v>
          </cell>
          <cell r="AN163">
            <v>458.31200000000001</v>
          </cell>
          <cell r="AO163">
            <v>677.0924</v>
          </cell>
        </row>
        <row r="164">
          <cell r="C164">
            <v>278.80489999999998</v>
          </cell>
          <cell r="D164">
            <v>33.611899999999999</v>
          </cell>
          <cell r="E164">
            <v>759.83159999999998</v>
          </cell>
          <cell r="F164">
            <v>11.685499999999999</v>
          </cell>
          <cell r="G164">
            <v>114.65309999999999</v>
          </cell>
          <cell r="H164">
            <v>3.9E-2</v>
          </cell>
          <cell r="I164">
            <v>13.5733</v>
          </cell>
          <cell r="J164">
            <v>62.017699999999998</v>
          </cell>
          <cell r="K164">
            <v>541.39</v>
          </cell>
          <cell r="L164">
            <v>29.559699999999999</v>
          </cell>
          <cell r="M164">
            <v>5.1962000000000002</v>
          </cell>
          <cell r="N164">
            <v>587.26589999999999</v>
          </cell>
          <cell r="O164">
            <v>27.7974</v>
          </cell>
          <cell r="P164">
            <v>23.886600000000001</v>
          </cell>
          <cell r="Q164">
            <v>354.49489999999997</v>
          </cell>
          <cell r="R164">
            <v>3.7004999999999999</v>
          </cell>
          <cell r="S164">
            <v>847.24570000000006</v>
          </cell>
          <cell r="T164">
            <v>135.3475</v>
          </cell>
          <cell r="U164">
            <v>41.868899999999996</v>
          </cell>
          <cell r="V164">
            <v>209.8777</v>
          </cell>
          <cell r="W164">
            <v>236.47730000000001</v>
          </cell>
          <cell r="X164">
            <v>58.049500000000002</v>
          </cell>
          <cell r="Y164">
            <v>135.67310000000001</v>
          </cell>
          <cell r="Z164">
            <v>2.3069999999999999</v>
          </cell>
          <cell r="AA164">
            <v>1.8566</v>
          </cell>
          <cell r="AB164">
            <v>298.77870000000001</v>
          </cell>
          <cell r="AC164">
            <v>10.7761</v>
          </cell>
          <cell r="AD164">
            <v>4.5999999999999999E-2</v>
          </cell>
          <cell r="AE164">
            <v>10.411300000000001</v>
          </cell>
          <cell r="AF164">
            <v>18.474499999999999</v>
          </cell>
          <cell r="AG164">
            <v>1.5101</v>
          </cell>
          <cell r="AH164">
            <v>77.788499999999999</v>
          </cell>
          <cell r="AI164">
            <v>70.509100000000004</v>
          </cell>
          <cell r="AJ164">
            <v>13.5526</v>
          </cell>
          <cell r="AK164">
            <v>50.122900000000001</v>
          </cell>
          <cell r="AL164">
            <v>304.66340000000002</v>
          </cell>
          <cell r="AM164">
            <v>44.847200000000001</v>
          </cell>
          <cell r="AN164">
            <v>462.5095</v>
          </cell>
          <cell r="AO164">
            <v>678.02239999999995</v>
          </cell>
        </row>
        <row r="165">
          <cell r="C165">
            <v>279.91309999999999</v>
          </cell>
          <cell r="D165">
            <v>33.310200000000002</v>
          </cell>
          <cell r="E165">
            <v>748.46130000000005</v>
          </cell>
          <cell r="F165">
            <v>11.6859</v>
          </cell>
          <cell r="G165">
            <v>113.62390000000001</v>
          </cell>
          <cell r="H165">
            <v>3.9E-2</v>
          </cell>
          <cell r="I165">
            <v>13.4514</v>
          </cell>
          <cell r="J165">
            <v>61.471699999999998</v>
          </cell>
          <cell r="K165">
            <v>541.41</v>
          </cell>
          <cell r="L165">
            <v>29.2944</v>
          </cell>
          <cell r="M165">
            <v>5.1955999999999998</v>
          </cell>
          <cell r="N165">
            <v>581.99419999999998</v>
          </cell>
          <cell r="O165">
            <v>27.547899999999998</v>
          </cell>
          <cell r="P165">
            <v>23.6722</v>
          </cell>
          <cell r="Q165">
            <v>355.92309999999998</v>
          </cell>
          <cell r="R165">
            <v>3.7006999999999999</v>
          </cell>
          <cell r="S165">
            <v>848.60500000000002</v>
          </cell>
          <cell r="T165">
            <v>135.35249999999999</v>
          </cell>
          <cell r="U165">
            <v>41.870399999999997</v>
          </cell>
          <cell r="V165">
            <v>207.99369999999999</v>
          </cell>
          <cell r="W165">
            <v>234.3546</v>
          </cell>
          <cell r="X165">
            <v>57.615200000000002</v>
          </cell>
          <cell r="Y165">
            <v>135.74940000000001</v>
          </cell>
          <cell r="Z165">
            <v>2.2863000000000002</v>
          </cell>
          <cell r="AA165">
            <v>1.8567</v>
          </cell>
          <cell r="AB165">
            <v>299.1891</v>
          </cell>
          <cell r="AC165">
            <v>10.664400000000001</v>
          </cell>
          <cell r="AD165">
            <v>4.6399999999999997E-2</v>
          </cell>
          <cell r="AE165">
            <v>10.4117</v>
          </cell>
          <cell r="AF165">
            <v>18.402799999999999</v>
          </cell>
          <cell r="AG165">
            <v>1.5102</v>
          </cell>
          <cell r="AH165">
            <v>77.090199999999996</v>
          </cell>
          <cell r="AI165">
            <v>69.876199999999997</v>
          </cell>
          <cell r="AJ165">
            <v>13.4514</v>
          </cell>
          <cell r="AK165">
            <v>49.189500000000002</v>
          </cell>
          <cell r="AL165">
            <v>300.83859999999999</v>
          </cell>
          <cell r="AM165">
            <v>45.069600000000001</v>
          </cell>
          <cell r="AN165">
            <v>458.35770000000002</v>
          </cell>
          <cell r="AO165">
            <v>676.21389999999997</v>
          </cell>
        </row>
        <row r="166">
          <cell r="C166">
            <v>283.10019999999997</v>
          </cell>
          <cell r="D166">
            <v>33.302599999999998</v>
          </cell>
          <cell r="E166">
            <v>747.80399999999997</v>
          </cell>
          <cell r="F166">
            <v>11.6806</v>
          </cell>
          <cell r="G166">
            <v>113.59829999999999</v>
          </cell>
          <cell r="H166">
            <v>3.9E-2</v>
          </cell>
          <cell r="I166">
            <v>13.448399999999999</v>
          </cell>
          <cell r="J166">
            <v>61.472700000000003</v>
          </cell>
          <cell r="K166">
            <v>541.16</v>
          </cell>
          <cell r="L166">
            <v>29.287800000000001</v>
          </cell>
          <cell r="M166">
            <v>5.1763000000000003</v>
          </cell>
          <cell r="N166">
            <v>581.86289999999997</v>
          </cell>
          <cell r="O166">
            <v>27.541599999999999</v>
          </cell>
          <cell r="P166">
            <v>23.666899999999998</v>
          </cell>
          <cell r="Q166">
            <v>356.23</v>
          </cell>
          <cell r="R166">
            <v>3.6989999999999998</v>
          </cell>
          <cell r="S166">
            <v>848.21320000000003</v>
          </cell>
          <cell r="T166">
            <v>135.29</v>
          </cell>
          <cell r="U166">
            <v>41.864100000000001</v>
          </cell>
          <cell r="V166">
            <v>207.94669999999999</v>
          </cell>
          <cell r="W166">
            <v>234.30170000000001</v>
          </cell>
          <cell r="X166">
            <v>57.634799999999998</v>
          </cell>
          <cell r="Y166">
            <v>135.86760000000001</v>
          </cell>
          <cell r="Z166">
            <v>2.2858000000000001</v>
          </cell>
          <cell r="AA166">
            <v>1.8576999999999999</v>
          </cell>
          <cell r="AB166">
            <v>298.92649999999998</v>
          </cell>
          <cell r="AC166">
            <v>10.6541</v>
          </cell>
          <cell r="AD166">
            <v>4.6399999999999997E-2</v>
          </cell>
          <cell r="AE166">
            <v>10.4069</v>
          </cell>
          <cell r="AF166">
            <v>18.287700000000001</v>
          </cell>
          <cell r="AG166">
            <v>1.5095000000000001</v>
          </cell>
          <cell r="AH166">
            <v>77.072800000000001</v>
          </cell>
          <cell r="AI166">
            <v>69.860399999999998</v>
          </cell>
          <cell r="AJ166">
            <v>13.446</v>
          </cell>
          <cell r="AK166">
            <v>49.153599999999997</v>
          </cell>
          <cell r="AL166">
            <v>301.10669999999999</v>
          </cell>
          <cell r="AM166">
            <v>44.865299999999998</v>
          </cell>
          <cell r="AN166">
            <v>458.2543</v>
          </cell>
          <cell r="AO166">
            <v>675.47649999999999</v>
          </cell>
        </row>
        <row r="167">
          <cell r="C167">
            <v>283.10019999999997</v>
          </cell>
          <cell r="D167">
            <v>33.302599999999998</v>
          </cell>
          <cell r="E167">
            <v>747.80399999999997</v>
          </cell>
          <cell r="F167">
            <v>11.6806</v>
          </cell>
          <cell r="G167">
            <v>113.59829999999999</v>
          </cell>
          <cell r="H167">
            <v>3.9E-2</v>
          </cell>
          <cell r="I167">
            <v>13.448399999999999</v>
          </cell>
          <cell r="J167">
            <v>61.472700000000003</v>
          </cell>
          <cell r="K167">
            <v>541.16</v>
          </cell>
          <cell r="L167">
            <v>29.287800000000001</v>
          </cell>
          <cell r="M167">
            <v>5.1763000000000003</v>
          </cell>
          <cell r="N167">
            <v>581.86289999999997</v>
          </cell>
          <cell r="O167">
            <v>27.541599999999999</v>
          </cell>
          <cell r="P167">
            <v>23.666899999999998</v>
          </cell>
          <cell r="Q167">
            <v>356.23</v>
          </cell>
          <cell r="R167">
            <v>3.6989999999999998</v>
          </cell>
          <cell r="S167">
            <v>848.21320000000003</v>
          </cell>
          <cell r="T167">
            <v>135.29</v>
          </cell>
          <cell r="U167">
            <v>41.864100000000001</v>
          </cell>
          <cell r="V167">
            <v>207.94669999999999</v>
          </cell>
          <cell r="W167">
            <v>234.30170000000001</v>
          </cell>
          <cell r="X167">
            <v>57.634799999999998</v>
          </cell>
          <cell r="Y167">
            <v>135.86760000000001</v>
          </cell>
          <cell r="Z167">
            <v>2.2858000000000001</v>
          </cell>
          <cell r="AA167">
            <v>1.8576999999999999</v>
          </cell>
          <cell r="AB167">
            <v>298.92649999999998</v>
          </cell>
          <cell r="AC167">
            <v>10.6541</v>
          </cell>
          <cell r="AD167">
            <v>4.6399999999999997E-2</v>
          </cell>
          <cell r="AE167">
            <v>10.4069</v>
          </cell>
          <cell r="AF167">
            <v>18.287700000000001</v>
          </cell>
          <cell r="AG167">
            <v>1.5095000000000001</v>
          </cell>
          <cell r="AH167">
            <v>77.072800000000001</v>
          </cell>
          <cell r="AI167">
            <v>69.860399999999998</v>
          </cell>
          <cell r="AJ167">
            <v>13.446</v>
          </cell>
          <cell r="AK167">
            <v>49.153599999999997</v>
          </cell>
          <cell r="AL167">
            <v>301.10669999999999</v>
          </cell>
          <cell r="AM167">
            <v>44.865299999999998</v>
          </cell>
          <cell r="AN167">
            <v>458.2543</v>
          </cell>
          <cell r="AO167">
            <v>675.47649999999999</v>
          </cell>
        </row>
        <row r="168">
          <cell r="C168">
            <v>283.10019999999997</v>
          </cell>
          <cell r="D168">
            <v>33.302599999999998</v>
          </cell>
          <cell r="E168">
            <v>747.80399999999997</v>
          </cell>
          <cell r="F168">
            <v>11.6806</v>
          </cell>
          <cell r="G168">
            <v>113.59829999999999</v>
          </cell>
          <cell r="H168">
            <v>3.9E-2</v>
          </cell>
          <cell r="I168">
            <v>13.448399999999999</v>
          </cell>
          <cell r="J168">
            <v>61.472700000000003</v>
          </cell>
          <cell r="K168">
            <v>541.16</v>
          </cell>
          <cell r="L168">
            <v>29.287800000000001</v>
          </cell>
          <cell r="M168">
            <v>5.1763000000000003</v>
          </cell>
          <cell r="N168">
            <v>581.86289999999997</v>
          </cell>
          <cell r="O168">
            <v>27.541599999999999</v>
          </cell>
          <cell r="P168">
            <v>23.666899999999998</v>
          </cell>
          <cell r="Q168">
            <v>356.23</v>
          </cell>
          <cell r="R168">
            <v>3.6989999999999998</v>
          </cell>
          <cell r="S168">
            <v>848.21320000000003</v>
          </cell>
          <cell r="T168">
            <v>135.29</v>
          </cell>
          <cell r="U168">
            <v>41.864100000000001</v>
          </cell>
          <cell r="V168">
            <v>207.94669999999999</v>
          </cell>
          <cell r="W168">
            <v>234.30170000000001</v>
          </cell>
          <cell r="X168">
            <v>57.634799999999998</v>
          </cell>
          <cell r="Y168">
            <v>135.86760000000001</v>
          </cell>
          <cell r="Z168">
            <v>2.2858000000000001</v>
          </cell>
          <cell r="AA168">
            <v>1.8576999999999999</v>
          </cell>
          <cell r="AB168">
            <v>298.92649999999998</v>
          </cell>
          <cell r="AC168">
            <v>10.6541</v>
          </cell>
          <cell r="AD168">
            <v>4.6399999999999997E-2</v>
          </cell>
          <cell r="AE168">
            <v>10.4069</v>
          </cell>
          <cell r="AF168">
            <v>18.287700000000001</v>
          </cell>
          <cell r="AG168">
            <v>1.5095000000000001</v>
          </cell>
          <cell r="AH168">
            <v>77.072800000000001</v>
          </cell>
          <cell r="AI168">
            <v>69.860399999999998</v>
          </cell>
          <cell r="AJ168">
            <v>13.446</v>
          </cell>
          <cell r="AK168">
            <v>49.153599999999997</v>
          </cell>
          <cell r="AL168">
            <v>301.10669999999999</v>
          </cell>
          <cell r="AM168">
            <v>44.865299999999998</v>
          </cell>
          <cell r="AN168">
            <v>458.2543</v>
          </cell>
          <cell r="AO168">
            <v>675.47649999999999</v>
          </cell>
        </row>
        <row r="169">
          <cell r="C169">
            <v>284.39150000000001</v>
          </cell>
          <cell r="D169">
            <v>33.392499999999998</v>
          </cell>
          <cell r="E169">
            <v>748.84519999999998</v>
          </cell>
          <cell r="F169">
            <v>11.6762</v>
          </cell>
          <cell r="G169">
            <v>113.9049</v>
          </cell>
          <cell r="H169">
            <v>3.9E-2</v>
          </cell>
          <cell r="I169">
            <v>13.4847</v>
          </cell>
          <cell r="J169">
            <v>61.640300000000003</v>
          </cell>
          <cell r="K169">
            <v>540.96</v>
          </cell>
          <cell r="L169">
            <v>29.366900000000001</v>
          </cell>
          <cell r="M169">
            <v>5.1809000000000003</v>
          </cell>
          <cell r="N169">
            <v>583.43380000000002</v>
          </cell>
          <cell r="O169">
            <v>27.616</v>
          </cell>
          <cell r="P169">
            <v>23.730799999999999</v>
          </cell>
          <cell r="Q169">
            <v>356.63720000000001</v>
          </cell>
          <cell r="R169">
            <v>3.6951000000000001</v>
          </cell>
          <cell r="S169">
            <v>847.89970000000005</v>
          </cell>
          <cell r="T169">
            <v>135.24</v>
          </cell>
          <cell r="U169">
            <v>41.887500000000003</v>
          </cell>
          <cell r="V169">
            <v>208.50810000000001</v>
          </cell>
          <cell r="W169">
            <v>234.9342</v>
          </cell>
          <cell r="X169">
            <v>57.772199999999998</v>
          </cell>
          <cell r="Y169">
            <v>136.1053</v>
          </cell>
          <cell r="Z169">
            <v>2.2919</v>
          </cell>
          <cell r="AA169">
            <v>1.8571</v>
          </cell>
          <cell r="AB169">
            <v>298.46800000000002</v>
          </cell>
          <cell r="AC169">
            <v>10.6791</v>
          </cell>
          <cell r="AD169">
            <v>4.58E-2</v>
          </cell>
          <cell r="AE169">
            <v>10.4031</v>
          </cell>
          <cell r="AF169">
            <v>18.368600000000001</v>
          </cell>
          <cell r="AG169">
            <v>1.4851000000000001</v>
          </cell>
          <cell r="AH169">
            <v>77.280900000000003</v>
          </cell>
          <cell r="AI169">
            <v>70.049000000000007</v>
          </cell>
          <cell r="AJ169">
            <v>13.4954</v>
          </cell>
          <cell r="AK169">
            <v>49.349299999999999</v>
          </cell>
          <cell r="AL169">
            <v>301.74119999999999</v>
          </cell>
          <cell r="AM169">
            <v>44.442500000000003</v>
          </cell>
          <cell r="AN169">
            <v>459.4914</v>
          </cell>
          <cell r="AO169">
            <v>674.76020000000005</v>
          </cell>
        </row>
        <row r="170">
          <cell r="C170">
            <v>284</v>
          </cell>
          <cell r="D170">
            <v>33.305300000000003</v>
          </cell>
          <cell r="E170">
            <v>744.9461</v>
          </cell>
          <cell r="F170">
            <v>11.6732</v>
          </cell>
          <cell r="G170">
            <v>113.6073</v>
          </cell>
          <cell r="H170">
            <v>3.9E-2</v>
          </cell>
          <cell r="I170">
            <v>13.4495</v>
          </cell>
          <cell r="J170">
            <v>61.476799999999997</v>
          </cell>
          <cell r="K170">
            <v>540.82000000000005</v>
          </cell>
          <cell r="L170">
            <v>29.290099999999999</v>
          </cell>
          <cell r="M170">
            <v>5.1615000000000002</v>
          </cell>
          <cell r="N170">
            <v>581.90940000000001</v>
          </cell>
          <cell r="O170">
            <v>27.543800000000001</v>
          </cell>
          <cell r="P170">
            <v>23.668700000000001</v>
          </cell>
          <cell r="Q170">
            <v>354.85160000000002</v>
          </cell>
          <cell r="R170">
            <v>3.6941000000000002</v>
          </cell>
          <cell r="S170">
            <v>847.68029999999999</v>
          </cell>
          <cell r="T170">
            <v>135.20500000000001</v>
          </cell>
          <cell r="U170">
            <v>41.915300000000002</v>
          </cell>
          <cell r="V170">
            <v>207.9633</v>
          </cell>
          <cell r="W170">
            <v>234.32040000000001</v>
          </cell>
          <cell r="X170">
            <v>57.404800000000002</v>
          </cell>
          <cell r="Y170">
            <v>137.07740000000001</v>
          </cell>
          <cell r="Z170">
            <v>2.2858999999999998</v>
          </cell>
          <cell r="AA170">
            <v>1.8566</v>
          </cell>
          <cell r="AB170">
            <v>297.76549999999997</v>
          </cell>
          <cell r="AC170">
            <v>10.6717</v>
          </cell>
          <cell r="AD170">
            <v>4.5400000000000003E-2</v>
          </cell>
          <cell r="AE170">
            <v>10.400399999999999</v>
          </cell>
          <cell r="AF170">
            <v>18.420100000000001</v>
          </cell>
          <cell r="AG170">
            <v>1.4846999999999999</v>
          </cell>
          <cell r="AH170">
            <v>77.078999999999994</v>
          </cell>
          <cell r="AI170">
            <v>69.866</v>
          </cell>
          <cell r="AJ170">
            <v>13.5169</v>
          </cell>
          <cell r="AK170">
            <v>49.172800000000002</v>
          </cell>
          <cell r="AL170">
            <v>301.07139999999998</v>
          </cell>
          <cell r="AM170">
            <v>44.425199999999997</v>
          </cell>
          <cell r="AN170">
            <v>458.29090000000002</v>
          </cell>
          <cell r="AO170">
            <v>673.65629999999999</v>
          </cell>
        </row>
        <row r="171">
          <cell r="C171">
            <v>284.73329999999999</v>
          </cell>
          <cell r="D171">
            <v>33.565100000000001</v>
          </cell>
          <cell r="E171">
            <v>744.58479999999997</v>
          </cell>
          <cell r="F171">
            <v>11.6706</v>
          </cell>
          <cell r="G171">
            <v>114.4936</v>
          </cell>
          <cell r="H171">
            <v>3.8899999999999997E-2</v>
          </cell>
          <cell r="I171">
            <v>13.554399999999999</v>
          </cell>
          <cell r="J171">
            <v>61.948</v>
          </cell>
          <cell r="K171">
            <v>540.70000000000005</v>
          </cell>
          <cell r="L171">
            <v>29.518599999999999</v>
          </cell>
          <cell r="M171">
            <v>5.1565000000000003</v>
          </cell>
          <cell r="N171">
            <v>586.44880000000001</v>
          </cell>
          <cell r="O171">
            <v>27.758700000000001</v>
          </cell>
          <cell r="P171">
            <v>23.853400000000001</v>
          </cell>
          <cell r="Q171">
            <v>354.89929999999998</v>
          </cell>
          <cell r="R171">
            <v>3.6932999999999998</v>
          </cell>
          <cell r="S171">
            <v>840.90200000000004</v>
          </cell>
          <cell r="T171">
            <v>135.17500000000001</v>
          </cell>
          <cell r="U171">
            <v>41.927399999999999</v>
          </cell>
          <cell r="V171">
            <v>209.5856</v>
          </cell>
          <cell r="W171">
            <v>236.14830000000001</v>
          </cell>
          <cell r="X171">
            <v>57.769300000000001</v>
          </cell>
          <cell r="Y171">
            <v>136.4933</v>
          </cell>
          <cell r="Z171">
            <v>2.3037999999999998</v>
          </cell>
          <cell r="AA171">
            <v>1.8568</v>
          </cell>
          <cell r="AB171">
            <v>297.63240000000002</v>
          </cell>
          <cell r="AC171">
            <v>10.7333</v>
          </cell>
          <cell r="AD171">
            <v>4.4499999999999998E-2</v>
          </cell>
          <cell r="AE171">
            <v>10.398099999999999</v>
          </cell>
          <cell r="AF171">
            <v>18.655200000000001</v>
          </cell>
          <cell r="AG171">
            <v>1.4843999999999999</v>
          </cell>
          <cell r="AH171">
            <v>77.680300000000003</v>
          </cell>
          <cell r="AI171">
            <v>70.411000000000001</v>
          </cell>
          <cell r="AJ171">
            <v>13.5883</v>
          </cell>
          <cell r="AK171">
            <v>49.8748</v>
          </cell>
          <cell r="AL171">
            <v>302.26830000000001</v>
          </cell>
          <cell r="AM171">
            <v>44.290900000000001</v>
          </cell>
          <cell r="AN171">
            <v>461.86590000000001</v>
          </cell>
          <cell r="AO171">
            <v>675.13660000000004</v>
          </cell>
        </row>
        <row r="172">
          <cell r="C172">
            <v>283.00900000000001</v>
          </cell>
          <cell r="D172">
            <v>33.343299999999999</v>
          </cell>
          <cell r="E172">
            <v>750.43219999999997</v>
          </cell>
          <cell r="F172">
            <v>11.661799999999999</v>
          </cell>
          <cell r="G172">
            <v>113.7371</v>
          </cell>
          <cell r="H172">
            <v>3.9E-2</v>
          </cell>
          <cell r="I172">
            <v>13.4648</v>
          </cell>
          <cell r="J172">
            <v>61.540399999999998</v>
          </cell>
          <cell r="K172">
            <v>540.29</v>
          </cell>
          <cell r="L172">
            <v>29.323599999999999</v>
          </cell>
          <cell r="M172">
            <v>5.1177999999999999</v>
          </cell>
          <cell r="N172">
            <v>582.57389999999998</v>
          </cell>
          <cell r="O172">
            <v>27.575299999999999</v>
          </cell>
          <cell r="P172">
            <v>23.695799999999998</v>
          </cell>
          <cell r="Q172">
            <v>354.98200000000003</v>
          </cell>
          <cell r="R172">
            <v>3.6905000000000001</v>
          </cell>
          <cell r="S172">
            <v>842.88610000000006</v>
          </cell>
          <cell r="T172">
            <v>135.07249999999999</v>
          </cell>
          <cell r="U172">
            <v>41.905999999999999</v>
          </cell>
          <cell r="V172">
            <v>208.20079999999999</v>
          </cell>
          <cell r="W172">
            <v>234.58799999999999</v>
          </cell>
          <cell r="X172">
            <v>57.6798</v>
          </cell>
          <cell r="Y172">
            <v>136.4179</v>
          </cell>
          <cell r="Z172">
            <v>2.2886000000000002</v>
          </cell>
          <cell r="AA172">
            <v>1.8579000000000001</v>
          </cell>
          <cell r="AB172">
            <v>297.31349999999998</v>
          </cell>
          <cell r="AC172">
            <v>10.707000000000001</v>
          </cell>
          <cell r="AD172">
            <v>4.5100000000000001E-2</v>
          </cell>
          <cell r="AE172">
            <v>10.3902</v>
          </cell>
          <cell r="AF172">
            <v>18.568000000000001</v>
          </cell>
          <cell r="AG172">
            <v>1.4833000000000001</v>
          </cell>
          <cell r="AH172">
            <v>77.167000000000002</v>
          </cell>
          <cell r="AI172">
            <v>69.945800000000006</v>
          </cell>
          <cell r="AJ172">
            <v>13.5451</v>
          </cell>
          <cell r="AK172">
            <v>49.595599999999997</v>
          </cell>
          <cell r="AL172">
            <v>300.78289999999998</v>
          </cell>
          <cell r="AM172">
            <v>44.321300000000001</v>
          </cell>
          <cell r="AN172">
            <v>458.8143</v>
          </cell>
          <cell r="AO172">
            <v>674.71140000000003</v>
          </cell>
        </row>
        <row r="173">
          <cell r="C173">
            <v>284.91370000000001</v>
          </cell>
          <cell r="D173">
            <v>34.010800000000003</v>
          </cell>
          <cell r="E173">
            <v>760.97429999999997</v>
          </cell>
          <cell r="F173">
            <v>11.661799999999999</v>
          </cell>
          <cell r="G173">
            <v>116.014</v>
          </cell>
          <cell r="H173">
            <v>3.9E-2</v>
          </cell>
          <cell r="I173">
            <v>13.734400000000001</v>
          </cell>
          <cell r="J173">
            <v>62.772300000000001</v>
          </cell>
          <cell r="K173">
            <v>540.29</v>
          </cell>
          <cell r="L173">
            <v>29.910599999999999</v>
          </cell>
          <cell r="M173">
            <v>5.1563999999999997</v>
          </cell>
          <cell r="N173">
            <v>594.2364</v>
          </cell>
          <cell r="O173">
            <v>28.127300000000002</v>
          </cell>
          <cell r="P173">
            <v>24.170100000000001</v>
          </cell>
          <cell r="Q173">
            <v>353.36700000000002</v>
          </cell>
          <cell r="R173">
            <v>3.6905000000000001</v>
          </cell>
          <cell r="S173">
            <v>842.88610000000006</v>
          </cell>
          <cell r="T173">
            <v>135.07249999999999</v>
          </cell>
          <cell r="U173">
            <v>41.898499999999999</v>
          </cell>
          <cell r="V173">
            <v>212.36879999999999</v>
          </cell>
          <cell r="W173">
            <v>239.2842</v>
          </cell>
          <cell r="X173">
            <v>58.514499999999998</v>
          </cell>
          <cell r="Y173">
            <v>137.1748</v>
          </cell>
          <cell r="Z173">
            <v>2.3344</v>
          </cell>
          <cell r="AA173">
            <v>1.8586</v>
          </cell>
          <cell r="AB173">
            <v>298.25959999999998</v>
          </cell>
          <cell r="AC173">
            <v>10.911099999999999</v>
          </cell>
          <cell r="AD173">
            <v>4.5400000000000003E-2</v>
          </cell>
          <cell r="AE173">
            <v>10.3902</v>
          </cell>
          <cell r="AF173">
            <v>19.012799999999999</v>
          </cell>
          <cell r="AG173">
            <v>1.4833000000000001</v>
          </cell>
          <cell r="AH173">
            <v>78.711799999999997</v>
          </cell>
          <cell r="AI173">
            <v>71.346000000000004</v>
          </cell>
          <cell r="AJ173">
            <v>13.764699999999999</v>
          </cell>
          <cell r="AK173">
            <v>51.0916</v>
          </cell>
          <cell r="AL173">
            <v>306.78410000000002</v>
          </cell>
          <cell r="AM173">
            <v>44.682000000000002</v>
          </cell>
          <cell r="AN173">
            <v>467.99919999999997</v>
          </cell>
          <cell r="AO173">
            <v>679.68439999999998</v>
          </cell>
        </row>
        <row r="174">
          <cell r="C174">
            <v>284.91370000000001</v>
          </cell>
          <cell r="D174">
            <v>34.010800000000003</v>
          </cell>
          <cell r="E174">
            <v>760.97429999999997</v>
          </cell>
          <cell r="F174">
            <v>11.661799999999999</v>
          </cell>
          <cell r="G174">
            <v>116.014</v>
          </cell>
          <cell r="H174">
            <v>3.9E-2</v>
          </cell>
          <cell r="I174">
            <v>13.734400000000001</v>
          </cell>
          <cell r="J174">
            <v>62.772300000000001</v>
          </cell>
          <cell r="K174">
            <v>540.29</v>
          </cell>
          <cell r="L174">
            <v>29.910599999999999</v>
          </cell>
          <cell r="M174">
            <v>5.1563999999999997</v>
          </cell>
          <cell r="N174">
            <v>594.2364</v>
          </cell>
          <cell r="O174">
            <v>28.127300000000002</v>
          </cell>
          <cell r="P174">
            <v>24.170100000000001</v>
          </cell>
          <cell r="Q174">
            <v>353.36700000000002</v>
          </cell>
          <cell r="R174">
            <v>3.6905000000000001</v>
          </cell>
          <cell r="S174">
            <v>842.88610000000006</v>
          </cell>
          <cell r="T174">
            <v>135.07249999999999</v>
          </cell>
          <cell r="U174">
            <v>41.898499999999999</v>
          </cell>
          <cell r="V174">
            <v>212.36879999999999</v>
          </cell>
          <cell r="W174">
            <v>239.2842</v>
          </cell>
          <cell r="X174">
            <v>58.514499999999998</v>
          </cell>
          <cell r="Y174">
            <v>137.1748</v>
          </cell>
          <cell r="Z174">
            <v>2.3344</v>
          </cell>
          <cell r="AA174">
            <v>1.8586</v>
          </cell>
          <cell r="AB174">
            <v>298.25959999999998</v>
          </cell>
          <cell r="AC174">
            <v>10.911099999999999</v>
          </cell>
          <cell r="AD174">
            <v>4.5400000000000003E-2</v>
          </cell>
          <cell r="AE174">
            <v>10.3902</v>
          </cell>
          <cell r="AF174">
            <v>19.012799999999999</v>
          </cell>
          <cell r="AG174">
            <v>1.4833000000000001</v>
          </cell>
          <cell r="AH174">
            <v>78.711799999999997</v>
          </cell>
          <cell r="AI174">
            <v>71.346000000000004</v>
          </cell>
          <cell r="AJ174">
            <v>13.764699999999999</v>
          </cell>
          <cell r="AK174">
            <v>51.0916</v>
          </cell>
          <cell r="AL174">
            <v>306.78410000000002</v>
          </cell>
          <cell r="AM174">
            <v>44.682000000000002</v>
          </cell>
          <cell r="AN174">
            <v>467.99919999999997</v>
          </cell>
          <cell r="AO174">
            <v>679.68439999999998</v>
          </cell>
        </row>
        <row r="175">
          <cell r="C175">
            <v>284.91370000000001</v>
          </cell>
          <cell r="D175">
            <v>34.010800000000003</v>
          </cell>
          <cell r="E175">
            <v>760.97429999999997</v>
          </cell>
          <cell r="F175">
            <v>11.661799999999999</v>
          </cell>
          <cell r="G175">
            <v>116.014</v>
          </cell>
          <cell r="H175">
            <v>3.9E-2</v>
          </cell>
          <cell r="I175">
            <v>13.734400000000001</v>
          </cell>
          <cell r="J175">
            <v>62.772300000000001</v>
          </cell>
          <cell r="K175">
            <v>540.29</v>
          </cell>
          <cell r="L175">
            <v>29.910599999999999</v>
          </cell>
          <cell r="M175">
            <v>5.1563999999999997</v>
          </cell>
          <cell r="N175">
            <v>594.2364</v>
          </cell>
          <cell r="O175">
            <v>28.127300000000002</v>
          </cell>
          <cell r="P175">
            <v>24.170100000000001</v>
          </cell>
          <cell r="Q175">
            <v>353.36700000000002</v>
          </cell>
          <cell r="R175">
            <v>3.6905000000000001</v>
          </cell>
          <cell r="S175">
            <v>842.88610000000006</v>
          </cell>
          <cell r="T175">
            <v>135.07249999999999</v>
          </cell>
          <cell r="U175">
            <v>41.898499999999999</v>
          </cell>
          <cell r="V175">
            <v>212.36879999999999</v>
          </cell>
          <cell r="W175">
            <v>239.2842</v>
          </cell>
          <cell r="X175">
            <v>58.514499999999998</v>
          </cell>
          <cell r="Y175">
            <v>137.1748</v>
          </cell>
          <cell r="Z175">
            <v>2.3344</v>
          </cell>
          <cell r="AA175">
            <v>1.8586</v>
          </cell>
          <cell r="AB175">
            <v>298.25959999999998</v>
          </cell>
          <cell r="AC175">
            <v>10.911099999999999</v>
          </cell>
          <cell r="AD175">
            <v>4.5400000000000003E-2</v>
          </cell>
          <cell r="AE175">
            <v>10.3902</v>
          </cell>
          <cell r="AF175">
            <v>19.012799999999999</v>
          </cell>
          <cell r="AG175">
            <v>1.4833000000000001</v>
          </cell>
          <cell r="AH175">
            <v>78.711799999999997</v>
          </cell>
          <cell r="AI175">
            <v>71.346000000000004</v>
          </cell>
          <cell r="AJ175">
            <v>13.764699999999999</v>
          </cell>
          <cell r="AK175">
            <v>51.0916</v>
          </cell>
          <cell r="AL175">
            <v>306.78410000000002</v>
          </cell>
          <cell r="AM175">
            <v>44.682000000000002</v>
          </cell>
          <cell r="AN175">
            <v>467.99919999999997</v>
          </cell>
          <cell r="AO175">
            <v>679.68439999999998</v>
          </cell>
        </row>
        <row r="176">
          <cell r="C176">
            <v>281.77870000000001</v>
          </cell>
          <cell r="D176">
            <v>33.673499999999997</v>
          </cell>
          <cell r="E176">
            <v>756.62450000000001</v>
          </cell>
          <cell r="F176">
            <v>11.655099999999999</v>
          </cell>
          <cell r="G176">
            <v>114.86320000000001</v>
          </cell>
          <cell r="H176">
            <v>3.8899999999999997E-2</v>
          </cell>
          <cell r="I176">
            <v>13.598100000000001</v>
          </cell>
          <cell r="J176">
            <v>62.150500000000001</v>
          </cell>
          <cell r="K176">
            <v>539.98</v>
          </cell>
          <cell r="L176">
            <v>29.613900000000001</v>
          </cell>
          <cell r="M176">
            <v>5.1204999999999998</v>
          </cell>
          <cell r="N176">
            <v>588.34180000000003</v>
          </cell>
          <cell r="O176">
            <v>27.848299999999998</v>
          </cell>
          <cell r="P176">
            <v>23.930399999999999</v>
          </cell>
          <cell r="Q176">
            <v>353.11450000000002</v>
          </cell>
          <cell r="R176">
            <v>3.6871</v>
          </cell>
          <cell r="S176">
            <v>847.69230000000005</v>
          </cell>
          <cell r="T176">
            <v>134.995</v>
          </cell>
          <cell r="U176">
            <v>41.874499999999998</v>
          </cell>
          <cell r="V176">
            <v>210.26220000000001</v>
          </cell>
          <cell r="W176">
            <v>236.91059999999999</v>
          </cell>
          <cell r="X176">
            <v>58.486199999999997</v>
          </cell>
          <cell r="Y176">
            <v>136.1893</v>
          </cell>
          <cell r="Z176">
            <v>2.3111999999999999</v>
          </cell>
          <cell r="AA176">
            <v>1.8588</v>
          </cell>
          <cell r="AB176">
            <v>297.25229999999999</v>
          </cell>
          <cell r="AC176">
            <v>10.7933</v>
          </cell>
          <cell r="AD176">
            <v>4.4299999999999999E-2</v>
          </cell>
          <cell r="AE176">
            <v>10.3842</v>
          </cell>
          <cell r="AF176">
            <v>18.855599999999999</v>
          </cell>
          <cell r="AG176">
            <v>1.4593</v>
          </cell>
          <cell r="AH176">
            <v>77.930999999999997</v>
          </cell>
          <cell r="AI176">
            <v>70.638300000000001</v>
          </cell>
          <cell r="AJ176">
            <v>13.643000000000001</v>
          </cell>
          <cell r="AK176">
            <v>50.918300000000002</v>
          </cell>
          <cell r="AL176">
            <v>303.00599999999997</v>
          </cell>
          <cell r="AM176">
            <v>43.832799999999999</v>
          </cell>
          <cell r="AN176">
            <v>463.35680000000002</v>
          </cell>
          <cell r="AO176">
            <v>675.58299999999997</v>
          </cell>
        </row>
        <row r="177">
          <cell r="C177">
            <v>282.01960000000003</v>
          </cell>
          <cell r="D177">
            <v>33.571100000000001</v>
          </cell>
          <cell r="E177">
            <v>753.34010000000001</v>
          </cell>
          <cell r="F177">
            <v>11.6441</v>
          </cell>
          <cell r="G177">
            <v>114.514</v>
          </cell>
          <cell r="H177">
            <v>3.8899999999999997E-2</v>
          </cell>
          <cell r="I177">
            <v>13.556800000000001</v>
          </cell>
          <cell r="J177">
            <v>61.963999999999999</v>
          </cell>
          <cell r="K177">
            <v>539.47</v>
          </cell>
          <cell r="L177">
            <v>29.523900000000001</v>
          </cell>
          <cell r="M177">
            <v>5.0998999999999999</v>
          </cell>
          <cell r="N177">
            <v>586.55319999999995</v>
          </cell>
          <cell r="O177">
            <v>27.7636</v>
          </cell>
          <cell r="P177">
            <v>23.857600000000001</v>
          </cell>
          <cell r="Q177">
            <v>351.9873</v>
          </cell>
          <cell r="R177">
            <v>3.6836000000000002</v>
          </cell>
          <cell r="S177">
            <v>845.5643</v>
          </cell>
          <cell r="T177">
            <v>134.86750000000001</v>
          </cell>
          <cell r="U177">
            <v>41.795699999999997</v>
          </cell>
          <cell r="V177">
            <v>209.62289999999999</v>
          </cell>
          <cell r="W177">
            <v>236.19030000000001</v>
          </cell>
          <cell r="X177">
            <v>58.474499999999999</v>
          </cell>
          <cell r="Y177">
            <v>135.95910000000001</v>
          </cell>
          <cell r="Z177">
            <v>2.3041999999999998</v>
          </cell>
          <cell r="AA177">
            <v>1.8545</v>
          </cell>
          <cell r="AB177">
            <v>296.82459999999998</v>
          </cell>
          <cell r="AC177">
            <v>10.7605</v>
          </cell>
          <cell r="AD177">
            <v>4.41E-2</v>
          </cell>
          <cell r="AE177">
            <v>10.3744</v>
          </cell>
          <cell r="AF177">
            <v>18.7578</v>
          </cell>
          <cell r="AG177">
            <v>1.4579</v>
          </cell>
          <cell r="AH177">
            <v>77.694100000000006</v>
          </cell>
          <cell r="AI177">
            <v>70.423500000000004</v>
          </cell>
          <cell r="AJ177">
            <v>13.6256</v>
          </cell>
          <cell r="AK177">
            <v>50.9208</v>
          </cell>
          <cell r="AL177">
            <v>301.92689999999999</v>
          </cell>
          <cell r="AM177">
            <v>43.815600000000003</v>
          </cell>
          <cell r="AN177">
            <v>461.94819999999999</v>
          </cell>
          <cell r="AO177">
            <v>674.34760000000006</v>
          </cell>
        </row>
        <row r="178">
          <cell r="C178">
            <v>279.16840000000002</v>
          </cell>
          <cell r="D178">
            <v>33.353400000000001</v>
          </cell>
          <cell r="E178">
            <v>751.15030000000002</v>
          </cell>
          <cell r="F178">
            <v>11.6365</v>
          </cell>
          <cell r="G178">
            <v>113.7714</v>
          </cell>
          <cell r="H178">
            <v>3.8899999999999997E-2</v>
          </cell>
          <cell r="I178">
            <v>13.4689</v>
          </cell>
          <cell r="J178">
            <v>61.563099999999999</v>
          </cell>
          <cell r="K178">
            <v>539.12</v>
          </cell>
          <cell r="L178">
            <v>29.3324</v>
          </cell>
          <cell r="M178">
            <v>5.0103999999999997</v>
          </cell>
          <cell r="N178">
            <v>582.74990000000003</v>
          </cell>
          <cell r="O178">
            <v>27.583600000000001</v>
          </cell>
          <cell r="P178">
            <v>23.7029</v>
          </cell>
          <cell r="Q178">
            <v>351.09609999999998</v>
          </cell>
          <cell r="R178">
            <v>3.6812999999999998</v>
          </cell>
          <cell r="S178">
            <v>843.69330000000002</v>
          </cell>
          <cell r="T178">
            <v>134.78</v>
          </cell>
          <cell r="U178">
            <v>41.723399999999998</v>
          </cell>
          <cell r="V178">
            <v>208.2637</v>
          </cell>
          <cell r="W178">
            <v>234.65889999999999</v>
          </cell>
          <cell r="X178">
            <v>58.417000000000002</v>
          </cell>
          <cell r="Y178">
            <v>134.81960000000001</v>
          </cell>
          <cell r="Z178">
            <v>2.2892000000000001</v>
          </cell>
          <cell r="AA178">
            <v>1.8501000000000001</v>
          </cell>
          <cell r="AB178">
            <v>296.06040000000002</v>
          </cell>
          <cell r="AC178">
            <v>10.700699999999999</v>
          </cell>
          <cell r="AD178">
            <v>4.2900000000000001E-2</v>
          </cell>
          <cell r="AE178">
            <v>10.367699999999999</v>
          </cell>
          <cell r="AF178">
            <v>18.6037</v>
          </cell>
          <cell r="AG178">
            <v>1.4570000000000001</v>
          </cell>
          <cell r="AH178">
            <v>77.190299999999993</v>
          </cell>
          <cell r="AI178">
            <v>69.966899999999995</v>
          </cell>
          <cell r="AJ178">
            <v>13.527699999999999</v>
          </cell>
          <cell r="AK178">
            <v>50.357500000000002</v>
          </cell>
          <cell r="AL178">
            <v>300.99220000000003</v>
          </cell>
          <cell r="AM178">
            <v>43.709800000000001</v>
          </cell>
          <cell r="AN178">
            <v>458.9529</v>
          </cell>
          <cell r="AO178">
            <v>672.61030000000005</v>
          </cell>
        </row>
        <row r="179">
          <cell r="C179">
            <v>278.68970000000002</v>
          </cell>
          <cell r="D179">
            <v>33.498699999999999</v>
          </cell>
          <cell r="E179">
            <v>760.14639999999997</v>
          </cell>
          <cell r="F179">
            <v>11.633900000000001</v>
          </cell>
          <cell r="G179">
            <v>114.2672</v>
          </cell>
          <cell r="H179">
            <v>3.8800000000000001E-2</v>
          </cell>
          <cell r="I179">
            <v>13.5276</v>
          </cell>
          <cell r="J179">
            <v>61.829700000000003</v>
          </cell>
          <cell r="K179">
            <v>539</v>
          </cell>
          <cell r="L179">
            <v>29.4603</v>
          </cell>
          <cell r="M179">
            <v>5.0625999999999998</v>
          </cell>
          <cell r="N179">
            <v>585.28930000000003</v>
          </cell>
          <cell r="O179">
            <v>27.703800000000001</v>
          </cell>
          <cell r="P179">
            <v>23.8062</v>
          </cell>
          <cell r="Q179">
            <v>352.51819999999998</v>
          </cell>
          <cell r="R179">
            <v>3.6804000000000001</v>
          </cell>
          <cell r="S179">
            <v>843.50549999999998</v>
          </cell>
          <cell r="T179">
            <v>134.75</v>
          </cell>
          <cell r="U179">
            <v>41.689500000000002</v>
          </cell>
          <cell r="V179">
            <v>209.1713</v>
          </cell>
          <cell r="W179">
            <v>235.6814</v>
          </cell>
          <cell r="X179">
            <v>58.392800000000001</v>
          </cell>
          <cell r="Y179">
            <v>135.149</v>
          </cell>
          <cell r="Z179">
            <v>2.2991999999999999</v>
          </cell>
          <cell r="AA179">
            <v>1.8534999999999999</v>
          </cell>
          <cell r="AB179">
            <v>295.84289999999999</v>
          </cell>
          <cell r="AC179">
            <v>10.768700000000001</v>
          </cell>
          <cell r="AD179">
            <v>4.2000000000000003E-2</v>
          </cell>
          <cell r="AE179">
            <v>10.365399999999999</v>
          </cell>
          <cell r="AF179">
            <v>18.802099999999999</v>
          </cell>
          <cell r="AG179">
            <v>1.4567000000000001</v>
          </cell>
          <cell r="AH179">
            <v>77.526700000000005</v>
          </cell>
          <cell r="AI179">
            <v>70.271799999999999</v>
          </cell>
          <cell r="AJ179">
            <v>13.544700000000001</v>
          </cell>
          <cell r="AK179">
            <v>50.391100000000002</v>
          </cell>
          <cell r="AL179">
            <v>303.17860000000002</v>
          </cell>
          <cell r="AM179">
            <v>43.436900000000001</v>
          </cell>
          <cell r="AN179">
            <v>460.95280000000002</v>
          </cell>
          <cell r="AO179">
            <v>673.34519999999998</v>
          </cell>
        </row>
        <row r="180">
          <cell r="C180">
            <v>278.24209999999999</v>
          </cell>
          <cell r="D180">
            <v>33.384300000000003</v>
          </cell>
          <cell r="E180">
            <v>760.93719999999996</v>
          </cell>
          <cell r="F180">
            <v>11.626799999999999</v>
          </cell>
          <cell r="G180">
            <v>113.8768</v>
          </cell>
          <cell r="H180">
            <v>3.8800000000000001E-2</v>
          </cell>
          <cell r="I180">
            <v>13.481400000000001</v>
          </cell>
          <cell r="J180">
            <v>61.635800000000003</v>
          </cell>
          <cell r="K180">
            <v>538.66999999999996</v>
          </cell>
          <cell r="L180">
            <v>29.3596</v>
          </cell>
          <cell r="M180">
            <v>5.1150000000000002</v>
          </cell>
          <cell r="N180">
            <v>583.28949999999998</v>
          </cell>
          <cell r="O180">
            <v>27.609200000000001</v>
          </cell>
          <cell r="P180">
            <v>23.724900000000002</v>
          </cell>
          <cell r="Q180">
            <v>353.31319999999999</v>
          </cell>
          <cell r="R180">
            <v>3.6781999999999999</v>
          </cell>
          <cell r="S180">
            <v>840.35879999999997</v>
          </cell>
          <cell r="T180">
            <v>134.66749999999999</v>
          </cell>
          <cell r="U180">
            <v>41.611899999999999</v>
          </cell>
          <cell r="V180">
            <v>208.45650000000001</v>
          </cell>
          <cell r="W180">
            <v>234.87610000000001</v>
          </cell>
          <cell r="X180">
            <v>58.445</v>
          </cell>
          <cell r="Y180">
            <v>135.43780000000001</v>
          </cell>
          <cell r="Z180">
            <v>2.2913999999999999</v>
          </cell>
          <cell r="AA180">
            <v>1.8511</v>
          </cell>
          <cell r="AB180">
            <v>295.8383</v>
          </cell>
          <cell r="AC180">
            <v>10.7805</v>
          </cell>
          <cell r="AD180">
            <v>4.2299999999999997E-2</v>
          </cell>
          <cell r="AE180">
            <v>10.359</v>
          </cell>
          <cell r="AF180">
            <v>18.836200000000002</v>
          </cell>
          <cell r="AG180">
            <v>1.4558</v>
          </cell>
          <cell r="AH180">
            <v>77.261799999999994</v>
          </cell>
          <cell r="AI180">
            <v>70.031700000000001</v>
          </cell>
          <cell r="AJ180">
            <v>13.535</v>
          </cell>
          <cell r="AK180">
            <v>50.1997</v>
          </cell>
          <cell r="AL180">
            <v>302.85980000000001</v>
          </cell>
          <cell r="AM180">
            <v>43.345700000000001</v>
          </cell>
          <cell r="AN180">
            <v>459.37779999999998</v>
          </cell>
          <cell r="AO180">
            <v>672.67579999999998</v>
          </cell>
        </row>
        <row r="181">
          <cell r="C181">
            <v>278.24209999999999</v>
          </cell>
          <cell r="D181">
            <v>33.384300000000003</v>
          </cell>
          <cell r="E181">
            <v>760.93719999999996</v>
          </cell>
          <cell r="F181">
            <v>11.626799999999999</v>
          </cell>
          <cell r="G181">
            <v>113.8768</v>
          </cell>
          <cell r="H181">
            <v>3.8800000000000001E-2</v>
          </cell>
          <cell r="I181">
            <v>13.481400000000001</v>
          </cell>
          <cell r="J181">
            <v>61.635800000000003</v>
          </cell>
          <cell r="K181">
            <v>538.66999999999996</v>
          </cell>
          <cell r="L181">
            <v>29.3596</v>
          </cell>
          <cell r="M181">
            <v>5.1150000000000002</v>
          </cell>
          <cell r="N181">
            <v>583.28949999999998</v>
          </cell>
          <cell r="O181">
            <v>27.609200000000001</v>
          </cell>
          <cell r="P181">
            <v>23.724900000000002</v>
          </cell>
          <cell r="Q181">
            <v>353.31319999999999</v>
          </cell>
          <cell r="R181">
            <v>3.6781999999999999</v>
          </cell>
          <cell r="S181">
            <v>840.35879999999997</v>
          </cell>
          <cell r="T181">
            <v>134.66749999999999</v>
          </cell>
          <cell r="U181">
            <v>41.611899999999999</v>
          </cell>
          <cell r="V181">
            <v>208.45650000000001</v>
          </cell>
          <cell r="W181">
            <v>234.87610000000001</v>
          </cell>
          <cell r="X181">
            <v>58.445</v>
          </cell>
          <cell r="Y181">
            <v>135.43780000000001</v>
          </cell>
          <cell r="Z181">
            <v>2.2913999999999999</v>
          </cell>
          <cell r="AA181">
            <v>1.8511</v>
          </cell>
          <cell r="AB181">
            <v>295.8383</v>
          </cell>
          <cell r="AC181">
            <v>10.7805</v>
          </cell>
          <cell r="AD181">
            <v>4.2299999999999997E-2</v>
          </cell>
          <cell r="AE181">
            <v>10.359</v>
          </cell>
          <cell r="AF181">
            <v>18.836200000000002</v>
          </cell>
          <cell r="AG181">
            <v>1.4558</v>
          </cell>
          <cell r="AH181">
            <v>77.261799999999994</v>
          </cell>
          <cell r="AI181">
            <v>70.031700000000001</v>
          </cell>
          <cell r="AJ181">
            <v>13.535</v>
          </cell>
          <cell r="AK181">
            <v>50.1997</v>
          </cell>
          <cell r="AL181">
            <v>302.85980000000001</v>
          </cell>
          <cell r="AM181">
            <v>43.345700000000001</v>
          </cell>
          <cell r="AN181">
            <v>459.37779999999998</v>
          </cell>
          <cell r="AO181">
            <v>672.67579999999998</v>
          </cell>
        </row>
        <row r="182">
          <cell r="C182">
            <v>278.24209999999999</v>
          </cell>
          <cell r="D182">
            <v>33.384300000000003</v>
          </cell>
          <cell r="E182">
            <v>760.93719999999996</v>
          </cell>
          <cell r="F182">
            <v>11.626799999999999</v>
          </cell>
          <cell r="G182">
            <v>113.8768</v>
          </cell>
          <cell r="H182">
            <v>3.8800000000000001E-2</v>
          </cell>
          <cell r="I182">
            <v>13.481400000000001</v>
          </cell>
          <cell r="J182">
            <v>61.635800000000003</v>
          </cell>
          <cell r="K182">
            <v>538.66999999999996</v>
          </cell>
          <cell r="L182">
            <v>29.3596</v>
          </cell>
          <cell r="M182">
            <v>5.1150000000000002</v>
          </cell>
          <cell r="N182">
            <v>583.28949999999998</v>
          </cell>
          <cell r="O182">
            <v>27.609200000000001</v>
          </cell>
          <cell r="P182">
            <v>23.724900000000002</v>
          </cell>
          <cell r="Q182">
            <v>353.31319999999999</v>
          </cell>
          <cell r="R182">
            <v>3.6781999999999999</v>
          </cell>
          <cell r="S182">
            <v>840.35879999999997</v>
          </cell>
          <cell r="T182">
            <v>134.66749999999999</v>
          </cell>
          <cell r="U182">
            <v>41.611899999999999</v>
          </cell>
          <cell r="V182">
            <v>208.45650000000001</v>
          </cell>
          <cell r="W182">
            <v>234.87610000000001</v>
          </cell>
          <cell r="X182">
            <v>58.445</v>
          </cell>
          <cell r="Y182">
            <v>135.43780000000001</v>
          </cell>
          <cell r="Z182">
            <v>2.2913999999999999</v>
          </cell>
          <cell r="AA182">
            <v>1.8511</v>
          </cell>
          <cell r="AB182">
            <v>295.8383</v>
          </cell>
          <cell r="AC182">
            <v>10.7805</v>
          </cell>
          <cell r="AD182">
            <v>4.2299999999999997E-2</v>
          </cell>
          <cell r="AE182">
            <v>10.359</v>
          </cell>
          <cell r="AF182">
            <v>18.836200000000002</v>
          </cell>
          <cell r="AG182">
            <v>1.4558</v>
          </cell>
          <cell r="AH182">
            <v>77.261799999999994</v>
          </cell>
          <cell r="AI182">
            <v>70.031700000000001</v>
          </cell>
          <cell r="AJ182">
            <v>13.535</v>
          </cell>
          <cell r="AK182">
            <v>50.1997</v>
          </cell>
          <cell r="AL182">
            <v>302.85980000000001</v>
          </cell>
          <cell r="AM182">
            <v>43.345700000000001</v>
          </cell>
          <cell r="AN182">
            <v>459.37779999999998</v>
          </cell>
          <cell r="AO182">
            <v>672.67579999999998</v>
          </cell>
        </row>
        <row r="183">
          <cell r="C183">
            <v>278.66910000000001</v>
          </cell>
          <cell r="D183">
            <v>33.6785</v>
          </cell>
          <cell r="E183">
            <v>761.96429999999998</v>
          </cell>
          <cell r="F183">
            <v>11.621600000000001</v>
          </cell>
          <cell r="G183">
            <v>114.8805</v>
          </cell>
          <cell r="H183">
            <v>3.8699999999999998E-2</v>
          </cell>
          <cell r="I183">
            <v>13.600199999999999</v>
          </cell>
          <cell r="J183">
            <v>62.175699999999999</v>
          </cell>
          <cell r="K183">
            <v>538.42999999999995</v>
          </cell>
          <cell r="L183">
            <v>29.618400000000001</v>
          </cell>
          <cell r="M183">
            <v>5.1784999999999997</v>
          </cell>
          <cell r="N183">
            <v>588.43050000000005</v>
          </cell>
          <cell r="O183">
            <v>27.852499999999999</v>
          </cell>
          <cell r="P183">
            <v>23.934000000000001</v>
          </cell>
          <cell r="Q183">
            <v>353.7878</v>
          </cell>
          <cell r="R183">
            <v>3.6753</v>
          </cell>
          <cell r="S183">
            <v>841.29690000000005</v>
          </cell>
          <cell r="T183">
            <v>134.60749999999999</v>
          </cell>
          <cell r="U183">
            <v>41.626800000000003</v>
          </cell>
          <cell r="V183">
            <v>210.29390000000001</v>
          </cell>
          <cell r="W183">
            <v>236.94630000000001</v>
          </cell>
          <cell r="X183">
            <v>58.450699999999998</v>
          </cell>
          <cell r="Y183">
            <v>136.0659</v>
          </cell>
          <cell r="Z183">
            <v>2.3115999999999999</v>
          </cell>
          <cell r="AA183">
            <v>1.8503000000000001</v>
          </cell>
          <cell r="AB183">
            <v>296.04360000000003</v>
          </cell>
          <cell r="AC183">
            <v>10.857900000000001</v>
          </cell>
          <cell r="AD183">
            <v>4.1399999999999999E-2</v>
          </cell>
          <cell r="AE183">
            <v>10.3544</v>
          </cell>
          <cell r="AF183">
            <v>19.043600000000001</v>
          </cell>
          <cell r="AG183">
            <v>1.4329000000000001</v>
          </cell>
          <cell r="AH183">
            <v>77.942800000000005</v>
          </cell>
          <cell r="AI183">
            <v>70.648899999999998</v>
          </cell>
          <cell r="AJ183">
            <v>13.676500000000001</v>
          </cell>
          <cell r="AK183">
            <v>50.650500000000001</v>
          </cell>
          <cell r="AL183">
            <v>304.84589999999997</v>
          </cell>
          <cell r="AM183">
            <v>43.428600000000003</v>
          </cell>
          <cell r="AN183">
            <v>463.42669999999998</v>
          </cell>
          <cell r="AO183">
            <v>674.4665</v>
          </cell>
        </row>
        <row r="184">
          <cell r="C184">
            <v>278.80970000000002</v>
          </cell>
          <cell r="D184">
            <v>33.677300000000002</v>
          </cell>
          <cell r="E184">
            <v>760.93529999999998</v>
          </cell>
          <cell r="F184">
            <v>11.583299999999999</v>
          </cell>
          <cell r="G184">
            <v>114.8762</v>
          </cell>
          <cell r="H184">
            <v>3.85E-2</v>
          </cell>
          <cell r="I184">
            <v>13.5997</v>
          </cell>
          <cell r="J184">
            <v>62.1843</v>
          </cell>
          <cell r="K184">
            <v>538.16</v>
          </cell>
          <cell r="L184">
            <v>29.6173</v>
          </cell>
          <cell r="M184">
            <v>5.2108999999999996</v>
          </cell>
          <cell r="N184">
            <v>588.40880000000004</v>
          </cell>
          <cell r="O184">
            <v>27.851500000000001</v>
          </cell>
          <cell r="P184">
            <v>23.9331</v>
          </cell>
          <cell r="Q184">
            <v>354.1533</v>
          </cell>
          <cell r="R184">
            <v>3.6734</v>
          </cell>
          <cell r="S184">
            <v>842.19090000000006</v>
          </cell>
          <cell r="T184">
            <v>134.54</v>
          </cell>
          <cell r="U184">
            <v>41.6021</v>
          </cell>
          <cell r="V184">
            <v>210.2861</v>
          </cell>
          <cell r="W184">
            <v>236.9376</v>
          </cell>
          <cell r="X184">
            <v>58.393300000000004</v>
          </cell>
          <cell r="Y184">
            <v>136.1088</v>
          </cell>
          <cell r="Z184">
            <v>2.3115000000000001</v>
          </cell>
          <cell r="AA184">
            <v>1.85</v>
          </cell>
          <cell r="AB184">
            <v>295.6927</v>
          </cell>
          <cell r="AC184">
            <v>10.9344</v>
          </cell>
          <cell r="AD184">
            <v>4.24E-2</v>
          </cell>
          <cell r="AE184">
            <v>10.3492</v>
          </cell>
          <cell r="AF184">
            <v>19.042899999999999</v>
          </cell>
          <cell r="AG184">
            <v>1.4321999999999999</v>
          </cell>
          <cell r="AH184">
            <v>77.939899999999994</v>
          </cell>
          <cell r="AI184">
            <v>70.646299999999997</v>
          </cell>
          <cell r="AJ184">
            <v>13.6982</v>
          </cell>
          <cell r="AK184">
            <v>50.265700000000002</v>
          </cell>
          <cell r="AL184">
            <v>304.4341</v>
          </cell>
          <cell r="AM184">
            <v>43.427</v>
          </cell>
          <cell r="AN184">
            <v>463.40960000000001</v>
          </cell>
          <cell r="AO184">
            <v>674.04729999999995</v>
          </cell>
        </row>
        <row r="185">
          <cell r="C185">
            <v>279.8005</v>
          </cell>
          <cell r="D185">
            <v>33.727800000000002</v>
          </cell>
          <cell r="E185">
            <v>761.95209999999997</v>
          </cell>
          <cell r="F185">
            <v>11.585900000000001</v>
          </cell>
          <cell r="G185">
            <v>115.04859999999999</v>
          </cell>
          <cell r="H185">
            <v>3.85E-2</v>
          </cell>
          <cell r="I185">
            <v>13.620100000000001</v>
          </cell>
          <cell r="J185">
            <v>62.313499999999998</v>
          </cell>
          <cell r="K185">
            <v>538.28</v>
          </cell>
          <cell r="L185">
            <v>29.6617</v>
          </cell>
          <cell r="M185">
            <v>5.2217000000000002</v>
          </cell>
          <cell r="N185">
            <v>589.29179999999997</v>
          </cell>
          <cell r="O185">
            <v>27.8933</v>
          </cell>
          <cell r="P185">
            <v>23.969000000000001</v>
          </cell>
          <cell r="Q185">
            <v>356.09989999999999</v>
          </cell>
          <cell r="R185">
            <v>3.6743000000000001</v>
          </cell>
          <cell r="S185">
            <v>843.69910000000004</v>
          </cell>
          <cell r="T185">
            <v>134.57</v>
          </cell>
          <cell r="U185">
            <v>41.631900000000002</v>
          </cell>
          <cell r="V185">
            <v>210.60169999999999</v>
          </cell>
          <cell r="W185">
            <v>237.29310000000001</v>
          </cell>
          <cell r="X185">
            <v>58.754899999999999</v>
          </cell>
          <cell r="Y185">
            <v>136.10120000000001</v>
          </cell>
          <cell r="Z185">
            <v>2.3149000000000002</v>
          </cell>
          <cell r="AA185">
            <v>1.8485</v>
          </cell>
          <cell r="AB185">
            <v>295.58949999999999</v>
          </cell>
          <cell r="AC185">
            <v>10.964</v>
          </cell>
          <cell r="AD185">
            <v>4.2999999999999997E-2</v>
          </cell>
          <cell r="AE185">
            <v>10.3515</v>
          </cell>
          <cell r="AF185">
            <v>19.054300000000001</v>
          </cell>
          <cell r="AG185">
            <v>1.4325000000000001</v>
          </cell>
          <cell r="AH185">
            <v>78.056899999999999</v>
          </cell>
          <cell r="AI185">
            <v>70.752399999999994</v>
          </cell>
          <cell r="AJ185">
            <v>13.7066</v>
          </cell>
          <cell r="AK185">
            <v>50.227800000000002</v>
          </cell>
          <cell r="AL185">
            <v>304.87090000000001</v>
          </cell>
          <cell r="AM185">
            <v>43.353999999999999</v>
          </cell>
          <cell r="AN185">
            <v>464.10500000000002</v>
          </cell>
          <cell r="AO185">
            <v>674.31489999999997</v>
          </cell>
        </row>
        <row r="186">
          <cell r="C186">
            <v>279.8005</v>
          </cell>
          <cell r="D186">
            <v>33.727800000000002</v>
          </cell>
          <cell r="E186">
            <v>761.95209999999997</v>
          </cell>
          <cell r="F186">
            <v>11.585900000000001</v>
          </cell>
          <cell r="G186">
            <v>115.04859999999999</v>
          </cell>
          <cell r="H186">
            <v>3.85E-2</v>
          </cell>
          <cell r="I186">
            <v>13.620100000000001</v>
          </cell>
          <cell r="J186">
            <v>62.313499999999998</v>
          </cell>
          <cell r="K186">
            <v>538.28</v>
          </cell>
          <cell r="L186">
            <v>29.6617</v>
          </cell>
          <cell r="M186">
            <v>5.2217000000000002</v>
          </cell>
          <cell r="N186">
            <v>589.29179999999997</v>
          </cell>
          <cell r="O186">
            <v>27.8933</v>
          </cell>
          <cell r="P186">
            <v>23.969000000000001</v>
          </cell>
          <cell r="Q186">
            <v>356.09989999999999</v>
          </cell>
          <cell r="R186">
            <v>3.6743000000000001</v>
          </cell>
          <cell r="S186">
            <v>843.69910000000004</v>
          </cell>
          <cell r="T186">
            <v>134.57</v>
          </cell>
          <cell r="U186">
            <v>41.631900000000002</v>
          </cell>
          <cell r="V186">
            <v>210.60169999999999</v>
          </cell>
          <cell r="W186">
            <v>237.29310000000001</v>
          </cell>
          <cell r="X186">
            <v>58.754899999999999</v>
          </cell>
          <cell r="Y186">
            <v>136.10120000000001</v>
          </cell>
          <cell r="Z186">
            <v>2.3149000000000002</v>
          </cell>
          <cell r="AA186">
            <v>1.8485</v>
          </cell>
          <cell r="AB186">
            <v>295.58949999999999</v>
          </cell>
          <cell r="AC186">
            <v>10.964</v>
          </cell>
          <cell r="AD186">
            <v>4.2999999999999997E-2</v>
          </cell>
          <cell r="AE186">
            <v>10.3515</v>
          </cell>
          <cell r="AF186">
            <v>19.054300000000001</v>
          </cell>
          <cell r="AG186">
            <v>1.4325000000000001</v>
          </cell>
          <cell r="AH186">
            <v>78.056899999999999</v>
          </cell>
          <cell r="AI186">
            <v>70.752399999999994</v>
          </cell>
          <cell r="AJ186">
            <v>13.7066</v>
          </cell>
          <cell r="AK186">
            <v>50.227800000000002</v>
          </cell>
          <cell r="AL186">
            <v>304.87090000000001</v>
          </cell>
          <cell r="AM186">
            <v>43.353999999999999</v>
          </cell>
          <cell r="AN186">
            <v>464.10500000000002</v>
          </cell>
          <cell r="AO186">
            <v>670.50739999999996</v>
          </cell>
        </row>
        <row r="187">
          <cell r="C187">
            <v>272.7586</v>
          </cell>
          <cell r="D187">
            <v>33.1723</v>
          </cell>
          <cell r="E187">
            <v>756.85860000000002</v>
          </cell>
          <cell r="F187">
            <v>11.585900000000001</v>
          </cell>
          <cell r="G187">
            <v>113.1538</v>
          </cell>
          <cell r="H187">
            <v>3.8600000000000002E-2</v>
          </cell>
          <cell r="I187">
            <v>13.395799999999999</v>
          </cell>
          <cell r="J187">
            <v>61.316099999999999</v>
          </cell>
          <cell r="K187">
            <v>538.28</v>
          </cell>
          <cell r="L187">
            <v>29.173200000000001</v>
          </cell>
          <cell r="M187">
            <v>5.1334</v>
          </cell>
          <cell r="N187">
            <v>579.5865</v>
          </cell>
          <cell r="O187">
            <v>27.433900000000001</v>
          </cell>
          <cell r="P187">
            <v>23.574300000000001</v>
          </cell>
          <cell r="Q187">
            <v>353.10700000000003</v>
          </cell>
          <cell r="R187">
            <v>3.6743000000000001</v>
          </cell>
          <cell r="S187">
            <v>842.37869999999998</v>
          </cell>
          <cell r="T187">
            <v>134.57</v>
          </cell>
          <cell r="U187">
            <v>41.694200000000002</v>
          </cell>
          <cell r="V187">
            <v>207.13319999999999</v>
          </cell>
          <cell r="W187">
            <v>233.38499999999999</v>
          </cell>
          <cell r="X187">
            <v>57.878799999999998</v>
          </cell>
          <cell r="Y187">
            <v>135.46459999999999</v>
          </cell>
          <cell r="Z187">
            <v>2.2768000000000002</v>
          </cell>
          <cell r="AA187">
            <v>1.8516999999999999</v>
          </cell>
          <cell r="AB187">
            <v>295.42520000000002</v>
          </cell>
          <cell r="AC187">
            <v>10.8</v>
          </cell>
          <cell r="AD187">
            <v>4.2799999999999998E-2</v>
          </cell>
          <cell r="AE187">
            <v>10.3515</v>
          </cell>
          <cell r="AF187">
            <v>18.735800000000001</v>
          </cell>
          <cell r="AG187">
            <v>1.4325000000000001</v>
          </cell>
          <cell r="AH187">
            <v>76.771299999999997</v>
          </cell>
          <cell r="AI187">
            <v>69.587100000000007</v>
          </cell>
          <cell r="AJ187">
            <v>13.5128</v>
          </cell>
          <cell r="AK187">
            <v>49.548099999999998</v>
          </cell>
          <cell r="AL187">
            <v>299.75139999999999</v>
          </cell>
          <cell r="AM187">
            <v>43.319899999999997</v>
          </cell>
          <cell r="AN187">
            <v>456.46140000000003</v>
          </cell>
          <cell r="AO187">
            <v>670.50739999999996</v>
          </cell>
        </row>
        <row r="188">
          <cell r="C188">
            <v>279.88872000000003</v>
          </cell>
          <cell r="D188">
            <v>33.494106666666667</v>
          </cell>
          <cell r="E188">
            <v>757.85653333333323</v>
          </cell>
          <cell r="F188">
            <v>11.657236666666668</v>
          </cell>
          <cell r="G188">
            <v>114.25141000000002</v>
          </cell>
          <cell r="H188">
            <v>3.8980000000000001E-2</v>
          </cell>
          <cell r="I188">
            <v>13.525726666666664</v>
          </cell>
          <cell r="J188">
            <v>61.828949999999999</v>
          </cell>
          <cell r="K188">
            <v>540.12400000000002</v>
          </cell>
          <cell r="L188">
            <v>29.456186666666664</v>
          </cell>
          <cell r="M188">
            <v>5.1607633333333327</v>
          </cell>
          <cell r="N188">
            <v>585.20834000000002</v>
          </cell>
          <cell r="O188">
            <v>27.699993333333328</v>
          </cell>
          <cell r="P188">
            <v>23.802930000000007</v>
          </cell>
          <cell r="Q188">
            <v>353.85665666666665</v>
          </cell>
          <cell r="R188">
            <v>3.6904400000000011</v>
          </cell>
          <cell r="S188">
            <v>845.67123666666691</v>
          </cell>
          <cell r="T188">
            <v>135.03100000000001</v>
          </cell>
          <cell r="U188">
            <v>41.789973333333343</v>
          </cell>
          <cell r="V188">
            <v>209.14232000000007</v>
          </cell>
          <cell r="W188">
            <v>235.64881000000008</v>
          </cell>
          <cell r="X188">
            <v>58.051336666666664</v>
          </cell>
          <cell r="Y188">
            <v>135.98981999999998</v>
          </cell>
          <cell r="Z188">
            <v>2.2989166666666665</v>
          </cell>
          <cell r="AA188">
            <v>1.855156666666667</v>
          </cell>
          <cell r="AB188">
            <v>297.58641</v>
          </cell>
          <cell r="AC188">
            <v>10.76656333333333</v>
          </cell>
          <cell r="AD188">
            <v>4.4739999999999995E-2</v>
          </cell>
          <cell r="AE188">
            <v>10.386989999999997</v>
          </cell>
          <cell r="AF188">
            <v>18.599376666666664</v>
          </cell>
          <cell r="AG188">
            <v>1.4809433333333326</v>
          </cell>
          <cell r="AH188">
            <v>77.515966666666657</v>
          </cell>
          <cell r="AI188">
            <v>70.262076666666673</v>
          </cell>
          <cell r="AJ188">
            <v>13.562576666666667</v>
          </cell>
          <cell r="AK188">
            <v>50.075063333333325</v>
          </cell>
          <cell r="AL188">
            <v>302.78262999999998</v>
          </cell>
          <cell r="AM188">
            <v>44.363020000000006</v>
          </cell>
          <cell r="AN188">
            <v>460.88902333333328</v>
          </cell>
          <cell r="AO188">
            <v>675.62614999999994</v>
          </cell>
        </row>
        <row r="189">
          <cell r="C189">
            <v>272.7586</v>
          </cell>
          <cell r="D189">
            <v>33.1723</v>
          </cell>
          <cell r="E189">
            <v>756.85860000000002</v>
          </cell>
          <cell r="F189">
            <v>11.585900000000001</v>
          </cell>
          <cell r="G189">
            <v>113.1538</v>
          </cell>
          <cell r="H189">
            <v>3.8600000000000002E-2</v>
          </cell>
          <cell r="I189">
            <v>13.395799999999999</v>
          </cell>
          <cell r="J189">
            <v>61.316099999999999</v>
          </cell>
          <cell r="K189">
            <v>538.28</v>
          </cell>
          <cell r="L189">
            <v>29.173200000000001</v>
          </cell>
          <cell r="M189">
            <v>5.1334</v>
          </cell>
          <cell r="N189">
            <v>579.5865</v>
          </cell>
          <cell r="O189">
            <v>27.433900000000001</v>
          </cell>
          <cell r="P189">
            <v>23.574300000000001</v>
          </cell>
          <cell r="Q189">
            <v>353.10700000000003</v>
          </cell>
          <cell r="R189">
            <v>3.6743000000000001</v>
          </cell>
          <cell r="S189">
            <v>842.37869999999998</v>
          </cell>
          <cell r="T189">
            <v>134.57</v>
          </cell>
          <cell r="U189">
            <v>41.694200000000002</v>
          </cell>
          <cell r="V189">
            <v>207.13319999999999</v>
          </cell>
          <cell r="W189">
            <v>233.38499999999999</v>
          </cell>
          <cell r="X189">
            <v>57.878799999999998</v>
          </cell>
          <cell r="Y189">
            <v>135.46459999999999</v>
          </cell>
          <cell r="Z189">
            <v>2.2768000000000002</v>
          </cell>
          <cell r="AA189">
            <v>1.8516999999999999</v>
          </cell>
          <cell r="AB189">
            <v>295.42520000000002</v>
          </cell>
          <cell r="AC189">
            <v>10.8</v>
          </cell>
          <cell r="AD189">
            <v>4.2799999999999998E-2</v>
          </cell>
          <cell r="AE189">
            <v>10.3515</v>
          </cell>
          <cell r="AF189">
            <v>18.735800000000001</v>
          </cell>
          <cell r="AG189">
            <v>1.4325000000000001</v>
          </cell>
          <cell r="AH189">
            <v>76.771299999999997</v>
          </cell>
          <cell r="AI189">
            <v>69.587100000000007</v>
          </cell>
          <cell r="AJ189">
            <v>13.5128</v>
          </cell>
          <cell r="AK189">
            <v>49.548099999999998</v>
          </cell>
          <cell r="AL189">
            <v>299.75139999999999</v>
          </cell>
          <cell r="AM189">
            <v>43.319899999999997</v>
          </cell>
          <cell r="AN189">
            <v>456.46140000000003</v>
          </cell>
          <cell r="AO189">
            <v>670.50739999999996</v>
          </cell>
        </row>
        <row r="190">
          <cell r="C190">
            <v>272.7586</v>
          </cell>
          <cell r="D190">
            <v>33.1723</v>
          </cell>
          <cell r="E190">
            <v>756.85860000000002</v>
          </cell>
          <cell r="F190">
            <v>11.585900000000001</v>
          </cell>
          <cell r="G190">
            <v>113.1538</v>
          </cell>
          <cell r="H190">
            <v>3.8600000000000002E-2</v>
          </cell>
          <cell r="I190">
            <v>13.395799999999999</v>
          </cell>
          <cell r="J190">
            <v>61.316099999999999</v>
          </cell>
          <cell r="K190">
            <v>538.28</v>
          </cell>
          <cell r="L190">
            <v>29.173200000000001</v>
          </cell>
          <cell r="M190">
            <v>5.1334</v>
          </cell>
          <cell r="N190">
            <v>579.5865</v>
          </cell>
          <cell r="O190">
            <v>27.433900000000001</v>
          </cell>
          <cell r="P190">
            <v>23.574300000000001</v>
          </cell>
          <cell r="Q190">
            <v>353.10700000000003</v>
          </cell>
          <cell r="R190">
            <v>3.6743000000000001</v>
          </cell>
          <cell r="S190">
            <v>842.37869999999998</v>
          </cell>
          <cell r="T190">
            <v>134.57</v>
          </cell>
          <cell r="U190">
            <v>41.694200000000002</v>
          </cell>
          <cell r="V190">
            <v>207.13319999999999</v>
          </cell>
          <cell r="W190">
            <v>233.38499999999999</v>
          </cell>
          <cell r="X190">
            <v>57.878799999999998</v>
          </cell>
          <cell r="Y190">
            <v>135.46459999999999</v>
          </cell>
          <cell r="Z190">
            <v>2.2768000000000002</v>
          </cell>
          <cell r="AA190">
            <v>1.8516999999999999</v>
          </cell>
          <cell r="AB190">
            <v>295.42520000000002</v>
          </cell>
          <cell r="AC190">
            <v>10.8</v>
          </cell>
          <cell r="AD190">
            <v>4.2799999999999998E-2</v>
          </cell>
          <cell r="AE190">
            <v>10.3515</v>
          </cell>
          <cell r="AF190">
            <v>18.735800000000001</v>
          </cell>
          <cell r="AG190">
            <v>1.4325000000000001</v>
          </cell>
          <cell r="AH190">
            <v>76.771299999999997</v>
          </cell>
          <cell r="AI190">
            <v>69.587100000000007</v>
          </cell>
          <cell r="AJ190">
            <v>13.5128</v>
          </cell>
          <cell r="AK190">
            <v>49.548099999999998</v>
          </cell>
          <cell r="AL190">
            <v>299.75139999999999</v>
          </cell>
          <cell r="AM190">
            <v>43.319899999999997</v>
          </cell>
          <cell r="AN190">
            <v>456.46140000000003</v>
          </cell>
          <cell r="AO190">
            <v>670.50739999999996</v>
          </cell>
        </row>
        <row r="191">
          <cell r="C191">
            <v>273.99860000000001</v>
          </cell>
          <cell r="D191">
            <v>33.078200000000002</v>
          </cell>
          <cell r="E191">
            <v>761.14790000000005</v>
          </cell>
          <cell r="F191">
            <v>11.587199999999999</v>
          </cell>
          <cell r="G191">
            <v>112.83280000000001</v>
          </cell>
          <cell r="H191">
            <v>3.8399999999999997E-2</v>
          </cell>
          <cell r="I191">
            <v>13.357799999999999</v>
          </cell>
          <cell r="J191">
            <v>61.137999999999998</v>
          </cell>
          <cell r="K191">
            <v>538.34</v>
          </cell>
          <cell r="L191">
            <v>29.090399999999999</v>
          </cell>
          <cell r="M191">
            <v>5.1864999999999997</v>
          </cell>
          <cell r="N191">
            <v>577.94219999999996</v>
          </cell>
          <cell r="O191">
            <v>27.356100000000001</v>
          </cell>
          <cell r="P191">
            <v>23.507400000000001</v>
          </cell>
          <cell r="Q191">
            <v>355.59879999999998</v>
          </cell>
          <cell r="R191">
            <v>3.6722000000000001</v>
          </cell>
          <cell r="S191">
            <v>838.53579999999999</v>
          </cell>
          <cell r="T191">
            <v>134.58500000000001</v>
          </cell>
          <cell r="U191">
            <v>41.707500000000003</v>
          </cell>
          <cell r="V191">
            <v>206.5455</v>
          </cell>
          <cell r="W191">
            <v>232.72290000000001</v>
          </cell>
          <cell r="X191">
            <v>57.365499999999997</v>
          </cell>
          <cell r="Y191">
            <v>133.97890000000001</v>
          </cell>
          <cell r="Z191">
            <v>2.2704</v>
          </cell>
          <cell r="AA191">
            <v>1.8462000000000001</v>
          </cell>
          <cell r="AB191">
            <v>295.4092</v>
          </cell>
          <cell r="AC191">
            <v>10.796200000000001</v>
          </cell>
          <cell r="AD191">
            <v>4.2799999999999998E-2</v>
          </cell>
          <cell r="AE191">
            <v>10.3527</v>
          </cell>
          <cell r="AF191">
            <v>18.742699999999999</v>
          </cell>
          <cell r="AG191">
            <v>1.4116</v>
          </cell>
          <cell r="AH191">
            <v>76.5535</v>
          </cell>
          <cell r="AI191">
            <v>69.389700000000005</v>
          </cell>
          <cell r="AJ191">
            <v>13.4665</v>
          </cell>
          <cell r="AK191">
            <v>49.299900000000001</v>
          </cell>
          <cell r="AL191">
            <v>299.27440000000001</v>
          </cell>
          <cell r="AM191">
            <v>43.283200000000001</v>
          </cell>
          <cell r="AN191">
            <v>455.16649999999998</v>
          </cell>
          <cell r="AO191">
            <v>670.68409999999994</v>
          </cell>
        </row>
        <row r="192">
          <cell r="C192">
            <v>278.37849999999997</v>
          </cell>
          <cell r="D192">
            <v>33.224600000000002</v>
          </cell>
          <cell r="E192">
            <v>759.56320000000005</v>
          </cell>
          <cell r="F192">
            <v>11.5809</v>
          </cell>
          <cell r="G192">
            <v>113.3322</v>
          </cell>
          <cell r="H192">
            <v>3.8399999999999997E-2</v>
          </cell>
          <cell r="I192">
            <v>13.4169</v>
          </cell>
          <cell r="J192">
            <v>61.402000000000001</v>
          </cell>
          <cell r="K192">
            <v>538.04999999999995</v>
          </cell>
          <cell r="L192">
            <v>29.219200000000001</v>
          </cell>
          <cell r="M192">
            <v>5.1940999999999997</v>
          </cell>
          <cell r="N192">
            <v>580.50019999999995</v>
          </cell>
          <cell r="O192">
            <v>27.4771</v>
          </cell>
          <cell r="P192">
            <v>23.6114</v>
          </cell>
          <cell r="Q192">
            <v>356.06</v>
          </cell>
          <cell r="R192">
            <v>3.6701999999999999</v>
          </cell>
          <cell r="S192">
            <v>838.08410000000003</v>
          </cell>
          <cell r="T192">
            <v>134.51249999999999</v>
          </cell>
          <cell r="U192">
            <v>41.6663</v>
          </cell>
          <cell r="V192">
            <v>207.4597</v>
          </cell>
          <cell r="W192">
            <v>233.75299999999999</v>
          </cell>
          <cell r="X192">
            <v>57.503399999999999</v>
          </cell>
          <cell r="Y192">
            <v>135.1447</v>
          </cell>
          <cell r="Z192">
            <v>2.2804000000000002</v>
          </cell>
          <cell r="AA192">
            <v>1.8439000000000001</v>
          </cell>
          <cell r="AB192">
            <v>295.22219999999999</v>
          </cell>
          <cell r="AC192">
            <v>10.850899999999999</v>
          </cell>
          <cell r="AD192">
            <v>4.2299999999999997E-2</v>
          </cell>
          <cell r="AE192">
            <v>10.347099999999999</v>
          </cell>
          <cell r="AF192">
            <v>18.846599999999999</v>
          </cell>
          <cell r="AG192">
            <v>1.4108000000000001</v>
          </cell>
          <cell r="AH192">
            <v>76.892300000000006</v>
          </cell>
          <cell r="AI192">
            <v>69.696799999999996</v>
          </cell>
          <cell r="AJ192">
            <v>13.539300000000001</v>
          </cell>
          <cell r="AK192">
            <v>49.469900000000003</v>
          </cell>
          <cell r="AL192">
            <v>300.06630000000001</v>
          </cell>
          <cell r="AM192">
            <v>43.363500000000002</v>
          </cell>
          <cell r="AN192">
            <v>457.18110000000001</v>
          </cell>
          <cell r="AO192">
            <v>670.11159999999995</v>
          </cell>
        </row>
        <row r="193">
          <cell r="C193">
            <v>279.33530000000002</v>
          </cell>
          <cell r="D193">
            <v>33.052599999999998</v>
          </cell>
          <cell r="E193">
            <v>754.75220000000002</v>
          </cell>
          <cell r="F193">
            <v>11.5809</v>
          </cell>
          <cell r="G193">
            <v>112.7454</v>
          </cell>
          <cell r="H193">
            <v>3.8300000000000001E-2</v>
          </cell>
          <cell r="I193">
            <v>13.3474</v>
          </cell>
          <cell r="J193">
            <v>61.095599999999997</v>
          </cell>
          <cell r="K193">
            <v>538.04999999999995</v>
          </cell>
          <cell r="L193">
            <v>29.067900000000002</v>
          </cell>
          <cell r="M193">
            <v>5.1571999999999996</v>
          </cell>
          <cell r="N193">
            <v>577.49419999999998</v>
          </cell>
          <cell r="O193">
            <v>27.334900000000001</v>
          </cell>
          <cell r="P193">
            <v>23.4892</v>
          </cell>
          <cell r="Q193">
            <v>355.9907</v>
          </cell>
          <cell r="R193">
            <v>3.6701999999999999</v>
          </cell>
          <cell r="S193">
            <v>839.39160000000004</v>
          </cell>
          <cell r="T193">
            <v>134.51249999999999</v>
          </cell>
          <cell r="U193">
            <v>41.669899999999998</v>
          </cell>
          <cell r="V193">
            <v>206.3854</v>
          </cell>
          <cell r="W193">
            <v>232.54249999999999</v>
          </cell>
          <cell r="X193">
            <v>57.396999999999998</v>
          </cell>
          <cell r="Y193">
            <v>134.6678</v>
          </cell>
          <cell r="Z193">
            <v>2.2686000000000002</v>
          </cell>
          <cell r="AA193">
            <v>1.8439000000000001</v>
          </cell>
          <cell r="AB193">
            <v>295.06529999999998</v>
          </cell>
          <cell r="AC193">
            <v>10.841799999999999</v>
          </cell>
          <cell r="AD193">
            <v>4.2099999999999999E-2</v>
          </cell>
          <cell r="AE193">
            <v>10.347099999999999</v>
          </cell>
          <cell r="AF193">
            <v>18.879799999999999</v>
          </cell>
          <cell r="AG193">
            <v>1.4108000000000001</v>
          </cell>
          <cell r="AH193">
            <v>76.494200000000006</v>
          </cell>
          <cell r="AI193">
            <v>69.335899999999995</v>
          </cell>
          <cell r="AJ193">
            <v>13.4712</v>
          </cell>
          <cell r="AK193">
            <v>49.4191</v>
          </cell>
          <cell r="AL193">
            <v>299.33769999999998</v>
          </cell>
          <cell r="AM193">
            <v>43.249699999999997</v>
          </cell>
          <cell r="AN193">
            <v>454.81369999999998</v>
          </cell>
          <cell r="AO193">
            <v>670.11159999999995</v>
          </cell>
        </row>
        <row r="194">
          <cell r="C194">
            <v>278.79880000000003</v>
          </cell>
          <cell r="D194">
            <v>32.960799999999999</v>
          </cell>
          <cell r="E194">
            <v>757.17859999999996</v>
          </cell>
          <cell r="F194">
            <v>11.5913</v>
          </cell>
          <cell r="G194">
            <v>112.43210000000001</v>
          </cell>
          <cell r="H194">
            <v>3.8300000000000001E-2</v>
          </cell>
          <cell r="I194">
            <v>13.3103</v>
          </cell>
          <cell r="J194">
            <v>60.938899999999997</v>
          </cell>
          <cell r="K194">
            <v>538.53</v>
          </cell>
          <cell r="L194">
            <v>28.987100000000002</v>
          </cell>
          <cell r="M194">
            <v>5.2031000000000001</v>
          </cell>
          <cell r="N194">
            <v>575.88969999999995</v>
          </cell>
          <cell r="O194">
            <v>27.258900000000001</v>
          </cell>
          <cell r="P194">
            <v>23.4239</v>
          </cell>
          <cell r="Q194">
            <v>356.31229999999999</v>
          </cell>
          <cell r="R194">
            <v>3.6735000000000002</v>
          </cell>
          <cell r="S194">
            <v>838.83180000000004</v>
          </cell>
          <cell r="T194">
            <v>134.63249999999999</v>
          </cell>
          <cell r="U194">
            <v>41.718699999999998</v>
          </cell>
          <cell r="V194">
            <v>205.81200000000001</v>
          </cell>
          <cell r="W194">
            <v>231.8964</v>
          </cell>
          <cell r="X194">
            <v>57.3279</v>
          </cell>
          <cell r="Y194">
            <v>133.69980000000001</v>
          </cell>
          <cell r="Z194">
            <v>2.2623000000000002</v>
          </cell>
          <cell r="AA194">
            <v>1.8462000000000001</v>
          </cell>
          <cell r="AB194">
            <v>295.08780000000002</v>
          </cell>
          <cell r="AC194">
            <v>10.811400000000001</v>
          </cell>
          <cell r="AD194">
            <v>4.2200000000000001E-2</v>
          </cell>
          <cell r="AE194">
            <v>10.356299999999999</v>
          </cell>
          <cell r="AF194">
            <v>18.710799999999999</v>
          </cell>
          <cell r="AG194">
            <v>1.4120999999999999</v>
          </cell>
          <cell r="AH194">
            <v>76.281599999999997</v>
          </cell>
          <cell r="AI194">
            <v>69.143199999999993</v>
          </cell>
          <cell r="AJ194">
            <v>13.436500000000001</v>
          </cell>
          <cell r="AK194">
            <v>49.1813</v>
          </cell>
          <cell r="AL194">
            <v>298.07440000000003</v>
          </cell>
          <cell r="AM194">
            <v>42.892899999999997</v>
          </cell>
          <cell r="AN194">
            <v>453.55</v>
          </cell>
          <cell r="AO194">
            <v>668.49639999999999</v>
          </cell>
        </row>
        <row r="195">
          <cell r="C195">
            <v>272.10320000000002</v>
          </cell>
          <cell r="D195">
            <v>32.782200000000003</v>
          </cell>
          <cell r="E195">
            <v>752.32280000000003</v>
          </cell>
          <cell r="F195">
            <v>11.5807</v>
          </cell>
          <cell r="G195">
            <v>111.82299999999999</v>
          </cell>
          <cell r="H195">
            <v>3.8300000000000001E-2</v>
          </cell>
          <cell r="I195">
            <v>13.238200000000001</v>
          </cell>
          <cell r="J195">
            <v>60.6128</v>
          </cell>
          <cell r="K195">
            <v>538.04</v>
          </cell>
          <cell r="L195">
            <v>28.830100000000002</v>
          </cell>
          <cell r="M195">
            <v>5.2053000000000003</v>
          </cell>
          <cell r="N195">
            <v>572.76959999999997</v>
          </cell>
          <cell r="O195">
            <v>27.1112</v>
          </cell>
          <cell r="P195">
            <v>23.297000000000001</v>
          </cell>
          <cell r="Q195">
            <v>355.24709999999999</v>
          </cell>
          <cell r="R195">
            <v>3.6701000000000001</v>
          </cell>
          <cell r="S195">
            <v>836.76520000000005</v>
          </cell>
          <cell r="T195">
            <v>134.51</v>
          </cell>
          <cell r="U195">
            <v>41.690100000000001</v>
          </cell>
          <cell r="V195">
            <v>204.697</v>
          </cell>
          <cell r="W195">
            <v>230.64009999999999</v>
          </cell>
          <cell r="X195">
            <v>56.898699999999998</v>
          </cell>
          <cell r="Y195">
            <v>127.60760000000001</v>
          </cell>
          <cell r="Z195">
            <v>2.25</v>
          </cell>
          <cell r="AA195">
            <v>1.8445</v>
          </cell>
          <cell r="AB195">
            <v>294.4085</v>
          </cell>
          <cell r="AC195">
            <v>10.638500000000001</v>
          </cell>
          <cell r="AD195">
            <v>4.0500000000000001E-2</v>
          </cell>
          <cell r="AE195">
            <v>10.3469</v>
          </cell>
          <cell r="AF195">
            <v>18.004100000000001</v>
          </cell>
          <cell r="AG195">
            <v>1.4108000000000001</v>
          </cell>
          <cell r="AH195">
            <v>75.868399999999994</v>
          </cell>
          <cell r="AI195">
            <v>68.768600000000006</v>
          </cell>
          <cell r="AJ195">
            <v>13.2827</v>
          </cell>
          <cell r="AK195">
            <v>48.7273</v>
          </cell>
          <cell r="AL195">
            <v>296.38159999999999</v>
          </cell>
          <cell r="AM195">
            <v>42.696899999999999</v>
          </cell>
          <cell r="AN195">
            <v>451.09269999999998</v>
          </cell>
          <cell r="AO195">
            <v>666.71619999999996</v>
          </cell>
        </row>
        <row r="196">
          <cell r="C196">
            <v>272.10320000000002</v>
          </cell>
          <cell r="D196">
            <v>32.782200000000003</v>
          </cell>
          <cell r="E196">
            <v>752.32280000000003</v>
          </cell>
          <cell r="F196">
            <v>11.5807</v>
          </cell>
          <cell r="G196">
            <v>111.82299999999999</v>
          </cell>
          <cell r="H196">
            <v>3.8300000000000001E-2</v>
          </cell>
          <cell r="I196">
            <v>13.238200000000001</v>
          </cell>
          <cell r="J196">
            <v>60.6128</v>
          </cell>
          <cell r="K196">
            <v>538.04</v>
          </cell>
          <cell r="L196">
            <v>28.830100000000002</v>
          </cell>
          <cell r="M196">
            <v>5.2053000000000003</v>
          </cell>
          <cell r="N196">
            <v>572.76959999999997</v>
          </cell>
          <cell r="O196">
            <v>27.1112</v>
          </cell>
          <cell r="P196">
            <v>23.297000000000001</v>
          </cell>
          <cell r="Q196">
            <v>355.24709999999999</v>
          </cell>
          <cell r="R196">
            <v>3.6701000000000001</v>
          </cell>
          <cell r="S196">
            <v>836.76520000000005</v>
          </cell>
          <cell r="T196">
            <v>134.51</v>
          </cell>
          <cell r="U196">
            <v>41.690100000000001</v>
          </cell>
          <cell r="V196">
            <v>204.697</v>
          </cell>
          <cell r="W196">
            <v>230.64009999999999</v>
          </cell>
          <cell r="X196">
            <v>56.898699999999998</v>
          </cell>
          <cell r="Y196">
            <v>127.60760000000001</v>
          </cell>
          <cell r="Z196">
            <v>2.25</v>
          </cell>
          <cell r="AA196">
            <v>1.8445</v>
          </cell>
          <cell r="AB196">
            <v>294.4085</v>
          </cell>
          <cell r="AC196">
            <v>10.638500000000001</v>
          </cell>
          <cell r="AD196">
            <v>4.0500000000000001E-2</v>
          </cell>
          <cell r="AE196">
            <v>10.3469</v>
          </cell>
          <cell r="AF196">
            <v>18.004100000000001</v>
          </cell>
          <cell r="AG196">
            <v>1.4108000000000001</v>
          </cell>
          <cell r="AH196">
            <v>75.868399999999994</v>
          </cell>
          <cell r="AI196">
            <v>68.768600000000006</v>
          </cell>
          <cell r="AJ196">
            <v>13.2827</v>
          </cell>
          <cell r="AK196">
            <v>48.7273</v>
          </cell>
          <cell r="AL196">
            <v>296.38159999999999</v>
          </cell>
          <cell r="AM196">
            <v>42.696899999999999</v>
          </cell>
          <cell r="AN196">
            <v>451.09269999999998</v>
          </cell>
          <cell r="AO196">
            <v>666.71619999999996</v>
          </cell>
        </row>
        <row r="197">
          <cell r="C197">
            <v>272.10320000000002</v>
          </cell>
          <cell r="D197">
            <v>32.782200000000003</v>
          </cell>
          <cell r="E197">
            <v>752.32280000000003</v>
          </cell>
          <cell r="F197">
            <v>11.5807</v>
          </cell>
          <cell r="G197">
            <v>111.82299999999999</v>
          </cell>
          <cell r="H197">
            <v>3.8300000000000001E-2</v>
          </cell>
          <cell r="I197">
            <v>13.238200000000001</v>
          </cell>
          <cell r="J197">
            <v>60.6128</v>
          </cell>
          <cell r="K197">
            <v>538.04</v>
          </cell>
          <cell r="L197">
            <v>28.830100000000002</v>
          </cell>
          <cell r="M197">
            <v>5.2053000000000003</v>
          </cell>
          <cell r="N197">
            <v>572.76959999999997</v>
          </cell>
          <cell r="O197">
            <v>27.1112</v>
          </cell>
          <cell r="P197">
            <v>23.297000000000001</v>
          </cell>
          <cell r="Q197">
            <v>355.24709999999999</v>
          </cell>
          <cell r="R197">
            <v>3.6701000000000001</v>
          </cell>
          <cell r="S197">
            <v>836.76520000000005</v>
          </cell>
          <cell r="T197">
            <v>134.51</v>
          </cell>
          <cell r="U197">
            <v>41.690100000000001</v>
          </cell>
          <cell r="V197">
            <v>204.697</v>
          </cell>
          <cell r="W197">
            <v>230.64009999999999</v>
          </cell>
          <cell r="X197">
            <v>56.898699999999998</v>
          </cell>
          <cell r="Y197">
            <v>127.60760000000001</v>
          </cell>
          <cell r="Z197">
            <v>2.25</v>
          </cell>
          <cell r="AA197">
            <v>1.8445</v>
          </cell>
          <cell r="AB197">
            <v>294.4085</v>
          </cell>
          <cell r="AC197">
            <v>10.638500000000001</v>
          </cell>
          <cell r="AD197">
            <v>4.0500000000000001E-2</v>
          </cell>
          <cell r="AE197">
            <v>10.3469</v>
          </cell>
          <cell r="AF197">
            <v>18.004100000000001</v>
          </cell>
          <cell r="AG197">
            <v>1.4108000000000001</v>
          </cell>
          <cell r="AH197">
            <v>75.868399999999994</v>
          </cell>
          <cell r="AI197">
            <v>68.768600000000006</v>
          </cell>
          <cell r="AJ197">
            <v>13.2827</v>
          </cell>
          <cell r="AK197">
            <v>48.7273</v>
          </cell>
          <cell r="AL197">
            <v>296.38159999999999</v>
          </cell>
          <cell r="AM197">
            <v>42.696899999999999</v>
          </cell>
          <cell r="AN197">
            <v>451.09269999999998</v>
          </cell>
          <cell r="AO197">
            <v>666.71619999999996</v>
          </cell>
        </row>
        <row r="198">
          <cell r="C198">
            <v>272.03949999999998</v>
          </cell>
          <cell r="D198">
            <v>33.063099999999999</v>
          </cell>
          <cell r="E198">
            <v>756.49959999999999</v>
          </cell>
          <cell r="F198">
            <v>11.5764</v>
          </cell>
          <cell r="G198">
            <v>112.7814</v>
          </cell>
          <cell r="H198">
            <v>3.8199999999999998E-2</v>
          </cell>
          <cell r="I198">
            <v>13.351699999999999</v>
          </cell>
          <cell r="J198">
            <v>61.122500000000002</v>
          </cell>
          <cell r="K198">
            <v>537.84</v>
          </cell>
          <cell r="L198">
            <v>29.077200000000001</v>
          </cell>
          <cell r="M198">
            <v>5.2263999999999999</v>
          </cell>
          <cell r="N198">
            <v>577.67859999999996</v>
          </cell>
          <cell r="O198">
            <v>27.343599999999999</v>
          </cell>
          <cell r="P198">
            <v>23.496700000000001</v>
          </cell>
          <cell r="Q198">
            <v>354.30169999999998</v>
          </cell>
          <cell r="R198">
            <v>3.6663000000000001</v>
          </cell>
          <cell r="S198">
            <v>832.56970000000001</v>
          </cell>
          <cell r="T198">
            <v>134.46</v>
          </cell>
          <cell r="U198">
            <v>41.663600000000002</v>
          </cell>
          <cell r="V198">
            <v>206.4513</v>
          </cell>
          <cell r="W198">
            <v>232.61680000000001</v>
          </cell>
          <cell r="X198">
            <v>57.458799999999997</v>
          </cell>
          <cell r="Y198">
            <v>123.9602</v>
          </cell>
          <cell r="Z198">
            <v>2.2692999999999999</v>
          </cell>
          <cell r="AA198">
            <v>1.8407</v>
          </cell>
          <cell r="AB198">
            <v>293.99599999999998</v>
          </cell>
          <cell r="AC198">
            <v>10.687099999999999</v>
          </cell>
          <cell r="AD198">
            <v>4.1300000000000003E-2</v>
          </cell>
          <cell r="AE198">
            <v>10.3431</v>
          </cell>
          <cell r="AF198">
            <v>17.908200000000001</v>
          </cell>
          <cell r="AG198">
            <v>1.3903000000000001</v>
          </cell>
          <cell r="AH198">
            <v>76.518600000000006</v>
          </cell>
          <cell r="AI198">
            <v>69.358000000000004</v>
          </cell>
          <cell r="AJ198">
            <v>13.3544</v>
          </cell>
          <cell r="AK198">
            <v>48.917700000000004</v>
          </cell>
          <cell r="AL198">
            <v>299.3938</v>
          </cell>
          <cell r="AM198">
            <v>42.843899999999998</v>
          </cell>
          <cell r="AN198">
            <v>454.95890000000003</v>
          </cell>
          <cell r="AO198">
            <v>668.46799999999996</v>
          </cell>
        </row>
        <row r="199">
          <cell r="C199">
            <v>274.45580000000001</v>
          </cell>
          <cell r="D199">
            <v>33.3887</v>
          </cell>
          <cell r="E199">
            <v>759.15239999999994</v>
          </cell>
          <cell r="F199">
            <v>11.572800000000001</v>
          </cell>
          <cell r="G199">
            <v>113.892</v>
          </cell>
          <cell r="H199">
            <v>3.8199999999999998E-2</v>
          </cell>
          <cell r="I199">
            <v>13.4832</v>
          </cell>
          <cell r="J199">
            <v>61.720999999999997</v>
          </cell>
          <cell r="K199">
            <v>537.66999999999996</v>
          </cell>
          <cell r="L199">
            <v>29.363499999999998</v>
          </cell>
          <cell r="M199">
            <v>5.2537000000000003</v>
          </cell>
          <cell r="N199">
            <v>583.36720000000003</v>
          </cell>
          <cell r="O199">
            <v>27.6128</v>
          </cell>
          <cell r="P199">
            <v>23.728000000000002</v>
          </cell>
          <cell r="Q199">
            <v>353.95920000000001</v>
          </cell>
          <cell r="R199">
            <v>3.6650999999999998</v>
          </cell>
          <cell r="S199">
            <v>836.18970000000002</v>
          </cell>
          <cell r="T199">
            <v>134.41749999999999</v>
          </cell>
          <cell r="U199">
            <v>41.655000000000001</v>
          </cell>
          <cell r="V199">
            <v>208.48429999999999</v>
          </cell>
          <cell r="W199">
            <v>234.9074</v>
          </cell>
          <cell r="X199">
            <v>57.823799999999999</v>
          </cell>
          <cell r="Y199">
            <v>124.4654</v>
          </cell>
          <cell r="Z199">
            <v>2.2917000000000001</v>
          </cell>
          <cell r="AA199">
            <v>1.8393999999999999</v>
          </cell>
          <cell r="AB199">
            <v>293.15910000000002</v>
          </cell>
          <cell r="AC199">
            <v>10.7948</v>
          </cell>
          <cell r="AD199">
            <v>4.1000000000000002E-2</v>
          </cell>
          <cell r="AE199">
            <v>10.3398</v>
          </cell>
          <cell r="AF199">
            <v>18.2209</v>
          </cell>
          <cell r="AG199">
            <v>1.3898999999999999</v>
          </cell>
          <cell r="AH199">
            <v>77.272099999999995</v>
          </cell>
          <cell r="AI199">
            <v>70.040999999999997</v>
          </cell>
          <cell r="AJ199">
            <v>13.552</v>
          </cell>
          <cell r="AK199">
            <v>49.464799999999997</v>
          </cell>
          <cell r="AL199">
            <v>301.50869999999998</v>
          </cell>
          <cell r="AM199">
            <v>42.8262</v>
          </cell>
          <cell r="AN199">
            <v>459.43900000000002</v>
          </cell>
          <cell r="AO199">
            <v>670.31449999999995</v>
          </cell>
        </row>
        <row r="200">
          <cell r="C200">
            <v>274.79840000000002</v>
          </cell>
          <cell r="D200">
            <v>33.634099999999997</v>
          </cell>
          <cell r="E200">
            <v>761.46</v>
          </cell>
          <cell r="F200">
            <v>11.5684</v>
          </cell>
          <cell r="G200">
            <v>114.7289</v>
          </cell>
          <cell r="H200">
            <v>3.8199999999999998E-2</v>
          </cell>
          <cell r="I200">
            <v>13.5823</v>
          </cell>
          <cell r="J200">
            <v>62.186300000000003</v>
          </cell>
          <cell r="K200">
            <v>537.47</v>
          </cell>
          <cell r="L200">
            <v>29.5793</v>
          </cell>
          <cell r="M200">
            <v>5.2766999999999999</v>
          </cell>
          <cell r="N200">
            <v>587.65440000000001</v>
          </cell>
          <cell r="O200">
            <v>27.815799999999999</v>
          </cell>
          <cell r="P200">
            <v>23.9024</v>
          </cell>
          <cell r="Q200">
            <v>353.24029999999999</v>
          </cell>
          <cell r="R200">
            <v>3.6637</v>
          </cell>
          <cell r="S200">
            <v>835.87869999999998</v>
          </cell>
          <cell r="T200">
            <v>134.36750000000001</v>
          </cell>
          <cell r="U200">
            <v>41.634300000000003</v>
          </cell>
          <cell r="V200">
            <v>210.01650000000001</v>
          </cell>
          <cell r="W200">
            <v>236.63380000000001</v>
          </cell>
          <cell r="X200">
            <v>57.9788</v>
          </cell>
          <cell r="Y200">
            <v>120.9975</v>
          </cell>
          <cell r="Z200">
            <v>2.3085</v>
          </cell>
          <cell r="AA200">
            <v>1.8407</v>
          </cell>
          <cell r="AB200">
            <v>292.84699999999998</v>
          </cell>
          <cell r="AC200">
            <v>10.841100000000001</v>
          </cell>
          <cell r="AD200">
            <v>3.9199999999999999E-2</v>
          </cell>
          <cell r="AE200">
            <v>10.336</v>
          </cell>
          <cell r="AF200">
            <v>18.047699999999999</v>
          </cell>
          <cell r="AG200">
            <v>1.3893</v>
          </cell>
          <cell r="AH200">
            <v>77.84</v>
          </cell>
          <cell r="AI200">
            <v>70.555800000000005</v>
          </cell>
          <cell r="AJ200">
            <v>13.622999999999999</v>
          </cell>
          <cell r="AK200">
            <v>49.677500000000002</v>
          </cell>
          <cell r="AL200">
            <v>304.60410000000002</v>
          </cell>
          <cell r="AM200">
            <v>43.1691</v>
          </cell>
          <cell r="AN200">
            <v>462.81540000000001</v>
          </cell>
          <cell r="AO200">
            <v>672.68169999999998</v>
          </cell>
        </row>
        <row r="201">
          <cell r="C201">
            <v>270.98450000000003</v>
          </cell>
          <cell r="D201">
            <v>33.334699999999998</v>
          </cell>
          <cell r="E201">
            <v>755.55179999999996</v>
          </cell>
          <cell r="F201">
            <v>11.563499999999999</v>
          </cell>
          <cell r="G201">
            <v>113.7076</v>
          </cell>
          <cell r="H201">
            <v>3.8100000000000002E-2</v>
          </cell>
          <cell r="I201">
            <v>13.461399999999999</v>
          </cell>
          <cell r="J201">
            <v>61.631900000000002</v>
          </cell>
          <cell r="K201">
            <v>537.24</v>
          </cell>
          <cell r="L201">
            <v>29.315999999999999</v>
          </cell>
          <cell r="M201">
            <v>5.2083000000000004</v>
          </cell>
          <cell r="N201">
            <v>582.42319999999995</v>
          </cell>
          <cell r="O201">
            <v>27.568200000000001</v>
          </cell>
          <cell r="P201">
            <v>23.689599999999999</v>
          </cell>
          <cell r="Q201">
            <v>352.1925</v>
          </cell>
          <cell r="R201">
            <v>3.6621999999999999</v>
          </cell>
          <cell r="S201">
            <v>838.12789999999995</v>
          </cell>
          <cell r="T201">
            <v>134.31</v>
          </cell>
          <cell r="U201">
            <v>41.6449</v>
          </cell>
          <cell r="V201">
            <v>208.14689999999999</v>
          </cell>
          <cell r="W201">
            <v>234.5273</v>
          </cell>
          <cell r="X201">
            <v>57.5961</v>
          </cell>
          <cell r="Y201">
            <v>123.4147</v>
          </cell>
          <cell r="Z201">
            <v>2.2879999999999998</v>
          </cell>
          <cell r="AA201">
            <v>1.8391999999999999</v>
          </cell>
          <cell r="AB201">
            <v>293.0213</v>
          </cell>
          <cell r="AC201">
            <v>10.747299999999999</v>
          </cell>
          <cell r="AD201">
            <v>4.0500000000000001E-2</v>
          </cell>
          <cell r="AE201">
            <v>10.3315</v>
          </cell>
          <cell r="AF201">
            <v>17.851500000000001</v>
          </cell>
          <cell r="AG201">
            <v>1.3888</v>
          </cell>
          <cell r="AH201">
            <v>77.147000000000006</v>
          </cell>
          <cell r="AI201">
            <v>69.927700000000002</v>
          </cell>
          <cell r="AJ201">
            <v>13.537599999999999</v>
          </cell>
          <cell r="AK201">
            <v>49.524500000000003</v>
          </cell>
          <cell r="AL201">
            <v>303.0093</v>
          </cell>
          <cell r="AM201">
            <v>43.207900000000002</v>
          </cell>
          <cell r="AN201">
            <v>458.69549999999998</v>
          </cell>
          <cell r="AO201">
            <v>670.58690000000001</v>
          </cell>
        </row>
        <row r="202">
          <cell r="C202">
            <v>272.66829999999999</v>
          </cell>
          <cell r="D202">
            <v>33.331800000000001</v>
          </cell>
          <cell r="E202">
            <v>753.00490000000002</v>
          </cell>
          <cell r="F202">
            <v>11.5611</v>
          </cell>
          <cell r="G202">
            <v>113.6977</v>
          </cell>
          <cell r="H202">
            <v>3.8100000000000002E-2</v>
          </cell>
          <cell r="I202">
            <v>13.4602</v>
          </cell>
          <cell r="J202">
            <v>61.630699999999997</v>
          </cell>
          <cell r="K202">
            <v>537.13</v>
          </cell>
          <cell r="L202">
            <v>29.313400000000001</v>
          </cell>
          <cell r="M202">
            <v>5.2304000000000004</v>
          </cell>
          <cell r="N202">
            <v>582.37210000000005</v>
          </cell>
          <cell r="O202">
            <v>27.5657</v>
          </cell>
          <cell r="P202">
            <v>23.6876</v>
          </cell>
          <cell r="Q202">
            <v>350.3057</v>
          </cell>
          <cell r="R202">
            <v>3.6614</v>
          </cell>
          <cell r="S202">
            <v>839.26559999999995</v>
          </cell>
          <cell r="T202">
            <v>134.2825</v>
          </cell>
          <cell r="U202">
            <v>41.644399999999997</v>
          </cell>
          <cell r="V202">
            <v>208.12870000000001</v>
          </cell>
          <cell r="W202">
            <v>234.5067</v>
          </cell>
          <cell r="X202">
            <v>57.645400000000002</v>
          </cell>
          <cell r="Y202">
            <v>126.7004</v>
          </cell>
          <cell r="Z202">
            <v>2.2877999999999998</v>
          </cell>
          <cell r="AA202">
            <v>1.8394999999999999</v>
          </cell>
          <cell r="AB202">
            <v>292.5471</v>
          </cell>
          <cell r="AC202">
            <v>10.773899999999999</v>
          </cell>
          <cell r="AD202">
            <v>4.0099999999999997E-2</v>
          </cell>
          <cell r="AE202">
            <v>10.3294</v>
          </cell>
          <cell r="AF202">
            <v>17.9971</v>
          </cell>
          <cell r="AG202">
            <v>1.3885000000000001</v>
          </cell>
          <cell r="AH202">
            <v>77.140299999999996</v>
          </cell>
          <cell r="AI202">
            <v>69.921599999999998</v>
          </cell>
          <cell r="AJ202">
            <v>13.575699999999999</v>
          </cell>
          <cell r="AK202">
            <v>49.680999999999997</v>
          </cell>
          <cell r="AL202">
            <v>303.3836</v>
          </cell>
          <cell r="AM202">
            <v>43.220399999999998</v>
          </cell>
          <cell r="AN202">
            <v>458.65530000000001</v>
          </cell>
          <cell r="AO202">
            <v>670.65300000000002</v>
          </cell>
        </row>
        <row r="203">
          <cell r="C203">
            <v>272.66829999999999</v>
          </cell>
          <cell r="D203">
            <v>33.331800000000001</v>
          </cell>
          <cell r="E203">
            <v>753.00490000000002</v>
          </cell>
          <cell r="F203">
            <v>11.5611</v>
          </cell>
          <cell r="G203">
            <v>113.6977</v>
          </cell>
          <cell r="H203">
            <v>3.8100000000000002E-2</v>
          </cell>
          <cell r="I203">
            <v>13.4602</v>
          </cell>
          <cell r="J203">
            <v>61.630699999999997</v>
          </cell>
          <cell r="K203">
            <v>537.13</v>
          </cell>
          <cell r="L203">
            <v>29.313400000000001</v>
          </cell>
          <cell r="M203">
            <v>5.2304000000000004</v>
          </cell>
          <cell r="N203">
            <v>582.37210000000005</v>
          </cell>
          <cell r="O203">
            <v>27.5657</v>
          </cell>
          <cell r="P203">
            <v>23.6876</v>
          </cell>
          <cell r="Q203">
            <v>350.3057</v>
          </cell>
          <cell r="R203">
            <v>3.6614</v>
          </cell>
          <cell r="S203">
            <v>839.26559999999995</v>
          </cell>
          <cell r="T203">
            <v>134.2825</v>
          </cell>
          <cell r="U203">
            <v>41.644399999999997</v>
          </cell>
          <cell r="V203">
            <v>208.12870000000001</v>
          </cell>
          <cell r="W203">
            <v>234.5067</v>
          </cell>
          <cell r="X203">
            <v>57.645400000000002</v>
          </cell>
          <cell r="Y203">
            <v>126.7004</v>
          </cell>
          <cell r="Z203">
            <v>2.2877999999999998</v>
          </cell>
          <cell r="AA203">
            <v>1.8394999999999999</v>
          </cell>
          <cell r="AB203">
            <v>292.5471</v>
          </cell>
          <cell r="AC203">
            <v>10.773899999999999</v>
          </cell>
          <cell r="AD203">
            <v>4.0099999999999997E-2</v>
          </cell>
          <cell r="AE203">
            <v>10.3294</v>
          </cell>
          <cell r="AF203">
            <v>17.9971</v>
          </cell>
          <cell r="AG203">
            <v>1.3885000000000001</v>
          </cell>
          <cell r="AH203">
            <v>77.140299999999996</v>
          </cell>
          <cell r="AI203">
            <v>69.921599999999998</v>
          </cell>
          <cell r="AJ203">
            <v>13.575699999999999</v>
          </cell>
          <cell r="AK203">
            <v>49.680999999999997</v>
          </cell>
          <cell r="AL203">
            <v>303.3836</v>
          </cell>
          <cell r="AM203">
            <v>43.220399999999998</v>
          </cell>
          <cell r="AN203">
            <v>458.65530000000001</v>
          </cell>
          <cell r="AO203">
            <v>670.65300000000002</v>
          </cell>
        </row>
        <row r="204">
          <cell r="C204">
            <v>272.66829999999999</v>
          </cell>
          <cell r="D204">
            <v>33.331800000000001</v>
          </cell>
          <cell r="E204">
            <v>753.00490000000002</v>
          </cell>
          <cell r="F204">
            <v>11.5611</v>
          </cell>
          <cell r="G204">
            <v>113.6977</v>
          </cell>
          <cell r="H204">
            <v>3.8100000000000002E-2</v>
          </cell>
          <cell r="I204">
            <v>13.4602</v>
          </cell>
          <cell r="J204">
            <v>61.630699999999997</v>
          </cell>
          <cell r="K204">
            <v>537.13</v>
          </cell>
          <cell r="L204">
            <v>29.313400000000001</v>
          </cell>
          <cell r="M204">
            <v>5.2304000000000004</v>
          </cell>
          <cell r="N204">
            <v>582.37210000000005</v>
          </cell>
          <cell r="O204">
            <v>27.5657</v>
          </cell>
          <cell r="P204">
            <v>23.6876</v>
          </cell>
          <cell r="Q204">
            <v>350.3057</v>
          </cell>
          <cell r="R204">
            <v>3.6614</v>
          </cell>
          <cell r="S204">
            <v>839.26559999999995</v>
          </cell>
          <cell r="T204">
            <v>134.2825</v>
          </cell>
          <cell r="U204">
            <v>41.644399999999997</v>
          </cell>
          <cell r="V204">
            <v>208.12870000000001</v>
          </cell>
          <cell r="W204">
            <v>234.5067</v>
          </cell>
          <cell r="X204">
            <v>57.645400000000002</v>
          </cell>
          <cell r="Y204">
            <v>126.7004</v>
          </cell>
          <cell r="Z204">
            <v>2.2877999999999998</v>
          </cell>
          <cell r="AA204">
            <v>1.8394999999999999</v>
          </cell>
          <cell r="AB204">
            <v>292.5471</v>
          </cell>
          <cell r="AC204">
            <v>10.773899999999999</v>
          </cell>
          <cell r="AD204">
            <v>4.0099999999999997E-2</v>
          </cell>
          <cell r="AE204">
            <v>10.3294</v>
          </cell>
          <cell r="AF204">
            <v>17.9971</v>
          </cell>
          <cell r="AG204">
            <v>1.3885000000000001</v>
          </cell>
          <cell r="AH204">
            <v>77.140299999999996</v>
          </cell>
          <cell r="AI204">
            <v>69.921599999999998</v>
          </cell>
          <cell r="AJ204">
            <v>13.575699999999999</v>
          </cell>
          <cell r="AK204">
            <v>49.680999999999997</v>
          </cell>
          <cell r="AL204">
            <v>303.3836</v>
          </cell>
          <cell r="AM204">
            <v>43.220399999999998</v>
          </cell>
          <cell r="AN204">
            <v>458.65530000000001</v>
          </cell>
          <cell r="AO204">
            <v>670.65300000000002</v>
          </cell>
        </row>
        <row r="205">
          <cell r="C205">
            <v>273.85019999999997</v>
          </cell>
          <cell r="D205">
            <v>33.494199999999999</v>
          </cell>
          <cell r="E205">
            <v>752.35050000000001</v>
          </cell>
          <cell r="F205">
            <v>11.5579</v>
          </cell>
          <cell r="G205">
            <v>114.2516</v>
          </cell>
          <cell r="H205">
            <v>3.8100000000000002E-2</v>
          </cell>
          <cell r="I205">
            <v>13.5258</v>
          </cell>
          <cell r="J205">
            <v>61.911799999999999</v>
          </cell>
          <cell r="K205">
            <v>536.98</v>
          </cell>
          <cell r="L205">
            <v>29.456199999999999</v>
          </cell>
          <cell r="M205">
            <v>5.2416</v>
          </cell>
          <cell r="N205">
            <v>585.20950000000005</v>
          </cell>
          <cell r="O205">
            <v>27.7</v>
          </cell>
          <cell r="P205">
            <v>23.803000000000001</v>
          </cell>
          <cell r="Q205">
            <v>348.92110000000002</v>
          </cell>
          <cell r="R205">
            <v>3.6604000000000001</v>
          </cell>
          <cell r="S205">
            <v>837.72230000000002</v>
          </cell>
          <cell r="T205">
            <v>134.245</v>
          </cell>
          <cell r="U205">
            <v>41.653199999999998</v>
          </cell>
          <cell r="V205">
            <v>209.14269999999999</v>
          </cell>
          <cell r="W205">
            <v>235.64930000000001</v>
          </cell>
          <cell r="X205">
            <v>57.773699999999998</v>
          </cell>
          <cell r="Y205">
            <v>127.8013</v>
          </cell>
          <cell r="Z205">
            <v>2.2989000000000002</v>
          </cell>
          <cell r="AA205">
            <v>1.8371</v>
          </cell>
          <cell r="AB205">
            <v>292.36860000000001</v>
          </cell>
          <cell r="AC205">
            <v>10.815200000000001</v>
          </cell>
          <cell r="AD205">
            <v>3.9199999999999999E-2</v>
          </cell>
          <cell r="AE205">
            <v>10.326499999999999</v>
          </cell>
          <cell r="AF205">
            <v>18.1203</v>
          </cell>
          <cell r="AG205">
            <v>1.3880999999999999</v>
          </cell>
          <cell r="AH205">
            <v>77.516099999999994</v>
          </cell>
          <cell r="AI205">
            <v>70.262200000000007</v>
          </cell>
          <cell r="AJ205">
            <v>13.6257</v>
          </cell>
          <cell r="AK205">
            <v>50.038499999999999</v>
          </cell>
          <cell r="AL205">
            <v>304.51929999999999</v>
          </cell>
          <cell r="AM205">
            <v>42.8934</v>
          </cell>
          <cell r="AN205">
            <v>460.88990000000001</v>
          </cell>
          <cell r="AO205">
            <v>669.90279999999996</v>
          </cell>
        </row>
        <row r="206">
          <cell r="C206">
            <v>272.01960000000003</v>
          </cell>
          <cell r="D206">
            <v>33.232700000000001</v>
          </cell>
          <cell r="E206">
            <v>751.13689999999997</v>
          </cell>
          <cell r="F206">
            <v>11.5579</v>
          </cell>
          <cell r="G206">
            <v>113.35980000000001</v>
          </cell>
          <cell r="H206">
            <v>3.7999999999999999E-2</v>
          </cell>
          <cell r="I206">
            <v>13.420199999999999</v>
          </cell>
          <cell r="J206">
            <v>61.427700000000002</v>
          </cell>
          <cell r="K206">
            <v>536.98</v>
          </cell>
          <cell r="L206">
            <v>29.226299999999998</v>
          </cell>
          <cell r="M206">
            <v>5.2178000000000004</v>
          </cell>
          <cell r="N206">
            <v>580.6413</v>
          </cell>
          <cell r="O206">
            <v>27.483799999999999</v>
          </cell>
          <cell r="P206">
            <v>23.6172</v>
          </cell>
          <cell r="Q206">
            <v>349.53160000000003</v>
          </cell>
          <cell r="R206">
            <v>3.6604000000000001</v>
          </cell>
          <cell r="S206">
            <v>837.72230000000002</v>
          </cell>
          <cell r="T206">
            <v>134.245</v>
          </cell>
          <cell r="U206">
            <v>41.646000000000001</v>
          </cell>
          <cell r="V206">
            <v>207.51009999999999</v>
          </cell>
          <cell r="W206">
            <v>233.8098</v>
          </cell>
          <cell r="X206">
            <v>57.301200000000001</v>
          </cell>
          <cell r="Y206">
            <v>127.3085</v>
          </cell>
          <cell r="Z206">
            <v>2.2810000000000001</v>
          </cell>
          <cell r="AA206">
            <v>1.8383</v>
          </cell>
          <cell r="AB206">
            <v>292.81689999999998</v>
          </cell>
          <cell r="AC206">
            <v>10.7348</v>
          </cell>
          <cell r="AD206">
            <v>3.5799999999999998E-2</v>
          </cell>
          <cell r="AE206">
            <v>10.326499999999999</v>
          </cell>
          <cell r="AF206">
            <v>18.106999999999999</v>
          </cell>
          <cell r="AG206">
            <v>1.3687</v>
          </cell>
          <cell r="AH206">
            <v>76.911000000000001</v>
          </cell>
          <cell r="AI206">
            <v>69.713700000000003</v>
          </cell>
          <cell r="AJ206">
            <v>13.5314</v>
          </cell>
          <cell r="AK206">
            <v>49.623699999999999</v>
          </cell>
          <cell r="AL206">
            <v>302.42189999999999</v>
          </cell>
          <cell r="AM206">
            <v>42.877800000000001</v>
          </cell>
          <cell r="AN206">
            <v>457.29219999999998</v>
          </cell>
          <cell r="AO206">
            <v>668.60069999999996</v>
          </cell>
        </row>
        <row r="207">
          <cell r="C207">
            <v>274.55700000000002</v>
          </cell>
          <cell r="D207">
            <v>33.708300000000001</v>
          </cell>
          <cell r="E207">
            <v>757.03710000000001</v>
          </cell>
          <cell r="F207">
            <v>11.5684</v>
          </cell>
          <cell r="G207">
            <v>114.9821</v>
          </cell>
          <cell r="H207">
            <v>3.8100000000000002E-2</v>
          </cell>
          <cell r="I207">
            <v>13.6122</v>
          </cell>
          <cell r="J207">
            <v>62.288400000000003</v>
          </cell>
          <cell r="K207">
            <v>537.47</v>
          </cell>
          <cell r="L207">
            <v>29.644600000000001</v>
          </cell>
          <cell r="M207">
            <v>5.2648999999999999</v>
          </cell>
          <cell r="N207">
            <v>588.95100000000002</v>
          </cell>
          <cell r="O207">
            <v>27.877099999999999</v>
          </cell>
          <cell r="P207">
            <v>23.955200000000001</v>
          </cell>
          <cell r="Q207">
            <v>350.27690000000001</v>
          </cell>
          <cell r="R207">
            <v>3.6637</v>
          </cell>
          <cell r="S207">
            <v>835.87869999999998</v>
          </cell>
          <cell r="T207">
            <v>134.36750000000001</v>
          </cell>
          <cell r="U207">
            <v>41.703499999999998</v>
          </cell>
          <cell r="V207">
            <v>210.47989999999999</v>
          </cell>
          <cell r="W207">
            <v>237.1559</v>
          </cell>
          <cell r="X207">
            <v>57.9253</v>
          </cell>
          <cell r="Y207">
            <v>128.14940000000001</v>
          </cell>
          <cell r="Z207">
            <v>2.3136000000000001</v>
          </cell>
          <cell r="AA207">
            <v>1.8381000000000001</v>
          </cell>
          <cell r="AB207">
            <v>293.53030000000001</v>
          </cell>
          <cell r="AC207">
            <v>10.8879</v>
          </cell>
          <cell r="AD207">
            <v>3.9300000000000002E-2</v>
          </cell>
          <cell r="AE207">
            <v>10.336</v>
          </cell>
          <cell r="AF207">
            <v>18.6557</v>
          </cell>
          <cell r="AG207">
            <v>1.37</v>
          </cell>
          <cell r="AH207">
            <v>78.011700000000005</v>
          </cell>
          <cell r="AI207">
            <v>70.711399999999998</v>
          </cell>
          <cell r="AJ207">
            <v>13.6845</v>
          </cell>
          <cell r="AK207">
            <v>50.2455</v>
          </cell>
          <cell r="AL207">
            <v>308.40199999999999</v>
          </cell>
          <cell r="AM207">
            <v>43.027500000000003</v>
          </cell>
          <cell r="AN207">
            <v>463.83659999999998</v>
          </cell>
          <cell r="AO207">
            <v>672.57479999999998</v>
          </cell>
        </row>
        <row r="208">
          <cell r="C208">
            <v>276.6671</v>
          </cell>
          <cell r="D208">
            <v>34.041800000000002</v>
          </cell>
          <cell r="E208">
            <v>761.66679999999997</v>
          </cell>
          <cell r="F208">
            <v>11.558299999999999</v>
          </cell>
          <cell r="G208">
            <v>116.1195</v>
          </cell>
          <cell r="H208">
            <v>3.7999999999999999E-2</v>
          </cell>
          <cell r="I208">
            <v>13.7469</v>
          </cell>
          <cell r="J208">
            <v>62.9071</v>
          </cell>
          <cell r="K208">
            <v>537</v>
          </cell>
          <cell r="L208">
            <v>29.937799999999999</v>
          </cell>
          <cell r="M208">
            <v>5.2988999999999997</v>
          </cell>
          <cell r="N208">
            <v>594.77719999999999</v>
          </cell>
          <cell r="O208">
            <v>28.152899999999999</v>
          </cell>
          <cell r="P208">
            <v>24.1921</v>
          </cell>
          <cell r="Q208">
            <v>348.73820000000001</v>
          </cell>
          <cell r="R208">
            <v>3.6604999999999999</v>
          </cell>
          <cell r="S208">
            <v>839.0625</v>
          </cell>
          <cell r="T208">
            <v>134.25</v>
          </cell>
          <cell r="U208">
            <v>41.6524</v>
          </cell>
          <cell r="V208">
            <v>212.56200000000001</v>
          </cell>
          <cell r="W208">
            <v>239.50200000000001</v>
          </cell>
          <cell r="X208">
            <v>58.472700000000003</v>
          </cell>
          <cell r="Y208">
            <v>127.1754</v>
          </cell>
          <cell r="Z208">
            <v>2.3365</v>
          </cell>
          <cell r="AA208">
            <v>1.8346</v>
          </cell>
          <cell r="AB208">
            <v>294.16300000000001</v>
          </cell>
          <cell r="AC208">
            <v>10.9655</v>
          </cell>
          <cell r="AD208">
            <v>3.9899999999999998E-2</v>
          </cell>
          <cell r="AE208">
            <v>10.3269</v>
          </cell>
          <cell r="AF208">
            <v>18.793399999999998</v>
          </cell>
          <cell r="AG208">
            <v>1.3688</v>
          </cell>
          <cell r="AH208">
            <v>78.7834</v>
          </cell>
          <cell r="AI208">
            <v>71.410899999999998</v>
          </cell>
          <cell r="AJ208">
            <v>13.8146</v>
          </cell>
          <cell r="AK208">
            <v>50.604999999999997</v>
          </cell>
          <cell r="AL208">
            <v>310.83280000000002</v>
          </cell>
          <cell r="AM208">
            <v>43.493499999999997</v>
          </cell>
          <cell r="AN208">
            <v>468.42509999999999</v>
          </cell>
          <cell r="AO208">
            <v>675.90440000000001</v>
          </cell>
        </row>
        <row r="209">
          <cell r="C209">
            <v>275.32260000000002</v>
          </cell>
          <cell r="D209">
            <v>34.236499999999999</v>
          </cell>
          <cell r="E209">
            <v>770.03020000000004</v>
          </cell>
          <cell r="F209">
            <v>11.5542</v>
          </cell>
          <cell r="G209">
            <v>116.7837</v>
          </cell>
          <cell r="H209">
            <v>3.7999999999999999E-2</v>
          </cell>
          <cell r="I209">
            <v>13.8255</v>
          </cell>
          <cell r="J209">
            <v>63.248199999999997</v>
          </cell>
          <cell r="K209">
            <v>536.80999999999995</v>
          </cell>
          <cell r="L209">
            <v>30.109100000000002</v>
          </cell>
          <cell r="M209">
            <v>5.3208000000000002</v>
          </cell>
          <cell r="N209">
            <v>598.17930000000001</v>
          </cell>
          <cell r="O209">
            <v>28.3139</v>
          </cell>
          <cell r="P209">
            <v>24.330500000000001</v>
          </cell>
          <cell r="Q209">
            <v>348.16680000000002</v>
          </cell>
          <cell r="R209">
            <v>3.6591999999999998</v>
          </cell>
          <cell r="S209">
            <v>844.04089999999997</v>
          </cell>
          <cell r="T209">
            <v>134.20249999999999</v>
          </cell>
          <cell r="U209">
            <v>41.650599999999997</v>
          </cell>
          <cell r="V209">
            <v>213.77789999999999</v>
          </cell>
          <cell r="W209">
            <v>240.87190000000001</v>
          </cell>
          <cell r="X209">
            <v>58.763199999999998</v>
          </cell>
          <cell r="Y209">
            <v>127.36</v>
          </cell>
          <cell r="Z209">
            <v>2.3498999999999999</v>
          </cell>
          <cell r="AA209">
            <v>1.8333999999999999</v>
          </cell>
          <cell r="AB209">
            <v>294.32990000000001</v>
          </cell>
          <cell r="AC209">
            <v>11.0228</v>
          </cell>
          <cell r="AD209">
            <v>4.0899999999999999E-2</v>
          </cell>
          <cell r="AE209">
            <v>10.3233</v>
          </cell>
          <cell r="AF209">
            <v>18.904699999999998</v>
          </cell>
          <cell r="AG209">
            <v>1.3683000000000001</v>
          </cell>
          <cell r="AH209">
            <v>79.234099999999998</v>
          </cell>
          <cell r="AI209">
            <v>71.819400000000002</v>
          </cell>
          <cell r="AJ209">
            <v>13.905900000000001</v>
          </cell>
          <cell r="AK209">
            <v>50.858199999999997</v>
          </cell>
          <cell r="AL209">
            <v>312.44490000000002</v>
          </cell>
          <cell r="AM209">
            <v>43.475900000000003</v>
          </cell>
          <cell r="AN209">
            <v>471.10449999999997</v>
          </cell>
          <cell r="AO209">
            <v>676.57989999999995</v>
          </cell>
        </row>
        <row r="210">
          <cell r="C210">
            <v>275.32260000000002</v>
          </cell>
          <cell r="D210">
            <v>34.236499999999999</v>
          </cell>
          <cell r="E210">
            <v>770.03020000000004</v>
          </cell>
          <cell r="F210">
            <v>11.5542</v>
          </cell>
          <cell r="G210">
            <v>116.7837</v>
          </cell>
          <cell r="H210">
            <v>3.7999999999999999E-2</v>
          </cell>
          <cell r="I210">
            <v>13.8255</v>
          </cell>
          <cell r="J210">
            <v>63.248199999999997</v>
          </cell>
          <cell r="K210">
            <v>536.80999999999995</v>
          </cell>
          <cell r="L210">
            <v>30.109100000000002</v>
          </cell>
          <cell r="M210">
            <v>5.3208000000000002</v>
          </cell>
          <cell r="N210">
            <v>598.17930000000001</v>
          </cell>
          <cell r="O210">
            <v>28.3139</v>
          </cell>
          <cell r="P210">
            <v>24.330500000000001</v>
          </cell>
          <cell r="Q210">
            <v>348.16680000000002</v>
          </cell>
          <cell r="R210">
            <v>3.6591999999999998</v>
          </cell>
          <cell r="S210">
            <v>844.04089999999997</v>
          </cell>
          <cell r="T210">
            <v>134.20249999999999</v>
          </cell>
          <cell r="U210">
            <v>41.650599999999997</v>
          </cell>
          <cell r="V210">
            <v>213.77789999999999</v>
          </cell>
          <cell r="W210">
            <v>240.87190000000001</v>
          </cell>
          <cell r="X210">
            <v>58.763199999999998</v>
          </cell>
          <cell r="Y210">
            <v>127.36</v>
          </cell>
          <cell r="Z210">
            <v>2.3498999999999999</v>
          </cell>
          <cell r="AA210">
            <v>1.8333999999999999</v>
          </cell>
          <cell r="AB210">
            <v>294.32990000000001</v>
          </cell>
          <cell r="AC210">
            <v>11.0228</v>
          </cell>
          <cell r="AD210">
            <v>4.0899999999999999E-2</v>
          </cell>
          <cell r="AE210">
            <v>10.3233</v>
          </cell>
          <cell r="AF210">
            <v>18.904699999999998</v>
          </cell>
          <cell r="AG210">
            <v>1.3683000000000001</v>
          </cell>
          <cell r="AH210">
            <v>79.234099999999998</v>
          </cell>
          <cell r="AI210">
            <v>71.819400000000002</v>
          </cell>
          <cell r="AJ210">
            <v>13.905900000000001</v>
          </cell>
          <cell r="AK210">
            <v>50.858199999999997</v>
          </cell>
          <cell r="AL210">
            <v>312.44490000000002</v>
          </cell>
          <cell r="AM210">
            <v>43.475900000000003</v>
          </cell>
          <cell r="AN210">
            <v>471.10449999999997</v>
          </cell>
          <cell r="AO210">
            <v>676.57989999999995</v>
          </cell>
        </row>
        <row r="211">
          <cell r="C211">
            <v>275.32260000000002</v>
          </cell>
          <cell r="D211">
            <v>34.236499999999999</v>
          </cell>
          <cell r="E211">
            <v>770.03020000000004</v>
          </cell>
          <cell r="F211">
            <v>11.5542</v>
          </cell>
          <cell r="G211">
            <v>116.7837</v>
          </cell>
          <cell r="H211">
            <v>3.7999999999999999E-2</v>
          </cell>
          <cell r="I211">
            <v>13.8255</v>
          </cell>
          <cell r="J211">
            <v>63.248199999999997</v>
          </cell>
          <cell r="K211">
            <v>536.80999999999995</v>
          </cell>
          <cell r="L211">
            <v>30.109100000000002</v>
          </cell>
          <cell r="M211">
            <v>5.3208000000000002</v>
          </cell>
          <cell r="N211">
            <v>598.17930000000001</v>
          </cell>
          <cell r="O211">
            <v>28.3139</v>
          </cell>
          <cell r="P211">
            <v>24.330500000000001</v>
          </cell>
          <cell r="Q211">
            <v>348.16680000000002</v>
          </cell>
          <cell r="R211">
            <v>3.6591999999999998</v>
          </cell>
          <cell r="S211">
            <v>844.04089999999997</v>
          </cell>
          <cell r="T211">
            <v>134.20249999999999</v>
          </cell>
          <cell r="U211">
            <v>41.650599999999997</v>
          </cell>
          <cell r="V211">
            <v>213.77789999999999</v>
          </cell>
          <cell r="W211">
            <v>240.87190000000001</v>
          </cell>
          <cell r="X211">
            <v>58.763199999999998</v>
          </cell>
          <cell r="Y211">
            <v>127.36</v>
          </cell>
          <cell r="Z211">
            <v>2.3498999999999999</v>
          </cell>
          <cell r="AA211">
            <v>1.8333999999999999</v>
          </cell>
          <cell r="AB211">
            <v>294.32990000000001</v>
          </cell>
          <cell r="AC211">
            <v>11.0228</v>
          </cell>
          <cell r="AD211">
            <v>4.0899999999999999E-2</v>
          </cell>
          <cell r="AE211">
            <v>10.3233</v>
          </cell>
          <cell r="AF211">
            <v>18.904699999999998</v>
          </cell>
          <cell r="AG211">
            <v>1.3683000000000001</v>
          </cell>
          <cell r="AH211">
            <v>79.234099999999998</v>
          </cell>
          <cell r="AI211">
            <v>71.819400000000002</v>
          </cell>
          <cell r="AJ211">
            <v>13.905900000000001</v>
          </cell>
          <cell r="AK211">
            <v>50.858199999999997</v>
          </cell>
          <cell r="AL211">
            <v>312.44490000000002</v>
          </cell>
          <cell r="AM211">
            <v>43.475900000000003</v>
          </cell>
          <cell r="AN211">
            <v>471.10449999999997</v>
          </cell>
          <cell r="AO211">
            <v>676.57989999999995</v>
          </cell>
        </row>
        <row r="212">
          <cell r="C212">
            <v>272.2518</v>
          </cell>
          <cell r="D212">
            <v>33.838799999999999</v>
          </cell>
          <cell r="E212">
            <v>763.70709999999997</v>
          </cell>
          <cell r="F212">
            <v>11.5517</v>
          </cell>
          <cell r="G212">
            <v>115.4272</v>
          </cell>
          <cell r="H212">
            <v>3.7900000000000003E-2</v>
          </cell>
          <cell r="I212">
            <v>13.664899999999999</v>
          </cell>
          <cell r="J212">
            <v>62.525300000000001</v>
          </cell>
          <cell r="K212">
            <v>536.69000000000005</v>
          </cell>
          <cell r="L212">
            <v>29.7593</v>
          </cell>
          <cell r="M212">
            <v>5.2805</v>
          </cell>
          <cell r="N212">
            <v>591.23099999999999</v>
          </cell>
          <cell r="O212">
            <v>27.985099999999999</v>
          </cell>
          <cell r="P212">
            <v>24.047899999999998</v>
          </cell>
          <cell r="Q212">
            <v>347.48669999999998</v>
          </cell>
          <cell r="R212">
            <v>3.6583999999999999</v>
          </cell>
          <cell r="S212">
            <v>845.18110000000001</v>
          </cell>
          <cell r="T212">
            <v>134.17250000000001</v>
          </cell>
          <cell r="U212">
            <v>41.617400000000004</v>
          </cell>
          <cell r="V212">
            <v>211.29470000000001</v>
          </cell>
          <cell r="W212">
            <v>238.07400000000001</v>
          </cell>
          <cell r="X212">
            <v>58.302399999999999</v>
          </cell>
          <cell r="Y212">
            <v>127.7805</v>
          </cell>
          <cell r="Z212">
            <v>2.3226</v>
          </cell>
          <cell r="AA212">
            <v>1.8348</v>
          </cell>
          <cell r="AB212">
            <v>294.12689999999998</v>
          </cell>
          <cell r="AC212">
            <v>10.909800000000001</v>
          </cell>
          <cell r="AD212">
            <v>4.0599999999999997E-2</v>
          </cell>
          <cell r="AE212">
            <v>10.321</v>
          </cell>
          <cell r="AF212">
            <v>18.876000000000001</v>
          </cell>
          <cell r="AG212">
            <v>1.3680000000000001</v>
          </cell>
          <cell r="AH212">
            <v>78.313699999999997</v>
          </cell>
          <cell r="AI212">
            <v>70.985200000000006</v>
          </cell>
          <cell r="AJ212">
            <v>13.776899999999999</v>
          </cell>
          <cell r="AK212">
            <v>50.118099999999998</v>
          </cell>
          <cell r="AL212">
            <v>309.28739999999999</v>
          </cell>
          <cell r="AM212">
            <v>43.266300000000001</v>
          </cell>
          <cell r="AN212">
            <v>465.63220000000001</v>
          </cell>
          <cell r="AO212">
            <v>674.61419999999998</v>
          </cell>
        </row>
        <row r="213">
          <cell r="C213">
            <v>272.2722</v>
          </cell>
          <cell r="D213">
            <v>33.938299999999998</v>
          </cell>
          <cell r="E213">
            <v>760.7124</v>
          </cell>
          <cell r="F213">
            <v>11.542999999999999</v>
          </cell>
          <cell r="G213">
            <v>115.7666</v>
          </cell>
          <cell r="H213">
            <v>3.78E-2</v>
          </cell>
          <cell r="I213">
            <v>13.7051</v>
          </cell>
          <cell r="J213">
            <v>62.729399999999998</v>
          </cell>
          <cell r="K213">
            <v>536.29</v>
          </cell>
          <cell r="L213">
            <v>29.846800000000002</v>
          </cell>
          <cell r="M213">
            <v>5.2809999999999997</v>
          </cell>
          <cell r="N213">
            <v>592.96939999999995</v>
          </cell>
          <cell r="O213">
            <v>28.067299999999999</v>
          </cell>
          <cell r="P213">
            <v>24.118600000000001</v>
          </cell>
          <cell r="Q213">
            <v>348.48250000000002</v>
          </cell>
          <cell r="R213">
            <v>3.6556999999999999</v>
          </cell>
          <cell r="S213">
            <v>844.55119999999999</v>
          </cell>
          <cell r="T213">
            <v>134.07249999999999</v>
          </cell>
          <cell r="U213">
            <v>41.571599999999997</v>
          </cell>
          <cell r="V213">
            <v>211.916</v>
          </cell>
          <cell r="W213">
            <v>238.774</v>
          </cell>
          <cell r="X213">
            <v>58.360599999999998</v>
          </cell>
          <cell r="Y213">
            <v>127.32810000000001</v>
          </cell>
          <cell r="Z213">
            <v>2.3294000000000001</v>
          </cell>
          <cell r="AA213">
            <v>1.8315999999999999</v>
          </cell>
          <cell r="AB213">
            <v>294.82409999999999</v>
          </cell>
          <cell r="AC213">
            <v>10.933999999999999</v>
          </cell>
          <cell r="AD213">
            <v>4.1099999999999998E-2</v>
          </cell>
          <cell r="AE213">
            <v>10.3133</v>
          </cell>
          <cell r="AF213">
            <v>18.886299999999999</v>
          </cell>
          <cell r="AG213">
            <v>1.367</v>
          </cell>
          <cell r="AH213">
            <v>78.543999999999997</v>
          </cell>
          <cell r="AI213">
            <v>71.193899999999999</v>
          </cell>
          <cell r="AJ213">
            <v>13.7864</v>
          </cell>
          <cell r="AK213">
            <v>50.151600000000002</v>
          </cell>
          <cell r="AL213">
            <v>310.01150000000001</v>
          </cell>
          <cell r="AM213">
            <v>43.212899999999998</v>
          </cell>
          <cell r="AN213">
            <v>467.00130000000001</v>
          </cell>
          <cell r="AO213">
            <v>674.1241</v>
          </cell>
        </row>
        <row r="214">
          <cell r="C214">
            <v>271.43700000000001</v>
          </cell>
          <cell r="D214">
            <v>34.250399999999999</v>
          </cell>
          <cell r="E214">
            <v>765.46370000000002</v>
          </cell>
          <cell r="F214">
            <v>11.5366</v>
          </cell>
          <cell r="G214">
            <v>116.8312</v>
          </cell>
          <cell r="H214">
            <v>3.7699999999999997E-2</v>
          </cell>
          <cell r="I214">
            <v>13.831099999999999</v>
          </cell>
          <cell r="J214">
            <v>63.309600000000003</v>
          </cell>
          <cell r="K214">
            <v>535.99</v>
          </cell>
          <cell r="L214">
            <v>30.121300000000002</v>
          </cell>
          <cell r="M214">
            <v>5.3116000000000003</v>
          </cell>
          <cell r="N214">
            <v>598.42250000000001</v>
          </cell>
          <cell r="O214">
            <v>28.325500000000002</v>
          </cell>
          <cell r="P214">
            <v>24.340399999999999</v>
          </cell>
          <cell r="Q214">
            <v>348.95310000000001</v>
          </cell>
          <cell r="R214">
            <v>3.6536</v>
          </cell>
          <cell r="S214">
            <v>842.75160000000005</v>
          </cell>
          <cell r="T214">
            <v>133.9975</v>
          </cell>
          <cell r="U214">
            <v>41.5535</v>
          </cell>
          <cell r="V214">
            <v>213.8648</v>
          </cell>
          <cell r="W214">
            <v>240.96979999999999</v>
          </cell>
          <cell r="X214">
            <v>58.816400000000002</v>
          </cell>
          <cell r="Y214">
            <v>127.8854</v>
          </cell>
          <cell r="Z214">
            <v>2.3508</v>
          </cell>
          <cell r="AA214">
            <v>1.8324</v>
          </cell>
          <cell r="AB214">
            <v>294.7627</v>
          </cell>
          <cell r="AC214">
            <v>11.008800000000001</v>
          </cell>
          <cell r="AD214">
            <v>4.0800000000000003E-2</v>
          </cell>
          <cell r="AE214">
            <v>10.307499999999999</v>
          </cell>
          <cell r="AF214">
            <v>19.112500000000001</v>
          </cell>
          <cell r="AG214">
            <v>1.3662000000000001</v>
          </cell>
          <cell r="AH214">
            <v>79.266300000000001</v>
          </cell>
          <cell r="AI214">
            <v>71.848600000000005</v>
          </cell>
          <cell r="AJ214">
            <v>13.9177</v>
          </cell>
          <cell r="AK214">
            <v>50.421100000000003</v>
          </cell>
          <cell r="AL214">
            <v>313.07029999999997</v>
          </cell>
          <cell r="AM214">
            <v>43.277900000000002</v>
          </cell>
          <cell r="AN214">
            <v>471.29599999999999</v>
          </cell>
          <cell r="AO214">
            <v>674.96280000000002</v>
          </cell>
        </row>
        <row r="215">
          <cell r="C215">
            <v>272.32960000000003</v>
          </cell>
          <cell r="D215">
            <v>34.119599999999998</v>
          </cell>
          <cell r="E215">
            <v>763.90539999999999</v>
          </cell>
          <cell r="F215">
            <v>11.5306</v>
          </cell>
          <cell r="G215">
            <v>116.38509999999999</v>
          </cell>
          <cell r="H215">
            <v>3.7600000000000001E-2</v>
          </cell>
          <cell r="I215">
            <v>13.7783</v>
          </cell>
          <cell r="J215">
            <v>63.057699999999997</v>
          </cell>
          <cell r="K215">
            <v>535.71</v>
          </cell>
          <cell r="L215">
            <v>30.0063</v>
          </cell>
          <cell r="M215">
            <v>5.3140000000000001</v>
          </cell>
          <cell r="N215">
            <v>596.13729999999998</v>
          </cell>
          <cell r="O215">
            <v>28.217300000000002</v>
          </cell>
          <cell r="P215">
            <v>24.247499999999999</v>
          </cell>
          <cell r="Q215">
            <v>348.67899999999997</v>
          </cell>
          <cell r="R215">
            <v>3.6516999999999999</v>
          </cell>
          <cell r="S215">
            <v>842.31129999999996</v>
          </cell>
          <cell r="T215">
            <v>133.92750000000001</v>
          </cell>
          <cell r="U215">
            <v>41.531799999999997</v>
          </cell>
          <cell r="V215">
            <v>213.04810000000001</v>
          </cell>
          <cell r="W215">
            <v>240.0496</v>
          </cell>
          <cell r="X215">
            <v>58.595500000000001</v>
          </cell>
          <cell r="Y215">
            <v>127.5562</v>
          </cell>
          <cell r="Z215">
            <v>2.3418000000000001</v>
          </cell>
          <cell r="AA215">
            <v>1.8327</v>
          </cell>
          <cell r="AB215">
            <v>296.75510000000003</v>
          </cell>
          <cell r="AC215">
            <v>10.908099999999999</v>
          </cell>
          <cell r="AD215">
            <v>4.0399999999999998E-2</v>
          </cell>
          <cell r="AE215">
            <v>10.302099999999999</v>
          </cell>
          <cell r="AF215">
            <v>19.0581</v>
          </cell>
          <cell r="AG215">
            <v>1.3654999999999999</v>
          </cell>
          <cell r="AH215">
            <v>78.9636</v>
          </cell>
          <cell r="AI215">
            <v>71.574200000000005</v>
          </cell>
          <cell r="AJ215">
            <v>13.8568</v>
          </cell>
          <cell r="AK215">
            <v>50.4786</v>
          </cell>
          <cell r="AL215">
            <v>310.78059999999999</v>
          </cell>
          <cell r="AM215">
            <v>43.239699999999999</v>
          </cell>
          <cell r="AN215">
            <v>469.49619999999999</v>
          </cell>
          <cell r="AO215">
            <v>675.82550000000003</v>
          </cell>
        </row>
        <row r="216">
          <cell r="C216">
            <v>271.02699999999999</v>
          </cell>
          <cell r="D216">
            <v>34.119900000000001</v>
          </cell>
          <cell r="E216">
            <v>764.53359999999998</v>
          </cell>
          <cell r="F216">
            <v>11.525399999999999</v>
          </cell>
          <cell r="G216">
            <v>116.386</v>
          </cell>
          <cell r="H216">
            <v>3.7699999999999997E-2</v>
          </cell>
          <cell r="I216">
            <v>13.7784</v>
          </cell>
          <cell r="J216">
            <v>63.059100000000001</v>
          </cell>
          <cell r="K216">
            <v>535.47</v>
          </cell>
          <cell r="L216">
            <v>30.006499999999999</v>
          </cell>
          <cell r="M216">
            <v>5.3437000000000001</v>
          </cell>
          <cell r="N216">
            <v>596.14210000000003</v>
          </cell>
          <cell r="O216">
            <v>28.217500000000001</v>
          </cell>
          <cell r="P216">
            <v>24.247699999999998</v>
          </cell>
          <cell r="Q216">
            <v>349.69470000000001</v>
          </cell>
          <cell r="R216">
            <v>3.6501000000000001</v>
          </cell>
          <cell r="S216">
            <v>841.93399999999997</v>
          </cell>
          <cell r="T216">
            <v>133.86750000000001</v>
          </cell>
          <cell r="U216">
            <v>41.504800000000003</v>
          </cell>
          <cell r="V216">
            <v>213.04990000000001</v>
          </cell>
          <cell r="W216">
            <v>240.05160000000001</v>
          </cell>
          <cell r="X216">
            <v>58.805100000000003</v>
          </cell>
          <cell r="Y216">
            <v>127.3497</v>
          </cell>
          <cell r="Z216">
            <v>2.3418999999999999</v>
          </cell>
          <cell r="AA216">
            <v>1.8307</v>
          </cell>
          <cell r="AB216">
            <v>297.73610000000002</v>
          </cell>
          <cell r="AC216">
            <v>10.9016</v>
          </cell>
          <cell r="AD216">
            <v>4.0300000000000002E-2</v>
          </cell>
          <cell r="AE216">
            <v>10.297499999999999</v>
          </cell>
          <cell r="AF216">
            <v>18.987300000000001</v>
          </cell>
          <cell r="AG216">
            <v>1.3649</v>
          </cell>
          <cell r="AH216">
            <v>78.964200000000005</v>
          </cell>
          <cell r="AI216">
            <v>71.574799999999996</v>
          </cell>
          <cell r="AJ216">
            <v>13.860200000000001</v>
          </cell>
          <cell r="AK216">
            <v>50.579099999999997</v>
          </cell>
          <cell r="AL216">
            <v>311.31889999999999</v>
          </cell>
          <cell r="AM216">
            <v>43.212200000000003</v>
          </cell>
          <cell r="AN216">
            <v>469.50009999999997</v>
          </cell>
          <cell r="AO216">
            <v>674.79319999999996</v>
          </cell>
        </row>
        <row r="217">
          <cell r="C217">
            <v>271.02699999999999</v>
          </cell>
          <cell r="D217">
            <v>34.119900000000001</v>
          </cell>
          <cell r="E217">
            <v>764.53359999999998</v>
          </cell>
          <cell r="F217">
            <v>11.525399999999999</v>
          </cell>
          <cell r="G217">
            <v>116.386</v>
          </cell>
          <cell r="H217">
            <v>3.7699999999999997E-2</v>
          </cell>
          <cell r="I217">
            <v>13.7784</v>
          </cell>
          <cell r="J217">
            <v>63.059100000000001</v>
          </cell>
          <cell r="K217">
            <v>535.47</v>
          </cell>
          <cell r="L217">
            <v>30.006499999999999</v>
          </cell>
          <cell r="M217">
            <v>5.3437000000000001</v>
          </cell>
          <cell r="N217">
            <v>596.14210000000003</v>
          </cell>
          <cell r="O217">
            <v>28.217500000000001</v>
          </cell>
          <cell r="P217">
            <v>24.247699999999998</v>
          </cell>
          <cell r="Q217">
            <v>349.69470000000001</v>
          </cell>
          <cell r="R217">
            <v>3.6501000000000001</v>
          </cell>
          <cell r="S217">
            <v>841.93399999999997</v>
          </cell>
          <cell r="T217">
            <v>133.86750000000001</v>
          </cell>
          <cell r="U217">
            <v>41.504800000000003</v>
          </cell>
          <cell r="V217">
            <v>213.04990000000001</v>
          </cell>
          <cell r="W217">
            <v>240.05160000000001</v>
          </cell>
          <cell r="X217">
            <v>58.805100000000003</v>
          </cell>
          <cell r="Y217">
            <v>127.3497</v>
          </cell>
          <cell r="Z217">
            <v>2.3418999999999999</v>
          </cell>
          <cell r="AA217">
            <v>1.8307</v>
          </cell>
          <cell r="AB217">
            <v>297.73610000000002</v>
          </cell>
          <cell r="AC217">
            <v>10.9016</v>
          </cell>
          <cell r="AD217">
            <v>4.0300000000000002E-2</v>
          </cell>
          <cell r="AE217">
            <v>10.297499999999999</v>
          </cell>
          <cell r="AF217">
            <v>18.987300000000001</v>
          </cell>
          <cell r="AG217">
            <v>1.3649</v>
          </cell>
          <cell r="AH217">
            <v>78.964200000000005</v>
          </cell>
          <cell r="AI217">
            <v>71.574799999999996</v>
          </cell>
          <cell r="AJ217">
            <v>13.860200000000001</v>
          </cell>
          <cell r="AK217">
            <v>50.579099999999997</v>
          </cell>
          <cell r="AL217">
            <v>311.31889999999999</v>
          </cell>
          <cell r="AM217">
            <v>43.212200000000003</v>
          </cell>
          <cell r="AN217">
            <v>469.50009999999997</v>
          </cell>
          <cell r="AO217">
            <v>674.79319999999996</v>
          </cell>
        </row>
        <row r="218">
          <cell r="C218">
            <v>271.02699999999999</v>
          </cell>
          <cell r="D218">
            <v>34.119900000000001</v>
          </cell>
          <cell r="E218">
            <v>764.53359999999998</v>
          </cell>
          <cell r="F218">
            <v>11.525399999999999</v>
          </cell>
          <cell r="G218">
            <v>116.386</v>
          </cell>
          <cell r="H218">
            <v>3.7699999999999997E-2</v>
          </cell>
          <cell r="I218">
            <v>13.7784</v>
          </cell>
          <cell r="J218">
            <v>63.059100000000001</v>
          </cell>
          <cell r="K218">
            <v>535.47</v>
          </cell>
          <cell r="L218">
            <v>30.006499999999999</v>
          </cell>
          <cell r="M218">
            <v>5.3437000000000001</v>
          </cell>
          <cell r="N218">
            <v>596.14210000000003</v>
          </cell>
          <cell r="O218">
            <v>28.217500000000001</v>
          </cell>
          <cell r="P218">
            <v>24.247699999999998</v>
          </cell>
          <cell r="Q218">
            <v>349.69470000000001</v>
          </cell>
          <cell r="R218">
            <v>3.6501000000000001</v>
          </cell>
          <cell r="S218">
            <v>841.93399999999997</v>
          </cell>
          <cell r="T218">
            <v>133.86750000000001</v>
          </cell>
          <cell r="U218">
            <v>41.504800000000003</v>
          </cell>
          <cell r="V218">
            <v>213.04990000000001</v>
          </cell>
          <cell r="W218">
            <v>240.05160000000001</v>
          </cell>
          <cell r="X218">
            <v>58.805100000000003</v>
          </cell>
          <cell r="Y218">
            <v>127.3497</v>
          </cell>
          <cell r="Z218">
            <v>2.3418999999999999</v>
          </cell>
          <cell r="AA218">
            <v>1.8307</v>
          </cell>
          <cell r="AB218">
            <v>297.73610000000002</v>
          </cell>
          <cell r="AC218">
            <v>10.9016</v>
          </cell>
          <cell r="AD218">
            <v>4.0300000000000002E-2</v>
          </cell>
          <cell r="AE218">
            <v>10.297499999999999</v>
          </cell>
          <cell r="AF218">
            <v>18.987300000000001</v>
          </cell>
          <cell r="AG218">
            <v>1.3649</v>
          </cell>
          <cell r="AH218">
            <v>78.964200000000005</v>
          </cell>
          <cell r="AI218">
            <v>71.574799999999996</v>
          </cell>
          <cell r="AJ218">
            <v>13.860200000000001</v>
          </cell>
          <cell r="AK218">
            <v>50.579099999999997</v>
          </cell>
          <cell r="AL218">
            <v>311.31889999999999</v>
          </cell>
          <cell r="AM218">
            <v>43.212200000000003</v>
          </cell>
          <cell r="AN218">
            <v>469.50009999999997</v>
          </cell>
          <cell r="AO218">
            <v>674.79319999999996</v>
          </cell>
        </row>
        <row r="219">
          <cell r="C219">
            <v>270.58150000000001</v>
          </cell>
          <cell r="D219">
            <v>34.046100000000003</v>
          </cell>
          <cell r="E219">
            <v>763.50189999999998</v>
          </cell>
          <cell r="F219">
            <v>11.468500000000001</v>
          </cell>
          <cell r="G219">
            <v>116.1343</v>
          </cell>
          <cell r="H219">
            <v>3.7699999999999997E-2</v>
          </cell>
          <cell r="I219">
            <v>13.7486</v>
          </cell>
          <cell r="J219">
            <v>62.9236</v>
          </cell>
          <cell r="K219">
            <v>535.35</v>
          </cell>
          <cell r="L219">
            <v>29.941600000000001</v>
          </cell>
          <cell r="M219">
            <v>5.3315999999999999</v>
          </cell>
          <cell r="N219">
            <v>594.85299999999995</v>
          </cell>
          <cell r="O219">
            <v>28.156500000000001</v>
          </cell>
          <cell r="P219">
            <v>24.1952</v>
          </cell>
          <cell r="Q219">
            <v>349.43299999999999</v>
          </cell>
          <cell r="R219">
            <v>3.6467999999999998</v>
          </cell>
          <cell r="S219">
            <v>844.40060000000005</v>
          </cell>
          <cell r="T219">
            <v>133.83750000000001</v>
          </cell>
          <cell r="U219">
            <v>41.5</v>
          </cell>
          <cell r="V219">
            <v>212.5891</v>
          </cell>
          <cell r="W219">
            <v>239.5325</v>
          </cell>
          <cell r="X219">
            <v>58.7074</v>
          </cell>
          <cell r="Y219">
            <v>126.8232</v>
          </cell>
          <cell r="Z219">
            <v>2.3368000000000002</v>
          </cell>
          <cell r="AA219">
            <v>1.829</v>
          </cell>
          <cell r="AB219">
            <v>297.01690000000002</v>
          </cell>
          <cell r="AC219">
            <v>10.846299999999999</v>
          </cell>
          <cell r="AD219">
            <v>4.0300000000000002E-2</v>
          </cell>
          <cell r="AE219">
            <v>10.295199999999999</v>
          </cell>
          <cell r="AF219">
            <v>18.960899999999999</v>
          </cell>
          <cell r="AG219">
            <v>1.3274999999999999</v>
          </cell>
          <cell r="AH219">
            <v>78.793499999999995</v>
          </cell>
          <cell r="AI219">
            <v>71.42</v>
          </cell>
          <cell r="AJ219">
            <v>13.831899999999999</v>
          </cell>
          <cell r="AK219">
            <v>50.614199999999997</v>
          </cell>
          <cell r="AL219">
            <v>309.9674</v>
          </cell>
          <cell r="AM219">
            <v>42.8035</v>
          </cell>
          <cell r="AN219">
            <v>468.48480000000001</v>
          </cell>
          <cell r="AO219">
            <v>673.86500000000001</v>
          </cell>
        </row>
        <row r="220">
          <cell r="C220">
            <v>273.47212580645163</v>
          </cell>
          <cell r="D220">
            <v>33.553638709677422</v>
          </cell>
          <cell r="E220">
            <v>759.29610322580629</v>
          </cell>
          <cell r="F220">
            <v>11.559041935483872</v>
          </cell>
          <cell r="G220">
            <v>114.45447096774193</v>
          </cell>
          <cell r="H220">
            <v>3.8080645161290338E-2</v>
          </cell>
          <cell r="I220">
            <v>13.549761290322577</v>
          </cell>
          <cell r="J220">
            <v>62.01939999999999</v>
          </cell>
          <cell r="K220">
            <v>537.11483870967731</v>
          </cell>
          <cell r="L220">
            <v>29.50853225806452</v>
          </cell>
          <cell r="M220">
            <v>5.2521064516129057</v>
          </cell>
          <cell r="N220">
            <v>586.24852258064527</v>
          </cell>
          <cell r="O220">
            <v>27.749212903225807</v>
          </cell>
          <cell r="P220">
            <v>23.845248387096778</v>
          </cell>
          <cell r="Q220">
            <v>351.43917741935485</v>
          </cell>
          <cell r="R220">
            <v>3.6621161290322575</v>
          </cell>
          <cell r="S220">
            <v>839.93436774193572</v>
          </cell>
          <cell r="T220">
            <v>134.27870967741933</v>
          </cell>
          <cell r="U220">
            <v>41.633796774193534</v>
          </cell>
          <cell r="V220">
            <v>209.51406129032264</v>
          </cell>
          <cell r="W220">
            <v>236.06767419354841</v>
          </cell>
          <cell r="X220">
            <v>57.961332258064523</v>
          </cell>
          <cell r="Y220">
            <v>128.26191290322583</v>
          </cell>
          <cell r="Z220">
            <v>2.3029999999999995</v>
          </cell>
          <cell r="AA220">
            <v>1.8385967741935483</v>
          </cell>
          <cell r="AB220">
            <v>294.5834709677419</v>
          </cell>
          <cell r="AC220">
            <v>10.838432258064513</v>
          </cell>
          <cell r="AD220">
            <v>4.0638709677419359E-2</v>
          </cell>
          <cell r="AE220">
            <v>10.329125806451614</v>
          </cell>
          <cell r="AF220">
            <v>18.546116129032256</v>
          </cell>
          <cell r="AG220">
            <v>1.3856741935483872</v>
          </cell>
          <cell r="AH220">
            <v>77.653748387096741</v>
          </cell>
          <cell r="AI220">
            <v>70.386954838709684</v>
          </cell>
          <cell r="AJ220">
            <v>13.635661290322583</v>
          </cell>
          <cell r="AK220">
            <v>49.8672258064516</v>
          </cell>
          <cell r="AL220">
            <v>304.98876451612909</v>
          </cell>
          <cell r="AM220">
            <v>43.14144838709678</v>
          </cell>
          <cell r="AN220">
            <v>461.70822580645159</v>
          </cell>
          <cell r="AO220">
            <v>671.90550967741945</v>
          </cell>
        </row>
        <row r="221">
          <cell r="C221">
            <v>271.20639999999997</v>
          </cell>
          <cell r="D221">
            <v>34.061700000000002</v>
          </cell>
          <cell r="E221">
            <v>762.98050000000001</v>
          </cell>
          <cell r="F221">
            <v>11.468500000000001</v>
          </cell>
          <cell r="G221">
            <v>116.1874</v>
          </cell>
          <cell r="H221">
            <v>3.7600000000000001E-2</v>
          </cell>
          <cell r="I221">
            <v>13.754899999999999</v>
          </cell>
          <cell r="J221">
            <v>62.933700000000002</v>
          </cell>
          <cell r="K221">
            <v>535.35</v>
          </cell>
          <cell r="L221">
            <v>29.955300000000001</v>
          </cell>
          <cell r="M221">
            <v>5.3352000000000004</v>
          </cell>
          <cell r="N221">
            <v>595.12490000000003</v>
          </cell>
          <cell r="O221">
            <v>28.1694</v>
          </cell>
          <cell r="P221">
            <v>24.206299999999999</v>
          </cell>
          <cell r="Q221">
            <v>350.06270000000001</v>
          </cell>
          <cell r="R221">
            <v>3.6467999999999998</v>
          </cell>
          <cell r="S221">
            <v>843.07090000000005</v>
          </cell>
          <cell r="T221">
            <v>133.83750000000001</v>
          </cell>
          <cell r="U221">
            <v>41.499699999999997</v>
          </cell>
          <cell r="V221">
            <v>212.68629999999999</v>
          </cell>
          <cell r="W221">
            <v>239.642</v>
          </cell>
          <cell r="X221">
            <v>58.697400000000002</v>
          </cell>
          <cell r="Y221">
            <v>126.3237</v>
          </cell>
          <cell r="Z221">
            <v>2.3378999999999999</v>
          </cell>
          <cell r="AA221">
            <v>1.8259000000000001</v>
          </cell>
          <cell r="AB221">
            <v>296.81400000000002</v>
          </cell>
          <cell r="AC221">
            <v>10.824</v>
          </cell>
          <cell r="AD221">
            <v>4.0300000000000002E-2</v>
          </cell>
          <cell r="AE221">
            <v>10.295199999999999</v>
          </cell>
          <cell r="AF221">
            <v>18.918199999999999</v>
          </cell>
          <cell r="AG221">
            <v>1.3274999999999999</v>
          </cell>
          <cell r="AH221">
            <v>78.829499999999996</v>
          </cell>
          <cell r="AI221">
            <v>71.452699999999993</v>
          </cell>
          <cell r="AJ221">
            <v>13.7934</v>
          </cell>
          <cell r="AK221">
            <v>50.514499999999998</v>
          </cell>
          <cell r="AL221">
            <v>310.35550000000001</v>
          </cell>
          <cell r="AM221">
            <v>42.881900000000002</v>
          </cell>
          <cell r="AN221">
            <v>468.69889999999998</v>
          </cell>
          <cell r="AO221">
            <v>673.86500000000001</v>
          </cell>
        </row>
        <row r="222">
          <cell r="C222">
            <v>274.65660000000003</v>
          </cell>
          <cell r="D222">
            <v>34.307400000000001</v>
          </cell>
          <cell r="E222">
            <v>766.86130000000003</v>
          </cell>
          <cell r="F222">
            <v>11.47</v>
          </cell>
          <cell r="G222">
            <v>117.02549999999999</v>
          </cell>
          <cell r="H222">
            <v>3.7600000000000001E-2</v>
          </cell>
          <cell r="I222">
            <v>13.854100000000001</v>
          </cell>
          <cell r="J222">
            <v>63.373199999999997</v>
          </cell>
          <cell r="K222">
            <v>535.41999999999996</v>
          </cell>
          <cell r="L222">
            <v>30.171399999999998</v>
          </cell>
          <cell r="M222">
            <v>5.4362000000000004</v>
          </cell>
          <cell r="N222">
            <v>599.41769999999997</v>
          </cell>
          <cell r="O222">
            <v>28.372599999999998</v>
          </cell>
          <cell r="P222">
            <v>24.3809</v>
          </cell>
          <cell r="Q222">
            <v>348.32130000000001</v>
          </cell>
          <cell r="R222">
            <v>3.6473</v>
          </cell>
          <cell r="S222">
            <v>843.18110000000001</v>
          </cell>
          <cell r="T222">
            <v>133.85499999999999</v>
          </cell>
          <cell r="U222">
            <v>41.496099999999998</v>
          </cell>
          <cell r="V222">
            <v>214.22049999999999</v>
          </cell>
          <cell r="W222">
            <v>241.3706</v>
          </cell>
          <cell r="X222">
            <v>58.921599999999998</v>
          </cell>
          <cell r="Y222">
            <v>125.794</v>
          </cell>
          <cell r="Z222">
            <v>2.3546999999999998</v>
          </cell>
          <cell r="AA222">
            <v>1.8273999999999999</v>
          </cell>
          <cell r="AB222">
            <v>296.94290000000001</v>
          </cell>
          <cell r="AC222">
            <v>10.9124</v>
          </cell>
          <cell r="AD222">
            <v>4.02E-2</v>
          </cell>
          <cell r="AE222">
            <v>10.2965</v>
          </cell>
          <cell r="AF222">
            <v>19.024699999999999</v>
          </cell>
          <cell r="AG222">
            <v>1.3277000000000001</v>
          </cell>
          <cell r="AH222">
            <v>79.398099999999999</v>
          </cell>
          <cell r="AI222">
            <v>71.968100000000007</v>
          </cell>
          <cell r="AJ222">
            <v>13.8835</v>
          </cell>
          <cell r="AK222">
            <v>50.711100000000002</v>
          </cell>
          <cell r="AL222">
            <v>312.51150000000001</v>
          </cell>
          <cell r="AM222">
            <v>42.974899999999998</v>
          </cell>
          <cell r="AN222">
            <v>472.07979999999998</v>
          </cell>
          <cell r="AO222">
            <v>675.38210000000004</v>
          </cell>
        </row>
        <row r="223">
          <cell r="C223">
            <v>277.52370000000002</v>
          </cell>
          <cell r="D223">
            <v>34.1875</v>
          </cell>
          <cell r="E223">
            <v>765.54989999999998</v>
          </cell>
          <cell r="F223">
            <v>11.467700000000001</v>
          </cell>
          <cell r="G223">
            <v>116.61669999999999</v>
          </cell>
          <cell r="H223">
            <v>3.7600000000000001E-2</v>
          </cell>
          <cell r="I223">
            <v>13.8057</v>
          </cell>
          <cell r="J223">
            <v>63.159399999999998</v>
          </cell>
          <cell r="K223">
            <v>535.30999999999995</v>
          </cell>
          <cell r="L223">
            <v>30.065999999999999</v>
          </cell>
          <cell r="M223">
            <v>5.431</v>
          </cell>
          <cell r="N223">
            <v>597.32339999999999</v>
          </cell>
          <cell r="O223">
            <v>28.273399999999999</v>
          </cell>
          <cell r="P223">
            <v>24.2957</v>
          </cell>
          <cell r="Q223">
            <v>348.08019999999999</v>
          </cell>
          <cell r="R223">
            <v>3.6465000000000001</v>
          </cell>
          <cell r="S223">
            <v>844.33749999999998</v>
          </cell>
          <cell r="T223">
            <v>133.82749999999999</v>
          </cell>
          <cell r="U223">
            <v>41.4863</v>
          </cell>
          <cell r="V223">
            <v>213.47200000000001</v>
          </cell>
          <cell r="W223">
            <v>240.5273</v>
          </cell>
          <cell r="X223">
            <v>58.833199999999998</v>
          </cell>
          <cell r="Y223">
            <v>125.2811</v>
          </cell>
          <cell r="Z223">
            <v>2.3464999999999998</v>
          </cell>
          <cell r="AA223">
            <v>1.8250999999999999</v>
          </cell>
          <cell r="AB223">
            <v>300.30669999999998</v>
          </cell>
          <cell r="AC223">
            <v>10.9298</v>
          </cell>
          <cell r="AD223">
            <v>3.9899999999999998E-2</v>
          </cell>
          <cell r="AE223">
            <v>10.2944</v>
          </cell>
          <cell r="AF223">
            <v>18.914100000000001</v>
          </cell>
          <cell r="AG223">
            <v>1.3273999999999999</v>
          </cell>
          <cell r="AH223">
            <v>79.120699999999999</v>
          </cell>
          <cell r="AI223">
            <v>71.716700000000003</v>
          </cell>
          <cell r="AJ223">
            <v>13.8354</v>
          </cell>
          <cell r="AK223">
            <v>50.973100000000002</v>
          </cell>
          <cell r="AL223">
            <v>311.66719999999998</v>
          </cell>
          <cell r="AM223">
            <v>43.150799999999997</v>
          </cell>
          <cell r="AN223">
            <v>470.43040000000002</v>
          </cell>
          <cell r="AO223">
            <v>675.9144</v>
          </cell>
        </row>
        <row r="224">
          <cell r="C224">
            <v>276.88709999999998</v>
          </cell>
          <cell r="D224">
            <v>34.247900000000001</v>
          </cell>
          <cell r="E224">
            <v>764.53909999999996</v>
          </cell>
          <cell r="F224">
            <v>11.464399999999999</v>
          </cell>
          <cell r="G224">
            <v>116.8228</v>
          </cell>
          <cell r="H224">
            <v>3.7499999999999999E-2</v>
          </cell>
          <cell r="I224">
            <v>13.8301</v>
          </cell>
          <cell r="J224">
            <v>63.277000000000001</v>
          </cell>
          <cell r="K224">
            <v>535.16</v>
          </cell>
          <cell r="L224">
            <v>30.1191</v>
          </cell>
          <cell r="M224">
            <v>5.4450000000000003</v>
          </cell>
          <cell r="N224">
            <v>598.37919999999997</v>
          </cell>
          <cell r="O224">
            <v>28.323399999999999</v>
          </cell>
          <cell r="P224">
            <v>24.3386</v>
          </cell>
          <cell r="Q224">
            <v>348.6696</v>
          </cell>
          <cell r="R224">
            <v>3.6455000000000002</v>
          </cell>
          <cell r="S224">
            <v>845.43439999999998</v>
          </cell>
          <cell r="T224">
            <v>133.79</v>
          </cell>
          <cell r="U224">
            <v>41.474699999999999</v>
          </cell>
          <cell r="V224">
            <v>213.8493</v>
          </cell>
          <cell r="W224">
            <v>240.95240000000001</v>
          </cell>
          <cell r="X224">
            <v>59.140599999999999</v>
          </cell>
          <cell r="Y224">
            <v>126.35380000000001</v>
          </cell>
          <cell r="Z224">
            <v>2.3506</v>
          </cell>
          <cell r="AA224">
            <v>1.8228</v>
          </cell>
          <cell r="AB224">
            <v>300.91430000000003</v>
          </cell>
          <cell r="AC224">
            <v>10.972300000000001</v>
          </cell>
          <cell r="AD224">
            <v>3.9899999999999998E-2</v>
          </cell>
          <cell r="AE224">
            <v>10.291499999999999</v>
          </cell>
          <cell r="AF224">
            <v>19.002500000000001</v>
          </cell>
          <cell r="AG224">
            <v>1.3270999999999999</v>
          </cell>
          <cell r="AH224">
            <v>79.260599999999997</v>
          </cell>
          <cell r="AI224">
            <v>71.843400000000003</v>
          </cell>
          <cell r="AJ224">
            <v>13.889200000000001</v>
          </cell>
          <cell r="AK224">
            <v>51.379899999999999</v>
          </cell>
          <cell r="AL224">
            <v>312.5908</v>
          </cell>
          <cell r="AM224">
            <v>43.215200000000003</v>
          </cell>
          <cell r="AN224">
            <v>471.26190000000003</v>
          </cell>
          <cell r="AO224">
            <v>675.56629999999996</v>
          </cell>
        </row>
        <row r="225">
          <cell r="C225">
            <v>276.88709999999998</v>
          </cell>
          <cell r="D225">
            <v>34.247900000000001</v>
          </cell>
          <cell r="E225">
            <v>764.53909999999996</v>
          </cell>
          <cell r="F225">
            <v>11.464399999999999</v>
          </cell>
          <cell r="G225">
            <v>116.8228</v>
          </cell>
          <cell r="H225">
            <v>3.7499999999999999E-2</v>
          </cell>
          <cell r="I225">
            <v>13.8301</v>
          </cell>
          <cell r="J225">
            <v>63.277000000000001</v>
          </cell>
          <cell r="K225">
            <v>535.16</v>
          </cell>
          <cell r="L225">
            <v>30.1191</v>
          </cell>
          <cell r="M225">
            <v>5.4450000000000003</v>
          </cell>
          <cell r="N225">
            <v>598.37919999999997</v>
          </cell>
          <cell r="O225">
            <v>28.323399999999999</v>
          </cell>
          <cell r="P225">
            <v>24.3386</v>
          </cell>
          <cell r="Q225">
            <v>348.6696</v>
          </cell>
          <cell r="R225">
            <v>3.6455000000000002</v>
          </cell>
          <cell r="S225">
            <v>845.43439999999998</v>
          </cell>
          <cell r="T225">
            <v>133.79</v>
          </cell>
          <cell r="U225">
            <v>41.474699999999999</v>
          </cell>
          <cell r="V225">
            <v>213.8493</v>
          </cell>
          <cell r="W225">
            <v>240.95240000000001</v>
          </cell>
          <cell r="X225">
            <v>59.140599999999999</v>
          </cell>
          <cell r="Y225">
            <v>126.35380000000001</v>
          </cell>
          <cell r="Z225">
            <v>2.3506</v>
          </cell>
          <cell r="AA225">
            <v>1.8228</v>
          </cell>
          <cell r="AB225">
            <v>300.91430000000003</v>
          </cell>
          <cell r="AC225">
            <v>10.972300000000001</v>
          </cell>
          <cell r="AD225">
            <v>3.9899999999999998E-2</v>
          </cell>
          <cell r="AE225">
            <v>10.291499999999999</v>
          </cell>
          <cell r="AF225">
            <v>19.002500000000001</v>
          </cell>
          <cell r="AG225">
            <v>1.3270999999999999</v>
          </cell>
          <cell r="AH225">
            <v>79.260599999999997</v>
          </cell>
          <cell r="AI225">
            <v>71.843400000000003</v>
          </cell>
          <cell r="AJ225">
            <v>13.889200000000001</v>
          </cell>
          <cell r="AK225">
            <v>51.379899999999999</v>
          </cell>
          <cell r="AL225">
            <v>312.5908</v>
          </cell>
          <cell r="AM225">
            <v>43.215200000000003</v>
          </cell>
          <cell r="AN225">
            <v>471.26190000000003</v>
          </cell>
          <cell r="AO225">
            <v>675.56629999999996</v>
          </cell>
        </row>
        <row r="226">
          <cell r="C226">
            <v>276.88709999999998</v>
          </cell>
          <cell r="D226">
            <v>34.247900000000001</v>
          </cell>
          <cell r="E226">
            <v>764.53909999999996</v>
          </cell>
          <cell r="F226">
            <v>11.464399999999999</v>
          </cell>
          <cell r="G226">
            <v>116.8228</v>
          </cell>
          <cell r="H226">
            <v>3.7499999999999999E-2</v>
          </cell>
          <cell r="I226">
            <v>13.8301</v>
          </cell>
          <cell r="J226">
            <v>63.277000000000001</v>
          </cell>
          <cell r="K226">
            <v>535.16</v>
          </cell>
          <cell r="L226">
            <v>30.1191</v>
          </cell>
          <cell r="M226">
            <v>5.4450000000000003</v>
          </cell>
          <cell r="N226">
            <v>598.37919999999997</v>
          </cell>
          <cell r="O226">
            <v>28.323399999999999</v>
          </cell>
          <cell r="P226">
            <v>24.3386</v>
          </cell>
          <cell r="Q226">
            <v>348.6696</v>
          </cell>
          <cell r="R226">
            <v>3.6455000000000002</v>
          </cell>
          <cell r="S226">
            <v>845.43439999999998</v>
          </cell>
          <cell r="T226">
            <v>133.79</v>
          </cell>
          <cell r="U226">
            <v>41.474699999999999</v>
          </cell>
          <cell r="V226">
            <v>213.8493</v>
          </cell>
          <cell r="W226">
            <v>240.95240000000001</v>
          </cell>
          <cell r="X226">
            <v>59.140599999999999</v>
          </cell>
          <cell r="Y226">
            <v>126.35380000000001</v>
          </cell>
          <cell r="Z226">
            <v>2.3506</v>
          </cell>
          <cell r="AA226">
            <v>1.8228</v>
          </cell>
          <cell r="AB226">
            <v>300.91430000000003</v>
          </cell>
          <cell r="AC226">
            <v>10.972300000000001</v>
          </cell>
          <cell r="AD226">
            <v>3.9899999999999998E-2</v>
          </cell>
          <cell r="AE226">
            <v>10.291499999999999</v>
          </cell>
          <cell r="AF226">
            <v>19.002500000000001</v>
          </cell>
          <cell r="AG226">
            <v>1.3270999999999999</v>
          </cell>
          <cell r="AH226">
            <v>79.260599999999997</v>
          </cell>
          <cell r="AI226">
            <v>71.843400000000003</v>
          </cell>
          <cell r="AJ226">
            <v>13.889200000000001</v>
          </cell>
          <cell r="AK226">
            <v>51.379899999999999</v>
          </cell>
          <cell r="AL226">
            <v>312.5908</v>
          </cell>
          <cell r="AM226">
            <v>43.215200000000003</v>
          </cell>
          <cell r="AN226">
            <v>471.26190000000003</v>
          </cell>
          <cell r="AO226">
            <v>675.56629999999996</v>
          </cell>
        </row>
        <row r="227">
          <cell r="C227">
            <v>276.23070000000001</v>
          </cell>
          <cell r="D227">
            <v>34.237000000000002</v>
          </cell>
          <cell r="E227">
            <v>761.08489999999995</v>
          </cell>
          <cell r="F227">
            <v>11.454700000000001</v>
          </cell>
          <cell r="G227">
            <v>116.7855</v>
          </cell>
          <cell r="H227">
            <v>3.7400000000000003E-2</v>
          </cell>
          <cell r="I227">
            <v>13.825699999999999</v>
          </cell>
          <cell r="J227">
            <v>63.261099999999999</v>
          </cell>
          <cell r="K227">
            <v>535.04999999999995</v>
          </cell>
          <cell r="L227">
            <v>30.109500000000001</v>
          </cell>
          <cell r="M227">
            <v>5.4344000000000001</v>
          </cell>
          <cell r="N227">
            <v>598.18820000000005</v>
          </cell>
          <cell r="O227">
            <v>28.314399999999999</v>
          </cell>
          <cell r="P227">
            <v>24.3309</v>
          </cell>
          <cell r="Q227">
            <v>349.87860000000001</v>
          </cell>
          <cell r="R227">
            <v>3.6385999999999998</v>
          </cell>
          <cell r="S227">
            <v>845.26070000000004</v>
          </cell>
          <cell r="T227">
            <v>133.76249999999999</v>
          </cell>
          <cell r="U227">
            <v>41.451700000000002</v>
          </cell>
          <cell r="V227">
            <v>213.78110000000001</v>
          </cell>
          <cell r="W227">
            <v>240.87549999999999</v>
          </cell>
          <cell r="X227">
            <v>59.055</v>
          </cell>
          <cell r="Y227">
            <v>126.4152</v>
          </cell>
          <cell r="Z227">
            <v>2.3498999999999999</v>
          </cell>
          <cell r="AA227">
            <v>1.8236000000000001</v>
          </cell>
          <cell r="AB227">
            <v>300.28140000000002</v>
          </cell>
          <cell r="AC227">
            <v>10.9788</v>
          </cell>
          <cell r="AD227">
            <v>3.9699999999999999E-2</v>
          </cell>
          <cell r="AE227">
            <v>10.289400000000001</v>
          </cell>
          <cell r="AF227">
            <v>19.0687</v>
          </cell>
          <cell r="AG227">
            <v>1.3125</v>
          </cell>
          <cell r="AH227">
            <v>79.235299999999995</v>
          </cell>
          <cell r="AI227">
            <v>71.820499999999996</v>
          </cell>
          <cell r="AJ227">
            <v>13.8893</v>
          </cell>
          <cell r="AK227">
            <v>51.410600000000002</v>
          </cell>
          <cell r="AL227">
            <v>312.49110000000002</v>
          </cell>
          <cell r="AM227">
            <v>43.189500000000002</v>
          </cell>
          <cell r="AN227">
            <v>471.11149999999998</v>
          </cell>
          <cell r="AO227">
            <v>675.09680000000003</v>
          </cell>
        </row>
        <row r="228">
          <cell r="C228">
            <v>275.62529999999998</v>
          </cell>
          <cell r="D228">
            <v>34.091900000000003</v>
          </cell>
          <cell r="E228">
            <v>757.24670000000003</v>
          </cell>
          <cell r="F228">
            <v>11.4543</v>
          </cell>
          <cell r="G228">
            <v>116.29040000000001</v>
          </cell>
          <cell r="H228">
            <v>3.73E-2</v>
          </cell>
          <cell r="I228">
            <v>13.767099999999999</v>
          </cell>
          <cell r="J228">
            <v>63.028399999999998</v>
          </cell>
          <cell r="K228">
            <v>535.03</v>
          </cell>
          <cell r="L228">
            <v>29.9819</v>
          </cell>
          <cell r="M228">
            <v>5.4207999999999998</v>
          </cell>
          <cell r="N228">
            <v>595.65229999999997</v>
          </cell>
          <cell r="O228">
            <v>28.194299999999998</v>
          </cell>
          <cell r="P228">
            <v>24.227699999999999</v>
          </cell>
          <cell r="Q228">
            <v>350.21600000000001</v>
          </cell>
          <cell r="R228">
            <v>3.6383999999999999</v>
          </cell>
          <cell r="S228">
            <v>843.89589999999998</v>
          </cell>
          <cell r="T228">
            <v>133.75749999999999</v>
          </cell>
          <cell r="U228">
            <v>41.4392</v>
          </cell>
          <cell r="V228">
            <v>212.87479999999999</v>
          </cell>
          <cell r="W228">
            <v>239.85429999999999</v>
          </cell>
          <cell r="X228">
            <v>58.867400000000004</v>
          </cell>
          <cell r="Y228">
            <v>126.11620000000001</v>
          </cell>
          <cell r="Z228">
            <v>2.3399000000000001</v>
          </cell>
          <cell r="AA228">
            <v>1.8253999999999999</v>
          </cell>
          <cell r="AB228">
            <v>299.65780000000001</v>
          </cell>
          <cell r="AC228">
            <v>10.9328</v>
          </cell>
          <cell r="AD228">
            <v>3.9600000000000003E-2</v>
          </cell>
          <cell r="AE228">
            <v>10.289</v>
          </cell>
          <cell r="AF228">
            <v>18.962499999999999</v>
          </cell>
          <cell r="AG228">
            <v>1.3124</v>
          </cell>
          <cell r="AH228">
            <v>78.8994</v>
          </cell>
          <cell r="AI228">
            <v>71.516000000000005</v>
          </cell>
          <cell r="AJ228">
            <v>13.8329</v>
          </cell>
          <cell r="AK228">
            <v>51.054499999999997</v>
          </cell>
          <cell r="AL228">
            <v>311.49689999999998</v>
          </cell>
          <cell r="AM228">
            <v>43.140900000000002</v>
          </cell>
          <cell r="AN228">
            <v>469.11430000000001</v>
          </cell>
          <cell r="AO228">
            <v>673.43759999999997</v>
          </cell>
        </row>
        <row r="229">
          <cell r="C229">
            <v>275.63010000000003</v>
          </cell>
          <cell r="D229">
            <v>34.072400000000002</v>
          </cell>
          <cell r="E229">
            <v>757.79340000000002</v>
          </cell>
          <cell r="F229">
            <v>11.4543</v>
          </cell>
          <cell r="G229">
            <v>116.22410000000001</v>
          </cell>
          <cell r="H229">
            <v>3.73E-2</v>
          </cell>
          <cell r="I229">
            <v>13.7593</v>
          </cell>
          <cell r="J229">
            <v>62.989899999999999</v>
          </cell>
          <cell r="K229">
            <v>535.03</v>
          </cell>
          <cell r="L229">
            <v>29.9648</v>
          </cell>
          <cell r="M229">
            <v>5.4233000000000002</v>
          </cell>
          <cell r="N229">
            <v>595.31259999999997</v>
          </cell>
          <cell r="O229">
            <v>28.1783</v>
          </cell>
          <cell r="P229">
            <v>24.213899999999999</v>
          </cell>
          <cell r="Q229">
            <v>348.8184</v>
          </cell>
          <cell r="R229">
            <v>3.6383999999999999</v>
          </cell>
          <cell r="S229">
            <v>843.89589999999998</v>
          </cell>
          <cell r="T229">
            <v>133.75749999999999</v>
          </cell>
          <cell r="U229">
            <v>41.449199999999998</v>
          </cell>
          <cell r="V229">
            <v>212.7534</v>
          </cell>
          <cell r="W229">
            <v>239.7176</v>
          </cell>
          <cell r="X229">
            <v>58.915199999999999</v>
          </cell>
          <cell r="Y229">
            <v>126.8319</v>
          </cell>
          <cell r="Z229">
            <v>2.3386</v>
          </cell>
          <cell r="AA229">
            <v>1.8253999999999999</v>
          </cell>
          <cell r="AB229">
            <v>301.58679999999998</v>
          </cell>
          <cell r="AC229">
            <v>10.9475</v>
          </cell>
          <cell r="AD229">
            <v>3.9E-2</v>
          </cell>
          <cell r="AE229">
            <v>10.289</v>
          </cell>
          <cell r="AF229">
            <v>18.985499999999998</v>
          </cell>
          <cell r="AG229">
            <v>1.3124</v>
          </cell>
          <cell r="AH229">
            <v>78.854399999999998</v>
          </cell>
          <cell r="AI229">
            <v>71.475200000000001</v>
          </cell>
          <cell r="AJ229">
            <v>13.869199999999999</v>
          </cell>
          <cell r="AK229">
            <v>51.234999999999999</v>
          </cell>
          <cell r="AL229">
            <v>311.3399</v>
          </cell>
          <cell r="AM229">
            <v>43.435899999999997</v>
          </cell>
          <cell r="AN229">
            <v>468.84679999999997</v>
          </cell>
          <cell r="AO229">
            <v>673.43759999999997</v>
          </cell>
        </row>
        <row r="230">
          <cell r="C230">
            <v>276.41919999999999</v>
          </cell>
          <cell r="D230">
            <v>34.421100000000003</v>
          </cell>
          <cell r="E230">
            <v>759.77599999999995</v>
          </cell>
          <cell r="F230">
            <v>11.453900000000001</v>
          </cell>
          <cell r="G230">
            <v>117.4134</v>
          </cell>
          <cell r="H230">
            <v>3.73E-2</v>
          </cell>
          <cell r="I230">
            <v>13.9001</v>
          </cell>
          <cell r="J230">
            <v>63.643099999999997</v>
          </cell>
          <cell r="K230">
            <v>535.01</v>
          </cell>
          <cell r="L230">
            <v>30.2714</v>
          </cell>
          <cell r="M230">
            <v>5.4473000000000003</v>
          </cell>
          <cell r="N230">
            <v>601.40430000000003</v>
          </cell>
          <cell r="O230">
            <v>28.4666</v>
          </cell>
          <cell r="P230">
            <v>24.4617</v>
          </cell>
          <cell r="Q230">
            <v>348.67809999999997</v>
          </cell>
          <cell r="R230">
            <v>3.6383000000000001</v>
          </cell>
          <cell r="S230">
            <v>842.53539999999998</v>
          </cell>
          <cell r="T230">
            <v>133.7525</v>
          </cell>
          <cell r="U230">
            <v>41.470100000000002</v>
          </cell>
          <cell r="V230">
            <v>214.93039999999999</v>
          </cell>
          <cell r="W230">
            <v>242.1705</v>
          </cell>
          <cell r="X230">
            <v>59.316800000000001</v>
          </cell>
          <cell r="Y230">
            <v>126.82940000000001</v>
          </cell>
          <cell r="Z230">
            <v>2.3624999999999998</v>
          </cell>
          <cell r="AA230">
            <v>1.8234999999999999</v>
          </cell>
          <cell r="AB230">
            <v>301.28129999999999</v>
          </cell>
          <cell r="AC230">
            <v>11.0626</v>
          </cell>
          <cell r="AD230">
            <v>3.8800000000000001E-2</v>
          </cell>
          <cell r="AE230">
            <v>10.2887</v>
          </cell>
          <cell r="AF230">
            <v>19.2148</v>
          </cell>
          <cell r="AG230">
            <v>1.3124</v>
          </cell>
          <cell r="AH230">
            <v>79.661299999999997</v>
          </cell>
          <cell r="AI230">
            <v>72.206599999999995</v>
          </cell>
          <cell r="AJ230">
            <v>13.9924</v>
          </cell>
          <cell r="AK230">
            <v>51.632399999999997</v>
          </cell>
          <cell r="AL230">
            <v>314.5675</v>
          </cell>
          <cell r="AM230">
            <v>43.389899999999997</v>
          </cell>
          <cell r="AN230">
            <v>473.64440000000002</v>
          </cell>
          <cell r="AO230">
            <v>676.57529999999997</v>
          </cell>
        </row>
        <row r="231">
          <cell r="C231">
            <v>275.83949999999999</v>
          </cell>
          <cell r="D231">
            <v>34.7438</v>
          </cell>
          <cell r="E231">
            <v>762.61749999999995</v>
          </cell>
          <cell r="F231">
            <v>11.453900000000001</v>
          </cell>
          <cell r="G231">
            <v>118.5142</v>
          </cell>
          <cell r="H231">
            <v>3.73E-2</v>
          </cell>
          <cell r="I231">
            <v>14.0304</v>
          </cell>
          <cell r="J231">
            <v>64.239699999999999</v>
          </cell>
          <cell r="K231">
            <v>535.01</v>
          </cell>
          <cell r="L231">
            <v>30.555199999999999</v>
          </cell>
          <cell r="M231">
            <v>5.4413999999999998</v>
          </cell>
          <cell r="N231">
            <v>607.04259999999999</v>
          </cell>
          <cell r="O231">
            <v>28.733499999999999</v>
          </cell>
          <cell r="P231">
            <v>24.690999999999999</v>
          </cell>
          <cell r="Q231">
            <v>346.61419999999998</v>
          </cell>
          <cell r="R231">
            <v>3.6383000000000001</v>
          </cell>
          <cell r="S231">
            <v>842.53539999999998</v>
          </cell>
          <cell r="T231">
            <v>133.7525</v>
          </cell>
          <cell r="U231">
            <v>41.470100000000002</v>
          </cell>
          <cell r="V231">
            <v>216.94550000000001</v>
          </cell>
          <cell r="W231">
            <v>244.4409</v>
          </cell>
          <cell r="X231">
            <v>59.648800000000001</v>
          </cell>
          <cell r="Y231">
            <v>127.07250000000001</v>
          </cell>
          <cell r="Z231">
            <v>2.3847</v>
          </cell>
          <cell r="AA231">
            <v>1.8234999999999999</v>
          </cell>
          <cell r="AB231">
            <v>304.16399999999999</v>
          </cell>
          <cell r="AC231">
            <v>11.117000000000001</v>
          </cell>
          <cell r="AD231">
            <v>3.85E-2</v>
          </cell>
          <cell r="AE231">
            <v>10.2887</v>
          </cell>
          <cell r="AF231">
            <v>19.361899999999999</v>
          </cell>
          <cell r="AG231">
            <v>1.3124</v>
          </cell>
          <cell r="AH231">
            <v>80.408100000000005</v>
          </cell>
          <cell r="AI231">
            <v>72.883600000000001</v>
          </cell>
          <cell r="AJ231">
            <v>14.1111</v>
          </cell>
          <cell r="AK231">
            <v>52.081800000000001</v>
          </cell>
          <cell r="AL231">
            <v>316.25650000000002</v>
          </cell>
          <cell r="AM231">
            <v>43.736600000000003</v>
          </cell>
          <cell r="AN231">
            <v>478.0849</v>
          </cell>
          <cell r="AO231">
            <v>679.30880000000002</v>
          </cell>
        </row>
        <row r="232">
          <cell r="C232">
            <v>275.83949999999999</v>
          </cell>
          <cell r="D232">
            <v>34.7438</v>
          </cell>
          <cell r="E232">
            <v>762.61749999999995</v>
          </cell>
          <cell r="F232">
            <v>11.453900000000001</v>
          </cell>
          <cell r="G232">
            <v>118.5142</v>
          </cell>
          <cell r="H232">
            <v>3.73E-2</v>
          </cell>
          <cell r="I232">
            <v>14.0304</v>
          </cell>
          <cell r="J232">
            <v>64.239699999999999</v>
          </cell>
          <cell r="K232">
            <v>535.01</v>
          </cell>
          <cell r="L232">
            <v>30.555199999999999</v>
          </cell>
          <cell r="M232">
            <v>5.4413999999999998</v>
          </cell>
          <cell r="N232">
            <v>607.04259999999999</v>
          </cell>
          <cell r="O232">
            <v>28.733499999999999</v>
          </cell>
          <cell r="P232">
            <v>24.690999999999999</v>
          </cell>
          <cell r="Q232">
            <v>346.61419999999998</v>
          </cell>
          <cell r="R232">
            <v>3.6383000000000001</v>
          </cell>
          <cell r="S232">
            <v>842.53539999999998</v>
          </cell>
          <cell r="T232">
            <v>133.7525</v>
          </cell>
          <cell r="U232">
            <v>41.470100000000002</v>
          </cell>
          <cell r="V232">
            <v>216.94550000000001</v>
          </cell>
          <cell r="W232">
            <v>244.4409</v>
          </cell>
          <cell r="X232">
            <v>59.648800000000001</v>
          </cell>
          <cell r="Y232">
            <v>127.07250000000001</v>
          </cell>
          <cell r="Z232">
            <v>2.3847</v>
          </cell>
          <cell r="AA232">
            <v>1.8234999999999999</v>
          </cell>
          <cell r="AB232">
            <v>304.16399999999999</v>
          </cell>
          <cell r="AC232">
            <v>11.117000000000001</v>
          </cell>
          <cell r="AD232">
            <v>3.85E-2</v>
          </cell>
          <cell r="AE232">
            <v>10.2887</v>
          </cell>
          <cell r="AF232">
            <v>19.361899999999999</v>
          </cell>
          <cell r="AG232">
            <v>1.3124</v>
          </cell>
          <cell r="AH232">
            <v>80.408100000000005</v>
          </cell>
          <cell r="AI232">
            <v>72.883600000000001</v>
          </cell>
          <cell r="AJ232">
            <v>14.1111</v>
          </cell>
          <cell r="AK232">
            <v>52.081800000000001</v>
          </cell>
          <cell r="AL232">
            <v>316.25650000000002</v>
          </cell>
          <cell r="AM232">
            <v>43.736600000000003</v>
          </cell>
          <cell r="AN232">
            <v>478.0849</v>
          </cell>
          <cell r="AO232">
            <v>679.30880000000002</v>
          </cell>
        </row>
        <row r="233">
          <cell r="C233">
            <v>275.83949999999999</v>
          </cell>
          <cell r="D233">
            <v>34.7438</v>
          </cell>
          <cell r="E233">
            <v>762.61749999999995</v>
          </cell>
          <cell r="F233">
            <v>11.453900000000001</v>
          </cell>
          <cell r="G233">
            <v>118.5142</v>
          </cell>
          <cell r="H233">
            <v>3.73E-2</v>
          </cell>
          <cell r="I233">
            <v>14.0304</v>
          </cell>
          <cell r="J233">
            <v>64.239699999999999</v>
          </cell>
          <cell r="K233">
            <v>535.01</v>
          </cell>
          <cell r="L233">
            <v>30.555199999999999</v>
          </cell>
          <cell r="M233">
            <v>5.4413999999999998</v>
          </cell>
          <cell r="N233">
            <v>607.04259999999999</v>
          </cell>
          <cell r="O233">
            <v>28.733499999999999</v>
          </cell>
          <cell r="P233">
            <v>24.690999999999999</v>
          </cell>
          <cell r="Q233">
            <v>346.61419999999998</v>
          </cell>
          <cell r="R233">
            <v>3.6383000000000001</v>
          </cell>
          <cell r="S233">
            <v>842.53539999999998</v>
          </cell>
          <cell r="T233">
            <v>133.7525</v>
          </cell>
          <cell r="U233">
            <v>41.470100000000002</v>
          </cell>
          <cell r="V233">
            <v>216.94550000000001</v>
          </cell>
          <cell r="W233">
            <v>244.4409</v>
          </cell>
          <cell r="X233">
            <v>59.648800000000001</v>
          </cell>
          <cell r="Y233">
            <v>127.07250000000001</v>
          </cell>
          <cell r="Z233">
            <v>2.3847</v>
          </cell>
          <cell r="AA233">
            <v>1.8234999999999999</v>
          </cell>
          <cell r="AB233">
            <v>304.16399999999999</v>
          </cell>
          <cell r="AC233">
            <v>11.117000000000001</v>
          </cell>
          <cell r="AD233">
            <v>3.85E-2</v>
          </cell>
          <cell r="AE233">
            <v>10.2887</v>
          </cell>
          <cell r="AF233">
            <v>19.361899999999999</v>
          </cell>
          <cell r="AG233">
            <v>1.3124</v>
          </cell>
          <cell r="AH233">
            <v>80.408100000000005</v>
          </cell>
          <cell r="AI233">
            <v>72.883600000000001</v>
          </cell>
          <cell r="AJ233">
            <v>14.1111</v>
          </cell>
          <cell r="AK233">
            <v>52.081800000000001</v>
          </cell>
          <cell r="AL233">
            <v>316.25650000000002</v>
          </cell>
          <cell r="AM233">
            <v>43.736600000000003</v>
          </cell>
          <cell r="AN233">
            <v>478.0849</v>
          </cell>
          <cell r="AO233">
            <v>679.30880000000002</v>
          </cell>
        </row>
        <row r="234">
          <cell r="C234">
            <v>277.58530000000002</v>
          </cell>
          <cell r="D234">
            <v>34.957599999999999</v>
          </cell>
          <cell r="E234">
            <v>762.08410000000003</v>
          </cell>
          <cell r="F234">
            <v>11.4392</v>
          </cell>
          <cell r="G234">
            <v>119.2436</v>
          </cell>
          <cell r="H234">
            <v>3.7199999999999997E-2</v>
          </cell>
          <cell r="I234">
            <v>14.1167</v>
          </cell>
          <cell r="J234">
            <v>64.634299999999996</v>
          </cell>
          <cell r="K234">
            <v>535.01</v>
          </cell>
          <cell r="L234">
            <v>30.743300000000001</v>
          </cell>
          <cell r="M234">
            <v>5.4550999999999998</v>
          </cell>
          <cell r="N234">
            <v>610.77890000000002</v>
          </cell>
          <cell r="O234">
            <v>28.910299999999999</v>
          </cell>
          <cell r="P234">
            <v>24.843</v>
          </cell>
          <cell r="Q234">
            <v>347.81450000000001</v>
          </cell>
          <cell r="R234">
            <v>3.637</v>
          </cell>
          <cell r="S234">
            <v>849.22220000000004</v>
          </cell>
          <cell r="T234">
            <v>133.7525</v>
          </cell>
          <cell r="U234">
            <v>41.499699999999997</v>
          </cell>
          <cell r="V234">
            <v>218.2808</v>
          </cell>
          <cell r="W234">
            <v>245.94550000000001</v>
          </cell>
          <cell r="X234">
            <v>59.662300000000002</v>
          </cell>
          <cell r="Y234">
            <v>126.5962</v>
          </cell>
          <cell r="Z234">
            <v>2.3994</v>
          </cell>
          <cell r="AA234">
            <v>1.8252999999999999</v>
          </cell>
          <cell r="AB234">
            <v>304.77569999999997</v>
          </cell>
          <cell r="AC234">
            <v>11.2203</v>
          </cell>
          <cell r="AD234">
            <v>3.8300000000000001E-2</v>
          </cell>
          <cell r="AE234">
            <v>10.2887</v>
          </cell>
          <cell r="AF234">
            <v>19.523800000000001</v>
          </cell>
          <cell r="AG234">
            <v>1.3017000000000001</v>
          </cell>
          <cell r="AH234">
            <v>80.903000000000006</v>
          </cell>
          <cell r="AI234">
            <v>73.3322</v>
          </cell>
          <cell r="AJ234">
            <v>14.190899999999999</v>
          </cell>
          <cell r="AK234">
            <v>52.257800000000003</v>
          </cell>
          <cell r="AL234">
            <v>317.74059999999997</v>
          </cell>
          <cell r="AM234">
            <v>43.997799999999998</v>
          </cell>
          <cell r="AN234">
            <v>481.02749999999997</v>
          </cell>
          <cell r="AO234">
            <v>680.91079999999999</v>
          </cell>
        </row>
        <row r="235">
          <cell r="C235">
            <v>276.06270000000001</v>
          </cell>
          <cell r="D235">
            <v>34.868200000000002</v>
          </cell>
          <cell r="E235">
            <v>760.13459999999998</v>
          </cell>
          <cell r="F235">
            <v>11.4392</v>
          </cell>
          <cell r="G235">
            <v>118.93859999999999</v>
          </cell>
          <cell r="H235">
            <v>3.7100000000000001E-2</v>
          </cell>
          <cell r="I235">
            <v>14.0806</v>
          </cell>
          <cell r="J235">
            <v>64.462000000000003</v>
          </cell>
          <cell r="K235">
            <v>535.01</v>
          </cell>
          <cell r="L235">
            <v>30.6646</v>
          </cell>
          <cell r="M235">
            <v>5.3783000000000003</v>
          </cell>
          <cell r="N235">
            <v>609.2165</v>
          </cell>
          <cell r="O235">
            <v>28.836400000000001</v>
          </cell>
          <cell r="P235">
            <v>24.779399999999999</v>
          </cell>
          <cell r="Q235">
            <v>347.62860000000001</v>
          </cell>
          <cell r="R235">
            <v>3.637</v>
          </cell>
          <cell r="S235">
            <v>849.22220000000004</v>
          </cell>
          <cell r="T235">
            <v>133.7525</v>
          </cell>
          <cell r="U235">
            <v>41.473300000000002</v>
          </cell>
          <cell r="V235">
            <v>217.72239999999999</v>
          </cell>
          <cell r="W235">
            <v>245.31630000000001</v>
          </cell>
          <cell r="X235">
            <v>59.469099999999997</v>
          </cell>
          <cell r="Y235">
            <v>125.70659999999999</v>
          </cell>
          <cell r="Z235">
            <v>2.3932000000000002</v>
          </cell>
          <cell r="AA235">
            <v>1.8241000000000001</v>
          </cell>
          <cell r="AB235">
            <v>303.89980000000003</v>
          </cell>
          <cell r="AC235">
            <v>11.1685</v>
          </cell>
          <cell r="AD235">
            <v>3.6700000000000003E-2</v>
          </cell>
          <cell r="AE235">
            <v>10.2887</v>
          </cell>
          <cell r="AF235">
            <v>19.456499999999998</v>
          </cell>
          <cell r="AG235">
            <v>1.3017000000000001</v>
          </cell>
          <cell r="AH235">
            <v>80.696100000000001</v>
          </cell>
          <cell r="AI235">
            <v>73.144599999999997</v>
          </cell>
          <cell r="AJ235">
            <v>14.1617</v>
          </cell>
          <cell r="AK235">
            <v>52.089599999999997</v>
          </cell>
          <cell r="AL235">
            <v>316.59320000000002</v>
          </cell>
          <cell r="AM235">
            <v>43.6021</v>
          </cell>
          <cell r="AN235">
            <v>479.79700000000003</v>
          </cell>
          <cell r="AO235">
            <v>679.13720000000001</v>
          </cell>
        </row>
        <row r="236">
          <cell r="C236">
            <v>281.97480000000002</v>
          </cell>
          <cell r="D236">
            <v>35.432600000000001</v>
          </cell>
          <cell r="E236">
            <v>768.5412</v>
          </cell>
          <cell r="F236">
            <v>11.4381</v>
          </cell>
          <cell r="G236">
            <v>120.86360000000001</v>
          </cell>
          <cell r="H236">
            <v>3.7199999999999997E-2</v>
          </cell>
          <cell r="I236">
            <v>14.3085</v>
          </cell>
          <cell r="J236">
            <v>65.503500000000003</v>
          </cell>
          <cell r="K236">
            <v>534.96</v>
          </cell>
          <cell r="L236">
            <v>31.160900000000002</v>
          </cell>
          <cell r="M236">
            <v>5.4397000000000002</v>
          </cell>
          <cell r="N236">
            <v>619.07669999999996</v>
          </cell>
          <cell r="O236">
            <v>29.303100000000001</v>
          </cell>
          <cell r="P236">
            <v>25.180499999999999</v>
          </cell>
          <cell r="Q236">
            <v>349.38200000000001</v>
          </cell>
          <cell r="R236">
            <v>3.6366999999999998</v>
          </cell>
          <cell r="S236">
            <v>849.14290000000005</v>
          </cell>
          <cell r="T236">
            <v>133.74</v>
          </cell>
          <cell r="U236">
            <v>41.520899999999997</v>
          </cell>
          <cell r="V236">
            <v>221.24619999999999</v>
          </cell>
          <cell r="W236">
            <v>249.2868</v>
          </cell>
          <cell r="X236">
            <v>60.018799999999999</v>
          </cell>
          <cell r="Y236">
            <v>125.55370000000001</v>
          </cell>
          <cell r="Z236">
            <v>2.4319999999999999</v>
          </cell>
          <cell r="AA236">
            <v>1.8232999999999999</v>
          </cell>
          <cell r="AB236">
            <v>306.60449999999997</v>
          </cell>
          <cell r="AC236">
            <v>11.351900000000001</v>
          </cell>
          <cell r="AD236">
            <v>3.5900000000000001E-2</v>
          </cell>
          <cell r="AE236">
            <v>10.287699999999999</v>
          </cell>
          <cell r="AF236">
            <v>19.2712</v>
          </cell>
          <cell r="AG236">
            <v>1.3016000000000001</v>
          </cell>
          <cell r="AH236">
            <v>82.002099999999999</v>
          </cell>
          <cell r="AI236">
            <v>74.328400000000002</v>
          </cell>
          <cell r="AJ236">
            <v>14.382400000000001</v>
          </cell>
          <cell r="AK236">
            <v>52.656500000000001</v>
          </cell>
          <cell r="AL236">
            <v>321.1028</v>
          </cell>
          <cell r="AM236">
            <v>44.477499999999999</v>
          </cell>
          <cell r="AN236">
            <v>487.5625</v>
          </cell>
          <cell r="AO236">
            <v>684.95129999999995</v>
          </cell>
        </row>
        <row r="237">
          <cell r="C237">
            <v>281.72669999999999</v>
          </cell>
          <cell r="D237">
            <v>35.538600000000002</v>
          </cell>
          <cell r="E237">
            <v>772.7894</v>
          </cell>
          <cell r="F237">
            <v>11.434699999999999</v>
          </cell>
          <cell r="G237">
            <v>121.2252</v>
          </cell>
          <cell r="H237">
            <v>3.7100000000000001E-2</v>
          </cell>
          <cell r="I237">
            <v>14.3513</v>
          </cell>
          <cell r="J237">
            <v>65.695999999999998</v>
          </cell>
          <cell r="K237">
            <v>534.79999999999995</v>
          </cell>
          <cell r="L237">
            <v>31.254100000000001</v>
          </cell>
          <cell r="M237">
            <v>5.4554</v>
          </cell>
          <cell r="N237">
            <v>620.92870000000005</v>
          </cell>
          <cell r="O237">
            <v>29.390799999999999</v>
          </cell>
          <cell r="P237">
            <v>25.255800000000001</v>
          </cell>
          <cell r="Q237">
            <v>350.25150000000002</v>
          </cell>
          <cell r="R237">
            <v>3.6356000000000002</v>
          </cell>
          <cell r="S237">
            <v>852.95060000000001</v>
          </cell>
          <cell r="T237">
            <v>133.69999999999999</v>
          </cell>
          <cell r="U237">
            <v>41.506900000000002</v>
          </cell>
          <cell r="V237">
            <v>221.90809999999999</v>
          </cell>
          <cell r="W237">
            <v>250.0325</v>
          </cell>
          <cell r="X237">
            <v>60.346899999999998</v>
          </cell>
          <cell r="Y237">
            <v>125.49939999999999</v>
          </cell>
          <cell r="Z237">
            <v>2.4392</v>
          </cell>
          <cell r="AA237">
            <v>1.8221000000000001</v>
          </cell>
          <cell r="AB237">
            <v>306.6155</v>
          </cell>
          <cell r="AC237">
            <v>11.3383</v>
          </cell>
          <cell r="AD237">
            <v>3.6499999999999998E-2</v>
          </cell>
          <cell r="AE237">
            <v>10.284599999999999</v>
          </cell>
          <cell r="AF237">
            <v>19.233899999999998</v>
          </cell>
          <cell r="AG237">
            <v>1.3011999999999999</v>
          </cell>
          <cell r="AH237">
            <v>82.247399999999999</v>
          </cell>
          <cell r="AI237">
            <v>74.550799999999995</v>
          </cell>
          <cell r="AJ237">
            <v>14.3948</v>
          </cell>
          <cell r="AK237">
            <v>52.820900000000002</v>
          </cell>
          <cell r="AL237">
            <v>321.87270000000001</v>
          </cell>
          <cell r="AM237">
            <v>44.594299999999997</v>
          </cell>
          <cell r="AN237">
            <v>489.02109999999999</v>
          </cell>
          <cell r="AO237">
            <v>687.40710000000001</v>
          </cell>
        </row>
        <row r="238">
          <cell r="C238">
            <v>285.39170000000001</v>
          </cell>
          <cell r="D238">
            <v>35.507300000000001</v>
          </cell>
          <cell r="E238">
            <v>772.23099999999999</v>
          </cell>
          <cell r="F238">
            <v>11.4321</v>
          </cell>
          <cell r="G238">
            <v>121.11839999999999</v>
          </cell>
          <cell r="H238">
            <v>3.6999999999999998E-2</v>
          </cell>
          <cell r="I238">
            <v>14.338699999999999</v>
          </cell>
          <cell r="J238">
            <v>65.623999999999995</v>
          </cell>
          <cell r="K238">
            <v>534.67999999999995</v>
          </cell>
          <cell r="L238">
            <v>31.226600000000001</v>
          </cell>
          <cell r="M238">
            <v>5.4873000000000003</v>
          </cell>
          <cell r="N238">
            <v>620.38210000000004</v>
          </cell>
          <cell r="O238">
            <v>29.364899999999999</v>
          </cell>
          <cell r="P238">
            <v>25.233599999999999</v>
          </cell>
          <cell r="Q238">
            <v>347.6771</v>
          </cell>
          <cell r="R238">
            <v>3.6347999999999998</v>
          </cell>
          <cell r="S238">
            <v>858.23429999999996</v>
          </cell>
          <cell r="T238">
            <v>133.66999999999999</v>
          </cell>
          <cell r="U238">
            <v>41.519199999999998</v>
          </cell>
          <cell r="V238">
            <v>221.71270000000001</v>
          </cell>
          <cell r="W238">
            <v>249.8124</v>
          </cell>
          <cell r="X238">
            <v>60.078800000000001</v>
          </cell>
          <cell r="Y238">
            <v>124.6246</v>
          </cell>
          <cell r="Z238">
            <v>2.4371</v>
          </cell>
          <cell r="AA238">
            <v>1.8210999999999999</v>
          </cell>
          <cell r="AB238">
            <v>304.66460000000001</v>
          </cell>
          <cell r="AC238">
            <v>11.3178</v>
          </cell>
          <cell r="AD238">
            <v>3.78E-2</v>
          </cell>
          <cell r="AE238">
            <v>10.282299999999999</v>
          </cell>
          <cell r="AF238">
            <v>19.105699999999999</v>
          </cell>
          <cell r="AG238">
            <v>1.3008999999999999</v>
          </cell>
          <cell r="AH238">
            <v>82.174999999999997</v>
          </cell>
          <cell r="AI238">
            <v>74.485200000000006</v>
          </cell>
          <cell r="AJ238">
            <v>14.361000000000001</v>
          </cell>
          <cell r="AK238">
            <v>52.339599999999997</v>
          </cell>
          <cell r="AL238">
            <v>321.80110000000002</v>
          </cell>
          <cell r="AM238">
            <v>44.280500000000004</v>
          </cell>
          <cell r="AN238">
            <v>488.59059999999999</v>
          </cell>
          <cell r="AO238">
            <v>686.14689999999996</v>
          </cell>
        </row>
        <row r="239">
          <cell r="C239">
            <v>285.39170000000001</v>
          </cell>
          <cell r="D239">
            <v>35.507300000000001</v>
          </cell>
          <cell r="E239">
            <v>772.23099999999999</v>
          </cell>
          <cell r="F239">
            <v>11.4321</v>
          </cell>
          <cell r="G239">
            <v>121.11839999999999</v>
          </cell>
          <cell r="H239">
            <v>3.6999999999999998E-2</v>
          </cell>
          <cell r="I239">
            <v>14.338699999999999</v>
          </cell>
          <cell r="J239">
            <v>65.623999999999995</v>
          </cell>
          <cell r="K239">
            <v>534.67999999999995</v>
          </cell>
          <cell r="L239">
            <v>31.226600000000001</v>
          </cell>
          <cell r="M239">
            <v>5.4873000000000003</v>
          </cell>
          <cell r="N239">
            <v>620.38210000000004</v>
          </cell>
          <cell r="O239">
            <v>29.364899999999999</v>
          </cell>
          <cell r="P239">
            <v>25.233599999999999</v>
          </cell>
          <cell r="Q239">
            <v>347.6771</v>
          </cell>
          <cell r="R239">
            <v>3.6347999999999998</v>
          </cell>
          <cell r="S239">
            <v>858.23429999999996</v>
          </cell>
          <cell r="T239">
            <v>133.66999999999999</v>
          </cell>
          <cell r="U239">
            <v>41.519199999999998</v>
          </cell>
          <cell r="V239">
            <v>221.71270000000001</v>
          </cell>
          <cell r="W239">
            <v>249.8124</v>
          </cell>
          <cell r="X239">
            <v>60.078800000000001</v>
          </cell>
          <cell r="Y239">
            <v>124.6246</v>
          </cell>
          <cell r="Z239">
            <v>2.4371</v>
          </cell>
          <cell r="AA239">
            <v>1.8210999999999999</v>
          </cell>
          <cell r="AB239">
            <v>304.66460000000001</v>
          </cell>
          <cell r="AC239">
            <v>11.3178</v>
          </cell>
          <cell r="AD239">
            <v>3.78E-2</v>
          </cell>
          <cell r="AE239">
            <v>10.282299999999999</v>
          </cell>
          <cell r="AF239">
            <v>19.105699999999999</v>
          </cell>
          <cell r="AG239">
            <v>1.3008999999999999</v>
          </cell>
          <cell r="AH239">
            <v>82.174999999999997</v>
          </cell>
          <cell r="AI239">
            <v>74.485200000000006</v>
          </cell>
          <cell r="AJ239">
            <v>14.361000000000001</v>
          </cell>
          <cell r="AK239">
            <v>52.339599999999997</v>
          </cell>
          <cell r="AL239">
            <v>321.80110000000002</v>
          </cell>
          <cell r="AM239">
            <v>44.280500000000004</v>
          </cell>
          <cell r="AN239">
            <v>488.59059999999999</v>
          </cell>
          <cell r="AO239">
            <v>686.14689999999996</v>
          </cell>
        </row>
        <row r="240">
          <cell r="C240">
            <v>285.39170000000001</v>
          </cell>
          <cell r="D240">
            <v>35.507300000000001</v>
          </cell>
          <cell r="E240">
            <v>772.23099999999999</v>
          </cell>
          <cell r="F240">
            <v>11.4321</v>
          </cell>
          <cell r="G240">
            <v>121.11839999999999</v>
          </cell>
          <cell r="H240">
            <v>3.6999999999999998E-2</v>
          </cell>
          <cell r="I240">
            <v>14.338699999999999</v>
          </cell>
          <cell r="J240">
            <v>65.623999999999995</v>
          </cell>
          <cell r="K240">
            <v>534.67999999999995</v>
          </cell>
          <cell r="L240">
            <v>31.226600000000001</v>
          </cell>
          <cell r="M240">
            <v>5.4873000000000003</v>
          </cell>
          <cell r="N240">
            <v>620.38210000000004</v>
          </cell>
          <cell r="O240">
            <v>29.364899999999999</v>
          </cell>
          <cell r="P240">
            <v>25.233599999999999</v>
          </cell>
          <cell r="Q240">
            <v>347.6771</v>
          </cell>
          <cell r="R240">
            <v>3.6347999999999998</v>
          </cell>
          <cell r="S240">
            <v>858.23429999999996</v>
          </cell>
          <cell r="T240">
            <v>133.66999999999999</v>
          </cell>
          <cell r="U240">
            <v>41.519199999999998</v>
          </cell>
          <cell r="V240">
            <v>221.71270000000001</v>
          </cell>
          <cell r="W240">
            <v>249.8124</v>
          </cell>
          <cell r="X240">
            <v>60.078800000000001</v>
          </cell>
          <cell r="Y240">
            <v>124.6246</v>
          </cell>
          <cell r="Z240">
            <v>2.4371</v>
          </cell>
          <cell r="AA240">
            <v>1.8210999999999999</v>
          </cell>
          <cell r="AB240">
            <v>304.66460000000001</v>
          </cell>
          <cell r="AC240">
            <v>11.3178</v>
          </cell>
          <cell r="AD240">
            <v>3.78E-2</v>
          </cell>
          <cell r="AE240">
            <v>10.282299999999999</v>
          </cell>
          <cell r="AF240">
            <v>19.105699999999999</v>
          </cell>
          <cell r="AG240">
            <v>1.3008999999999999</v>
          </cell>
          <cell r="AH240">
            <v>82.174999999999997</v>
          </cell>
          <cell r="AI240">
            <v>74.485200000000006</v>
          </cell>
          <cell r="AJ240">
            <v>14.361000000000001</v>
          </cell>
          <cell r="AK240">
            <v>52.339599999999997</v>
          </cell>
          <cell r="AL240">
            <v>321.80110000000002</v>
          </cell>
          <cell r="AM240">
            <v>44.280500000000004</v>
          </cell>
          <cell r="AN240">
            <v>488.59059999999999</v>
          </cell>
          <cell r="AO240">
            <v>686.14689999999996</v>
          </cell>
        </row>
        <row r="241">
          <cell r="C241">
            <v>285.21719999999999</v>
          </cell>
          <cell r="D241">
            <v>35.537399999999998</v>
          </cell>
          <cell r="E241">
            <v>772.51959999999997</v>
          </cell>
          <cell r="F241">
            <v>11.4232</v>
          </cell>
          <cell r="G241">
            <v>121.22110000000001</v>
          </cell>
          <cell r="H241">
            <v>3.6900000000000002E-2</v>
          </cell>
          <cell r="I241">
            <v>14.3508</v>
          </cell>
          <cell r="J241">
            <v>65.674400000000006</v>
          </cell>
          <cell r="K241">
            <v>534.49</v>
          </cell>
          <cell r="L241">
            <v>31.2531</v>
          </cell>
          <cell r="M241">
            <v>5.4790000000000001</v>
          </cell>
          <cell r="N241">
            <v>620.90809999999999</v>
          </cell>
          <cell r="O241">
            <v>29.389800000000001</v>
          </cell>
          <cell r="P241">
            <v>25.254999999999999</v>
          </cell>
          <cell r="Q241">
            <v>345.70870000000002</v>
          </cell>
          <cell r="R241">
            <v>3.6322999999999999</v>
          </cell>
          <cell r="S241">
            <v>856.55449999999996</v>
          </cell>
          <cell r="T241">
            <v>133.6225</v>
          </cell>
          <cell r="U241">
            <v>41.509</v>
          </cell>
          <cell r="V241">
            <v>221.9007</v>
          </cell>
          <cell r="W241">
            <v>250.02420000000001</v>
          </cell>
          <cell r="X241">
            <v>60.270499999999998</v>
          </cell>
          <cell r="Y241">
            <v>124.2769</v>
          </cell>
          <cell r="Z241">
            <v>2.4390999999999998</v>
          </cell>
          <cell r="AA241">
            <v>1.8199000000000001</v>
          </cell>
          <cell r="AB241">
            <v>304.10750000000002</v>
          </cell>
          <cell r="AC241">
            <v>11.3279</v>
          </cell>
          <cell r="AD241">
            <v>3.7600000000000001E-2</v>
          </cell>
          <cell r="AE241">
            <v>10.278700000000001</v>
          </cell>
          <cell r="AF241">
            <v>19.109200000000001</v>
          </cell>
          <cell r="AG241">
            <v>1.2899</v>
          </cell>
          <cell r="AH241">
            <v>82.244699999999995</v>
          </cell>
          <cell r="AI241">
            <v>74.548299999999998</v>
          </cell>
          <cell r="AJ241">
            <v>14.3475</v>
          </cell>
          <cell r="AK241">
            <v>51.892099999999999</v>
          </cell>
          <cell r="AL241">
            <v>321.98910000000001</v>
          </cell>
          <cell r="AM241">
            <v>44.382399999999997</v>
          </cell>
          <cell r="AN241">
            <v>489.00490000000002</v>
          </cell>
          <cell r="AO241">
            <v>685.7482</v>
          </cell>
        </row>
        <row r="242">
          <cell r="C242">
            <v>285.07530000000003</v>
          </cell>
          <cell r="D242">
            <v>35.447200000000002</v>
          </cell>
          <cell r="E242">
            <v>773.73699999999997</v>
          </cell>
          <cell r="F242">
            <v>11.420400000000001</v>
          </cell>
          <cell r="G242">
            <v>120.9135</v>
          </cell>
          <cell r="H242">
            <v>3.6900000000000002E-2</v>
          </cell>
          <cell r="I242">
            <v>14.314399999999999</v>
          </cell>
          <cell r="J242">
            <v>65.499799999999993</v>
          </cell>
          <cell r="K242">
            <v>534.36</v>
          </cell>
          <cell r="L242">
            <v>31.1738</v>
          </cell>
          <cell r="M242">
            <v>5.4377000000000004</v>
          </cell>
          <cell r="N242">
            <v>619.33230000000003</v>
          </cell>
          <cell r="O242">
            <v>29.315200000000001</v>
          </cell>
          <cell r="P242">
            <v>25.190899999999999</v>
          </cell>
          <cell r="Q242">
            <v>345.76010000000002</v>
          </cell>
          <cell r="R242">
            <v>3.6314000000000002</v>
          </cell>
          <cell r="S242">
            <v>859.09969999999998</v>
          </cell>
          <cell r="T242">
            <v>133.59</v>
          </cell>
          <cell r="U242">
            <v>41.511699999999998</v>
          </cell>
          <cell r="V242">
            <v>221.33760000000001</v>
          </cell>
          <cell r="W242">
            <v>249.3897</v>
          </cell>
          <cell r="X242">
            <v>60.058300000000003</v>
          </cell>
          <cell r="Y242">
            <v>125.07729999999999</v>
          </cell>
          <cell r="Z242">
            <v>2.4329999999999998</v>
          </cell>
          <cell r="AA242">
            <v>1.8206</v>
          </cell>
          <cell r="AB242">
            <v>305.36770000000001</v>
          </cell>
          <cell r="AC242">
            <v>11.2979</v>
          </cell>
          <cell r="AD242">
            <v>3.7199999999999997E-2</v>
          </cell>
          <cell r="AE242">
            <v>10.276199999999999</v>
          </cell>
          <cell r="AF242">
            <v>19.035399999999999</v>
          </cell>
          <cell r="AG242">
            <v>1.2896000000000001</v>
          </cell>
          <cell r="AH242">
            <v>82.036000000000001</v>
          </cell>
          <cell r="AI242">
            <v>74.359099999999998</v>
          </cell>
          <cell r="AJ242">
            <v>14.3132</v>
          </cell>
          <cell r="AK242">
            <v>51.719200000000001</v>
          </cell>
          <cell r="AL242">
            <v>321.61660000000001</v>
          </cell>
          <cell r="AM242">
            <v>44.5854</v>
          </cell>
          <cell r="AN242">
            <v>487.7638</v>
          </cell>
          <cell r="AO242">
            <v>685.58140000000003</v>
          </cell>
        </row>
        <row r="243">
          <cell r="C243">
            <v>287.55709999999999</v>
          </cell>
          <cell r="D243">
            <v>35.764099999999999</v>
          </cell>
          <cell r="E243">
            <v>777.94050000000004</v>
          </cell>
          <cell r="F243">
            <v>11.4125</v>
          </cell>
          <cell r="G243">
            <v>121.99460000000001</v>
          </cell>
          <cell r="H243">
            <v>3.6799999999999999E-2</v>
          </cell>
          <cell r="I243">
            <v>14.442399999999999</v>
          </cell>
          <cell r="J243">
            <v>66.070400000000006</v>
          </cell>
          <cell r="K243">
            <v>533.99</v>
          </cell>
          <cell r="L243">
            <v>31.452500000000001</v>
          </cell>
          <cell r="M243">
            <v>5.4493</v>
          </cell>
          <cell r="N243">
            <v>624.87009999999998</v>
          </cell>
          <cell r="O243">
            <v>29.577300000000001</v>
          </cell>
          <cell r="P243">
            <v>25.4161</v>
          </cell>
          <cell r="Q243">
            <v>344.81869999999998</v>
          </cell>
          <cell r="R243">
            <v>3.6288999999999998</v>
          </cell>
          <cell r="S243">
            <v>855.75319999999999</v>
          </cell>
          <cell r="T243">
            <v>133.4975</v>
          </cell>
          <cell r="U243">
            <v>41.486199999999997</v>
          </cell>
          <cell r="V243">
            <v>223.3167</v>
          </cell>
          <cell r="W243">
            <v>251.61959999999999</v>
          </cell>
          <cell r="X243">
            <v>60.677500000000002</v>
          </cell>
          <cell r="Y243">
            <v>124.9588</v>
          </cell>
          <cell r="Z243">
            <v>2.4546999999999999</v>
          </cell>
          <cell r="AA243">
            <v>1.8193999999999999</v>
          </cell>
          <cell r="AB243">
            <v>304.74029999999999</v>
          </cell>
          <cell r="AC243">
            <v>11.374700000000001</v>
          </cell>
          <cell r="AD243">
            <v>3.6600000000000001E-2</v>
          </cell>
          <cell r="AE243">
            <v>10.269</v>
          </cell>
          <cell r="AF243">
            <v>19.188400000000001</v>
          </cell>
          <cell r="AG243">
            <v>1.2887</v>
          </cell>
          <cell r="AH243">
            <v>82.769499999999994</v>
          </cell>
          <cell r="AI243">
            <v>75.024000000000001</v>
          </cell>
          <cell r="AJ243">
            <v>14.3301</v>
          </cell>
          <cell r="AK243">
            <v>51.962899999999998</v>
          </cell>
          <cell r="AL243">
            <v>323.78789999999998</v>
          </cell>
          <cell r="AM243">
            <v>44.580599999999997</v>
          </cell>
          <cell r="AN243">
            <v>492.12520000000001</v>
          </cell>
          <cell r="AO243">
            <v>688.12609999999995</v>
          </cell>
        </row>
        <row r="244">
          <cell r="C244">
            <v>284.22430000000003</v>
          </cell>
          <cell r="D244">
            <v>35.357900000000001</v>
          </cell>
          <cell r="E244">
            <v>771.54340000000002</v>
          </cell>
          <cell r="F244">
            <v>11.4116</v>
          </cell>
          <cell r="G244">
            <v>120.60890000000001</v>
          </cell>
          <cell r="H244">
            <v>3.6700000000000003E-2</v>
          </cell>
          <cell r="I244">
            <v>14.2784</v>
          </cell>
          <cell r="J244">
            <v>65.331299999999999</v>
          </cell>
          <cell r="K244">
            <v>533.95000000000005</v>
          </cell>
          <cell r="L244">
            <v>31.095300000000002</v>
          </cell>
          <cell r="M244">
            <v>5.4156000000000004</v>
          </cell>
          <cell r="N244">
            <v>617.77229999999997</v>
          </cell>
          <cell r="O244">
            <v>29.241399999999999</v>
          </cell>
          <cell r="P244">
            <v>25.127400000000002</v>
          </cell>
          <cell r="Q244">
            <v>345.74700000000001</v>
          </cell>
          <cell r="R244">
            <v>3.6286</v>
          </cell>
          <cell r="S244">
            <v>855.68910000000005</v>
          </cell>
          <cell r="T244">
            <v>133.48750000000001</v>
          </cell>
          <cell r="U244">
            <v>41.4831</v>
          </cell>
          <cell r="V244">
            <v>220.7801</v>
          </cell>
          <cell r="W244">
            <v>248.76150000000001</v>
          </cell>
          <cell r="X244">
            <v>59.977200000000003</v>
          </cell>
          <cell r="Y244">
            <v>126.06829999999999</v>
          </cell>
          <cell r="Z244">
            <v>2.4268000000000001</v>
          </cell>
          <cell r="AA244">
            <v>1.8180000000000001</v>
          </cell>
          <cell r="AB244">
            <v>304.2176</v>
          </cell>
          <cell r="AC244">
            <v>11.248100000000001</v>
          </cell>
          <cell r="AD244">
            <v>3.6299999999999999E-2</v>
          </cell>
          <cell r="AE244">
            <v>10.2683</v>
          </cell>
          <cell r="AF244">
            <v>19.343800000000002</v>
          </cell>
          <cell r="AG244">
            <v>1.2886</v>
          </cell>
          <cell r="AH244">
            <v>81.829400000000007</v>
          </cell>
          <cell r="AI244">
            <v>74.171800000000005</v>
          </cell>
          <cell r="AJ244">
            <v>14.1835</v>
          </cell>
          <cell r="AK244">
            <v>51.627299999999998</v>
          </cell>
          <cell r="AL244">
            <v>320.21539999999999</v>
          </cell>
          <cell r="AM244">
            <v>44.371699999999997</v>
          </cell>
          <cell r="AN244">
            <v>486.53519999999997</v>
          </cell>
          <cell r="AO244">
            <v>684.19949999999994</v>
          </cell>
        </row>
        <row r="245">
          <cell r="C245">
            <v>284.22430000000003</v>
          </cell>
          <cell r="D245">
            <v>35.357900000000001</v>
          </cell>
          <cell r="E245">
            <v>771.54340000000002</v>
          </cell>
          <cell r="F245">
            <v>11.4116</v>
          </cell>
          <cell r="G245">
            <v>120.60890000000001</v>
          </cell>
          <cell r="H245">
            <v>3.6700000000000003E-2</v>
          </cell>
          <cell r="I245">
            <v>14.2784</v>
          </cell>
          <cell r="J245">
            <v>65.331299999999999</v>
          </cell>
          <cell r="K245">
            <v>533.95000000000005</v>
          </cell>
          <cell r="L245">
            <v>31.095300000000002</v>
          </cell>
          <cell r="M245">
            <v>5.4156000000000004</v>
          </cell>
          <cell r="N245">
            <v>617.77229999999997</v>
          </cell>
          <cell r="O245">
            <v>29.241399999999999</v>
          </cell>
          <cell r="P245">
            <v>25.127400000000002</v>
          </cell>
          <cell r="Q245">
            <v>345.74700000000001</v>
          </cell>
          <cell r="R245">
            <v>3.6286</v>
          </cell>
          <cell r="S245">
            <v>855.68910000000005</v>
          </cell>
          <cell r="T245">
            <v>133.48750000000001</v>
          </cell>
          <cell r="U245">
            <v>41.4831</v>
          </cell>
          <cell r="V245">
            <v>220.7801</v>
          </cell>
          <cell r="W245">
            <v>248.76150000000001</v>
          </cell>
          <cell r="X245">
            <v>59.977200000000003</v>
          </cell>
          <cell r="Y245">
            <v>126.06829999999999</v>
          </cell>
          <cell r="Z245">
            <v>2.4268000000000001</v>
          </cell>
          <cell r="AA245">
            <v>1.8180000000000001</v>
          </cell>
          <cell r="AB245">
            <v>304.2176</v>
          </cell>
          <cell r="AC245">
            <v>11.248100000000001</v>
          </cell>
          <cell r="AD245">
            <v>3.6299999999999999E-2</v>
          </cell>
          <cell r="AE245">
            <v>10.2683</v>
          </cell>
          <cell r="AF245">
            <v>19.343800000000002</v>
          </cell>
          <cell r="AG245">
            <v>1.2886</v>
          </cell>
          <cell r="AH245">
            <v>81.829400000000007</v>
          </cell>
          <cell r="AI245">
            <v>74.171800000000005</v>
          </cell>
          <cell r="AJ245">
            <v>14.1835</v>
          </cell>
          <cell r="AK245">
            <v>51.627299999999998</v>
          </cell>
          <cell r="AL245">
            <v>320.21539999999999</v>
          </cell>
          <cell r="AM245">
            <v>44.371699999999997</v>
          </cell>
          <cell r="AN245">
            <v>486.53519999999997</v>
          </cell>
          <cell r="AO245">
            <v>684.19949999999994</v>
          </cell>
        </row>
        <row r="246">
          <cell r="C246">
            <v>284.22430000000003</v>
          </cell>
          <cell r="D246">
            <v>35.357900000000001</v>
          </cell>
          <cell r="E246">
            <v>771.54340000000002</v>
          </cell>
          <cell r="F246">
            <v>11.4116</v>
          </cell>
          <cell r="G246">
            <v>120.60890000000001</v>
          </cell>
          <cell r="H246">
            <v>3.6700000000000003E-2</v>
          </cell>
          <cell r="I246">
            <v>14.2784</v>
          </cell>
          <cell r="J246">
            <v>65.331299999999999</v>
          </cell>
          <cell r="K246">
            <v>533.95000000000005</v>
          </cell>
          <cell r="L246">
            <v>31.095300000000002</v>
          </cell>
          <cell r="M246">
            <v>5.4156000000000004</v>
          </cell>
          <cell r="N246">
            <v>617.77229999999997</v>
          </cell>
          <cell r="O246">
            <v>29.241399999999999</v>
          </cell>
          <cell r="P246">
            <v>25.127400000000002</v>
          </cell>
          <cell r="Q246">
            <v>345.74700000000001</v>
          </cell>
          <cell r="R246">
            <v>3.6286</v>
          </cell>
          <cell r="S246">
            <v>855.68910000000005</v>
          </cell>
          <cell r="T246">
            <v>133.48750000000001</v>
          </cell>
          <cell r="U246">
            <v>41.4831</v>
          </cell>
          <cell r="V246">
            <v>220.7801</v>
          </cell>
          <cell r="W246">
            <v>248.76150000000001</v>
          </cell>
          <cell r="X246">
            <v>59.977200000000003</v>
          </cell>
          <cell r="Y246">
            <v>126.06829999999999</v>
          </cell>
          <cell r="Z246">
            <v>2.4268000000000001</v>
          </cell>
          <cell r="AA246">
            <v>1.8180000000000001</v>
          </cell>
          <cell r="AB246">
            <v>304.2176</v>
          </cell>
          <cell r="AC246">
            <v>11.248100000000001</v>
          </cell>
          <cell r="AD246">
            <v>3.6299999999999999E-2</v>
          </cell>
          <cell r="AE246">
            <v>10.2683</v>
          </cell>
          <cell r="AF246">
            <v>19.343800000000002</v>
          </cell>
          <cell r="AG246">
            <v>1.2886</v>
          </cell>
          <cell r="AH246">
            <v>81.829400000000007</v>
          </cell>
          <cell r="AI246">
            <v>74.171800000000005</v>
          </cell>
          <cell r="AJ246">
            <v>14.1835</v>
          </cell>
          <cell r="AK246">
            <v>51.627299999999998</v>
          </cell>
          <cell r="AL246">
            <v>320.21539999999999</v>
          </cell>
          <cell r="AM246">
            <v>44.371699999999997</v>
          </cell>
          <cell r="AN246">
            <v>486.53519999999997</v>
          </cell>
          <cell r="AO246">
            <v>684.19949999999994</v>
          </cell>
        </row>
        <row r="247">
          <cell r="C247">
            <v>284.22430000000003</v>
          </cell>
          <cell r="D247">
            <v>35.357900000000001</v>
          </cell>
          <cell r="E247">
            <v>771.54340000000002</v>
          </cell>
          <cell r="F247">
            <v>11.4116</v>
          </cell>
          <cell r="G247">
            <v>120.60890000000001</v>
          </cell>
          <cell r="H247">
            <v>3.6700000000000003E-2</v>
          </cell>
          <cell r="I247">
            <v>14.2784</v>
          </cell>
          <cell r="J247">
            <v>65.331299999999999</v>
          </cell>
          <cell r="K247">
            <v>533.95000000000005</v>
          </cell>
          <cell r="L247">
            <v>31.095300000000002</v>
          </cell>
          <cell r="M247">
            <v>5.4156000000000004</v>
          </cell>
          <cell r="N247">
            <v>617.77229999999997</v>
          </cell>
          <cell r="O247">
            <v>29.241399999999999</v>
          </cell>
          <cell r="P247">
            <v>25.127400000000002</v>
          </cell>
          <cell r="Q247">
            <v>345.74700000000001</v>
          </cell>
          <cell r="R247">
            <v>3.6286</v>
          </cell>
          <cell r="S247">
            <v>855.68910000000005</v>
          </cell>
          <cell r="T247">
            <v>133.48750000000001</v>
          </cell>
          <cell r="U247">
            <v>41.4831</v>
          </cell>
          <cell r="V247">
            <v>220.7801</v>
          </cell>
          <cell r="W247">
            <v>248.76150000000001</v>
          </cell>
          <cell r="X247">
            <v>59.977200000000003</v>
          </cell>
          <cell r="Y247">
            <v>126.06829999999999</v>
          </cell>
          <cell r="Z247">
            <v>2.4268000000000001</v>
          </cell>
          <cell r="AA247">
            <v>1.8180000000000001</v>
          </cell>
          <cell r="AB247">
            <v>304.2176</v>
          </cell>
          <cell r="AC247">
            <v>11.248100000000001</v>
          </cell>
          <cell r="AD247">
            <v>3.6299999999999999E-2</v>
          </cell>
          <cell r="AE247">
            <v>10.2683</v>
          </cell>
          <cell r="AF247">
            <v>19.343800000000002</v>
          </cell>
          <cell r="AG247">
            <v>1.2886</v>
          </cell>
          <cell r="AH247">
            <v>81.829400000000007</v>
          </cell>
          <cell r="AI247">
            <v>74.171800000000005</v>
          </cell>
          <cell r="AJ247">
            <v>14.1835</v>
          </cell>
          <cell r="AK247">
            <v>51.627299999999998</v>
          </cell>
          <cell r="AL247">
            <v>320.21539999999999</v>
          </cell>
          <cell r="AM247">
            <v>44.371699999999997</v>
          </cell>
          <cell r="AN247">
            <v>486.53519999999997</v>
          </cell>
          <cell r="AO247">
            <v>684.19949999999994</v>
          </cell>
        </row>
        <row r="248">
          <cell r="C248">
            <v>281.59960000000001</v>
          </cell>
          <cell r="D248">
            <v>35.262599999999999</v>
          </cell>
          <cell r="E248">
            <v>769.34230000000002</v>
          </cell>
          <cell r="F248">
            <v>11.406000000000001</v>
          </cell>
          <cell r="G248">
            <v>120.2839</v>
          </cell>
          <cell r="H248">
            <v>3.6600000000000001E-2</v>
          </cell>
          <cell r="I248">
            <v>14.2399</v>
          </cell>
          <cell r="J248">
            <v>65.180599999999998</v>
          </cell>
          <cell r="K248">
            <v>533.79999999999995</v>
          </cell>
          <cell r="L248">
            <v>31.011500000000002</v>
          </cell>
          <cell r="M248">
            <v>5.3788</v>
          </cell>
          <cell r="N248">
            <v>616.10760000000005</v>
          </cell>
          <cell r="O248">
            <v>29.162600000000001</v>
          </cell>
          <cell r="P248">
            <v>25.059699999999999</v>
          </cell>
          <cell r="Q248">
            <v>346.36610000000002</v>
          </cell>
          <cell r="R248">
            <v>3.6276000000000002</v>
          </cell>
          <cell r="S248">
            <v>858.19939999999997</v>
          </cell>
          <cell r="T248">
            <v>133.44999999999999</v>
          </cell>
          <cell r="U248">
            <v>41.488199999999999</v>
          </cell>
          <cell r="V248">
            <v>220.18510000000001</v>
          </cell>
          <cell r="W248">
            <v>248.09119999999999</v>
          </cell>
          <cell r="X248">
            <v>60.030200000000001</v>
          </cell>
          <cell r="Y248">
            <v>125.5626</v>
          </cell>
          <cell r="Z248">
            <v>2.4203000000000001</v>
          </cell>
          <cell r="AA248">
            <v>1.8187</v>
          </cell>
          <cell r="AB248">
            <v>305.28769999999997</v>
          </cell>
          <cell r="AC248">
            <v>11.2087</v>
          </cell>
          <cell r="AD248">
            <v>3.73E-2</v>
          </cell>
          <cell r="AE248">
            <v>10.2654</v>
          </cell>
          <cell r="AF248">
            <v>19.182600000000001</v>
          </cell>
          <cell r="AG248">
            <v>1.278</v>
          </cell>
          <cell r="AH248">
            <v>81.608900000000006</v>
          </cell>
          <cell r="AI248">
            <v>73.971999999999994</v>
          </cell>
          <cell r="AJ248">
            <v>14.1953</v>
          </cell>
          <cell r="AK248">
            <v>51.713700000000003</v>
          </cell>
          <cell r="AL248">
            <v>319.35250000000002</v>
          </cell>
          <cell r="AM248">
            <v>44.442599999999999</v>
          </cell>
          <cell r="AN248">
            <v>485.2242</v>
          </cell>
          <cell r="AO248">
            <v>684.08619999999996</v>
          </cell>
        </row>
        <row r="249">
          <cell r="C249">
            <v>281.23880000000003</v>
          </cell>
          <cell r="D249">
            <v>35.0764</v>
          </cell>
          <cell r="E249">
            <v>768.44759999999997</v>
          </cell>
          <cell r="F249">
            <v>11.406000000000001</v>
          </cell>
          <cell r="G249">
            <v>119.64879999999999</v>
          </cell>
          <cell r="H249">
            <v>3.6600000000000001E-2</v>
          </cell>
          <cell r="I249">
            <v>14.1647</v>
          </cell>
          <cell r="J249">
            <v>64.846000000000004</v>
          </cell>
          <cell r="K249">
            <v>533.79999999999995</v>
          </cell>
          <cell r="L249">
            <v>30.8477</v>
          </cell>
          <cell r="M249">
            <v>5.3611000000000004</v>
          </cell>
          <cell r="N249">
            <v>612.85429999999997</v>
          </cell>
          <cell r="O249">
            <v>29.008600000000001</v>
          </cell>
          <cell r="P249">
            <v>24.927399999999999</v>
          </cell>
          <cell r="Q249">
            <v>345.79590000000002</v>
          </cell>
          <cell r="R249">
            <v>3.6276000000000002</v>
          </cell>
          <cell r="S249">
            <v>855.44870000000003</v>
          </cell>
          <cell r="T249">
            <v>133.44999999999999</v>
          </cell>
          <cell r="U249">
            <v>41.498199999999997</v>
          </cell>
          <cell r="V249">
            <v>219.0224</v>
          </cell>
          <cell r="W249">
            <v>246.78110000000001</v>
          </cell>
          <cell r="X249">
            <v>59.824199999999998</v>
          </cell>
          <cell r="Y249">
            <v>125.5722</v>
          </cell>
          <cell r="Z249">
            <v>2.4075000000000002</v>
          </cell>
          <cell r="AA249">
            <v>1.8181</v>
          </cell>
          <cell r="AB249">
            <v>304.8263</v>
          </cell>
          <cell r="AC249">
            <v>11.132</v>
          </cell>
          <cell r="AD249">
            <v>3.7900000000000003E-2</v>
          </cell>
          <cell r="AE249">
            <v>10.2654</v>
          </cell>
          <cell r="AF249">
            <v>18.996500000000001</v>
          </cell>
          <cell r="AG249">
            <v>1.278</v>
          </cell>
          <cell r="AH249">
            <v>81.177899999999994</v>
          </cell>
          <cell r="AI249">
            <v>73.581299999999999</v>
          </cell>
          <cell r="AJ249">
            <v>14.117900000000001</v>
          </cell>
          <cell r="AK249">
            <v>51.5334</v>
          </cell>
          <cell r="AL249">
            <v>318.25259999999997</v>
          </cell>
          <cell r="AM249">
            <v>44.3827</v>
          </cell>
          <cell r="AN249">
            <v>482.66199999999998</v>
          </cell>
          <cell r="AO249">
            <v>682.25099999999998</v>
          </cell>
        </row>
        <row r="250">
          <cell r="C250">
            <v>283.09379999999999</v>
          </cell>
          <cell r="D250">
            <v>35.390099999999997</v>
          </cell>
          <cell r="E250">
            <v>776.80330000000004</v>
          </cell>
          <cell r="F250">
            <v>11.4071</v>
          </cell>
          <cell r="G250">
            <v>120.7187</v>
          </cell>
          <cell r="H250">
            <v>3.6499999999999998E-2</v>
          </cell>
          <cell r="I250">
            <v>14.291399999999999</v>
          </cell>
          <cell r="J250">
            <v>65.418000000000006</v>
          </cell>
          <cell r="K250">
            <v>533.85</v>
          </cell>
          <cell r="L250">
            <v>31.1236</v>
          </cell>
          <cell r="M250">
            <v>5.3982999999999999</v>
          </cell>
          <cell r="N250">
            <v>618.33450000000005</v>
          </cell>
          <cell r="O250">
            <v>29.268000000000001</v>
          </cell>
          <cell r="P250">
            <v>25.150300000000001</v>
          </cell>
          <cell r="Q250">
            <v>346.52949999999998</v>
          </cell>
          <cell r="R250">
            <v>3.6278999999999999</v>
          </cell>
          <cell r="S250">
            <v>854.16</v>
          </cell>
          <cell r="T250">
            <v>133.46250000000001</v>
          </cell>
          <cell r="U250">
            <v>41.502099999999999</v>
          </cell>
          <cell r="V250">
            <v>220.98099999999999</v>
          </cell>
          <cell r="W250">
            <v>248.9879</v>
          </cell>
          <cell r="X250">
            <v>60.359200000000001</v>
          </cell>
          <cell r="Y250">
            <v>126.1961</v>
          </cell>
          <cell r="Z250">
            <v>2.4289999999999998</v>
          </cell>
          <cell r="AA250">
            <v>1.8183</v>
          </cell>
          <cell r="AB250">
            <v>305.75619999999998</v>
          </cell>
          <cell r="AC250">
            <v>11.2248</v>
          </cell>
          <cell r="AD250">
            <v>3.8399999999999997E-2</v>
          </cell>
          <cell r="AE250">
            <v>10.266299999999999</v>
          </cell>
          <cell r="AF250">
            <v>19.253499999999999</v>
          </cell>
          <cell r="AG250">
            <v>1.2781</v>
          </cell>
          <cell r="AH250">
            <v>81.903800000000004</v>
          </cell>
          <cell r="AI250">
            <v>74.2393</v>
          </cell>
          <cell r="AJ250">
            <v>14.234999999999999</v>
          </cell>
          <cell r="AK250">
            <v>51.668799999999997</v>
          </cell>
          <cell r="AL250">
            <v>321.05619999999999</v>
          </cell>
          <cell r="AM250">
            <v>44.701500000000003</v>
          </cell>
          <cell r="AN250">
            <v>486.97800000000001</v>
          </cell>
          <cell r="AO250">
            <v>685.76649999999995</v>
          </cell>
        </row>
        <row r="251">
          <cell r="C251">
            <v>283.39420000000001</v>
          </cell>
          <cell r="D251">
            <v>35.297899999999998</v>
          </cell>
          <cell r="E251">
            <v>776.26559999999995</v>
          </cell>
          <cell r="F251">
            <v>11.416</v>
          </cell>
          <cell r="G251">
            <v>120.4042</v>
          </cell>
          <cell r="H251">
            <v>3.6499999999999998E-2</v>
          </cell>
          <cell r="I251">
            <v>14.254099999999999</v>
          </cell>
          <cell r="J251">
            <v>65.252799999999993</v>
          </cell>
          <cell r="K251">
            <v>534.04</v>
          </cell>
          <cell r="L251">
            <v>31.0425</v>
          </cell>
          <cell r="M251">
            <v>5.4028</v>
          </cell>
          <cell r="N251">
            <v>616.72370000000001</v>
          </cell>
          <cell r="O251">
            <v>29.191700000000001</v>
          </cell>
          <cell r="P251">
            <v>25.084800000000001</v>
          </cell>
          <cell r="Q251">
            <v>345.77449999999999</v>
          </cell>
          <cell r="R251">
            <v>3.6292</v>
          </cell>
          <cell r="S251">
            <v>857.20709999999997</v>
          </cell>
          <cell r="T251">
            <v>133.51</v>
          </cell>
          <cell r="U251">
            <v>41.508499999999998</v>
          </cell>
          <cell r="V251">
            <v>220.40530000000001</v>
          </cell>
          <cell r="W251">
            <v>248.33930000000001</v>
          </cell>
          <cell r="X251">
            <v>60.347799999999999</v>
          </cell>
          <cell r="Y251">
            <v>125.9456</v>
          </cell>
          <cell r="Z251">
            <v>2.4226999999999999</v>
          </cell>
          <cell r="AA251">
            <v>1.8183</v>
          </cell>
          <cell r="AB251">
            <v>305.1705</v>
          </cell>
          <cell r="AC251">
            <v>11.197900000000001</v>
          </cell>
          <cell r="AD251">
            <v>3.8800000000000001E-2</v>
          </cell>
          <cell r="AE251">
            <v>10.27</v>
          </cell>
          <cell r="AF251">
            <v>19.243600000000001</v>
          </cell>
          <cell r="AG251">
            <v>1.2786</v>
          </cell>
          <cell r="AH251">
            <v>81.6905</v>
          </cell>
          <cell r="AI251">
            <v>74.045900000000003</v>
          </cell>
          <cell r="AJ251">
            <v>14.1846</v>
          </cell>
          <cell r="AK251">
            <v>51.306100000000001</v>
          </cell>
          <cell r="AL251">
            <v>320.15649999999999</v>
          </cell>
          <cell r="AM251">
            <v>44.5809</v>
          </cell>
          <cell r="AN251">
            <v>485.70940000000002</v>
          </cell>
          <cell r="AO251">
            <v>687.96450000000004</v>
          </cell>
        </row>
        <row r="252">
          <cell r="C252">
            <v>280.09901935483873</v>
          </cell>
          <cell r="D252">
            <v>34.931622580645161</v>
          </cell>
          <cell r="E252">
            <v>767.55594516129008</v>
          </cell>
          <cell r="F252">
            <v>11.437529032258068</v>
          </cell>
          <cell r="G252">
            <v>119.15485806451615</v>
          </cell>
          <cell r="H252">
            <v>3.7087096774193549E-2</v>
          </cell>
          <cell r="I252">
            <v>14.106222580645158</v>
          </cell>
          <cell r="J252">
            <v>64.560448387096784</v>
          </cell>
          <cell r="K252">
            <v>534.6664516129033</v>
          </cell>
          <cell r="L252">
            <v>30.720380645161285</v>
          </cell>
          <cell r="M252">
            <v>5.4305548387096794</v>
          </cell>
          <cell r="N252">
            <v>610.32437741935485</v>
          </cell>
          <cell r="O252">
            <v>28.888832258064525</v>
          </cell>
          <cell r="P252">
            <v>24.824490322580644</v>
          </cell>
          <cell r="Q252">
            <v>347.47600322580632</v>
          </cell>
          <cell r="R252">
            <v>3.6359903225806454</v>
          </cell>
          <cell r="S252">
            <v>850.46795483870972</v>
          </cell>
          <cell r="T252">
            <v>133.66661290322583</v>
          </cell>
          <cell r="U252">
            <v>41.487787096774177</v>
          </cell>
          <cell r="V252">
            <v>218.11831290322579</v>
          </cell>
          <cell r="W252">
            <v>245.76241935483864</v>
          </cell>
          <cell r="X252">
            <v>59.683380645161307</v>
          </cell>
          <cell r="Y252">
            <v>125.9020258064516</v>
          </cell>
          <cell r="Z252">
            <v>2.3975645161290329</v>
          </cell>
          <cell r="AA252">
            <v>1.8218903225806446</v>
          </cell>
          <cell r="AB252">
            <v>303.22973225806459</v>
          </cell>
          <cell r="AC252">
            <v>11.149822580645166</v>
          </cell>
          <cell r="AD252">
            <v>3.8145161290322582E-2</v>
          </cell>
          <cell r="AE252">
            <v>10.282051612903226</v>
          </cell>
          <cell r="AF252">
            <v>19.173180645161292</v>
          </cell>
          <cell r="AG252">
            <v>1.3030645161290322</v>
          </cell>
          <cell r="AH252">
            <v>80.842816129032272</v>
          </cell>
          <cell r="AI252">
            <v>73.277596774193569</v>
          </cell>
          <cell r="AJ252">
            <v>14.121529032258062</v>
          </cell>
          <cell r="AK252">
            <v>51.711783870967764</v>
          </cell>
          <cell r="AL252">
            <v>317.44377741935472</v>
          </cell>
          <cell r="AM252">
            <v>43.925009677419332</v>
          </cell>
          <cell r="AN252">
            <v>480.6695064516129</v>
          </cell>
          <cell r="AO252">
            <v>681.14526129032265</v>
          </cell>
        </row>
        <row r="253">
          <cell r="C253">
            <v>282.5564</v>
          </cell>
          <cell r="D253">
            <v>35.534399999999998</v>
          </cell>
          <cell r="E253">
            <v>777.98559999999998</v>
          </cell>
          <cell r="F253">
            <v>11.413399999999999</v>
          </cell>
          <cell r="G253">
            <v>121.211</v>
          </cell>
          <cell r="H253">
            <v>3.6499999999999998E-2</v>
          </cell>
          <cell r="I253">
            <v>14.349600000000001</v>
          </cell>
          <cell r="J253">
            <v>65.663600000000002</v>
          </cell>
          <cell r="K253">
            <v>533.91999999999996</v>
          </cell>
          <cell r="L253">
            <v>31.250499999999999</v>
          </cell>
          <cell r="M253">
            <v>5.4238999999999997</v>
          </cell>
          <cell r="N253">
            <v>620.85609999999997</v>
          </cell>
          <cell r="O253">
            <v>29.3873</v>
          </cell>
          <cell r="P253">
            <v>25.2529</v>
          </cell>
          <cell r="Q253">
            <v>345.72859999999997</v>
          </cell>
          <cell r="R253">
            <v>3.6284000000000001</v>
          </cell>
          <cell r="S253">
            <v>857.01440000000002</v>
          </cell>
          <cell r="T253">
            <v>133.47999999999999</v>
          </cell>
          <cell r="U253">
            <v>41.503399999999999</v>
          </cell>
          <cell r="V253">
            <v>221.88220000000001</v>
          </cell>
          <cell r="W253">
            <v>250.0033</v>
          </cell>
          <cell r="X253">
            <v>60.609099999999998</v>
          </cell>
          <cell r="Y253">
            <v>126.3081</v>
          </cell>
          <cell r="Z253">
            <v>2.4388999999999998</v>
          </cell>
          <cell r="AA253">
            <v>1.8153999999999999</v>
          </cell>
          <cell r="AB253">
            <v>306.77199999999999</v>
          </cell>
          <cell r="AC253">
            <v>11.264099999999999</v>
          </cell>
          <cell r="AD253">
            <v>3.9E-2</v>
          </cell>
          <cell r="AE253">
            <v>10.2677</v>
          </cell>
          <cell r="AF253">
            <v>19.269500000000001</v>
          </cell>
          <cell r="AG253">
            <v>1.2783</v>
          </cell>
          <cell r="AH253">
            <v>82.237799999999993</v>
          </cell>
          <cell r="AI253">
            <v>74.542100000000005</v>
          </cell>
          <cell r="AJ253">
            <v>14.2464</v>
          </cell>
          <cell r="AK253">
            <v>51.2836</v>
          </cell>
          <cell r="AL253">
            <v>322.42919999999998</v>
          </cell>
          <cell r="AM253">
            <v>45.003599999999999</v>
          </cell>
          <cell r="AN253">
            <v>488.96390000000002</v>
          </cell>
          <cell r="AO253">
            <v>687.80989999999997</v>
          </cell>
        </row>
        <row r="254">
          <cell r="C254">
            <v>282.5564</v>
          </cell>
          <cell r="D254">
            <v>35.534399999999998</v>
          </cell>
          <cell r="E254">
            <v>777.98559999999998</v>
          </cell>
          <cell r="F254">
            <v>11.413399999999999</v>
          </cell>
          <cell r="G254">
            <v>121.211</v>
          </cell>
          <cell r="H254">
            <v>3.6499999999999998E-2</v>
          </cell>
          <cell r="I254">
            <v>14.349600000000001</v>
          </cell>
          <cell r="J254">
            <v>65.663600000000002</v>
          </cell>
          <cell r="K254">
            <v>533.91999999999996</v>
          </cell>
          <cell r="L254">
            <v>31.250499999999999</v>
          </cell>
          <cell r="M254">
            <v>5.4238999999999997</v>
          </cell>
          <cell r="N254">
            <v>620.85609999999997</v>
          </cell>
          <cell r="O254">
            <v>29.3873</v>
          </cell>
          <cell r="P254">
            <v>25.2529</v>
          </cell>
          <cell r="Q254">
            <v>345.72859999999997</v>
          </cell>
          <cell r="R254">
            <v>3.6284000000000001</v>
          </cell>
          <cell r="S254">
            <v>857.01440000000002</v>
          </cell>
          <cell r="T254">
            <v>133.47999999999999</v>
          </cell>
          <cell r="U254">
            <v>41.503399999999999</v>
          </cell>
          <cell r="V254">
            <v>221.88220000000001</v>
          </cell>
          <cell r="W254">
            <v>250.0033</v>
          </cell>
          <cell r="X254">
            <v>60.609099999999998</v>
          </cell>
          <cell r="Y254">
            <v>126.3081</v>
          </cell>
          <cell r="Z254">
            <v>2.4388999999999998</v>
          </cell>
          <cell r="AA254">
            <v>1.8153999999999999</v>
          </cell>
          <cell r="AB254">
            <v>306.77199999999999</v>
          </cell>
          <cell r="AC254">
            <v>11.264099999999999</v>
          </cell>
          <cell r="AD254">
            <v>3.9E-2</v>
          </cell>
          <cell r="AE254">
            <v>10.2677</v>
          </cell>
          <cell r="AF254">
            <v>19.269500000000001</v>
          </cell>
          <cell r="AG254">
            <v>1.2783</v>
          </cell>
          <cell r="AH254">
            <v>82.237799999999993</v>
          </cell>
          <cell r="AI254">
            <v>74.542100000000005</v>
          </cell>
          <cell r="AJ254">
            <v>14.2464</v>
          </cell>
          <cell r="AK254">
            <v>51.2836</v>
          </cell>
          <cell r="AL254">
            <v>322.42919999999998</v>
          </cell>
          <cell r="AM254">
            <v>45.003599999999999</v>
          </cell>
          <cell r="AN254">
            <v>488.96390000000002</v>
          </cell>
          <cell r="AO254">
            <v>687.80989999999997</v>
          </cell>
        </row>
        <row r="255">
          <cell r="C255">
            <v>282.5564</v>
          </cell>
          <cell r="D255">
            <v>35.534399999999998</v>
          </cell>
          <cell r="E255">
            <v>777.98559999999998</v>
          </cell>
          <cell r="F255">
            <v>11.413399999999999</v>
          </cell>
          <cell r="G255">
            <v>121.211</v>
          </cell>
          <cell r="H255">
            <v>3.6499999999999998E-2</v>
          </cell>
          <cell r="I255">
            <v>14.349600000000001</v>
          </cell>
          <cell r="J255">
            <v>65.663600000000002</v>
          </cell>
          <cell r="K255">
            <v>533.91999999999996</v>
          </cell>
          <cell r="L255">
            <v>31.250499999999999</v>
          </cell>
          <cell r="M255">
            <v>5.4238999999999997</v>
          </cell>
          <cell r="N255">
            <v>620.85609999999997</v>
          </cell>
          <cell r="O255">
            <v>29.3873</v>
          </cell>
          <cell r="P255">
            <v>25.2529</v>
          </cell>
          <cell r="Q255">
            <v>345.72859999999997</v>
          </cell>
          <cell r="R255">
            <v>3.6284000000000001</v>
          </cell>
          <cell r="S255">
            <v>857.01440000000002</v>
          </cell>
          <cell r="T255">
            <v>133.47999999999999</v>
          </cell>
          <cell r="U255">
            <v>41.503399999999999</v>
          </cell>
          <cell r="V255">
            <v>221.88220000000001</v>
          </cell>
          <cell r="W255">
            <v>250.0033</v>
          </cell>
          <cell r="X255">
            <v>60.609099999999998</v>
          </cell>
          <cell r="Y255">
            <v>126.3081</v>
          </cell>
          <cell r="Z255">
            <v>2.4388999999999998</v>
          </cell>
          <cell r="AA255">
            <v>1.8153999999999999</v>
          </cell>
          <cell r="AB255">
            <v>306.77199999999999</v>
          </cell>
          <cell r="AC255">
            <v>11.264099999999999</v>
          </cell>
          <cell r="AD255">
            <v>3.9E-2</v>
          </cell>
          <cell r="AE255">
            <v>10.2677</v>
          </cell>
          <cell r="AF255">
            <v>19.269500000000001</v>
          </cell>
          <cell r="AG255">
            <v>1.2783</v>
          </cell>
          <cell r="AH255">
            <v>82.237799999999993</v>
          </cell>
          <cell r="AI255">
            <v>74.542100000000005</v>
          </cell>
          <cell r="AJ255">
            <v>14.2464</v>
          </cell>
          <cell r="AK255">
            <v>51.2836</v>
          </cell>
          <cell r="AL255">
            <v>322.42919999999998</v>
          </cell>
          <cell r="AM255">
            <v>45.003599999999999</v>
          </cell>
          <cell r="AN255">
            <v>488.96390000000002</v>
          </cell>
          <cell r="AO255">
            <v>687.80989999999997</v>
          </cell>
        </row>
        <row r="256">
          <cell r="C256">
            <v>281.20299999999997</v>
          </cell>
          <cell r="D256">
            <v>35.200699999999998</v>
          </cell>
          <cell r="E256">
            <v>776.86</v>
          </cell>
          <cell r="F256">
            <v>11.413399999999999</v>
          </cell>
          <cell r="G256">
            <v>120.0727</v>
          </cell>
          <cell r="H256">
            <v>3.6400000000000002E-2</v>
          </cell>
          <cell r="I256">
            <v>14.2149</v>
          </cell>
          <cell r="J256">
            <v>65.065299999999993</v>
          </cell>
          <cell r="K256">
            <v>533.91999999999996</v>
          </cell>
          <cell r="L256">
            <v>30.957000000000001</v>
          </cell>
          <cell r="M256">
            <v>5.4047000000000001</v>
          </cell>
          <cell r="N256">
            <v>615.02589999999998</v>
          </cell>
          <cell r="O256">
            <v>29.1114</v>
          </cell>
          <cell r="P256">
            <v>25.015699999999999</v>
          </cell>
          <cell r="Q256">
            <v>344.13659999999999</v>
          </cell>
          <cell r="R256">
            <v>3.6259000000000001</v>
          </cell>
          <cell r="S256">
            <v>861.16129999999998</v>
          </cell>
          <cell r="T256">
            <v>133.47999999999999</v>
          </cell>
          <cell r="U256">
            <v>41.503399999999999</v>
          </cell>
          <cell r="V256">
            <v>219.79849999999999</v>
          </cell>
          <cell r="W256">
            <v>247.65559999999999</v>
          </cell>
          <cell r="X256">
            <v>60.316600000000001</v>
          </cell>
          <cell r="Y256">
            <v>126.18129999999999</v>
          </cell>
          <cell r="Z256">
            <v>2.4159999999999999</v>
          </cell>
          <cell r="AA256">
            <v>1.8153999999999999</v>
          </cell>
          <cell r="AB256">
            <v>306.91430000000003</v>
          </cell>
          <cell r="AC256">
            <v>11.1671</v>
          </cell>
          <cell r="AD256">
            <v>3.8199999999999998E-2</v>
          </cell>
          <cell r="AE256">
            <v>10.2677</v>
          </cell>
          <cell r="AF256">
            <v>19.244</v>
          </cell>
          <cell r="AG256">
            <v>1.2703</v>
          </cell>
          <cell r="AH256">
            <v>81.465599999999995</v>
          </cell>
          <cell r="AI256">
            <v>73.842100000000002</v>
          </cell>
          <cell r="AJ256">
            <v>14.155900000000001</v>
          </cell>
          <cell r="AK256">
            <v>50.933500000000002</v>
          </cell>
          <cell r="AL256">
            <v>319.59109999999998</v>
          </cell>
          <cell r="AM256">
            <v>44.8825</v>
          </cell>
          <cell r="AN256">
            <v>484.37220000000002</v>
          </cell>
          <cell r="AO256">
            <v>687.80989999999997</v>
          </cell>
        </row>
        <row r="257">
          <cell r="C257">
            <v>279.01560000000001</v>
          </cell>
          <cell r="D257">
            <v>34.815399999999997</v>
          </cell>
          <cell r="E257">
            <v>773.06719999999996</v>
          </cell>
          <cell r="F257">
            <v>11.4168</v>
          </cell>
          <cell r="G257">
            <v>118.75830000000001</v>
          </cell>
          <cell r="H257">
            <v>3.6299999999999999E-2</v>
          </cell>
          <cell r="I257">
            <v>14.0593</v>
          </cell>
          <cell r="J257">
            <v>64.356499999999997</v>
          </cell>
          <cell r="K257">
            <v>534.08000000000004</v>
          </cell>
          <cell r="L257">
            <v>30.618099999999998</v>
          </cell>
          <cell r="M257">
            <v>5.3658999999999999</v>
          </cell>
          <cell r="N257">
            <v>608.29309999999998</v>
          </cell>
          <cell r="O257">
            <v>28.7927</v>
          </cell>
          <cell r="P257">
            <v>24.741900000000001</v>
          </cell>
          <cell r="Q257">
            <v>344.67930000000001</v>
          </cell>
          <cell r="R257">
            <v>3.6269999999999998</v>
          </cell>
          <cell r="S257">
            <v>857.2713</v>
          </cell>
          <cell r="T257">
            <v>133.52000000000001</v>
          </cell>
          <cell r="U257">
            <v>41.521599999999999</v>
          </cell>
          <cell r="V257">
            <v>217.39240000000001</v>
          </cell>
          <cell r="W257">
            <v>244.94450000000001</v>
          </cell>
          <cell r="X257">
            <v>60.161999999999999</v>
          </cell>
          <cell r="Y257">
            <v>125.46680000000001</v>
          </cell>
          <cell r="Z257">
            <v>2.3896000000000002</v>
          </cell>
          <cell r="AA257">
            <v>1.8134999999999999</v>
          </cell>
          <cell r="AB257">
            <v>305.97800000000001</v>
          </cell>
          <cell r="AC257">
            <v>11.0535</v>
          </cell>
          <cell r="AD257">
            <v>3.7400000000000003E-2</v>
          </cell>
          <cell r="AE257">
            <v>10.270799999999999</v>
          </cell>
          <cell r="AF257">
            <v>18.9986</v>
          </cell>
          <cell r="AG257">
            <v>1.2706999999999999</v>
          </cell>
          <cell r="AH257">
            <v>80.573700000000002</v>
          </cell>
          <cell r="AI257">
            <v>73.033699999999996</v>
          </cell>
          <cell r="AJ257">
            <v>14.03</v>
          </cell>
          <cell r="AK257">
            <v>50.1554</v>
          </cell>
          <cell r="AL257">
            <v>316.1968</v>
          </cell>
          <cell r="AM257">
            <v>44.731099999999998</v>
          </cell>
          <cell r="AN257">
            <v>479.06979999999999</v>
          </cell>
          <cell r="AO257">
            <v>682.45360000000005</v>
          </cell>
        </row>
        <row r="258">
          <cell r="C258">
            <v>277.95830000000001</v>
          </cell>
          <cell r="D258">
            <v>34.501600000000003</v>
          </cell>
          <cell r="E258">
            <v>772.20680000000004</v>
          </cell>
          <cell r="F258">
            <v>11.4145</v>
          </cell>
          <cell r="G258">
            <v>117.68810000000001</v>
          </cell>
          <cell r="H258">
            <v>3.6299999999999999E-2</v>
          </cell>
          <cell r="I258">
            <v>13.932600000000001</v>
          </cell>
          <cell r="J258">
            <v>63.784300000000002</v>
          </cell>
          <cell r="K258">
            <v>533.97</v>
          </cell>
          <cell r="L258">
            <v>30.342199999999998</v>
          </cell>
          <cell r="M258">
            <v>5.3535000000000004</v>
          </cell>
          <cell r="N258">
            <v>602.8116</v>
          </cell>
          <cell r="O258">
            <v>28.533200000000001</v>
          </cell>
          <cell r="P258">
            <v>24.518899999999999</v>
          </cell>
          <cell r="Q258">
            <v>342.18880000000001</v>
          </cell>
          <cell r="R258">
            <v>3.6263000000000001</v>
          </cell>
          <cell r="S258">
            <v>854.35199999999998</v>
          </cell>
          <cell r="T258">
            <v>133.49250000000001</v>
          </cell>
          <cell r="U258">
            <v>41.505000000000003</v>
          </cell>
          <cell r="V258">
            <v>215.43340000000001</v>
          </cell>
          <cell r="W258">
            <v>242.7372</v>
          </cell>
          <cell r="X258">
            <v>59.864199999999997</v>
          </cell>
          <cell r="Y258">
            <v>126.06619999999999</v>
          </cell>
          <cell r="Z258">
            <v>2.3681000000000001</v>
          </cell>
          <cell r="AA258">
            <v>1.8130999999999999</v>
          </cell>
          <cell r="AB258">
            <v>305.54300000000001</v>
          </cell>
          <cell r="AC258">
            <v>10.9726</v>
          </cell>
          <cell r="AD258">
            <v>3.7600000000000001E-2</v>
          </cell>
          <cell r="AE258">
            <v>10.268700000000001</v>
          </cell>
          <cell r="AF258">
            <v>18.864100000000001</v>
          </cell>
          <cell r="AG258">
            <v>1.2704</v>
          </cell>
          <cell r="AH258">
            <v>79.847700000000003</v>
          </cell>
          <cell r="AI258">
            <v>72.375600000000006</v>
          </cell>
          <cell r="AJ258">
            <v>13.899900000000001</v>
          </cell>
          <cell r="AK258">
            <v>49.887300000000003</v>
          </cell>
          <cell r="AL258">
            <v>314.38499999999999</v>
          </cell>
          <cell r="AM258">
            <v>44.398499999999999</v>
          </cell>
          <cell r="AN258">
            <v>474.7527</v>
          </cell>
          <cell r="AO258">
            <v>679.78440000000001</v>
          </cell>
        </row>
        <row r="259">
          <cell r="C259">
            <v>278.08199999999999</v>
          </cell>
          <cell r="D259">
            <v>34.359400000000001</v>
          </cell>
          <cell r="E259">
            <v>773.93190000000004</v>
          </cell>
          <cell r="F259">
            <v>11.413600000000001</v>
          </cell>
          <cell r="G259">
            <v>117.2028</v>
          </cell>
          <cell r="H259">
            <v>3.6299999999999999E-2</v>
          </cell>
          <cell r="I259">
            <v>13.8751</v>
          </cell>
          <cell r="J259">
            <v>63.527200000000001</v>
          </cell>
          <cell r="K259">
            <v>533.92999999999995</v>
          </cell>
          <cell r="L259">
            <v>30.217099999999999</v>
          </cell>
          <cell r="M259">
            <v>5.3243</v>
          </cell>
          <cell r="N259">
            <v>600.32579999999996</v>
          </cell>
          <cell r="O259">
            <v>28.415600000000001</v>
          </cell>
          <cell r="P259">
            <v>24.4178</v>
          </cell>
          <cell r="Q259">
            <v>343.00279999999998</v>
          </cell>
          <cell r="R259">
            <v>3.6259999999999999</v>
          </cell>
          <cell r="S259">
            <v>848.85530000000006</v>
          </cell>
          <cell r="T259">
            <v>133.48249999999999</v>
          </cell>
          <cell r="U259">
            <v>41.502800000000001</v>
          </cell>
          <cell r="V259">
            <v>214.54499999999999</v>
          </cell>
          <cell r="W259">
            <v>241.7363</v>
          </cell>
          <cell r="X259">
            <v>59.4786</v>
          </cell>
          <cell r="Y259">
            <v>125.6865</v>
          </cell>
          <cell r="Z259">
            <v>2.3582999999999998</v>
          </cell>
          <cell r="AA259">
            <v>1.8129999999999999</v>
          </cell>
          <cell r="AB259">
            <v>304.69490000000002</v>
          </cell>
          <cell r="AC259">
            <v>10.936</v>
          </cell>
          <cell r="AD259">
            <v>3.8100000000000002E-2</v>
          </cell>
          <cell r="AE259">
            <v>10.267899999999999</v>
          </cell>
          <cell r="AF259">
            <v>18.757999999999999</v>
          </cell>
          <cell r="AG259">
            <v>1.2704</v>
          </cell>
          <cell r="AH259">
            <v>79.5184</v>
          </cell>
          <cell r="AI259">
            <v>72.077100000000002</v>
          </cell>
          <cell r="AJ259">
            <v>13.860099999999999</v>
          </cell>
          <cell r="AK259">
            <v>50.020600000000002</v>
          </cell>
          <cell r="AL259">
            <v>312.79860000000002</v>
          </cell>
          <cell r="AM259">
            <v>44.0383</v>
          </cell>
          <cell r="AN259">
            <v>472.79500000000002</v>
          </cell>
          <cell r="AO259">
            <v>678.60350000000005</v>
          </cell>
        </row>
        <row r="260">
          <cell r="C260">
            <v>277.39670000000001</v>
          </cell>
          <cell r="D260">
            <v>34.738300000000002</v>
          </cell>
          <cell r="E260">
            <v>775.86419999999998</v>
          </cell>
          <cell r="F260">
            <v>11.4145</v>
          </cell>
          <cell r="G260">
            <v>118.4956</v>
          </cell>
          <cell r="H260">
            <v>3.6299999999999999E-2</v>
          </cell>
          <cell r="I260">
            <v>14.0282</v>
          </cell>
          <cell r="J260">
            <v>64.226200000000006</v>
          </cell>
          <cell r="K260">
            <v>533.97</v>
          </cell>
          <cell r="L260">
            <v>30.5504</v>
          </cell>
          <cell r="M260">
            <v>5.3559000000000001</v>
          </cell>
          <cell r="N260">
            <v>606.94740000000002</v>
          </cell>
          <cell r="O260">
            <v>28.728999999999999</v>
          </cell>
          <cell r="P260">
            <v>24.687200000000001</v>
          </cell>
          <cell r="Q260">
            <v>342.85610000000003</v>
          </cell>
          <cell r="R260">
            <v>3.6263000000000001</v>
          </cell>
          <cell r="S260">
            <v>848.91890000000001</v>
          </cell>
          <cell r="T260">
            <v>133.49250000000001</v>
          </cell>
          <cell r="U260">
            <v>41.506</v>
          </cell>
          <cell r="V260">
            <v>216.91149999999999</v>
          </cell>
          <cell r="W260">
            <v>244.40260000000001</v>
          </cell>
          <cell r="X260">
            <v>59.919800000000002</v>
          </cell>
          <cell r="Y260">
            <v>126.2406</v>
          </cell>
          <cell r="Z260">
            <v>2.3843000000000001</v>
          </cell>
          <cell r="AA260">
            <v>1.8144</v>
          </cell>
          <cell r="AB260">
            <v>304.5231</v>
          </cell>
          <cell r="AC260">
            <v>11.059900000000001</v>
          </cell>
          <cell r="AD260">
            <v>3.8100000000000002E-2</v>
          </cell>
          <cell r="AE260">
            <v>10.268700000000001</v>
          </cell>
          <cell r="AF260">
            <v>18.8855</v>
          </cell>
          <cell r="AG260">
            <v>1.2704</v>
          </cell>
          <cell r="AH260">
            <v>80.395499999999998</v>
          </cell>
          <cell r="AI260">
            <v>72.872100000000003</v>
          </cell>
          <cell r="AJ260">
            <v>13.9953</v>
          </cell>
          <cell r="AK260">
            <v>50.343299999999999</v>
          </cell>
          <cell r="AL260">
            <v>316.18599999999998</v>
          </cell>
          <cell r="AM260">
            <v>44.129399999999997</v>
          </cell>
          <cell r="AN260">
            <v>478.00990000000002</v>
          </cell>
          <cell r="AO260">
            <v>680.70219999999995</v>
          </cell>
        </row>
        <row r="261">
          <cell r="C261">
            <v>277.39670000000001</v>
          </cell>
          <cell r="D261">
            <v>34.738300000000002</v>
          </cell>
          <cell r="E261">
            <v>775.86419999999998</v>
          </cell>
          <cell r="F261">
            <v>11.4145</v>
          </cell>
          <cell r="G261">
            <v>118.4956</v>
          </cell>
          <cell r="H261">
            <v>3.6299999999999999E-2</v>
          </cell>
          <cell r="I261">
            <v>14.0282</v>
          </cell>
          <cell r="J261">
            <v>64.226200000000006</v>
          </cell>
          <cell r="K261">
            <v>533.97</v>
          </cell>
          <cell r="L261">
            <v>30.5504</v>
          </cell>
          <cell r="M261">
            <v>5.3559000000000001</v>
          </cell>
          <cell r="N261">
            <v>606.94740000000002</v>
          </cell>
          <cell r="O261">
            <v>28.728999999999999</v>
          </cell>
          <cell r="P261">
            <v>24.687200000000001</v>
          </cell>
          <cell r="Q261">
            <v>342.85610000000003</v>
          </cell>
          <cell r="R261">
            <v>3.6263000000000001</v>
          </cell>
          <cell r="S261">
            <v>848.91890000000001</v>
          </cell>
          <cell r="T261">
            <v>133.49250000000001</v>
          </cell>
          <cell r="U261">
            <v>41.506</v>
          </cell>
          <cell r="V261">
            <v>216.91149999999999</v>
          </cell>
          <cell r="W261">
            <v>244.40260000000001</v>
          </cell>
          <cell r="X261">
            <v>59.919800000000002</v>
          </cell>
          <cell r="Y261">
            <v>126.2406</v>
          </cell>
          <cell r="Z261">
            <v>2.3843000000000001</v>
          </cell>
          <cell r="AA261">
            <v>1.8144</v>
          </cell>
          <cell r="AB261">
            <v>304.5231</v>
          </cell>
          <cell r="AC261">
            <v>11.059900000000001</v>
          </cell>
          <cell r="AD261">
            <v>3.8100000000000002E-2</v>
          </cell>
          <cell r="AE261">
            <v>10.268700000000001</v>
          </cell>
          <cell r="AF261">
            <v>18.8855</v>
          </cell>
          <cell r="AG261">
            <v>1.2704</v>
          </cell>
          <cell r="AH261">
            <v>80.395499999999998</v>
          </cell>
          <cell r="AI261">
            <v>72.872100000000003</v>
          </cell>
          <cell r="AJ261">
            <v>13.9953</v>
          </cell>
          <cell r="AK261">
            <v>50.343299999999999</v>
          </cell>
          <cell r="AL261">
            <v>316.18599999999998</v>
          </cell>
          <cell r="AM261">
            <v>44.129399999999997</v>
          </cell>
          <cell r="AN261">
            <v>478.00990000000002</v>
          </cell>
          <cell r="AO261">
            <v>680.70219999999995</v>
          </cell>
        </row>
        <row r="262">
          <cell r="C262">
            <v>277.39670000000001</v>
          </cell>
          <cell r="D262">
            <v>34.738300000000002</v>
          </cell>
          <cell r="E262">
            <v>775.86419999999998</v>
          </cell>
          <cell r="F262">
            <v>11.4145</v>
          </cell>
          <cell r="G262">
            <v>118.4956</v>
          </cell>
          <cell r="H262">
            <v>3.6299999999999999E-2</v>
          </cell>
          <cell r="I262">
            <v>14.0282</v>
          </cell>
          <cell r="J262">
            <v>64.226200000000006</v>
          </cell>
          <cell r="K262">
            <v>533.97</v>
          </cell>
          <cell r="L262">
            <v>30.5504</v>
          </cell>
          <cell r="M262">
            <v>5.3559000000000001</v>
          </cell>
          <cell r="N262">
            <v>606.94740000000002</v>
          </cell>
          <cell r="O262">
            <v>28.728999999999999</v>
          </cell>
          <cell r="P262">
            <v>24.687200000000001</v>
          </cell>
          <cell r="Q262">
            <v>342.85610000000003</v>
          </cell>
          <cell r="R262">
            <v>3.6263000000000001</v>
          </cell>
          <cell r="S262">
            <v>848.91890000000001</v>
          </cell>
          <cell r="T262">
            <v>133.49250000000001</v>
          </cell>
          <cell r="U262">
            <v>41.506</v>
          </cell>
          <cell r="V262">
            <v>216.91149999999999</v>
          </cell>
          <cell r="W262">
            <v>244.40260000000001</v>
          </cell>
          <cell r="X262">
            <v>59.919800000000002</v>
          </cell>
          <cell r="Y262">
            <v>126.2406</v>
          </cell>
          <cell r="Z262">
            <v>2.3843000000000001</v>
          </cell>
          <cell r="AA262">
            <v>1.8144</v>
          </cell>
          <cell r="AB262">
            <v>304.5231</v>
          </cell>
          <cell r="AC262">
            <v>11.059900000000001</v>
          </cell>
          <cell r="AD262">
            <v>3.8100000000000002E-2</v>
          </cell>
          <cell r="AE262">
            <v>10.268700000000001</v>
          </cell>
          <cell r="AF262">
            <v>18.8855</v>
          </cell>
          <cell r="AG262">
            <v>1.2704</v>
          </cell>
          <cell r="AH262">
            <v>80.395499999999998</v>
          </cell>
          <cell r="AI262">
            <v>72.872100000000003</v>
          </cell>
          <cell r="AJ262">
            <v>13.9953</v>
          </cell>
          <cell r="AK262">
            <v>50.343299999999999</v>
          </cell>
          <cell r="AL262">
            <v>316.18599999999998</v>
          </cell>
          <cell r="AM262">
            <v>44.129399999999997</v>
          </cell>
          <cell r="AN262">
            <v>478.00990000000002</v>
          </cell>
          <cell r="AO262">
            <v>680.70219999999995</v>
          </cell>
        </row>
        <row r="263">
          <cell r="C263">
            <v>274.0419</v>
          </cell>
          <cell r="D263">
            <v>35.1188</v>
          </cell>
          <cell r="E263">
            <v>782.96420000000001</v>
          </cell>
          <cell r="F263">
            <v>11.4183</v>
          </cell>
          <cell r="G263">
            <v>119.79340000000001</v>
          </cell>
          <cell r="H263">
            <v>3.6200000000000003E-2</v>
          </cell>
          <cell r="I263">
            <v>14.181800000000001</v>
          </cell>
          <cell r="J263">
            <v>64.936599999999999</v>
          </cell>
          <cell r="K263">
            <v>534.15</v>
          </cell>
          <cell r="L263">
            <v>30.885000000000002</v>
          </cell>
          <cell r="M263">
            <v>5.3723999999999998</v>
          </cell>
          <cell r="N263">
            <v>613.59519999999998</v>
          </cell>
          <cell r="O263">
            <v>29.043600000000001</v>
          </cell>
          <cell r="P263">
            <v>24.9575</v>
          </cell>
          <cell r="Q263">
            <v>340.91390000000001</v>
          </cell>
          <cell r="R263">
            <v>3.6214</v>
          </cell>
          <cell r="S263">
            <v>851.91390000000001</v>
          </cell>
          <cell r="T263">
            <v>133.53749999999999</v>
          </cell>
          <cell r="U263">
            <v>41.509</v>
          </cell>
          <cell r="V263">
            <v>219.28720000000001</v>
          </cell>
          <cell r="W263">
            <v>247.0795</v>
          </cell>
          <cell r="X263">
            <v>60.386800000000001</v>
          </cell>
          <cell r="Y263">
            <v>127.1464</v>
          </cell>
          <cell r="Z263">
            <v>2.4104000000000001</v>
          </cell>
          <cell r="AA263">
            <v>1.8149999999999999</v>
          </cell>
          <cell r="AB263">
            <v>305.40699999999998</v>
          </cell>
          <cell r="AC263">
            <v>11.179</v>
          </cell>
          <cell r="AD263">
            <v>3.7499999999999999E-2</v>
          </cell>
          <cell r="AE263">
            <v>10.2721</v>
          </cell>
          <cell r="AF263">
            <v>19.101400000000002</v>
          </cell>
          <cell r="AG263">
            <v>1.2652000000000001</v>
          </cell>
          <cell r="AH263">
            <v>81.2761</v>
          </cell>
          <cell r="AI263">
            <v>73.670299999999997</v>
          </cell>
          <cell r="AJ263">
            <v>14.1494</v>
          </cell>
          <cell r="AK263">
            <v>50.651499999999999</v>
          </cell>
          <cell r="AL263">
            <v>319.07920000000001</v>
          </cell>
          <cell r="AM263">
            <v>44.314100000000003</v>
          </cell>
          <cell r="AN263">
            <v>483.24549999999999</v>
          </cell>
          <cell r="AO263">
            <v>684.47339999999997</v>
          </cell>
        </row>
        <row r="264">
          <cell r="C264">
            <v>274.37450000000001</v>
          </cell>
          <cell r="D264">
            <v>34.8005</v>
          </cell>
          <cell r="E264">
            <v>777.88469999999995</v>
          </cell>
          <cell r="F264">
            <v>11.419600000000001</v>
          </cell>
          <cell r="G264">
            <v>118.7077</v>
          </cell>
          <cell r="H264">
            <v>3.61E-2</v>
          </cell>
          <cell r="I264">
            <v>14.0533</v>
          </cell>
          <cell r="J264">
            <v>64.350700000000003</v>
          </cell>
          <cell r="K264">
            <v>534.21</v>
          </cell>
          <cell r="L264">
            <v>30.6051</v>
          </cell>
          <cell r="M264">
            <v>5.3319999999999999</v>
          </cell>
          <cell r="N264">
            <v>608.03420000000006</v>
          </cell>
          <cell r="O264">
            <v>28.7804</v>
          </cell>
          <cell r="P264">
            <v>24.731400000000001</v>
          </cell>
          <cell r="Q264">
            <v>342.4384</v>
          </cell>
          <cell r="R264">
            <v>3.6217999999999999</v>
          </cell>
          <cell r="S264">
            <v>856.10580000000004</v>
          </cell>
          <cell r="T264">
            <v>133.55250000000001</v>
          </cell>
          <cell r="U264">
            <v>41.514899999999997</v>
          </cell>
          <cell r="V264">
            <v>217.2998</v>
          </cell>
          <cell r="W264">
            <v>244.84020000000001</v>
          </cell>
          <cell r="X264">
            <v>60.257399999999997</v>
          </cell>
          <cell r="Y264">
            <v>126.5502</v>
          </cell>
          <cell r="Z264">
            <v>2.3885999999999998</v>
          </cell>
          <cell r="AA264">
            <v>1.8146</v>
          </cell>
          <cell r="AB264">
            <v>304.3897</v>
          </cell>
          <cell r="AC264">
            <v>11.0618</v>
          </cell>
          <cell r="AD264">
            <v>3.73E-2</v>
          </cell>
          <cell r="AE264">
            <v>10.273300000000001</v>
          </cell>
          <cell r="AF264">
            <v>19.019200000000001</v>
          </cell>
          <cell r="AG264">
            <v>1.2653000000000001</v>
          </cell>
          <cell r="AH264">
            <v>80.539500000000004</v>
          </cell>
          <cell r="AI264">
            <v>73.002600000000001</v>
          </cell>
          <cell r="AJ264">
            <v>14.042999999999999</v>
          </cell>
          <cell r="AK264">
            <v>50.420699999999997</v>
          </cell>
          <cell r="AL264">
            <v>316.16649999999998</v>
          </cell>
          <cell r="AM264">
            <v>43.812100000000001</v>
          </cell>
          <cell r="AN264">
            <v>478.86579999999998</v>
          </cell>
          <cell r="AO264">
            <v>680.77549999999997</v>
          </cell>
        </row>
        <row r="265">
          <cell r="C265">
            <v>275.25439999999998</v>
          </cell>
          <cell r="D265">
            <v>35.142200000000003</v>
          </cell>
          <cell r="E265">
            <v>782.97749999999996</v>
          </cell>
          <cell r="F265">
            <v>11.419600000000001</v>
          </cell>
          <cell r="G265">
            <v>119.87309999999999</v>
          </cell>
          <cell r="H265">
            <v>3.61E-2</v>
          </cell>
          <cell r="I265">
            <v>14.1913</v>
          </cell>
          <cell r="J265">
            <v>64.966700000000003</v>
          </cell>
          <cell r="K265">
            <v>534.21</v>
          </cell>
          <cell r="L265">
            <v>30.9056</v>
          </cell>
          <cell r="M265">
            <v>5.3634000000000004</v>
          </cell>
          <cell r="N265">
            <v>614.00329999999997</v>
          </cell>
          <cell r="O265">
            <v>29.062999999999999</v>
          </cell>
          <cell r="P265">
            <v>24.9741</v>
          </cell>
          <cell r="Q265">
            <v>341.7192</v>
          </cell>
          <cell r="R265">
            <v>3.6217999999999999</v>
          </cell>
          <cell r="S265">
            <v>852.00959999999998</v>
          </cell>
          <cell r="T265">
            <v>133.55250000000001</v>
          </cell>
          <cell r="U265">
            <v>41.5017</v>
          </cell>
          <cell r="V265">
            <v>219.4331</v>
          </cell>
          <cell r="W265">
            <v>247.24379999999999</v>
          </cell>
          <cell r="X265">
            <v>60.544199999999996</v>
          </cell>
          <cell r="Y265">
            <v>125.91249999999999</v>
          </cell>
          <cell r="Z265">
            <v>2.4119999999999999</v>
          </cell>
          <cell r="AA265">
            <v>1.8140000000000001</v>
          </cell>
          <cell r="AB265">
            <v>307.57339999999999</v>
          </cell>
          <cell r="AC265">
            <v>11.154199999999999</v>
          </cell>
          <cell r="AD265">
            <v>3.6600000000000001E-2</v>
          </cell>
          <cell r="AE265">
            <v>10.273300000000001</v>
          </cell>
          <cell r="AF265">
            <v>18.889299999999999</v>
          </cell>
          <cell r="AG265">
            <v>1.2653000000000001</v>
          </cell>
          <cell r="AH265">
            <v>81.330100000000002</v>
          </cell>
          <cell r="AI265">
            <v>73.719300000000004</v>
          </cell>
          <cell r="AJ265">
            <v>14.1431</v>
          </cell>
          <cell r="AK265">
            <v>50.493099999999998</v>
          </cell>
          <cell r="AL265">
            <v>321.73450000000003</v>
          </cell>
          <cell r="AM265">
            <v>44.712600000000002</v>
          </cell>
          <cell r="AN265">
            <v>483.56689999999998</v>
          </cell>
          <cell r="AO265">
            <v>685.36260000000004</v>
          </cell>
        </row>
        <row r="266">
          <cell r="C266">
            <v>274.88740000000001</v>
          </cell>
          <cell r="D266">
            <v>35.173200000000001</v>
          </cell>
          <cell r="E266">
            <v>784.55870000000004</v>
          </cell>
          <cell r="F266">
            <v>11.419600000000001</v>
          </cell>
          <cell r="G266">
            <v>119.979</v>
          </cell>
          <cell r="H266">
            <v>3.6200000000000003E-2</v>
          </cell>
          <cell r="I266">
            <v>14.203799999999999</v>
          </cell>
          <cell r="J266">
            <v>65.020700000000005</v>
          </cell>
          <cell r="K266">
            <v>534.21</v>
          </cell>
          <cell r="L266">
            <v>30.9329</v>
          </cell>
          <cell r="M266">
            <v>5.3516000000000004</v>
          </cell>
          <cell r="N266">
            <v>614.54589999999996</v>
          </cell>
          <cell r="O266">
            <v>29.0886</v>
          </cell>
          <cell r="P266">
            <v>24.996200000000002</v>
          </cell>
          <cell r="Q266">
            <v>341.85210000000001</v>
          </cell>
          <cell r="R266">
            <v>3.6217999999999999</v>
          </cell>
          <cell r="S266">
            <v>858.85850000000005</v>
          </cell>
          <cell r="T266">
            <v>133.55250000000001</v>
          </cell>
          <cell r="U266">
            <v>41.512700000000002</v>
          </cell>
          <cell r="V266">
            <v>219.62700000000001</v>
          </cell>
          <cell r="W266">
            <v>247.4623</v>
          </cell>
          <cell r="X266">
            <v>60.506799999999998</v>
          </cell>
          <cell r="Y266">
            <v>125.7226</v>
          </cell>
          <cell r="Z266">
            <v>2.4142000000000001</v>
          </cell>
          <cell r="AA266">
            <v>1.8127</v>
          </cell>
          <cell r="AB266">
            <v>307.02499999999998</v>
          </cell>
          <cell r="AC266">
            <v>11.1579</v>
          </cell>
          <cell r="AD266">
            <v>3.6200000000000003E-2</v>
          </cell>
          <cell r="AE266">
            <v>10.273300000000001</v>
          </cell>
          <cell r="AF266">
            <v>18.908200000000001</v>
          </cell>
          <cell r="AG266">
            <v>1.2653000000000001</v>
          </cell>
          <cell r="AH266">
            <v>81.402000000000001</v>
          </cell>
          <cell r="AI266">
            <v>73.784400000000005</v>
          </cell>
          <cell r="AJ266">
            <v>14.1838</v>
          </cell>
          <cell r="AK266">
            <v>50.5045</v>
          </cell>
          <cell r="AL266">
            <v>321.80470000000003</v>
          </cell>
          <cell r="AM266">
            <v>44.864100000000001</v>
          </cell>
          <cell r="AN266">
            <v>483.99430000000001</v>
          </cell>
          <cell r="AO266">
            <v>685.55079999999998</v>
          </cell>
        </row>
        <row r="267">
          <cell r="C267">
            <v>275.99650000000003</v>
          </cell>
          <cell r="D267">
            <v>35.790500000000002</v>
          </cell>
          <cell r="E267">
            <v>788.35950000000003</v>
          </cell>
          <cell r="F267">
            <v>11.419600000000001</v>
          </cell>
          <cell r="G267">
            <v>122.08459999999999</v>
          </cell>
          <cell r="H267">
            <v>3.6200000000000003E-2</v>
          </cell>
          <cell r="I267">
            <v>14.453099999999999</v>
          </cell>
          <cell r="J267">
            <v>66.16</v>
          </cell>
          <cell r="K267">
            <v>534.21</v>
          </cell>
          <cell r="L267">
            <v>31.4757</v>
          </cell>
          <cell r="M267">
            <v>5.4203000000000001</v>
          </cell>
          <cell r="N267">
            <v>625.33100000000002</v>
          </cell>
          <cell r="O267">
            <v>29.5991</v>
          </cell>
          <cell r="P267">
            <v>25.434899999999999</v>
          </cell>
          <cell r="Q267">
            <v>340.04570000000001</v>
          </cell>
          <cell r="R267">
            <v>3.6217999999999999</v>
          </cell>
          <cell r="S267">
            <v>857.47990000000004</v>
          </cell>
          <cell r="T267">
            <v>133.55250000000001</v>
          </cell>
          <cell r="U267">
            <v>41.510100000000001</v>
          </cell>
          <cell r="V267">
            <v>223.48140000000001</v>
          </cell>
          <cell r="W267">
            <v>251.80520000000001</v>
          </cell>
          <cell r="X267">
            <v>61.346299999999999</v>
          </cell>
          <cell r="Y267">
            <v>126.14960000000001</v>
          </cell>
          <cell r="Z267">
            <v>2.4565000000000001</v>
          </cell>
          <cell r="AA267">
            <v>1.8140000000000001</v>
          </cell>
          <cell r="AB267">
            <v>308.20960000000002</v>
          </cell>
          <cell r="AC267">
            <v>11.3203</v>
          </cell>
          <cell r="AD267">
            <v>3.5900000000000001E-2</v>
          </cell>
          <cell r="AE267">
            <v>10.273300000000001</v>
          </cell>
          <cell r="AF267">
            <v>19.290600000000001</v>
          </cell>
          <cell r="AG267">
            <v>1.2653000000000001</v>
          </cell>
          <cell r="AH267">
            <v>82.830600000000004</v>
          </cell>
          <cell r="AI267">
            <v>75.079300000000003</v>
          </cell>
          <cell r="AJ267">
            <v>14.4184</v>
          </cell>
          <cell r="AK267">
            <v>51.348500000000001</v>
          </cell>
          <cell r="AL267">
            <v>328.67610000000002</v>
          </cell>
          <cell r="AM267">
            <v>45.461799999999997</v>
          </cell>
          <cell r="AN267">
            <v>492.48820000000001</v>
          </cell>
          <cell r="AO267">
            <v>688.99919999999997</v>
          </cell>
        </row>
        <row r="268">
          <cell r="C268">
            <v>275.99650000000003</v>
          </cell>
          <cell r="D268">
            <v>35.790500000000002</v>
          </cell>
          <cell r="E268">
            <v>788.35950000000003</v>
          </cell>
          <cell r="F268">
            <v>11.419600000000001</v>
          </cell>
          <cell r="G268">
            <v>122.08459999999999</v>
          </cell>
          <cell r="H268">
            <v>3.6200000000000003E-2</v>
          </cell>
          <cell r="I268">
            <v>14.453099999999999</v>
          </cell>
          <cell r="J268">
            <v>66.16</v>
          </cell>
          <cell r="K268">
            <v>534.21</v>
          </cell>
          <cell r="L268">
            <v>31.4757</v>
          </cell>
          <cell r="M268">
            <v>5.4203000000000001</v>
          </cell>
          <cell r="N268">
            <v>625.33100000000002</v>
          </cell>
          <cell r="O268">
            <v>29.5991</v>
          </cell>
          <cell r="P268">
            <v>25.434899999999999</v>
          </cell>
          <cell r="Q268">
            <v>340.04570000000001</v>
          </cell>
          <cell r="R268">
            <v>3.6217999999999999</v>
          </cell>
          <cell r="S268">
            <v>857.47990000000004</v>
          </cell>
          <cell r="T268">
            <v>133.55250000000001</v>
          </cell>
          <cell r="U268">
            <v>41.510100000000001</v>
          </cell>
          <cell r="V268">
            <v>223.48140000000001</v>
          </cell>
          <cell r="W268">
            <v>251.80520000000001</v>
          </cell>
          <cell r="X268">
            <v>61.346299999999999</v>
          </cell>
          <cell r="Y268">
            <v>126.14960000000001</v>
          </cell>
          <cell r="Z268">
            <v>2.4565000000000001</v>
          </cell>
          <cell r="AA268">
            <v>1.8140000000000001</v>
          </cell>
          <cell r="AB268">
            <v>308.20960000000002</v>
          </cell>
          <cell r="AC268">
            <v>11.3203</v>
          </cell>
          <cell r="AD268">
            <v>3.5900000000000001E-2</v>
          </cell>
          <cell r="AE268">
            <v>10.273300000000001</v>
          </cell>
          <cell r="AF268">
            <v>19.290600000000001</v>
          </cell>
          <cell r="AG268">
            <v>1.2653000000000001</v>
          </cell>
          <cell r="AH268">
            <v>82.830600000000004</v>
          </cell>
          <cell r="AI268">
            <v>75.079300000000003</v>
          </cell>
          <cell r="AJ268">
            <v>14.4184</v>
          </cell>
          <cell r="AK268">
            <v>51.348500000000001</v>
          </cell>
          <cell r="AL268">
            <v>328.67610000000002</v>
          </cell>
          <cell r="AM268">
            <v>45.461799999999997</v>
          </cell>
          <cell r="AN268">
            <v>492.48820000000001</v>
          </cell>
          <cell r="AO268">
            <v>688.99919999999997</v>
          </cell>
        </row>
        <row r="269">
          <cell r="C269">
            <v>275.99650000000003</v>
          </cell>
          <cell r="D269">
            <v>35.790500000000002</v>
          </cell>
          <cell r="E269">
            <v>788.35950000000003</v>
          </cell>
          <cell r="F269">
            <v>11.419600000000001</v>
          </cell>
          <cell r="G269">
            <v>122.08459999999999</v>
          </cell>
          <cell r="H269">
            <v>3.6200000000000003E-2</v>
          </cell>
          <cell r="I269">
            <v>14.453099999999999</v>
          </cell>
          <cell r="J269">
            <v>66.16</v>
          </cell>
          <cell r="K269">
            <v>534.21</v>
          </cell>
          <cell r="L269">
            <v>31.4757</v>
          </cell>
          <cell r="M269">
            <v>5.4203000000000001</v>
          </cell>
          <cell r="N269">
            <v>625.33100000000002</v>
          </cell>
          <cell r="O269">
            <v>29.5991</v>
          </cell>
          <cell r="P269">
            <v>25.434899999999999</v>
          </cell>
          <cell r="Q269">
            <v>340.04570000000001</v>
          </cell>
          <cell r="R269">
            <v>3.6217999999999999</v>
          </cell>
          <cell r="S269">
            <v>857.47990000000004</v>
          </cell>
          <cell r="T269">
            <v>133.55250000000001</v>
          </cell>
          <cell r="U269">
            <v>41.510100000000001</v>
          </cell>
          <cell r="V269">
            <v>223.48140000000001</v>
          </cell>
          <cell r="W269">
            <v>251.80520000000001</v>
          </cell>
          <cell r="X269">
            <v>61.346299999999999</v>
          </cell>
          <cell r="Y269">
            <v>126.14960000000001</v>
          </cell>
          <cell r="Z269">
            <v>2.4565000000000001</v>
          </cell>
          <cell r="AA269">
            <v>1.8140000000000001</v>
          </cell>
          <cell r="AB269">
            <v>308.20960000000002</v>
          </cell>
          <cell r="AC269">
            <v>11.3203</v>
          </cell>
          <cell r="AD269">
            <v>3.5900000000000001E-2</v>
          </cell>
          <cell r="AE269">
            <v>10.273300000000001</v>
          </cell>
          <cell r="AF269">
            <v>19.290600000000001</v>
          </cell>
          <cell r="AG269">
            <v>1.2653000000000001</v>
          </cell>
          <cell r="AH269">
            <v>82.830600000000004</v>
          </cell>
          <cell r="AI269">
            <v>75.079300000000003</v>
          </cell>
          <cell r="AJ269">
            <v>14.4184</v>
          </cell>
          <cell r="AK269">
            <v>51.348500000000001</v>
          </cell>
          <cell r="AL269">
            <v>328.67610000000002</v>
          </cell>
          <cell r="AM269">
            <v>45.461799999999997</v>
          </cell>
          <cell r="AN269">
            <v>492.48820000000001</v>
          </cell>
          <cell r="AO269">
            <v>688.99919999999997</v>
          </cell>
        </row>
        <row r="270">
          <cell r="C270">
            <v>267.93329999999997</v>
          </cell>
          <cell r="D270">
            <v>35.9833</v>
          </cell>
          <cell r="E270">
            <v>785.43889999999999</v>
          </cell>
          <cell r="F270">
            <v>11.3924</v>
          </cell>
          <cell r="G270">
            <v>122.7422</v>
          </cell>
          <cell r="H270">
            <v>3.6200000000000003E-2</v>
          </cell>
          <cell r="I270">
            <v>14.530900000000001</v>
          </cell>
          <cell r="J270">
            <v>66.530600000000007</v>
          </cell>
          <cell r="K270">
            <v>534.19000000000005</v>
          </cell>
          <cell r="L270">
            <v>31.645299999999999</v>
          </cell>
          <cell r="M270">
            <v>5.3936999999999999</v>
          </cell>
          <cell r="N270">
            <v>628.69899999999996</v>
          </cell>
          <cell r="O270">
            <v>29.758600000000001</v>
          </cell>
          <cell r="P270">
            <v>25.571899999999999</v>
          </cell>
          <cell r="Q270">
            <v>340.18599999999998</v>
          </cell>
          <cell r="R270">
            <v>3.6166999999999998</v>
          </cell>
          <cell r="S270">
            <v>858.82640000000004</v>
          </cell>
          <cell r="T270">
            <v>133.54750000000001</v>
          </cell>
          <cell r="U270">
            <v>41.518900000000002</v>
          </cell>
          <cell r="V270">
            <v>224.68510000000001</v>
          </cell>
          <cell r="W270">
            <v>253.16139999999999</v>
          </cell>
          <cell r="X270">
            <v>61.39</v>
          </cell>
          <cell r="Y270">
            <v>125.8939</v>
          </cell>
          <cell r="Z270">
            <v>2.4698000000000002</v>
          </cell>
          <cell r="AA270">
            <v>1.8145</v>
          </cell>
          <cell r="AB270">
            <v>308.2876</v>
          </cell>
          <cell r="AC270">
            <v>11.305899999999999</v>
          </cell>
          <cell r="AD270">
            <v>3.4500000000000003E-2</v>
          </cell>
          <cell r="AE270">
            <v>10.2729</v>
          </cell>
          <cell r="AF270">
            <v>19.210899999999999</v>
          </cell>
          <cell r="AG270">
            <v>1.2596000000000001</v>
          </cell>
          <cell r="AH270">
            <v>83.276700000000005</v>
          </cell>
          <cell r="AI270">
            <v>75.483699999999999</v>
          </cell>
          <cell r="AJ270">
            <v>14.4482</v>
          </cell>
          <cell r="AK270">
            <v>50.9955</v>
          </cell>
          <cell r="AL270">
            <v>332.7559</v>
          </cell>
          <cell r="AM270">
            <v>45.588900000000002</v>
          </cell>
          <cell r="AN270">
            <v>495.14069999999998</v>
          </cell>
          <cell r="AO270">
            <v>692.81209999999999</v>
          </cell>
        </row>
        <row r="271">
          <cell r="C271">
            <v>265.09019999999998</v>
          </cell>
          <cell r="D271">
            <v>35.9328</v>
          </cell>
          <cell r="E271">
            <v>784.33730000000003</v>
          </cell>
          <cell r="F271">
            <v>11.3924</v>
          </cell>
          <cell r="G271">
            <v>122.57</v>
          </cell>
          <cell r="H271">
            <v>3.6200000000000003E-2</v>
          </cell>
          <cell r="I271">
            <v>14.5105</v>
          </cell>
          <cell r="J271">
            <v>66.437299999999993</v>
          </cell>
          <cell r="K271">
            <v>534.19000000000005</v>
          </cell>
          <cell r="L271">
            <v>31.600899999999999</v>
          </cell>
          <cell r="M271">
            <v>5.3692000000000002</v>
          </cell>
          <cell r="N271">
            <v>627.81719999999996</v>
          </cell>
          <cell r="O271">
            <v>29.716799999999999</v>
          </cell>
          <cell r="P271">
            <v>25.536000000000001</v>
          </cell>
          <cell r="Q271">
            <v>340.17630000000003</v>
          </cell>
          <cell r="R271">
            <v>3.6166999999999998</v>
          </cell>
          <cell r="S271">
            <v>858.82640000000004</v>
          </cell>
          <cell r="T271">
            <v>133.54750000000001</v>
          </cell>
          <cell r="U271">
            <v>41.530799999999999</v>
          </cell>
          <cell r="V271">
            <v>224.3699</v>
          </cell>
          <cell r="W271">
            <v>252.8064</v>
          </cell>
          <cell r="X271">
            <v>61.856000000000002</v>
          </cell>
          <cell r="Y271">
            <v>126.07640000000001</v>
          </cell>
          <cell r="Z271">
            <v>2.4662999999999999</v>
          </cell>
          <cell r="AA271">
            <v>1.8150999999999999</v>
          </cell>
          <cell r="AB271">
            <v>307.74029999999999</v>
          </cell>
          <cell r="AC271">
            <v>11.2746</v>
          </cell>
          <cell r="AD271">
            <v>3.5700000000000003E-2</v>
          </cell>
          <cell r="AE271">
            <v>10.2729</v>
          </cell>
          <cell r="AF271">
            <v>19.214500000000001</v>
          </cell>
          <cell r="AG271">
            <v>1.2596000000000001</v>
          </cell>
          <cell r="AH271">
            <v>83.159899999999993</v>
          </cell>
          <cell r="AI271">
            <v>75.377799999999993</v>
          </cell>
          <cell r="AJ271">
            <v>14.402699999999999</v>
          </cell>
          <cell r="AK271">
            <v>50.864199999999997</v>
          </cell>
          <cell r="AL271">
            <v>334.35640000000001</v>
          </cell>
          <cell r="AM271">
            <v>45.571100000000001</v>
          </cell>
          <cell r="AN271">
            <v>494.44630000000001</v>
          </cell>
          <cell r="AO271">
            <v>691.51530000000002</v>
          </cell>
        </row>
        <row r="272">
          <cell r="C272">
            <v>262.47460000000001</v>
          </cell>
          <cell r="D272">
            <v>35.931199999999997</v>
          </cell>
          <cell r="E272">
            <v>781.94449999999995</v>
          </cell>
          <cell r="F272">
            <v>11.3894</v>
          </cell>
          <cell r="G272">
            <v>122.56440000000001</v>
          </cell>
          <cell r="H272">
            <v>3.6299999999999999E-2</v>
          </cell>
          <cell r="I272">
            <v>14.5099</v>
          </cell>
          <cell r="J272">
            <v>66.434200000000004</v>
          </cell>
          <cell r="K272">
            <v>534.04999999999995</v>
          </cell>
          <cell r="L272">
            <v>31.599399999999999</v>
          </cell>
          <cell r="M272">
            <v>5.3560999999999996</v>
          </cell>
          <cell r="N272">
            <v>627.78830000000005</v>
          </cell>
          <cell r="O272">
            <v>29.715499999999999</v>
          </cell>
          <cell r="P272">
            <v>25.534800000000001</v>
          </cell>
          <cell r="Q272">
            <v>339.81</v>
          </cell>
          <cell r="R272">
            <v>3.6158000000000001</v>
          </cell>
          <cell r="S272">
            <v>862.76250000000005</v>
          </cell>
          <cell r="T272">
            <v>133.51249999999999</v>
          </cell>
          <cell r="U272">
            <v>41.512500000000003</v>
          </cell>
          <cell r="V272">
            <v>224.3596</v>
          </cell>
          <cell r="W272">
            <v>252.79470000000001</v>
          </cell>
          <cell r="X272">
            <v>62.058900000000001</v>
          </cell>
          <cell r="Y272">
            <v>126.4607</v>
          </cell>
          <cell r="Z272">
            <v>2.4662000000000002</v>
          </cell>
          <cell r="AA272">
            <v>1.8133999999999999</v>
          </cell>
          <cell r="AB272">
            <v>306.75240000000002</v>
          </cell>
          <cell r="AC272">
            <v>11.298500000000001</v>
          </cell>
          <cell r="AD272">
            <v>3.5799999999999998E-2</v>
          </cell>
          <cell r="AE272">
            <v>10.270200000000001</v>
          </cell>
          <cell r="AF272">
            <v>19.1526</v>
          </cell>
          <cell r="AG272">
            <v>1.2593000000000001</v>
          </cell>
          <cell r="AH272">
            <v>83.156099999999995</v>
          </cell>
          <cell r="AI272">
            <v>75.374399999999994</v>
          </cell>
          <cell r="AJ272">
            <v>14.426</v>
          </cell>
          <cell r="AK272">
            <v>50.858800000000002</v>
          </cell>
          <cell r="AL272">
            <v>333.28179999999998</v>
          </cell>
          <cell r="AM272">
            <v>45.426600000000001</v>
          </cell>
          <cell r="AN272">
            <v>494.42349999999999</v>
          </cell>
          <cell r="AO272">
            <v>691.59990000000005</v>
          </cell>
        </row>
        <row r="273">
          <cell r="C273">
            <v>263.68990000000002</v>
          </cell>
          <cell r="D273">
            <v>35.927</v>
          </cell>
          <cell r="E273">
            <v>782.22429999999997</v>
          </cell>
          <cell r="F273">
            <v>11.386900000000001</v>
          </cell>
          <cell r="G273">
            <v>122.5501</v>
          </cell>
          <cell r="H273">
            <v>3.6200000000000003E-2</v>
          </cell>
          <cell r="I273">
            <v>14.5082</v>
          </cell>
          <cell r="J273">
            <v>66.414900000000003</v>
          </cell>
          <cell r="K273">
            <v>533.92999999999995</v>
          </cell>
          <cell r="L273">
            <v>31.595700000000001</v>
          </cell>
          <cell r="M273">
            <v>5.3410000000000002</v>
          </cell>
          <cell r="N273">
            <v>627.71510000000001</v>
          </cell>
          <cell r="O273">
            <v>29.712</v>
          </cell>
          <cell r="P273">
            <v>25.5319</v>
          </cell>
          <cell r="Q273">
            <v>340.37849999999997</v>
          </cell>
          <cell r="R273">
            <v>3.6150000000000002</v>
          </cell>
          <cell r="S273">
            <v>863.96439999999996</v>
          </cell>
          <cell r="T273">
            <v>133.48249999999999</v>
          </cell>
          <cell r="U273">
            <v>41.489899999999999</v>
          </cell>
          <cell r="V273">
            <v>224.33340000000001</v>
          </cell>
          <cell r="W273">
            <v>252.76519999999999</v>
          </cell>
          <cell r="X273">
            <v>62.3294</v>
          </cell>
          <cell r="Y273">
            <v>127.5947</v>
          </cell>
          <cell r="Z273">
            <v>2.4659</v>
          </cell>
          <cell r="AA273">
            <v>1.8142</v>
          </cell>
          <cell r="AB273">
            <v>307.38409999999999</v>
          </cell>
          <cell r="AC273">
            <v>11.2951</v>
          </cell>
          <cell r="AD273">
            <v>3.5200000000000002E-2</v>
          </cell>
          <cell r="AE273">
            <v>10.267899999999999</v>
          </cell>
          <cell r="AF273">
            <v>19.141400000000001</v>
          </cell>
          <cell r="AG273">
            <v>1.2589999999999999</v>
          </cell>
          <cell r="AH273">
            <v>83.1464</v>
          </cell>
          <cell r="AI273">
            <v>75.365600000000001</v>
          </cell>
          <cell r="AJ273">
            <v>14.4361</v>
          </cell>
          <cell r="AK273">
            <v>50.557400000000001</v>
          </cell>
          <cell r="AL273">
            <v>335.50439999999998</v>
          </cell>
          <cell r="AM273">
            <v>45.711100000000002</v>
          </cell>
          <cell r="AN273">
            <v>494.36579999999998</v>
          </cell>
          <cell r="AO273">
            <v>691.19839999999999</v>
          </cell>
        </row>
        <row r="274">
          <cell r="C274">
            <v>258.49579999999997</v>
          </cell>
          <cell r="D274">
            <v>35.692700000000002</v>
          </cell>
          <cell r="E274">
            <v>779.46680000000003</v>
          </cell>
          <cell r="F274">
            <v>11.385199999999999</v>
          </cell>
          <cell r="G274">
            <v>121.7509</v>
          </cell>
          <cell r="H274">
            <v>3.6200000000000003E-2</v>
          </cell>
          <cell r="I274">
            <v>14.413600000000001</v>
          </cell>
          <cell r="J274">
            <v>66.019000000000005</v>
          </cell>
          <cell r="K274">
            <v>533.85</v>
          </cell>
          <cell r="L274">
            <v>31.389700000000001</v>
          </cell>
          <cell r="M274">
            <v>5.3211000000000004</v>
          </cell>
          <cell r="N274">
            <v>623.62170000000003</v>
          </cell>
          <cell r="O274">
            <v>29.5182</v>
          </cell>
          <cell r="P274">
            <v>25.365400000000001</v>
          </cell>
          <cell r="Q274">
            <v>341.42649999999998</v>
          </cell>
          <cell r="R274">
            <v>3.6143999999999998</v>
          </cell>
          <cell r="S274">
            <v>863.83500000000004</v>
          </cell>
          <cell r="T274">
            <v>133.46250000000001</v>
          </cell>
          <cell r="U274">
            <v>41.505000000000003</v>
          </cell>
          <cell r="V274">
            <v>222.87049999999999</v>
          </cell>
          <cell r="W274">
            <v>251.11689999999999</v>
          </cell>
          <cell r="X274">
            <v>61.942500000000003</v>
          </cell>
          <cell r="Y274">
            <v>128.42660000000001</v>
          </cell>
          <cell r="Z274">
            <v>2.4498000000000002</v>
          </cell>
          <cell r="AA274">
            <v>1.8158000000000001</v>
          </cell>
          <cell r="AB274">
            <v>306.54230000000001</v>
          </cell>
          <cell r="AC274">
            <v>11.229200000000001</v>
          </cell>
          <cell r="AD274">
            <v>3.49E-2</v>
          </cell>
          <cell r="AE274">
            <v>10.266299999999999</v>
          </cell>
          <cell r="AF274">
            <v>18.843</v>
          </cell>
          <cell r="AG274">
            <v>1.2587999999999999</v>
          </cell>
          <cell r="AH274">
            <v>82.604200000000006</v>
          </cell>
          <cell r="AI274">
            <v>74.874099999999999</v>
          </cell>
          <cell r="AJ274">
            <v>14.3286</v>
          </cell>
          <cell r="AK274">
            <v>49.296100000000003</v>
          </cell>
          <cell r="AL274">
            <v>339.56169999999997</v>
          </cell>
          <cell r="AM274">
            <v>45.823999999999998</v>
          </cell>
          <cell r="AN274">
            <v>491.142</v>
          </cell>
          <cell r="AO274">
            <v>689.94799999999998</v>
          </cell>
        </row>
        <row r="275">
          <cell r="C275">
            <v>258.49579999999997</v>
          </cell>
          <cell r="D275">
            <v>35.692700000000002</v>
          </cell>
          <cell r="E275">
            <v>779.46680000000003</v>
          </cell>
          <cell r="F275">
            <v>11.385199999999999</v>
          </cell>
          <cell r="G275">
            <v>121.7509</v>
          </cell>
          <cell r="H275">
            <v>3.6200000000000003E-2</v>
          </cell>
          <cell r="I275">
            <v>14.413600000000001</v>
          </cell>
          <cell r="J275">
            <v>66.019000000000005</v>
          </cell>
          <cell r="K275">
            <v>533.85</v>
          </cell>
          <cell r="L275">
            <v>31.389700000000001</v>
          </cell>
          <cell r="M275">
            <v>5.3211000000000004</v>
          </cell>
          <cell r="N275">
            <v>623.62170000000003</v>
          </cell>
          <cell r="O275">
            <v>29.5182</v>
          </cell>
          <cell r="P275">
            <v>25.365400000000001</v>
          </cell>
          <cell r="Q275">
            <v>341.42649999999998</v>
          </cell>
          <cell r="R275">
            <v>3.6143999999999998</v>
          </cell>
          <cell r="S275">
            <v>863.83500000000004</v>
          </cell>
          <cell r="T275">
            <v>133.46250000000001</v>
          </cell>
          <cell r="U275">
            <v>41.505000000000003</v>
          </cell>
          <cell r="V275">
            <v>222.87049999999999</v>
          </cell>
          <cell r="W275">
            <v>251.11689999999999</v>
          </cell>
          <cell r="X275">
            <v>61.942500000000003</v>
          </cell>
          <cell r="Y275">
            <v>128.42660000000001</v>
          </cell>
          <cell r="Z275">
            <v>2.4498000000000002</v>
          </cell>
          <cell r="AA275">
            <v>1.8158000000000001</v>
          </cell>
          <cell r="AB275">
            <v>306.54230000000001</v>
          </cell>
          <cell r="AC275">
            <v>11.229200000000001</v>
          </cell>
          <cell r="AD275">
            <v>3.49E-2</v>
          </cell>
          <cell r="AE275">
            <v>10.266299999999999</v>
          </cell>
          <cell r="AF275">
            <v>18.843</v>
          </cell>
          <cell r="AG275">
            <v>1.2587999999999999</v>
          </cell>
          <cell r="AH275">
            <v>82.604200000000006</v>
          </cell>
          <cell r="AI275">
            <v>74.874099999999999</v>
          </cell>
          <cell r="AJ275">
            <v>14.3286</v>
          </cell>
          <cell r="AK275">
            <v>49.296100000000003</v>
          </cell>
          <cell r="AL275">
            <v>339.56169999999997</v>
          </cell>
          <cell r="AM275">
            <v>45.823999999999998</v>
          </cell>
          <cell r="AN275">
            <v>491.142</v>
          </cell>
          <cell r="AO275">
            <v>689.94799999999998</v>
          </cell>
        </row>
        <row r="276">
          <cell r="C276">
            <v>258.49579999999997</v>
          </cell>
          <cell r="D276">
            <v>35.692700000000002</v>
          </cell>
          <cell r="E276">
            <v>779.46680000000003</v>
          </cell>
          <cell r="F276">
            <v>11.385199999999999</v>
          </cell>
          <cell r="G276">
            <v>121.7509</v>
          </cell>
          <cell r="H276">
            <v>3.6200000000000003E-2</v>
          </cell>
          <cell r="I276">
            <v>14.413600000000001</v>
          </cell>
          <cell r="J276">
            <v>66.019000000000005</v>
          </cell>
          <cell r="K276">
            <v>533.85</v>
          </cell>
          <cell r="L276">
            <v>31.389700000000001</v>
          </cell>
          <cell r="M276">
            <v>5.3211000000000004</v>
          </cell>
          <cell r="N276">
            <v>623.62170000000003</v>
          </cell>
          <cell r="O276">
            <v>29.5182</v>
          </cell>
          <cell r="P276">
            <v>25.365400000000001</v>
          </cell>
          <cell r="Q276">
            <v>341.42649999999998</v>
          </cell>
          <cell r="R276">
            <v>3.6143999999999998</v>
          </cell>
          <cell r="S276">
            <v>863.83500000000004</v>
          </cell>
          <cell r="T276">
            <v>133.46250000000001</v>
          </cell>
          <cell r="U276">
            <v>41.505000000000003</v>
          </cell>
          <cell r="V276">
            <v>222.87049999999999</v>
          </cell>
          <cell r="W276">
            <v>251.11689999999999</v>
          </cell>
          <cell r="X276">
            <v>61.942500000000003</v>
          </cell>
          <cell r="Y276">
            <v>128.42660000000001</v>
          </cell>
          <cell r="Z276">
            <v>2.4498000000000002</v>
          </cell>
          <cell r="AA276">
            <v>1.8158000000000001</v>
          </cell>
          <cell r="AB276">
            <v>306.54230000000001</v>
          </cell>
          <cell r="AC276">
            <v>11.229200000000001</v>
          </cell>
          <cell r="AD276">
            <v>3.49E-2</v>
          </cell>
          <cell r="AE276">
            <v>10.266299999999999</v>
          </cell>
          <cell r="AF276">
            <v>18.843</v>
          </cell>
          <cell r="AG276">
            <v>1.2587999999999999</v>
          </cell>
          <cell r="AH276">
            <v>82.604200000000006</v>
          </cell>
          <cell r="AI276">
            <v>74.874099999999999</v>
          </cell>
          <cell r="AJ276">
            <v>14.3286</v>
          </cell>
          <cell r="AK276">
            <v>49.296100000000003</v>
          </cell>
          <cell r="AL276">
            <v>339.56169999999997</v>
          </cell>
          <cell r="AM276">
            <v>45.823999999999998</v>
          </cell>
          <cell r="AN276">
            <v>491.142</v>
          </cell>
          <cell r="AO276">
            <v>689.94799999999998</v>
          </cell>
        </row>
        <row r="277">
          <cell r="C277">
            <v>262.5806</v>
          </cell>
          <cell r="D277">
            <v>35.542999999999999</v>
          </cell>
          <cell r="E277">
            <v>780.53409999999997</v>
          </cell>
          <cell r="F277">
            <v>11.382</v>
          </cell>
          <cell r="G277">
            <v>121.24039999999999</v>
          </cell>
          <cell r="H277">
            <v>3.61E-2</v>
          </cell>
          <cell r="I277">
            <v>14.3531</v>
          </cell>
          <cell r="J277">
            <v>65.756399999999999</v>
          </cell>
          <cell r="K277">
            <v>533.70000000000005</v>
          </cell>
          <cell r="L277">
            <v>31.258099999999999</v>
          </cell>
          <cell r="M277">
            <v>5.2747999999999999</v>
          </cell>
          <cell r="N277">
            <v>621.00689999999997</v>
          </cell>
          <cell r="O277">
            <v>29.394500000000001</v>
          </cell>
          <cell r="P277">
            <v>25.259</v>
          </cell>
          <cell r="Q277">
            <v>340.30239999999998</v>
          </cell>
          <cell r="R277">
            <v>3.6133999999999999</v>
          </cell>
          <cell r="S277">
            <v>863.59220000000005</v>
          </cell>
          <cell r="T277">
            <v>133.42500000000001</v>
          </cell>
          <cell r="U277">
            <v>41.493400000000001</v>
          </cell>
          <cell r="V277">
            <v>221.93600000000001</v>
          </cell>
          <cell r="W277">
            <v>250.06399999999999</v>
          </cell>
          <cell r="X277">
            <v>61.296199999999999</v>
          </cell>
          <cell r="Y277">
            <v>127.2659</v>
          </cell>
          <cell r="Z277">
            <v>2.4394999999999998</v>
          </cell>
          <cell r="AA277">
            <v>1.8141</v>
          </cell>
          <cell r="AB277">
            <v>303.32589999999999</v>
          </cell>
          <cell r="AC277">
            <v>11.1548</v>
          </cell>
          <cell r="AD277">
            <v>3.4200000000000001E-2</v>
          </cell>
          <cell r="AE277">
            <v>10.263500000000001</v>
          </cell>
          <cell r="AF277">
            <v>18.7424</v>
          </cell>
          <cell r="AG277">
            <v>1.2527999999999999</v>
          </cell>
          <cell r="AH277">
            <v>82.257800000000003</v>
          </cell>
          <cell r="AI277">
            <v>74.560199999999995</v>
          </cell>
          <cell r="AJ277">
            <v>14.286</v>
          </cell>
          <cell r="AK277">
            <v>49.310099999999998</v>
          </cell>
          <cell r="AL277">
            <v>334.94229999999999</v>
          </cell>
          <cell r="AM277">
            <v>45.508800000000001</v>
          </cell>
          <cell r="AN277">
            <v>489.08269999999999</v>
          </cell>
          <cell r="AO277">
            <v>688.26239999999996</v>
          </cell>
        </row>
        <row r="278">
          <cell r="C278">
            <v>263.09629999999999</v>
          </cell>
          <cell r="D278">
            <v>35.5822</v>
          </cell>
          <cell r="E278">
            <v>780.27440000000001</v>
          </cell>
          <cell r="F278">
            <v>11.3796</v>
          </cell>
          <cell r="G278">
            <v>121.3742</v>
          </cell>
          <cell r="H278">
            <v>3.61E-2</v>
          </cell>
          <cell r="I278">
            <v>14.369</v>
          </cell>
          <cell r="J278">
            <v>65.825400000000002</v>
          </cell>
          <cell r="K278">
            <v>533.59</v>
          </cell>
          <cell r="L278">
            <v>31.2926</v>
          </cell>
          <cell r="M278">
            <v>5.2550999999999997</v>
          </cell>
          <cell r="N278">
            <v>621.69190000000003</v>
          </cell>
          <cell r="O278">
            <v>29.4269</v>
          </cell>
          <cell r="P278">
            <v>25.286899999999999</v>
          </cell>
          <cell r="Q278">
            <v>340.44099999999997</v>
          </cell>
          <cell r="R278">
            <v>3.6126999999999998</v>
          </cell>
          <cell r="S278">
            <v>860.62900000000002</v>
          </cell>
          <cell r="T278">
            <v>133.39750000000001</v>
          </cell>
          <cell r="U278">
            <v>41.4816</v>
          </cell>
          <cell r="V278">
            <v>222.18090000000001</v>
          </cell>
          <cell r="W278">
            <v>250.3398</v>
          </cell>
          <cell r="X278">
            <v>60.860399999999998</v>
          </cell>
          <cell r="Y278">
            <v>126.328</v>
          </cell>
          <cell r="Z278">
            <v>2.4422000000000001</v>
          </cell>
          <cell r="AA278">
            <v>1.8130999999999999</v>
          </cell>
          <cell r="AB278">
            <v>301.64010000000002</v>
          </cell>
          <cell r="AC278">
            <v>11.162000000000001</v>
          </cell>
          <cell r="AD278">
            <v>3.44E-2</v>
          </cell>
          <cell r="AE278">
            <v>10.2613</v>
          </cell>
          <cell r="AF278">
            <v>18.843900000000001</v>
          </cell>
          <cell r="AG278">
            <v>1.2525999999999999</v>
          </cell>
          <cell r="AH278">
            <v>82.348500000000001</v>
          </cell>
          <cell r="AI278">
            <v>74.642399999999995</v>
          </cell>
          <cell r="AJ278">
            <v>14.3332</v>
          </cell>
          <cell r="AK278">
            <v>49.789700000000003</v>
          </cell>
          <cell r="AL278">
            <v>335.35770000000002</v>
          </cell>
          <cell r="AM278">
            <v>45.533499999999997</v>
          </cell>
          <cell r="AN278">
            <v>489.62220000000002</v>
          </cell>
          <cell r="AO278">
            <v>688.95659999999998</v>
          </cell>
        </row>
        <row r="279">
          <cell r="C279">
            <v>264.72300000000001</v>
          </cell>
          <cell r="D279">
            <v>35.734900000000003</v>
          </cell>
          <cell r="E279">
            <v>786.12789999999995</v>
          </cell>
          <cell r="F279">
            <v>11.3751</v>
          </cell>
          <cell r="G279">
            <v>121.895</v>
          </cell>
          <cell r="H279">
            <v>3.5999999999999997E-2</v>
          </cell>
          <cell r="I279">
            <v>14.4306</v>
          </cell>
          <cell r="J279">
            <v>66.125600000000006</v>
          </cell>
          <cell r="K279">
            <v>533.38</v>
          </cell>
          <cell r="L279">
            <v>31.4268</v>
          </cell>
          <cell r="M279">
            <v>5.2743000000000002</v>
          </cell>
          <cell r="N279">
            <v>624.35940000000005</v>
          </cell>
          <cell r="O279">
            <v>29.553100000000001</v>
          </cell>
          <cell r="P279">
            <v>25.395399999999999</v>
          </cell>
          <cell r="Q279">
            <v>339.70499999999998</v>
          </cell>
          <cell r="R279">
            <v>3.6112000000000002</v>
          </cell>
          <cell r="S279">
            <v>860.2903</v>
          </cell>
          <cell r="T279">
            <v>133.345</v>
          </cell>
          <cell r="U279">
            <v>41.455599999999997</v>
          </cell>
          <cell r="V279">
            <v>223.13419999999999</v>
          </cell>
          <cell r="W279">
            <v>251.41399999999999</v>
          </cell>
          <cell r="X279">
            <v>61.076000000000001</v>
          </cell>
          <cell r="Y279">
            <v>126.5599</v>
          </cell>
          <cell r="Z279">
            <v>2.4527000000000001</v>
          </cell>
          <cell r="AA279">
            <v>1.8142</v>
          </cell>
          <cell r="AB279">
            <v>301.91140000000001</v>
          </cell>
          <cell r="AC279">
            <v>11.2235</v>
          </cell>
          <cell r="AD279">
            <v>3.4500000000000003E-2</v>
          </cell>
          <cell r="AE279">
            <v>10.257300000000001</v>
          </cell>
          <cell r="AF279">
            <v>19.038399999999999</v>
          </cell>
          <cell r="AG279">
            <v>1.2521</v>
          </cell>
          <cell r="AH279">
            <v>82.701899999999995</v>
          </cell>
          <cell r="AI279">
            <v>74.962699999999998</v>
          </cell>
          <cell r="AJ279">
            <v>14.4603</v>
          </cell>
          <cell r="AK279">
            <v>49.568899999999999</v>
          </cell>
          <cell r="AL279">
            <v>332.35759999999999</v>
          </cell>
          <cell r="AM279">
            <v>45.27</v>
          </cell>
          <cell r="AN279">
            <v>491.72300000000001</v>
          </cell>
          <cell r="AO279">
            <v>689.91920000000005</v>
          </cell>
        </row>
        <row r="280">
          <cell r="C280">
            <v>258.97379999999998</v>
          </cell>
          <cell r="D280">
            <v>35.6646</v>
          </cell>
          <cell r="E280">
            <v>785.96310000000005</v>
          </cell>
          <cell r="F280">
            <v>11.37</v>
          </cell>
          <cell r="G280">
            <v>121.6551</v>
          </cell>
          <cell r="H280">
            <v>3.5999999999999997E-2</v>
          </cell>
          <cell r="I280">
            <v>14.402200000000001</v>
          </cell>
          <cell r="J280">
            <v>65.993700000000004</v>
          </cell>
          <cell r="K280">
            <v>533.14</v>
          </cell>
          <cell r="L280">
            <v>31.364999999999998</v>
          </cell>
          <cell r="M280">
            <v>5.2363999999999997</v>
          </cell>
          <cell r="N280">
            <v>623.13080000000002</v>
          </cell>
          <cell r="O280">
            <v>29.495000000000001</v>
          </cell>
          <cell r="P280">
            <v>25.345400000000001</v>
          </cell>
          <cell r="Q280">
            <v>338.96629999999999</v>
          </cell>
          <cell r="R280">
            <v>3.6095999999999999</v>
          </cell>
          <cell r="S280">
            <v>859.90319999999997</v>
          </cell>
          <cell r="T280">
            <v>133.285</v>
          </cell>
          <cell r="U280">
            <v>41.436900000000001</v>
          </cell>
          <cell r="V280">
            <v>222.6951</v>
          </cell>
          <cell r="W280">
            <v>250.91919999999999</v>
          </cell>
          <cell r="X280">
            <v>60.6995</v>
          </cell>
          <cell r="Y280">
            <v>127.1651</v>
          </cell>
          <cell r="Z280">
            <v>2.4479000000000002</v>
          </cell>
          <cell r="AA280">
            <v>1.8133999999999999</v>
          </cell>
          <cell r="AB280">
            <v>301.89179999999999</v>
          </cell>
          <cell r="AC280">
            <v>11.2437</v>
          </cell>
          <cell r="AD280">
            <v>3.44E-2</v>
          </cell>
          <cell r="AE280">
            <v>10.252700000000001</v>
          </cell>
          <cell r="AF280">
            <v>19.0548</v>
          </cell>
          <cell r="AG280">
            <v>1.2515000000000001</v>
          </cell>
          <cell r="AH280">
            <v>82.539100000000005</v>
          </cell>
          <cell r="AI280">
            <v>74.815200000000004</v>
          </cell>
          <cell r="AJ280">
            <v>14.4693</v>
          </cell>
          <cell r="AK280">
            <v>49.695700000000002</v>
          </cell>
          <cell r="AL280">
            <v>331.34519999999998</v>
          </cell>
          <cell r="AM280">
            <v>44.715800000000002</v>
          </cell>
          <cell r="AN280">
            <v>490.75540000000001</v>
          </cell>
          <cell r="AO280">
            <v>687.96789999999999</v>
          </cell>
        </row>
        <row r="281">
          <cell r="C281">
            <v>264.26859999999999</v>
          </cell>
          <cell r="D281">
            <v>35.375900000000001</v>
          </cell>
          <cell r="E281">
            <v>782.60889999999995</v>
          </cell>
          <cell r="F281">
            <v>11.369400000000001</v>
          </cell>
          <cell r="G281">
            <v>120.6703</v>
          </cell>
          <cell r="H281">
            <v>3.5999999999999997E-2</v>
          </cell>
          <cell r="I281">
            <v>14.285600000000001</v>
          </cell>
          <cell r="J281">
            <v>65.456800000000001</v>
          </cell>
          <cell r="K281">
            <v>533.11</v>
          </cell>
          <cell r="L281">
            <v>31.1111</v>
          </cell>
          <cell r="M281">
            <v>5.2687999999999997</v>
          </cell>
          <cell r="N281">
            <v>618.08659999999998</v>
          </cell>
          <cell r="O281">
            <v>29.2562</v>
          </cell>
          <cell r="P281">
            <v>25.1402</v>
          </cell>
          <cell r="Q281">
            <v>337.62150000000003</v>
          </cell>
          <cell r="R281">
            <v>3.6093999999999999</v>
          </cell>
          <cell r="S281">
            <v>861.24390000000005</v>
          </cell>
          <cell r="T281">
            <v>133.2775</v>
          </cell>
          <cell r="U281">
            <v>41.448099999999997</v>
          </cell>
          <cell r="V281">
            <v>220.89240000000001</v>
          </cell>
          <cell r="W281">
            <v>248.88810000000001</v>
          </cell>
          <cell r="X281">
            <v>60.022500000000001</v>
          </cell>
          <cell r="Y281">
            <v>126.1161</v>
          </cell>
          <cell r="Z281">
            <v>2.4281000000000001</v>
          </cell>
          <cell r="AA281">
            <v>1.8139000000000001</v>
          </cell>
          <cell r="AB281">
            <v>301.91820000000001</v>
          </cell>
          <cell r="AC281">
            <v>11.1591</v>
          </cell>
          <cell r="AD281">
            <v>3.49E-2</v>
          </cell>
          <cell r="AE281">
            <v>10.2521</v>
          </cell>
          <cell r="AF281">
            <v>18.915199999999999</v>
          </cell>
          <cell r="AG281">
            <v>1.2464999999999999</v>
          </cell>
          <cell r="AH281">
            <v>81.870999999999995</v>
          </cell>
          <cell r="AI281">
            <v>74.209599999999995</v>
          </cell>
          <cell r="AJ281">
            <v>14.3543</v>
          </cell>
          <cell r="AK281">
            <v>50.018300000000004</v>
          </cell>
          <cell r="AL281">
            <v>329.77629999999999</v>
          </cell>
          <cell r="AM281">
            <v>44.650799999999997</v>
          </cell>
          <cell r="AN281">
            <v>486.78269999999998</v>
          </cell>
          <cell r="AO281">
            <v>687.18340000000001</v>
          </cell>
        </row>
        <row r="282">
          <cell r="C282">
            <v>264.26859999999999</v>
          </cell>
          <cell r="D282">
            <v>35.375900000000001</v>
          </cell>
          <cell r="E282">
            <v>782.60889999999995</v>
          </cell>
          <cell r="F282">
            <v>11.369400000000001</v>
          </cell>
          <cell r="G282">
            <v>120.6703</v>
          </cell>
          <cell r="H282">
            <v>3.5999999999999997E-2</v>
          </cell>
          <cell r="I282">
            <v>14.285600000000001</v>
          </cell>
          <cell r="J282">
            <v>65.456800000000001</v>
          </cell>
          <cell r="K282">
            <v>533.11</v>
          </cell>
          <cell r="L282">
            <v>31.1111</v>
          </cell>
          <cell r="M282">
            <v>5.2687999999999997</v>
          </cell>
          <cell r="N282">
            <v>618.08659999999998</v>
          </cell>
          <cell r="O282">
            <v>29.2562</v>
          </cell>
          <cell r="P282">
            <v>25.1402</v>
          </cell>
          <cell r="Q282">
            <v>337.62150000000003</v>
          </cell>
          <cell r="R282">
            <v>3.6093999999999999</v>
          </cell>
          <cell r="S282">
            <v>861.24390000000005</v>
          </cell>
          <cell r="T282">
            <v>133.2775</v>
          </cell>
          <cell r="U282">
            <v>41.448099999999997</v>
          </cell>
          <cell r="V282">
            <v>220.89240000000001</v>
          </cell>
          <cell r="W282">
            <v>248.88810000000001</v>
          </cell>
          <cell r="X282">
            <v>60.022500000000001</v>
          </cell>
          <cell r="Y282">
            <v>126.1161</v>
          </cell>
          <cell r="Z282">
            <v>2.4281000000000001</v>
          </cell>
          <cell r="AA282">
            <v>1.8139000000000001</v>
          </cell>
          <cell r="AB282">
            <v>301.91820000000001</v>
          </cell>
          <cell r="AC282">
            <v>11.1591</v>
          </cell>
          <cell r="AD282">
            <v>3.49E-2</v>
          </cell>
          <cell r="AE282">
            <v>10.2521</v>
          </cell>
          <cell r="AF282">
            <v>18.915199999999999</v>
          </cell>
          <cell r="AG282">
            <v>1.2464999999999999</v>
          </cell>
          <cell r="AH282">
            <v>81.870999999999995</v>
          </cell>
          <cell r="AI282">
            <v>74.209599999999995</v>
          </cell>
          <cell r="AJ282">
            <v>14.3543</v>
          </cell>
          <cell r="AK282">
            <v>50.018300000000004</v>
          </cell>
          <cell r="AL282">
            <v>329.77629999999999</v>
          </cell>
          <cell r="AM282">
            <v>44.650799999999997</v>
          </cell>
          <cell r="AN282">
            <v>486.78269999999998</v>
          </cell>
          <cell r="AO282">
            <v>687.22209999999995</v>
          </cell>
        </row>
        <row r="283">
          <cell r="C283">
            <v>271.17507333333339</v>
          </cell>
          <cell r="D283">
            <v>35.381009999999996</v>
          </cell>
          <cell r="E283">
            <v>780.71805333333316</v>
          </cell>
          <cell r="F283">
            <v>11.401336666666667</v>
          </cell>
          <cell r="G283">
            <v>120.68777999999999</v>
          </cell>
          <cell r="H283">
            <v>3.6220000000000009E-2</v>
          </cell>
          <cell r="I283">
            <v>14.287706666666663</v>
          </cell>
          <cell r="J283">
            <v>65.421536666666668</v>
          </cell>
          <cell r="K283">
            <v>533.89733333333345</v>
          </cell>
          <cell r="L283">
            <v>31.115596666666658</v>
          </cell>
          <cell r="M283">
            <v>5.3489866666666659</v>
          </cell>
          <cell r="N283">
            <v>618.17617999999993</v>
          </cell>
          <cell r="O283">
            <v>29.260470000000005</v>
          </cell>
          <cell r="P283">
            <v>25.143880000000006</v>
          </cell>
          <cell r="Q283">
            <v>341.54367666666656</v>
          </cell>
          <cell r="R283">
            <v>3.6198199999999994</v>
          </cell>
          <cell r="S283">
            <v>857.78515000000004</v>
          </cell>
          <cell r="T283">
            <v>133.47433333333336</v>
          </cell>
          <cell r="U283">
            <v>41.498680000000007</v>
          </cell>
          <cell r="V283">
            <v>220.9244066666667</v>
          </cell>
          <cell r="W283">
            <v>248.92414333333335</v>
          </cell>
          <cell r="X283">
            <v>60.819370000000021</v>
          </cell>
          <cell r="Y283">
            <v>126.5228</v>
          </cell>
          <cell r="Z283">
            <v>2.4284133333333333</v>
          </cell>
          <cell r="AA283">
            <v>1.8143300000000002</v>
          </cell>
          <cell r="AB283">
            <v>305.61454333333336</v>
          </cell>
          <cell r="AC283">
            <v>11.185963333333335</v>
          </cell>
          <cell r="AD283">
            <v>3.637E-2</v>
          </cell>
          <cell r="AE283">
            <v>10.267266666666666</v>
          </cell>
          <cell r="AF283">
            <v>19.029263333333336</v>
          </cell>
          <cell r="AG283">
            <v>1.2633599999999998</v>
          </cell>
          <cell r="AH283">
            <v>81.882860000000008</v>
          </cell>
          <cell r="AI283">
            <v>74.220303333333348</v>
          </cell>
          <cell r="AJ283">
            <v>14.246723333333332</v>
          </cell>
          <cell r="AK283">
            <v>50.385266666666666</v>
          </cell>
          <cell r="AL283">
            <v>326.3923099999999</v>
          </cell>
          <cell r="AM283">
            <v>44.987903333333321</v>
          </cell>
          <cell r="AN283">
            <v>486.85330666666664</v>
          </cell>
          <cell r="AO283">
            <v>686.7942966666667</v>
          </cell>
        </row>
        <row r="284">
          <cell r="C284">
            <v>264.26859999999999</v>
          </cell>
          <cell r="D284">
            <v>35.375900000000001</v>
          </cell>
          <cell r="E284">
            <v>782.60889999999995</v>
          </cell>
          <cell r="F284">
            <v>11.369400000000001</v>
          </cell>
          <cell r="G284">
            <v>120.6703</v>
          </cell>
          <cell r="H284">
            <v>3.5999999999999997E-2</v>
          </cell>
          <cell r="I284">
            <v>14.285600000000001</v>
          </cell>
          <cell r="J284">
            <v>65.456800000000001</v>
          </cell>
          <cell r="K284">
            <v>533.11</v>
          </cell>
          <cell r="L284">
            <v>31.1111</v>
          </cell>
          <cell r="M284">
            <v>5.2687999999999997</v>
          </cell>
          <cell r="N284">
            <v>618.08659999999998</v>
          </cell>
          <cell r="O284">
            <v>29.2562</v>
          </cell>
          <cell r="P284">
            <v>25.1402</v>
          </cell>
          <cell r="Q284">
            <v>337.62150000000003</v>
          </cell>
          <cell r="R284">
            <v>3.6093999999999999</v>
          </cell>
          <cell r="S284">
            <v>861.24390000000005</v>
          </cell>
          <cell r="T284">
            <v>133.2775</v>
          </cell>
          <cell r="U284">
            <v>41.448099999999997</v>
          </cell>
          <cell r="V284">
            <v>220.89240000000001</v>
          </cell>
          <cell r="W284">
            <v>248.88810000000001</v>
          </cell>
          <cell r="X284">
            <v>60.022500000000001</v>
          </cell>
          <cell r="Y284">
            <v>126.1161</v>
          </cell>
          <cell r="Z284">
            <v>2.4281000000000001</v>
          </cell>
          <cell r="AA284">
            <v>1.8139000000000001</v>
          </cell>
          <cell r="AB284">
            <v>301.91820000000001</v>
          </cell>
          <cell r="AC284">
            <v>11.1591</v>
          </cell>
          <cell r="AD284">
            <v>3.49E-2</v>
          </cell>
          <cell r="AE284">
            <v>10.2521</v>
          </cell>
          <cell r="AF284">
            <v>18.915199999999999</v>
          </cell>
          <cell r="AG284">
            <v>1.2464999999999999</v>
          </cell>
          <cell r="AH284">
            <v>81.870999999999995</v>
          </cell>
          <cell r="AI284">
            <v>74.209599999999995</v>
          </cell>
          <cell r="AJ284">
            <v>14.3543</v>
          </cell>
          <cell r="AK284">
            <v>50.018300000000004</v>
          </cell>
          <cell r="AL284">
            <v>329.77629999999999</v>
          </cell>
          <cell r="AM284">
            <v>44.650799999999997</v>
          </cell>
          <cell r="AN284">
            <v>486.78269999999998</v>
          </cell>
          <cell r="AO284">
            <v>687.18340000000001</v>
          </cell>
        </row>
        <row r="285">
          <cell r="C285">
            <v>262.48649999999998</v>
          </cell>
          <cell r="D285">
            <v>35.358600000000003</v>
          </cell>
          <cell r="E285">
            <v>788.05470000000003</v>
          </cell>
          <cell r="F285">
            <v>11.3713</v>
          </cell>
          <cell r="G285">
            <v>120.6114</v>
          </cell>
          <cell r="H285">
            <v>3.5900000000000001E-2</v>
          </cell>
          <cell r="I285">
            <v>14.278700000000001</v>
          </cell>
          <cell r="J285">
            <v>65.429299999999998</v>
          </cell>
          <cell r="K285">
            <v>533.20000000000005</v>
          </cell>
          <cell r="L285">
            <v>31.0959</v>
          </cell>
          <cell r="M285">
            <v>5.3186</v>
          </cell>
          <cell r="N285">
            <v>617.78470000000004</v>
          </cell>
          <cell r="O285">
            <v>29.241900000000001</v>
          </cell>
          <cell r="P285">
            <v>25.128</v>
          </cell>
          <cell r="Q285">
            <v>337.71429999999998</v>
          </cell>
          <cell r="R285">
            <v>3.6088</v>
          </cell>
          <cell r="S285">
            <v>858.61509999999998</v>
          </cell>
          <cell r="T285">
            <v>133.30000000000001</v>
          </cell>
          <cell r="U285">
            <v>41.454500000000003</v>
          </cell>
          <cell r="V285">
            <v>220.78450000000001</v>
          </cell>
          <cell r="W285">
            <v>248.76650000000001</v>
          </cell>
          <cell r="X285">
            <v>60.174999999999997</v>
          </cell>
          <cell r="Y285">
            <v>126.26049999999999</v>
          </cell>
          <cell r="Z285">
            <v>2.4268999999999998</v>
          </cell>
          <cell r="AA285">
            <v>1.8118000000000001</v>
          </cell>
          <cell r="AB285">
            <v>301.71460000000002</v>
          </cell>
          <cell r="AC285">
            <v>11.159800000000001</v>
          </cell>
          <cell r="AD285">
            <v>3.44E-2</v>
          </cell>
          <cell r="AE285">
            <v>10.2538</v>
          </cell>
          <cell r="AF285">
            <v>18.911799999999999</v>
          </cell>
          <cell r="AG285">
            <v>1.2466999999999999</v>
          </cell>
          <cell r="AH285">
            <v>81.831000000000003</v>
          </cell>
          <cell r="AI285">
            <v>74.173299999999998</v>
          </cell>
          <cell r="AJ285">
            <v>14.390599999999999</v>
          </cell>
          <cell r="AK285">
            <v>49.988700000000001</v>
          </cell>
          <cell r="AL285">
            <v>328.7688</v>
          </cell>
          <cell r="AM285">
            <v>44.555399999999999</v>
          </cell>
          <cell r="AN285">
            <v>486.54500000000002</v>
          </cell>
          <cell r="AO285">
            <v>685.6952</v>
          </cell>
        </row>
        <row r="286">
          <cell r="C286">
            <v>263.10680000000002</v>
          </cell>
          <cell r="D286">
            <v>35.6066</v>
          </cell>
          <cell r="E286">
            <v>789.23559999999998</v>
          </cell>
          <cell r="F286">
            <v>11.3713</v>
          </cell>
          <cell r="G286">
            <v>121.4573</v>
          </cell>
          <cell r="H286">
            <v>3.5900000000000001E-2</v>
          </cell>
          <cell r="I286">
            <v>14.3788</v>
          </cell>
          <cell r="J286">
            <v>65.897000000000006</v>
          </cell>
          <cell r="K286">
            <v>533.20000000000005</v>
          </cell>
          <cell r="L286">
            <v>31.314</v>
          </cell>
          <cell r="M286">
            <v>5.2945000000000002</v>
          </cell>
          <cell r="N286">
            <v>622.11770000000001</v>
          </cell>
          <cell r="O286">
            <v>29.446999999999999</v>
          </cell>
          <cell r="P286">
            <v>25.304200000000002</v>
          </cell>
          <cell r="Q286">
            <v>339.54090000000002</v>
          </cell>
          <cell r="R286">
            <v>3.6088</v>
          </cell>
          <cell r="S286">
            <v>855.8587</v>
          </cell>
          <cell r="T286">
            <v>133.30000000000001</v>
          </cell>
          <cell r="U286">
            <v>41.453200000000002</v>
          </cell>
          <cell r="V286">
            <v>222.333</v>
          </cell>
          <cell r="W286">
            <v>250.51130000000001</v>
          </cell>
          <cell r="X286">
            <v>60.570799999999998</v>
          </cell>
          <cell r="Y286">
            <v>126.6138</v>
          </cell>
          <cell r="Z286">
            <v>2.4439000000000002</v>
          </cell>
          <cell r="AA286">
            <v>1.8105</v>
          </cell>
          <cell r="AB286">
            <v>300.1087</v>
          </cell>
          <cell r="AC286">
            <v>11.2712</v>
          </cell>
          <cell r="AD286">
            <v>3.4000000000000002E-2</v>
          </cell>
          <cell r="AE286">
            <v>10.2538</v>
          </cell>
          <cell r="AF286">
            <v>18.992100000000001</v>
          </cell>
          <cell r="AG286">
            <v>1.2466999999999999</v>
          </cell>
          <cell r="AH286">
            <v>82.404899999999998</v>
          </cell>
          <cell r="AI286">
            <v>74.6935</v>
          </cell>
          <cell r="AJ286">
            <v>14.578200000000001</v>
          </cell>
          <cell r="AK286">
            <v>50.105600000000003</v>
          </cell>
          <cell r="AL286">
            <v>330.9853</v>
          </cell>
          <cell r="AM286">
            <v>44.247900000000001</v>
          </cell>
          <cell r="AN286">
            <v>489.95749999999998</v>
          </cell>
          <cell r="AO286">
            <v>685.85919999999999</v>
          </cell>
        </row>
        <row r="287">
          <cell r="C287">
            <v>265.8854</v>
          </cell>
          <cell r="D287">
            <v>35.675400000000003</v>
          </cell>
          <cell r="E287">
            <v>786.07550000000003</v>
          </cell>
          <cell r="F287">
            <v>11.368499999999999</v>
          </cell>
          <cell r="G287">
            <v>121.69199999999999</v>
          </cell>
          <cell r="H287">
            <v>3.5900000000000001E-2</v>
          </cell>
          <cell r="I287">
            <v>14.406599999999999</v>
          </cell>
          <cell r="J287">
            <v>66.024299999999997</v>
          </cell>
          <cell r="K287">
            <v>533.07000000000005</v>
          </cell>
          <cell r="L287">
            <v>31.374500000000001</v>
          </cell>
          <cell r="M287">
            <v>5.2808000000000002</v>
          </cell>
          <cell r="N287">
            <v>623.31970000000001</v>
          </cell>
          <cell r="O287">
            <v>29.503900000000002</v>
          </cell>
          <cell r="P287">
            <v>25.353100000000001</v>
          </cell>
          <cell r="Q287">
            <v>340.17340000000002</v>
          </cell>
          <cell r="R287">
            <v>3.6078999999999999</v>
          </cell>
          <cell r="S287">
            <v>858.4058</v>
          </cell>
          <cell r="T287">
            <v>133.26750000000001</v>
          </cell>
          <cell r="U287">
            <v>41.444400000000002</v>
          </cell>
          <cell r="V287">
            <v>222.76259999999999</v>
          </cell>
          <cell r="W287">
            <v>250.99529999999999</v>
          </cell>
          <cell r="X287">
            <v>60.729199999999999</v>
          </cell>
          <cell r="Y287">
            <v>127.15089999999999</v>
          </cell>
          <cell r="Z287">
            <v>2.4485999999999999</v>
          </cell>
          <cell r="AA287">
            <v>1.8082</v>
          </cell>
          <cell r="AB287">
            <v>299.49619999999999</v>
          </cell>
          <cell r="AC287">
            <v>11.2865</v>
          </cell>
          <cell r="AD287">
            <v>3.3799999999999997E-2</v>
          </cell>
          <cell r="AE287">
            <v>10.251300000000001</v>
          </cell>
          <cell r="AF287">
            <v>19.081299999999999</v>
          </cell>
          <cell r="AG287">
            <v>1.2464</v>
          </cell>
          <cell r="AH287">
            <v>82.5642</v>
          </cell>
          <cell r="AI287">
            <v>74.837900000000005</v>
          </cell>
          <cell r="AJ287">
            <v>14.596299999999999</v>
          </cell>
          <cell r="AK287">
            <v>50.405000000000001</v>
          </cell>
          <cell r="AL287">
            <v>330.7088</v>
          </cell>
          <cell r="AM287">
            <v>44.011499999999998</v>
          </cell>
          <cell r="AN287">
            <v>490.9042</v>
          </cell>
          <cell r="AO287">
            <v>685.91700000000003</v>
          </cell>
        </row>
        <row r="288">
          <cell r="C288">
            <v>265.26749999999998</v>
          </cell>
          <cell r="D288">
            <v>35.2898</v>
          </cell>
          <cell r="E288">
            <v>784.23569999999995</v>
          </cell>
          <cell r="F288">
            <v>11.3591</v>
          </cell>
          <cell r="G288">
            <v>120.3768</v>
          </cell>
          <cell r="H288">
            <v>3.5799999999999998E-2</v>
          </cell>
          <cell r="I288">
            <v>14.2509</v>
          </cell>
          <cell r="J288">
            <v>65.315200000000004</v>
          </cell>
          <cell r="K288">
            <v>532.63</v>
          </cell>
          <cell r="L288">
            <v>31.035399999999999</v>
          </cell>
          <cell r="M288">
            <v>5.2428999999999997</v>
          </cell>
          <cell r="N288">
            <v>616.58330000000001</v>
          </cell>
          <cell r="O288">
            <v>29.185099999999998</v>
          </cell>
          <cell r="P288">
            <v>25.0791</v>
          </cell>
          <cell r="Q288">
            <v>339.9837</v>
          </cell>
          <cell r="R288">
            <v>3.6049000000000002</v>
          </cell>
          <cell r="S288">
            <v>857.69730000000004</v>
          </cell>
          <cell r="T288">
            <v>133.1575</v>
          </cell>
          <cell r="U288">
            <v>41.410200000000003</v>
          </cell>
          <cell r="V288">
            <v>220.35509999999999</v>
          </cell>
          <cell r="W288">
            <v>248.28270000000001</v>
          </cell>
          <cell r="X288">
            <v>60.244199999999999</v>
          </cell>
          <cell r="Y288">
            <v>127.12009999999999</v>
          </cell>
          <cell r="Z288">
            <v>2.4222000000000001</v>
          </cell>
          <cell r="AA288">
            <v>1.8055000000000001</v>
          </cell>
          <cell r="AB288">
            <v>299.512</v>
          </cell>
          <cell r="AC288">
            <v>11.158099999999999</v>
          </cell>
          <cell r="AD288">
            <v>3.3300000000000003E-2</v>
          </cell>
          <cell r="AE288">
            <v>10.242900000000001</v>
          </cell>
          <cell r="AF288">
            <v>18.871400000000001</v>
          </cell>
          <cell r="AG288">
            <v>1.2454000000000001</v>
          </cell>
          <cell r="AH288">
            <v>81.671899999999994</v>
          </cell>
          <cell r="AI288">
            <v>74.0291</v>
          </cell>
          <cell r="AJ288">
            <v>14.418900000000001</v>
          </cell>
          <cell r="AK288">
            <v>50.114899999999999</v>
          </cell>
          <cell r="AL288">
            <v>326.87049999999999</v>
          </cell>
          <cell r="AM288">
            <v>44.165399999999998</v>
          </cell>
          <cell r="AN288">
            <v>485.59879999999998</v>
          </cell>
          <cell r="AO288">
            <v>684.71469999999999</v>
          </cell>
        </row>
        <row r="289">
          <cell r="C289">
            <v>269.88589999999999</v>
          </cell>
          <cell r="D289">
            <v>35.486499999999999</v>
          </cell>
          <cell r="E289">
            <v>787.08010000000002</v>
          </cell>
          <cell r="F289">
            <v>11.3515</v>
          </cell>
          <cell r="G289">
            <v>121.0475</v>
          </cell>
          <cell r="H289">
            <v>3.5799999999999998E-2</v>
          </cell>
          <cell r="I289">
            <v>14.330299999999999</v>
          </cell>
          <cell r="J289">
            <v>65.677300000000002</v>
          </cell>
          <cell r="K289">
            <v>532.27</v>
          </cell>
          <cell r="L289">
            <v>31.208300000000001</v>
          </cell>
          <cell r="M289">
            <v>5.1958000000000002</v>
          </cell>
          <cell r="N289">
            <v>620.01880000000006</v>
          </cell>
          <cell r="O289">
            <v>29.3477</v>
          </cell>
          <cell r="P289">
            <v>25.218800000000002</v>
          </cell>
          <cell r="Q289">
            <v>339.52480000000003</v>
          </cell>
          <cell r="R289">
            <v>3.6025</v>
          </cell>
          <cell r="S289">
            <v>855.73950000000002</v>
          </cell>
          <cell r="T289">
            <v>133.0675</v>
          </cell>
          <cell r="U289">
            <v>41.383099999999999</v>
          </cell>
          <cell r="V289">
            <v>221.5829</v>
          </cell>
          <cell r="W289">
            <v>249.6661</v>
          </cell>
          <cell r="X289">
            <v>60.508600000000001</v>
          </cell>
          <cell r="Y289">
            <v>128.31880000000001</v>
          </cell>
          <cell r="Z289">
            <v>2.4357000000000002</v>
          </cell>
          <cell r="AA289">
            <v>1.8030999999999999</v>
          </cell>
          <cell r="AB289">
            <v>297.65589999999997</v>
          </cell>
          <cell r="AC289">
            <v>11.212</v>
          </cell>
          <cell r="AD289">
            <v>3.2800000000000003E-2</v>
          </cell>
          <cell r="AE289">
            <v>10.236000000000001</v>
          </cell>
          <cell r="AF289">
            <v>19.0017</v>
          </cell>
          <cell r="AG289">
            <v>1.2445999999999999</v>
          </cell>
          <cell r="AH289">
            <v>82.126900000000006</v>
          </cell>
          <cell r="AI289">
            <v>74.441500000000005</v>
          </cell>
          <cell r="AJ289">
            <v>14.4992</v>
          </cell>
          <cell r="AK289">
            <v>50.164299999999997</v>
          </cell>
          <cell r="AL289">
            <v>328.29399999999998</v>
          </cell>
          <cell r="AM289">
            <v>44.266599999999997</v>
          </cell>
          <cell r="AN289">
            <v>488.30450000000002</v>
          </cell>
          <cell r="AO289">
            <v>685.31179999999995</v>
          </cell>
        </row>
        <row r="290">
          <cell r="C290">
            <v>269.88589999999999</v>
          </cell>
          <cell r="D290">
            <v>35.486499999999999</v>
          </cell>
          <cell r="E290">
            <v>787.08010000000002</v>
          </cell>
          <cell r="F290">
            <v>11.3515</v>
          </cell>
          <cell r="G290">
            <v>121.0475</v>
          </cell>
          <cell r="H290">
            <v>3.5799999999999998E-2</v>
          </cell>
          <cell r="I290">
            <v>14.330299999999999</v>
          </cell>
          <cell r="J290">
            <v>65.677300000000002</v>
          </cell>
          <cell r="K290">
            <v>532.27</v>
          </cell>
          <cell r="L290">
            <v>31.208300000000001</v>
          </cell>
          <cell r="M290">
            <v>5.1958000000000002</v>
          </cell>
          <cell r="N290">
            <v>620.01880000000006</v>
          </cell>
          <cell r="O290">
            <v>29.3477</v>
          </cell>
          <cell r="P290">
            <v>25.218800000000002</v>
          </cell>
          <cell r="Q290">
            <v>339.52480000000003</v>
          </cell>
          <cell r="R290">
            <v>3.6025</v>
          </cell>
          <cell r="S290">
            <v>855.73950000000002</v>
          </cell>
          <cell r="T290">
            <v>133.0675</v>
          </cell>
          <cell r="U290">
            <v>41.383099999999999</v>
          </cell>
          <cell r="V290">
            <v>221.5829</v>
          </cell>
          <cell r="W290">
            <v>249.6661</v>
          </cell>
          <cell r="X290">
            <v>60.508600000000001</v>
          </cell>
          <cell r="Y290">
            <v>128.31880000000001</v>
          </cell>
          <cell r="Z290">
            <v>2.4357000000000002</v>
          </cell>
          <cell r="AA290">
            <v>1.8030999999999999</v>
          </cell>
          <cell r="AB290">
            <v>297.65589999999997</v>
          </cell>
          <cell r="AC290">
            <v>11.212</v>
          </cell>
          <cell r="AD290">
            <v>3.2800000000000003E-2</v>
          </cell>
          <cell r="AE290">
            <v>10.236000000000001</v>
          </cell>
          <cell r="AF290">
            <v>19.0017</v>
          </cell>
          <cell r="AG290">
            <v>1.2445999999999999</v>
          </cell>
          <cell r="AH290">
            <v>82.126900000000006</v>
          </cell>
          <cell r="AI290">
            <v>74.441500000000005</v>
          </cell>
          <cell r="AJ290">
            <v>14.4992</v>
          </cell>
          <cell r="AK290">
            <v>50.164299999999997</v>
          </cell>
          <cell r="AL290">
            <v>328.29399999999998</v>
          </cell>
          <cell r="AM290">
            <v>44.266599999999997</v>
          </cell>
          <cell r="AN290">
            <v>488.30450000000002</v>
          </cell>
          <cell r="AO290">
            <v>685.31179999999995</v>
          </cell>
        </row>
        <row r="291">
          <cell r="C291">
            <v>269.88589999999999</v>
          </cell>
          <cell r="D291">
            <v>35.486499999999999</v>
          </cell>
          <cell r="E291">
            <v>787.08010000000002</v>
          </cell>
          <cell r="F291">
            <v>11.3515</v>
          </cell>
          <cell r="G291">
            <v>121.0475</v>
          </cell>
          <cell r="H291">
            <v>3.5799999999999998E-2</v>
          </cell>
          <cell r="I291">
            <v>14.330299999999999</v>
          </cell>
          <cell r="J291">
            <v>65.677300000000002</v>
          </cell>
          <cell r="K291">
            <v>532.27</v>
          </cell>
          <cell r="L291">
            <v>31.208300000000001</v>
          </cell>
          <cell r="M291">
            <v>5.1958000000000002</v>
          </cell>
          <cell r="N291">
            <v>620.01880000000006</v>
          </cell>
          <cell r="O291">
            <v>29.3477</v>
          </cell>
          <cell r="P291">
            <v>25.218800000000002</v>
          </cell>
          <cell r="Q291">
            <v>339.52480000000003</v>
          </cell>
          <cell r="R291">
            <v>3.6025</v>
          </cell>
          <cell r="S291">
            <v>855.73950000000002</v>
          </cell>
          <cell r="T291">
            <v>133.0675</v>
          </cell>
          <cell r="U291">
            <v>41.383099999999999</v>
          </cell>
          <cell r="V291">
            <v>221.5829</v>
          </cell>
          <cell r="W291">
            <v>249.6661</v>
          </cell>
          <cell r="X291">
            <v>60.508600000000001</v>
          </cell>
          <cell r="Y291">
            <v>128.31880000000001</v>
          </cell>
          <cell r="Z291">
            <v>2.4357000000000002</v>
          </cell>
          <cell r="AA291">
            <v>1.8030999999999999</v>
          </cell>
          <cell r="AB291">
            <v>297.65589999999997</v>
          </cell>
          <cell r="AC291">
            <v>11.212</v>
          </cell>
          <cell r="AD291">
            <v>3.2800000000000003E-2</v>
          </cell>
          <cell r="AE291">
            <v>10.236000000000001</v>
          </cell>
          <cell r="AF291">
            <v>19.0017</v>
          </cell>
          <cell r="AG291">
            <v>1.2445999999999999</v>
          </cell>
          <cell r="AH291">
            <v>82.126900000000006</v>
          </cell>
          <cell r="AI291">
            <v>74.441500000000005</v>
          </cell>
          <cell r="AJ291">
            <v>14.4992</v>
          </cell>
          <cell r="AK291">
            <v>50.164299999999997</v>
          </cell>
          <cell r="AL291">
            <v>328.29399999999998</v>
          </cell>
          <cell r="AM291">
            <v>44.266599999999997</v>
          </cell>
          <cell r="AN291">
            <v>488.30450000000002</v>
          </cell>
          <cell r="AO291">
            <v>685.31179999999995</v>
          </cell>
        </row>
        <row r="292">
          <cell r="C292">
            <v>269.91390000000001</v>
          </cell>
          <cell r="D292">
            <v>35.641199999999998</v>
          </cell>
          <cell r="E292">
            <v>784.56820000000005</v>
          </cell>
          <cell r="F292">
            <v>11.3515</v>
          </cell>
          <cell r="G292">
            <v>121.5753</v>
          </cell>
          <cell r="H292">
            <v>3.5799999999999998E-2</v>
          </cell>
          <cell r="I292">
            <v>14.392799999999999</v>
          </cell>
          <cell r="J292">
            <v>65.969899999999996</v>
          </cell>
          <cell r="K292">
            <v>532.27</v>
          </cell>
          <cell r="L292">
            <v>31.3444</v>
          </cell>
          <cell r="M292">
            <v>5.2173999999999996</v>
          </cell>
          <cell r="N292">
            <v>622.72220000000004</v>
          </cell>
          <cell r="O292">
            <v>29.4757</v>
          </cell>
          <cell r="P292">
            <v>25.328800000000001</v>
          </cell>
          <cell r="Q292">
            <v>340.57889999999998</v>
          </cell>
          <cell r="R292">
            <v>3.5989</v>
          </cell>
          <cell r="S292">
            <v>857.11760000000004</v>
          </cell>
          <cell r="T292">
            <v>133.0675</v>
          </cell>
          <cell r="U292">
            <v>41.3812</v>
          </cell>
          <cell r="V292">
            <v>222.54910000000001</v>
          </cell>
          <cell r="W292">
            <v>250.75470000000001</v>
          </cell>
          <cell r="X292">
            <v>60.847799999999999</v>
          </cell>
          <cell r="Y292">
            <v>127.3853</v>
          </cell>
          <cell r="Z292">
            <v>2.4462999999999999</v>
          </cell>
          <cell r="AA292">
            <v>1.8030999999999999</v>
          </cell>
          <cell r="AB292">
            <v>296.63920000000002</v>
          </cell>
          <cell r="AC292">
            <v>11.2181</v>
          </cell>
          <cell r="AD292">
            <v>3.27E-2</v>
          </cell>
          <cell r="AE292">
            <v>10.236000000000001</v>
          </cell>
          <cell r="AF292">
            <v>18.932700000000001</v>
          </cell>
          <cell r="AG292">
            <v>1.2402</v>
          </cell>
          <cell r="AH292">
            <v>82.484999999999999</v>
          </cell>
          <cell r="AI292">
            <v>74.766099999999994</v>
          </cell>
          <cell r="AJ292">
            <v>14.5314</v>
          </cell>
          <cell r="AK292">
            <v>50.354100000000003</v>
          </cell>
          <cell r="AL292">
            <v>332.22710000000001</v>
          </cell>
          <cell r="AM292">
            <v>44.4435</v>
          </cell>
          <cell r="AN292">
            <v>490.43360000000001</v>
          </cell>
          <cell r="AO292">
            <v>685.31179999999995</v>
          </cell>
        </row>
        <row r="293">
          <cell r="C293">
            <v>268.06659999999999</v>
          </cell>
          <cell r="D293">
            <v>35.5473</v>
          </cell>
          <cell r="E293">
            <v>781.75030000000004</v>
          </cell>
          <cell r="F293">
            <v>11.3474</v>
          </cell>
          <cell r="G293">
            <v>121.25490000000001</v>
          </cell>
          <cell r="H293">
            <v>3.5700000000000003E-2</v>
          </cell>
          <cell r="I293">
            <v>14.354799999999999</v>
          </cell>
          <cell r="J293">
            <v>65.787199999999999</v>
          </cell>
          <cell r="K293">
            <v>532.08000000000004</v>
          </cell>
          <cell r="L293">
            <v>31.261800000000001</v>
          </cell>
          <cell r="M293">
            <v>5.1986999999999997</v>
          </cell>
          <cell r="N293">
            <v>621.08109999999999</v>
          </cell>
          <cell r="O293">
            <v>29.398</v>
          </cell>
          <cell r="P293">
            <v>25.262</v>
          </cell>
          <cell r="Q293">
            <v>341.22160000000002</v>
          </cell>
          <cell r="R293">
            <v>3.5975999999999999</v>
          </cell>
          <cell r="S293">
            <v>858.19349999999997</v>
          </cell>
          <cell r="T293">
            <v>133.02000000000001</v>
          </cell>
          <cell r="U293">
            <v>41.373800000000003</v>
          </cell>
          <cell r="V293">
            <v>221.96260000000001</v>
          </cell>
          <cell r="W293">
            <v>250.09389999999999</v>
          </cell>
          <cell r="X293">
            <v>60.9636</v>
          </cell>
          <cell r="Y293">
            <v>127.77979999999999</v>
          </cell>
          <cell r="Z293">
            <v>2.4398</v>
          </cell>
          <cell r="AA293">
            <v>1.8033999999999999</v>
          </cell>
          <cell r="AB293">
            <v>294.87650000000002</v>
          </cell>
          <cell r="AC293">
            <v>11.1934</v>
          </cell>
          <cell r="AD293">
            <v>3.2500000000000001E-2</v>
          </cell>
          <cell r="AE293">
            <v>10.2323</v>
          </cell>
          <cell r="AF293">
            <v>19.048999999999999</v>
          </cell>
          <cell r="AG293">
            <v>1.2397</v>
          </cell>
          <cell r="AH293">
            <v>82.267600000000002</v>
          </cell>
          <cell r="AI293">
            <v>74.569100000000006</v>
          </cell>
          <cell r="AJ293">
            <v>14.539199999999999</v>
          </cell>
          <cell r="AK293">
            <v>50.538899999999998</v>
          </cell>
          <cell r="AL293">
            <v>330.1884</v>
          </cell>
          <cell r="AM293">
            <v>44.222099999999998</v>
          </cell>
          <cell r="AN293">
            <v>489.14109999999999</v>
          </cell>
          <cell r="AO293">
            <v>685.74170000000004</v>
          </cell>
        </row>
        <row r="294">
          <cell r="C294">
            <v>267.09829999999999</v>
          </cell>
          <cell r="D294">
            <v>35.3063</v>
          </cell>
          <cell r="E294">
            <v>772.86839999999995</v>
          </cell>
          <cell r="F294">
            <v>11.3408</v>
          </cell>
          <cell r="G294">
            <v>120.4329</v>
          </cell>
          <cell r="H294">
            <v>3.5700000000000003E-2</v>
          </cell>
          <cell r="I294">
            <v>14.2575</v>
          </cell>
          <cell r="J294">
            <v>65.339500000000001</v>
          </cell>
          <cell r="K294">
            <v>531.77</v>
          </cell>
          <cell r="L294">
            <v>31.049900000000001</v>
          </cell>
          <cell r="M294">
            <v>5.1909999999999998</v>
          </cell>
          <cell r="N294">
            <v>616.87059999999997</v>
          </cell>
          <cell r="O294">
            <v>29.198699999999999</v>
          </cell>
          <cell r="P294">
            <v>25.090800000000002</v>
          </cell>
          <cell r="Q294">
            <v>339.59530000000001</v>
          </cell>
          <cell r="R294">
            <v>3.5954999999999999</v>
          </cell>
          <cell r="S294">
            <v>857.69349999999997</v>
          </cell>
          <cell r="T294">
            <v>132.9425</v>
          </cell>
          <cell r="U294">
            <v>41.347799999999999</v>
          </cell>
          <cell r="V294">
            <v>220.45779999999999</v>
          </cell>
          <cell r="W294">
            <v>248.39840000000001</v>
          </cell>
          <cell r="X294">
            <v>60.758499999999998</v>
          </cell>
          <cell r="Y294">
            <v>128.0104</v>
          </cell>
          <cell r="Z294">
            <v>2.4232999999999998</v>
          </cell>
          <cell r="AA294">
            <v>1.8026</v>
          </cell>
          <cell r="AB294">
            <v>293.60309999999998</v>
          </cell>
          <cell r="AC294">
            <v>11.140700000000001</v>
          </cell>
          <cell r="AD294">
            <v>3.2599999999999997E-2</v>
          </cell>
          <cell r="AE294">
            <v>10.2263</v>
          </cell>
          <cell r="AF294">
            <v>18.981200000000001</v>
          </cell>
          <cell r="AG294">
            <v>1.2390000000000001</v>
          </cell>
          <cell r="AH294">
            <v>81.709900000000005</v>
          </cell>
          <cell r="AI294">
            <v>74.063599999999994</v>
          </cell>
          <cell r="AJ294">
            <v>14.456899999999999</v>
          </cell>
          <cell r="AK294">
            <v>50.3399</v>
          </cell>
          <cell r="AL294">
            <v>327.68450000000001</v>
          </cell>
          <cell r="AM294">
            <v>44.314999999999998</v>
          </cell>
          <cell r="AN294">
            <v>485.82510000000002</v>
          </cell>
          <cell r="AO294">
            <v>682.27340000000004</v>
          </cell>
        </row>
        <row r="295">
          <cell r="C295">
            <v>265.53809999999999</v>
          </cell>
          <cell r="D295">
            <v>34.991999999999997</v>
          </cell>
          <cell r="E295">
            <v>770.154</v>
          </cell>
          <cell r="F295">
            <v>11.307499999999999</v>
          </cell>
          <cell r="G295">
            <v>119.3608</v>
          </cell>
          <cell r="H295">
            <v>3.5700000000000003E-2</v>
          </cell>
          <cell r="I295">
            <v>14.130599999999999</v>
          </cell>
          <cell r="J295">
            <v>64.745599999999996</v>
          </cell>
          <cell r="K295">
            <v>531.34</v>
          </cell>
          <cell r="L295">
            <v>30.773499999999999</v>
          </cell>
          <cell r="M295">
            <v>5.2698</v>
          </cell>
          <cell r="N295">
            <v>611.37929999999994</v>
          </cell>
          <cell r="O295">
            <v>28.938800000000001</v>
          </cell>
          <cell r="P295">
            <v>24.8674</v>
          </cell>
          <cell r="Q295">
            <v>339.18029999999999</v>
          </cell>
          <cell r="R295">
            <v>3.5926</v>
          </cell>
          <cell r="S295">
            <v>852.8732</v>
          </cell>
          <cell r="T295">
            <v>132.83500000000001</v>
          </cell>
          <cell r="U295">
            <v>41.314100000000003</v>
          </cell>
          <cell r="V295">
            <v>218.49529999999999</v>
          </cell>
          <cell r="W295">
            <v>246.18719999999999</v>
          </cell>
          <cell r="X295">
            <v>60.398899999999998</v>
          </cell>
          <cell r="Y295">
            <v>129.11619999999999</v>
          </cell>
          <cell r="Z295">
            <v>2.4016999999999999</v>
          </cell>
          <cell r="AA295">
            <v>1.7992999999999999</v>
          </cell>
          <cell r="AB295">
            <v>291.87139999999999</v>
          </cell>
          <cell r="AC295">
            <v>11.053000000000001</v>
          </cell>
          <cell r="AD295">
            <v>3.2899999999999999E-2</v>
          </cell>
          <cell r="AE295">
            <v>10.2181</v>
          </cell>
          <cell r="AF295">
            <v>18.888300000000001</v>
          </cell>
          <cell r="AG295">
            <v>1.238</v>
          </cell>
          <cell r="AH295">
            <v>80.982500000000002</v>
          </cell>
          <cell r="AI295">
            <v>73.404200000000003</v>
          </cell>
          <cell r="AJ295">
            <v>14.348699999999999</v>
          </cell>
          <cell r="AK295">
            <v>50.347700000000003</v>
          </cell>
          <cell r="AL295">
            <v>324.19900000000001</v>
          </cell>
          <cell r="AM295">
            <v>43.952599999999997</v>
          </cell>
          <cell r="AN295">
            <v>481.50029999999998</v>
          </cell>
          <cell r="AO295">
            <v>679.78189999999995</v>
          </cell>
        </row>
        <row r="296">
          <cell r="C296">
            <v>265.3682</v>
          </cell>
          <cell r="D296">
            <v>34.886699999999998</v>
          </cell>
          <cell r="E296">
            <v>768.32770000000005</v>
          </cell>
          <cell r="F296">
            <v>11.3009</v>
          </cell>
          <cell r="G296">
            <v>119.0016</v>
          </cell>
          <cell r="H296">
            <v>3.5700000000000003E-2</v>
          </cell>
          <cell r="I296">
            <v>14.088100000000001</v>
          </cell>
          <cell r="J296">
            <v>64.549899999999994</v>
          </cell>
          <cell r="K296">
            <v>531.03</v>
          </cell>
          <cell r="L296">
            <v>30.680900000000001</v>
          </cell>
          <cell r="M296">
            <v>5.2892000000000001</v>
          </cell>
          <cell r="N296">
            <v>609.53920000000005</v>
          </cell>
          <cell r="O296">
            <v>28.851700000000001</v>
          </cell>
          <cell r="P296">
            <v>24.7926</v>
          </cell>
          <cell r="Q296">
            <v>340.1241</v>
          </cell>
          <cell r="R296">
            <v>3.5905</v>
          </cell>
          <cell r="S296">
            <v>852.37559999999996</v>
          </cell>
          <cell r="T296">
            <v>132.75749999999999</v>
          </cell>
          <cell r="U296">
            <v>41.291899999999998</v>
          </cell>
          <cell r="V296">
            <v>217.83770000000001</v>
          </cell>
          <cell r="W296">
            <v>245.4462</v>
          </cell>
          <cell r="X296">
            <v>60.341999999999999</v>
          </cell>
          <cell r="Y296">
            <v>128.25299999999999</v>
          </cell>
          <cell r="Z296">
            <v>2.3944999999999999</v>
          </cell>
          <cell r="AA296">
            <v>1.8001</v>
          </cell>
          <cell r="AB296">
            <v>292.35759999999999</v>
          </cell>
          <cell r="AC296">
            <v>11.054</v>
          </cell>
          <cell r="AD296">
            <v>3.3300000000000003E-2</v>
          </cell>
          <cell r="AE296">
            <v>10.2121</v>
          </cell>
          <cell r="AF296">
            <v>18.7791</v>
          </cell>
          <cell r="AG296">
            <v>1.2373000000000001</v>
          </cell>
          <cell r="AH296">
            <v>80.738799999999998</v>
          </cell>
          <cell r="AI296">
            <v>73.183300000000003</v>
          </cell>
          <cell r="AJ296">
            <v>14.318300000000001</v>
          </cell>
          <cell r="AK296">
            <v>50.420200000000001</v>
          </cell>
          <cell r="AL296">
            <v>323.81189999999998</v>
          </cell>
          <cell r="AM296">
            <v>43.780299999999997</v>
          </cell>
          <cell r="AN296">
            <v>480.05110000000002</v>
          </cell>
          <cell r="AO296">
            <v>678.37249999999995</v>
          </cell>
        </row>
        <row r="297">
          <cell r="C297">
            <v>265.3682</v>
          </cell>
          <cell r="D297">
            <v>34.886699999999998</v>
          </cell>
          <cell r="E297">
            <v>768.32770000000005</v>
          </cell>
          <cell r="F297">
            <v>11.3009</v>
          </cell>
          <cell r="G297">
            <v>119.0016</v>
          </cell>
          <cell r="H297">
            <v>3.5700000000000003E-2</v>
          </cell>
          <cell r="I297">
            <v>14.088100000000001</v>
          </cell>
          <cell r="J297">
            <v>64.549899999999994</v>
          </cell>
          <cell r="K297">
            <v>531.03</v>
          </cell>
          <cell r="L297">
            <v>30.680900000000001</v>
          </cell>
          <cell r="M297">
            <v>5.2892000000000001</v>
          </cell>
          <cell r="N297">
            <v>609.53920000000005</v>
          </cell>
          <cell r="O297">
            <v>28.851700000000001</v>
          </cell>
          <cell r="P297">
            <v>24.7926</v>
          </cell>
          <cell r="Q297">
            <v>340.1241</v>
          </cell>
          <cell r="R297">
            <v>3.5905</v>
          </cell>
          <cell r="S297">
            <v>852.37559999999996</v>
          </cell>
          <cell r="T297">
            <v>132.75749999999999</v>
          </cell>
          <cell r="U297">
            <v>41.291899999999998</v>
          </cell>
          <cell r="V297">
            <v>217.83770000000001</v>
          </cell>
          <cell r="W297">
            <v>245.4462</v>
          </cell>
          <cell r="X297">
            <v>60.341999999999999</v>
          </cell>
          <cell r="Y297">
            <v>128.25299999999999</v>
          </cell>
          <cell r="Z297">
            <v>2.3944999999999999</v>
          </cell>
          <cell r="AA297">
            <v>1.8001</v>
          </cell>
          <cell r="AB297">
            <v>292.35759999999999</v>
          </cell>
          <cell r="AC297">
            <v>11.054</v>
          </cell>
          <cell r="AD297">
            <v>3.3300000000000003E-2</v>
          </cell>
          <cell r="AE297">
            <v>10.2121</v>
          </cell>
          <cell r="AF297">
            <v>18.7791</v>
          </cell>
          <cell r="AG297">
            <v>1.2373000000000001</v>
          </cell>
          <cell r="AH297">
            <v>80.738799999999998</v>
          </cell>
          <cell r="AI297">
            <v>73.183300000000003</v>
          </cell>
          <cell r="AJ297">
            <v>14.318300000000001</v>
          </cell>
          <cell r="AK297">
            <v>50.420200000000001</v>
          </cell>
          <cell r="AL297">
            <v>323.81189999999998</v>
          </cell>
          <cell r="AM297">
            <v>43.780299999999997</v>
          </cell>
          <cell r="AN297">
            <v>480.05110000000002</v>
          </cell>
          <cell r="AO297">
            <v>678.37249999999995</v>
          </cell>
        </row>
        <row r="298">
          <cell r="C298">
            <v>265.3682</v>
          </cell>
          <cell r="D298">
            <v>34.886699999999998</v>
          </cell>
          <cell r="E298">
            <v>768.32770000000005</v>
          </cell>
          <cell r="F298">
            <v>11.3009</v>
          </cell>
          <cell r="G298">
            <v>119.0016</v>
          </cell>
          <cell r="H298">
            <v>3.5700000000000003E-2</v>
          </cell>
          <cell r="I298">
            <v>14.088100000000001</v>
          </cell>
          <cell r="J298">
            <v>64.549899999999994</v>
          </cell>
          <cell r="K298">
            <v>531.03</v>
          </cell>
          <cell r="L298">
            <v>30.680900000000001</v>
          </cell>
          <cell r="M298">
            <v>5.2892000000000001</v>
          </cell>
          <cell r="N298">
            <v>609.53920000000005</v>
          </cell>
          <cell r="O298">
            <v>28.851700000000001</v>
          </cell>
          <cell r="P298">
            <v>24.7926</v>
          </cell>
          <cell r="Q298">
            <v>340.1241</v>
          </cell>
          <cell r="R298">
            <v>3.5905</v>
          </cell>
          <cell r="S298">
            <v>852.37559999999996</v>
          </cell>
          <cell r="T298">
            <v>132.75749999999999</v>
          </cell>
          <cell r="U298">
            <v>41.291899999999998</v>
          </cell>
          <cell r="V298">
            <v>217.83770000000001</v>
          </cell>
          <cell r="W298">
            <v>245.4462</v>
          </cell>
          <cell r="X298">
            <v>60.341999999999999</v>
          </cell>
          <cell r="Y298">
            <v>128.25299999999999</v>
          </cell>
          <cell r="Z298">
            <v>2.3944999999999999</v>
          </cell>
          <cell r="AA298">
            <v>1.8001</v>
          </cell>
          <cell r="AB298">
            <v>292.35759999999999</v>
          </cell>
          <cell r="AC298">
            <v>11.054</v>
          </cell>
          <cell r="AD298">
            <v>3.3300000000000003E-2</v>
          </cell>
          <cell r="AE298">
            <v>10.2121</v>
          </cell>
          <cell r="AF298">
            <v>18.7791</v>
          </cell>
          <cell r="AG298">
            <v>1.2373000000000001</v>
          </cell>
          <cell r="AH298">
            <v>80.738799999999998</v>
          </cell>
          <cell r="AI298">
            <v>73.183300000000003</v>
          </cell>
          <cell r="AJ298">
            <v>14.318300000000001</v>
          </cell>
          <cell r="AK298">
            <v>50.420200000000001</v>
          </cell>
          <cell r="AL298">
            <v>323.81189999999998</v>
          </cell>
          <cell r="AM298">
            <v>43.780299999999997</v>
          </cell>
          <cell r="AN298">
            <v>480.05110000000002</v>
          </cell>
          <cell r="AO298">
            <v>678.37249999999995</v>
          </cell>
        </row>
        <row r="299">
          <cell r="C299">
            <v>272.97680000000003</v>
          </cell>
          <cell r="D299">
            <v>35.117199999999997</v>
          </cell>
          <cell r="E299">
            <v>770.3229</v>
          </cell>
          <cell r="F299">
            <v>11.3043</v>
          </cell>
          <cell r="G299">
            <v>119.788</v>
          </cell>
          <cell r="H299">
            <v>3.56E-2</v>
          </cell>
          <cell r="I299">
            <v>14.1812</v>
          </cell>
          <cell r="J299">
            <v>64.969499999999996</v>
          </cell>
          <cell r="K299">
            <v>531.19000000000005</v>
          </cell>
          <cell r="L299">
            <v>30.883600000000001</v>
          </cell>
          <cell r="M299">
            <v>5.2910000000000004</v>
          </cell>
          <cell r="N299">
            <v>613.56730000000005</v>
          </cell>
          <cell r="O299">
            <v>29.042300000000001</v>
          </cell>
          <cell r="P299">
            <v>24.956399999999999</v>
          </cell>
          <cell r="Q299">
            <v>340.17849999999999</v>
          </cell>
          <cell r="R299">
            <v>3.5891000000000002</v>
          </cell>
          <cell r="S299">
            <v>848.54629999999997</v>
          </cell>
          <cell r="T299">
            <v>132.79750000000001</v>
          </cell>
          <cell r="U299">
            <v>41.310099999999998</v>
          </cell>
          <cell r="V299">
            <v>219.2773</v>
          </cell>
          <cell r="W299">
            <v>247.06829999999999</v>
          </cell>
          <cell r="X299">
            <v>60.603700000000003</v>
          </cell>
          <cell r="Y299">
            <v>129.4187</v>
          </cell>
          <cell r="Z299">
            <v>2.4102999999999999</v>
          </cell>
          <cell r="AA299">
            <v>1.8</v>
          </cell>
          <cell r="AB299">
            <v>293.39620000000002</v>
          </cell>
          <cell r="AC299">
            <v>11.114000000000001</v>
          </cell>
          <cell r="AD299">
            <v>3.3099999999999997E-2</v>
          </cell>
          <cell r="AE299">
            <v>10.215199999999999</v>
          </cell>
          <cell r="AF299">
            <v>18.9299</v>
          </cell>
          <cell r="AG299">
            <v>1.2333000000000001</v>
          </cell>
          <cell r="AH299">
            <v>81.272400000000005</v>
          </cell>
          <cell r="AI299">
            <v>73.667000000000002</v>
          </cell>
          <cell r="AJ299">
            <v>14.441800000000001</v>
          </cell>
          <cell r="AK299">
            <v>50.847999999999999</v>
          </cell>
          <cell r="AL299">
            <v>327.03269999999998</v>
          </cell>
          <cell r="AM299">
            <v>44.009399999999999</v>
          </cell>
          <cell r="AN299">
            <v>483.2235</v>
          </cell>
          <cell r="AO299">
            <v>680.83130000000006</v>
          </cell>
        </row>
        <row r="300">
          <cell r="C300">
            <v>272.44260000000003</v>
          </cell>
          <cell r="D300">
            <v>34.927700000000002</v>
          </cell>
          <cell r="E300">
            <v>767.51189999999997</v>
          </cell>
          <cell r="F300">
            <v>11.299200000000001</v>
          </cell>
          <cell r="G300">
            <v>119.1416</v>
          </cell>
          <cell r="H300">
            <v>3.5499999999999997E-2</v>
          </cell>
          <cell r="I300">
            <v>14.1046</v>
          </cell>
          <cell r="J300">
            <v>64.6267</v>
          </cell>
          <cell r="K300">
            <v>530.95000000000005</v>
          </cell>
          <cell r="L300">
            <v>30.716999999999999</v>
          </cell>
          <cell r="M300">
            <v>5.2337999999999996</v>
          </cell>
          <cell r="N300">
            <v>610.25639999999999</v>
          </cell>
          <cell r="O300">
            <v>28.8856</v>
          </cell>
          <cell r="P300">
            <v>24.8217</v>
          </cell>
          <cell r="Q300">
            <v>340.62079999999997</v>
          </cell>
          <cell r="R300">
            <v>3.5874999999999999</v>
          </cell>
          <cell r="S300">
            <v>850.88139999999999</v>
          </cell>
          <cell r="T300">
            <v>132.73750000000001</v>
          </cell>
          <cell r="U300">
            <v>41.291400000000003</v>
          </cell>
          <cell r="V300">
            <v>218.09399999999999</v>
          </cell>
          <cell r="W300">
            <v>245.73500000000001</v>
          </cell>
          <cell r="X300">
            <v>60.299300000000002</v>
          </cell>
          <cell r="Y300">
            <v>130.05439999999999</v>
          </cell>
          <cell r="Z300">
            <v>2.3973</v>
          </cell>
          <cell r="AA300">
            <v>1.8004</v>
          </cell>
          <cell r="AB300">
            <v>291.74209999999999</v>
          </cell>
          <cell r="AC300">
            <v>11.041499999999999</v>
          </cell>
          <cell r="AD300">
            <v>3.2599999999999997E-2</v>
          </cell>
          <cell r="AE300">
            <v>10.210599999999999</v>
          </cell>
          <cell r="AF300">
            <v>18.917400000000001</v>
          </cell>
          <cell r="AG300">
            <v>1.2327999999999999</v>
          </cell>
          <cell r="AH300">
            <v>80.833799999999997</v>
          </cell>
          <cell r="AI300">
            <v>73.269400000000005</v>
          </cell>
          <cell r="AJ300">
            <v>14.3682</v>
          </cell>
          <cell r="AK300">
            <v>50.6631</v>
          </cell>
          <cell r="AL300">
            <v>324.54309999999998</v>
          </cell>
          <cell r="AM300">
            <v>43.672499999999999</v>
          </cell>
          <cell r="AN300">
            <v>480.61590000000001</v>
          </cell>
          <cell r="AO300">
            <v>677.90750000000003</v>
          </cell>
        </row>
        <row r="301">
          <cell r="C301">
            <v>271.58120000000002</v>
          </cell>
          <cell r="D301">
            <v>34.791600000000003</v>
          </cell>
          <cell r="E301">
            <v>767.09410000000003</v>
          </cell>
          <cell r="F301">
            <v>11.2926</v>
          </cell>
          <cell r="G301">
            <v>118.67740000000001</v>
          </cell>
          <cell r="H301">
            <v>3.5400000000000001E-2</v>
          </cell>
          <cell r="I301">
            <v>14.0497</v>
          </cell>
          <cell r="J301">
            <v>64.377499999999998</v>
          </cell>
          <cell r="K301">
            <v>530.64</v>
          </cell>
          <cell r="L301">
            <v>30.597300000000001</v>
          </cell>
          <cell r="M301">
            <v>5.1778000000000004</v>
          </cell>
          <cell r="N301">
            <v>607.87869999999998</v>
          </cell>
          <cell r="O301">
            <v>28.773099999999999</v>
          </cell>
          <cell r="P301">
            <v>24.725000000000001</v>
          </cell>
          <cell r="Q301">
            <v>339.02940000000001</v>
          </cell>
          <cell r="R301">
            <v>3.5853999999999999</v>
          </cell>
          <cell r="S301">
            <v>849.024</v>
          </cell>
          <cell r="T301">
            <v>132.66</v>
          </cell>
          <cell r="U301">
            <v>41.277299999999997</v>
          </cell>
          <cell r="V301">
            <v>217.24430000000001</v>
          </cell>
          <cell r="W301">
            <v>244.77760000000001</v>
          </cell>
          <cell r="X301">
            <v>60.223100000000002</v>
          </cell>
          <cell r="Y301">
            <v>129.46010000000001</v>
          </cell>
          <cell r="Z301">
            <v>2.3879999999999999</v>
          </cell>
          <cell r="AA301">
            <v>1.7963</v>
          </cell>
          <cell r="AB301">
            <v>291.98790000000002</v>
          </cell>
          <cell r="AC301">
            <v>11.000500000000001</v>
          </cell>
          <cell r="AD301">
            <v>3.2500000000000001E-2</v>
          </cell>
          <cell r="AE301">
            <v>10.204599999999999</v>
          </cell>
          <cell r="AF301">
            <v>18.829599999999999</v>
          </cell>
          <cell r="AG301">
            <v>1.2321</v>
          </cell>
          <cell r="AH301">
            <v>80.518900000000002</v>
          </cell>
          <cell r="AI301">
            <v>72.983999999999995</v>
          </cell>
          <cell r="AJ301">
            <v>14.303699999999999</v>
          </cell>
          <cell r="AK301">
            <v>50.6526</v>
          </cell>
          <cell r="AL301">
            <v>322.60340000000002</v>
          </cell>
          <cell r="AM301">
            <v>43.621299999999998</v>
          </cell>
          <cell r="AN301">
            <v>478.74340000000001</v>
          </cell>
          <cell r="AO301">
            <v>677.43039999999996</v>
          </cell>
        </row>
        <row r="302">
          <cell r="C302">
            <v>269.71719999999999</v>
          </cell>
          <cell r="D302">
            <v>34.792000000000002</v>
          </cell>
          <cell r="E302">
            <v>766.11950000000002</v>
          </cell>
          <cell r="F302">
            <v>11.287699999999999</v>
          </cell>
          <cell r="G302">
            <v>118.6785</v>
          </cell>
          <cell r="H302">
            <v>3.5400000000000001E-2</v>
          </cell>
          <cell r="I302">
            <v>14.049799999999999</v>
          </cell>
          <cell r="J302">
            <v>64.378100000000003</v>
          </cell>
          <cell r="K302">
            <v>530.41</v>
          </cell>
          <cell r="L302">
            <v>30.5976</v>
          </cell>
          <cell r="M302">
            <v>5.1627999999999998</v>
          </cell>
          <cell r="N302">
            <v>607.88459999999998</v>
          </cell>
          <cell r="O302">
            <v>28.773299999999999</v>
          </cell>
          <cell r="P302">
            <v>24.725300000000001</v>
          </cell>
          <cell r="Q302">
            <v>336.88560000000001</v>
          </cell>
          <cell r="R302">
            <v>3.5838999999999999</v>
          </cell>
          <cell r="S302">
            <v>848.65599999999995</v>
          </cell>
          <cell r="T302">
            <v>132.60249999999999</v>
          </cell>
          <cell r="U302">
            <v>41.262</v>
          </cell>
          <cell r="V302">
            <v>217.24639999999999</v>
          </cell>
          <cell r="W302">
            <v>244.78</v>
          </cell>
          <cell r="X302">
            <v>60.1631</v>
          </cell>
          <cell r="Y302">
            <v>129.5384</v>
          </cell>
          <cell r="Z302">
            <v>2.3879999999999999</v>
          </cell>
          <cell r="AA302">
            <v>1.7949999999999999</v>
          </cell>
          <cell r="AB302">
            <v>292.56180000000001</v>
          </cell>
          <cell r="AC302">
            <v>10.990500000000001</v>
          </cell>
          <cell r="AD302">
            <v>3.2099999999999997E-2</v>
          </cell>
          <cell r="AE302">
            <v>10.200200000000001</v>
          </cell>
          <cell r="AF302">
            <v>18.815799999999999</v>
          </cell>
          <cell r="AG302">
            <v>1.2315</v>
          </cell>
          <cell r="AH302">
            <v>80.519599999999997</v>
          </cell>
          <cell r="AI302">
            <v>72.984700000000004</v>
          </cell>
          <cell r="AJ302">
            <v>14.288</v>
          </cell>
          <cell r="AK302">
            <v>50.4285</v>
          </cell>
          <cell r="AL302">
            <v>323.91609999999997</v>
          </cell>
          <cell r="AM302">
            <v>43.8294</v>
          </cell>
          <cell r="AN302">
            <v>478.74810000000002</v>
          </cell>
          <cell r="AO302">
            <v>677.08399999999995</v>
          </cell>
        </row>
        <row r="303">
          <cell r="C303">
            <v>268.42189999999999</v>
          </cell>
          <cell r="D303">
            <v>34.708799999999997</v>
          </cell>
          <cell r="E303">
            <v>764.28729999999996</v>
          </cell>
          <cell r="F303">
            <v>11.282</v>
          </cell>
          <cell r="G303">
            <v>118.3947</v>
          </cell>
          <cell r="H303">
            <v>3.5400000000000001E-2</v>
          </cell>
          <cell r="I303">
            <v>14.0162</v>
          </cell>
          <cell r="J303">
            <v>64.223299999999995</v>
          </cell>
          <cell r="K303">
            <v>530.14</v>
          </cell>
          <cell r="L303">
            <v>30.5244</v>
          </cell>
          <cell r="M303">
            <v>5.1548999999999996</v>
          </cell>
          <cell r="N303">
            <v>606.43089999999995</v>
          </cell>
          <cell r="O303">
            <v>28.704499999999999</v>
          </cell>
          <cell r="P303">
            <v>24.6661</v>
          </cell>
          <cell r="Q303">
            <v>336.24549999999999</v>
          </cell>
          <cell r="R303">
            <v>3.5819999999999999</v>
          </cell>
          <cell r="S303">
            <v>846.86900000000003</v>
          </cell>
          <cell r="T303">
            <v>132.535</v>
          </cell>
          <cell r="U303">
            <v>41.242899999999999</v>
          </cell>
          <cell r="V303">
            <v>216.7268</v>
          </cell>
          <cell r="W303">
            <v>244.19460000000001</v>
          </cell>
          <cell r="X303">
            <v>59.932600000000001</v>
          </cell>
          <cell r="Y303">
            <v>128.8451</v>
          </cell>
          <cell r="Z303">
            <v>2.3822999999999999</v>
          </cell>
          <cell r="AA303">
            <v>1.794</v>
          </cell>
          <cell r="AB303">
            <v>290.91989999999998</v>
          </cell>
          <cell r="AC303">
            <v>10.930899999999999</v>
          </cell>
          <cell r="AD303">
            <v>3.2199999999999999E-2</v>
          </cell>
          <cell r="AE303">
            <v>10.195</v>
          </cell>
          <cell r="AF303">
            <v>18.784800000000001</v>
          </cell>
          <cell r="AG303">
            <v>1.2309000000000001</v>
          </cell>
          <cell r="AH303">
            <v>80.327100000000002</v>
          </cell>
          <cell r="AI303">
            <v>72.810100000000006</v>
          </cell>
          <cell r="AJ303">
            <v>14.2598</v>
          </cell>
          <cell r="AK303">
            <v>50.4253</v>
          </cell>
          <cell r="AL303">
            <v>323.20710000000003</v>
          </cell>
          <cell r="AM303">
            <v>43.776600000000002</v>
          </cell>
          <cell r="AN303">
            <v>477.60309999999998</v>
          </cell>
          <cell r="AO303">
            <v>676.23260000000005</v>
          </cell>
        </row>
        <row r="304">
          <cell r="C304">
            <v>268.42189999999999</v>
          </cell>
          <cell r="D304">
            <v>34.708799999999997</v>
          </cell>
          <cell r="E304">
            <v>764.28729999999996</v>
          </cell>
          <cell r="F304">
            <v>11.282</v>
          </cell>
          <cell r="G304">
            <v>118.3947</v>
          </cell>
          <cell r="H304">
            <v>3.5400000000000001E-2</v>
          </cell>
          <cell r="I304">
            <v>14.0162</v>
          </cell>
          <cell r="J304">
            <v>64.223299999999995</v>
          </cell>
          <cell r="K304">
            <v>530.14</v>
          </cell>
          <cell r="L304">
            <v>30.5244</v>
          </cell>
          <cell r="M304">
            <v>5.1548999999999996</v>
          </cell>
          <cell r="N304">
            <v>606.43089999999995</v>
          </cell>
          <cell r="O304">
            <v>28.704499999999999</v>
          </cell>
          <cell r="P304">
            <v>24.6661</v>
          </cell>
          <cell r="Q304">
            <v>336.24549999999999</v>
          </cell>
          <cell r="R304">
            <v>3.5819999999999999</v>
          </cell>
          <cell r="S304">
            <v>846.86900000000003</v>
          </cell>
          <cell r="T304">
            <v>132.535</v>
          </cell>
          <cell r="U304">
            <v>41.242899999999999</v>
          </cell>
          <cell r="V304">
            <v>216.7268</v>
          </cell>
          <cell r="W304">
            <v>244.19460000000001</v>
          </cell>
          <cell r="X304">
            <v>59.932600000000001</v>
          </cell>
          <cell r="Y304">
            <v>128.8451</v>
          </cell>
          <cell r="Z304">
            <v>2.3822999999999999</v>
          </cell>
          <cell r="AA304">
            <v>1.794</v>
          </cell>
          <cell r="AB304">
            <v>290.91989999999998</v>
          </cell>
          <cell r="AC304">
            <v>10.930899999999999</v>
          </cell>
          <cell r="AD304">
            <v>3.2199999999999999E-2</v>
          </cell>
          <cell r="AE304">
            <v>10.195</v>
          </cell>
          <cell r="AF304">
            <v>18.784800000000001</v>
          </cell>
          <cell r="AG304">
            <v>1.2309000000000001</v>
          </cell>
          <cell r="AH304">
            <v>80.327100000000002</v>
          </cell>
          <cell r="AI304">
            <v>72.810100000000006</v>
          </cell>
          <cell r="AJ304">
            <v>14.2598</v>
          </cell>
          <cell r="AK304">
            <v>50.4253</v>
          </cell>
          <cell r="AL304">
            <v>323.20710000000003</v>
          </cell>
          <cell r="AM304">
            <v>43.776600000000002</v>
          </cell>
          <cell r="AN304">
            <v>477.60309999999998</v>
          </cell>
          <cell r="AO304">
            <v>676.23260000000005</v>
          </cell>
        </row>
        <row r="305">
          <cell r="C305">
            <v>268.42189999999999</v>
          </cell>
          <cell r="D305">
            <v>34.708799999999997</v>
          </cell>
          <cell r="E305">
            <v>764.28729999999996</v>
          </cell>
          <cell r="F305">
            <v>11.282</v>
          </cell>
          <cell r="G305">
            <v>118.3947</v>
          </cell>
          <cell r="H305">
            <v>3.5400000000000001E-2</v>
          </cell>
          <cell r="I305">
            <v>14.0162</v>
          </cell>
          <cell r="J305">
            <v>64.223299999999995</v>
          </cell>
          <cell r="K305">
            <v>530.14</v>
          </cell>
          <cell r="L305">
            <v>30.5244</v>
          </cell>
          <cell r="M305">
            <v>5.1548999999999996</v>
          </cell>
          <cell r="N305">
            <v>606.43089999999995</v>
          </cell>
          <cell r="O305">
            <v>28.704499999999999</v>
          </cell>
          <cell r="P305">
            <v>24.6661</v>
          </cell>
          <cell r="Q305">
            <v>336.24549999999999</v>
          </cell>
          <cell r="R305">
            <v>3.5819999999999999</v>
          </cell>
          <cell r="S305">
            <v>846.86900000000003</v>
          </cell>
          <cell r="T305">
            <v>132.535</v>
          </cell>
          <cell r="U305">
            <v>41.242899999999999</v>
          </cell>
          <cell r="V305">
            <v>216.7268</v>
          </cell>
          <cell r="W305">
            <v>244.19460000000001</v>
          </cell>
          <cell r="X305">
            <v>59.932600000000001</v>
          </cell>
          <cell r="Y305">
            <v>128.8451</v>
          </cell>
          <cell r="Z305">
            <v>2.3822999999999999</v>
          </cell>
          <cell r="AA305">
            <v>1.794</v>
          </cell>
          <cell r="AB305">
            <v>290.91989999999998</v>
          </cell>
          <cell r="AC305">
            <v>10.930899999999999</v>
          </cell>
          <cell r="AD305">
            <v>3.2199999999999999E-2</v>
          </cell>
          <cell r="AE305">
            <v>10.195</v>
          </cell>
          <cell r="AF305">
            <v>18.784800000000001</v>
          </cell>
          <cell r="AG305">
            <v>1.2309000000000001</v>
          </cell>
          <cell r="AH305">
            <v>80.327100000000002</v>
          </cell>
          <cell r="AI305">
            <v>72.810100000000006</v>
          </cell>
          <cell r="AJ305">
            <v>14.2598</v>
          </cell>
          <cell r="AK305">
            <v>50.4253</v>
          </cell>
          <cell r="AL305">
            <v>323.20710000000003</v>
          </cell>
          <cell r="AM305">
            <v>43.776600000000002</v>
          </cell>
          <cell r="AN305">
            <v>477.60309999999998</v>
          </cell>
          <cell r="AO305">
            <v>676.23260000000005</v>
          </cell>
        </row>
        <row r="306">
          <cell r="C306">
            <v>268.9228</v>
          </cell>
          <cell r="D306">
            <v>34.537100000000002</v>
          </cell>
          <cell r="E306">
            <v>757.95920000000001</v>
          </cell>
          <cell r="F306">
            <v>11.2499</v>
          </cell>
          <cell r="G306">
            <v>117.809</v>
          </cell>
          <cell r="H306">
            <v>3.5299999999999998E-2</v>
          </cell>
          <cell r="I306">
            <v>13.946899999999999</v>
          </cell>
          <cell r="J306">
            <v>63.908200000000001</v>
          </cell>
          <cell r="K306">
            <v>529.87</v>
          </cell>
          <cell r="L306">
            <v>30.3734</v>
          </cell>
          <cell r="M306">
            <v>5.1387999999999998</v>
          </cell>
          <cell r="N306">
            <v>603.43079999999998</v>
          </cell>
          <cell r="O306">
            <v>28.5625</v>
          </cell>
          <cell r="P306">
            <v>24.5441</v>
          </cell>
          <cell r="Q306">
            <v>336.19159999999999</v>
          </cell>
          <cell r="R306">
            <v>3.5802</v>
          </cell>
          <cell r="S306">
            <v>846.43769999999995</v>
          </cell>
          <cell r="T306">
            <v>132.4675</v>
          </cell>
          <cell r="U306">
            <v>41.2273</v>
          </cell>
          <cell r="V306">
            <v>215.65469999999999</v>
          </cell>
          <cell r="W306">
            <v>242.98660000000001</v>
          </cell>
          <cell r="X306">
            <v>59.553899999999999</v>
          </cell>
          <cell r="Y306">
            <v>128.59280000000001</v>
          </cell>
          <cell r="Z306">
            <v>2.3704999999999998</v>
          </cell>
          <cell r="AA306">
            <v>1.7937000000000001</v>
          </cell>
          <cell r="AB306">
            <v>289.95749999999998</v>
          </cell>
          <cell r="AC306">
            <v>10.863899999999999</v>
          </cell>
          <cell r="AD306">
            <v>3.2399999999999998E-2</v>
          </cell>
          <cell r="AE306">
            <v>10.1898</v>
          </cell>
          <cell r="AF306">
            <v>18.696300000000001</v>
          </cell>
          <cell r="AG306">
            <v>1.226</v>
          </cell>
          <cell r="AH306">
            <v>79.929699999999997</v>
          </cell>
          <cell r="AI306">
            <v>72.4499</v>
          </cell>
          <cell r="AJ306">
            <v>14.2424</v>
          </cell>
          <cell r="AK306">
            <v>49.988999999999997</v>
          </cell>
          <cell r="AL306">
            <v>322.10950000000003</v>
          </cell>
          <cell r="AM306">
            <v>43.528199999999998</v>
          </cell>
          <cell r="AN306">
            <v>475.24040000000002</v>
          </cell>
          <cell r="AO306">
            <v>674.47299999999996</v>
          </cell>
        </row>
        <row r="307">
          <cell r="C307">
            <v>269.4282</v>
          </cell>
          <cell r="D307">
            <v>34.206499999999998</v>
          </cell>
          <cell r="E307">
            <v>752.14300000000003</v>
          </cell>
          <cell r="F307">
            <v>11.244999999999999</v>
          </cell>
          <cell r="G307">
            <v>116.68129999999999</v>
          </cell>
          <cell r="H307">
            <v>3.5200000000000002E-2</v>
          </cell>
          <cell r="I307">
            <v>13.8134</v>
          </cell>
          <cell r="J307">
            <v>63.2973</v>
          </cell>
          <cell r="K307">
            <v>529.64</v>
          </cell>
          <cell r="L307">
            <v>30.082599999999999</v>
          </cell>
          <cell r="M307">
            <v>5.0736999999999997</v>
          </cell>
          <cell r="N307">
            <v>597.65440000000001</v>
          </cell>
          <cell r="O307">
            <v>28.289100000000001</v>
          </cell>
          <cell r="P307">
            <v>24.309200000000001</v>
          </cell>
          <cell r="Q307">
            <v>336.01589999999999</v>
          </cell>
          <cell r="R307">
            <v>3.5785999999999998</v>
          </cell>
          <cell r="S307">
            <v>843.37580000000003</v>
          </cell>
          <cell r="T307">
            <v>132.41</v>
          </cell>
          <cell r="U307">
            <v>41.208100000000002</v>
          </cell>
          <cell r="V307">
            <v>213.59030000000001</v>
          </cell>
          <cell r="W307">
            <v>240.66050000000001</v>
          </cell>
          <cell r="X307">
            <v>59.213900000000002</v>
          </cell>
          <cell r="Y307">
            <v>128.28870000000001</v>
          </cell>
          <cell r="Z307">
            <v>2.3477999999999999</v>
          </cell>
          <cell r="AA307">
            <v>1.7929999999999999</v>
          </cell>
          <cell r="AB307">
            <v>290.0487</v>
          </cell>
          <cell r="AC307">
            <v>10.7845</v>
          </cell>
          <cell r="AD307">
            <v>3.2899999999999999E-2</v>
          </cell>
          <cell r="AE307">
            <v>10.1854</v>
          </cell>
          <cell r="AF307">
            <v>18.719100000000001</v>
          </cell>
          <cell r="AG307">
            <v>1.2255</v>
          </cell>
          <cell r="AH307">
            <v>79.164599999999993</v>
          </cell>
          <cell r="AI307">
            <v>71.756399999999999</v>
          </cell>
          <cell r="AJ307">
            <v>14.127700000000001</v>
          </cell>
          <cell r="AK307">
            <v>49.502099999999999</v>
          </cell>
          <cell r="AL307">
            <v>318.22800000000001</v>
          </cell>
          <cell r="AM307">
            <v>43.1708</v>
          </cell>
          <cell r="AN307">
            <v>470.69110000000001</v>
          </cell>
          <cell r="AO307">
            <v>670.64350000000002</v>
          </cell>
        </row>
        <row r="308">
          <cell r="C308">
            <v>269.06479999999999</v>
          </cell>
          <cell r="D308">
            <v>34.316699999999997</v>
          </cell>
          <cell r="E308">
            <v>754.68859999999995</v>
          </cell>
          <cell r="F308">
            <v>11.2433</v>
          </cell>
          <cell r="G308">
            <v>117.0575</v>
          </cell>
          <cell r="H308">
            <v>3.5200000000000002E-2</v>
          </cell>
          <cell r="I308">
            <v>13.857900000000001</v>
          </cell>
          <cell r="J308">
            <v>63.502200000000002</v>
          </cell>
          <cell r="K308">
            <v>529.55999999999995</v>
          </cell>
          <cell r="L308">
            <v>30.179600000000001</v>
          </cell>
          <cell r="M308">
            <v>5.0585000000000004</v>
          </cell>
          <cell r="N308">
            <v>599.58130000000006</v>
          </cell>
          <cell r="O308">
            <v>28.380299999999998</v>
          </cell>
          <cell r="P308">
            <v>24.387499999999999</v>
          </cell>
          <cell r="Q308">
            <v>336.49869999999999</v>
          </cell>
          <cell r="R308">
            <v>3.5781000000000001</v>
          </cell>
          <cell r="S308">
            <v>839.23929999999996</v>
          </cell>
          <cell r="T308">
            <v>132.38999999999999</v>
          </cell>
          <cell r="U308">
            <v>41.205399999999997</v>
          </cell>
          <cell r="V308">
            <v>214.27889999999999</v>
          </cell>
          <cell r="W308">
            <v>241.43639999999999</v>
          </cell>
          <cell r="X308">
            <v>59.434699999999999</v>
          </cell>
          <cell r="Y308">
            <v>128.6146</v>
          </cell>
          <cell r="Z308">
            <v>2.3553999999999999</v>
          </cell>
          <cell r="AA308">
            <v>1.7908999999999999</v>
          </cell>
          <cell r="AB308">
            <v>289.46769999999998</v>
          </cell>
          <cell r="AC308">
            <v>10.823499999999999</v>
          </cell>
          <cell r="AD308">
            <v>3.3099999999999997E-2</v>
          </cell>
          <cell r="AE308">
            <v>10.1838</v>
          </cell>
          <cell r="AF308">
            <v>18.722100000000001</v>
          </cell>
          <cell r="AG308">
            <v>1.2253000000000001</v>
          </cell>
          <cell r="AH308">
            <v>79.419799999999995</v>
          </cell>
          <cell r="AI308">
            <v>71.987700000000004</v>
          </cell>
          <cell r="AJ308">
            <v>14.180400000000001</v>
          </cell>
          <cell r="AK308">
            <v>49.736499999999999</v>
          </cell>
          <cell r="AL308">
            <v>319.10300000000001</v>
          </cell>
          <cell r="AM308">
            <v>43.131999999999998</v>
          </cell>
          <cell r="AN308">
            <v>472.20870000000002</v>
          </cell>
          <cell r="AO308">
            <v>671.87609999999995</v>
          </cell>
        </row>
        <row r="309">
          <cell r="C309">
            <v>267.99599999999998</v>
          </cell>
          <cell r="D309">
            <v>34.205800000000004</v>
          </cell>
          <cell r="E309">
            <v>754.29719999999998</v>
          </cell>
          <cell r="F309">
            <v>11.2423</v>
          </cell>
          <cell r="G309">
            <v>116.6789</v>
          </cell>
          <cell r="H309">
            <v>3.49E-2</v>
          </cell>
          <cell r="I309">
            <v>13.8131</v>
          </cell>
          <cell r="J309">
            <v>63.295999999999999</v>
          </cell>
          <cell r="K309">
            <v>529.51</v>
          </cell>
          <cell r="L309">
            <v>30.082000000000001</v>
          </cell>
          <cell r="M309">
            <v>5.0475000000000003</v>
          </cell>
          <cell r="N309">
            <v>597.64210000000003</v>
          </cell>
          <cell r="O309">
            <v>28.288499999999999</v>
          </cell>
          <cell r="P309">
            <v>24.308700000000002</v>
          </cell>
          <cell r="Q309">
            <v>336.39330000000001</v>
          </cell>
          <cell r="R309">
            <v>3.5777999999999999</v>
          </cell>
          <cell r="S309">
            <v>839.16010000000006</v>
          </cell>
          <cell r="T309">
            <v>132.3775</v>
          </cell>
          <cell r="U309">
            <v>41.203200000000002</v>
          </cell>
          <cell r="V309">
            <v>213.58590000000001</v>
          </cell>
          <cell r="W309">
            <v>240.65559999999999</v>
          </cell>
          <cell r="X309">
            <v>59.212699999999998</v>
          </cell>
          <cell r="Y309">
            <v>127.6874</v>
          </cell>
          <cell r="Z309">
            <v>2.3477000000000001</v>
          </cell>
          <cell r="AA309">
            <v>1.7895000000000001</v>
          </cell>
          <cell r="AB309">
            <v>289.91770000000002</v>
          </cell>
          <cell r="AC309">
            <v>10.805099999999999</v>
          </cell>
          <cell r="AD309">
            <v>3.2800000000000003E-2</v>
          </cell>
          <cell r="AE309">
            <v>10.1829</v>
          </cell>
          <cell r="AF309">
            <v>18.636399999999998</v>
          </cell>
          <cell r="AG309">
            <v>1.2252000000000001</v>
          </cell>
          <cell r="AH309">
            <v>79.162899999999993</v>
          </cell>
          <cell r="AI309">
            <v>71.754900000000006</v>
          </cell>
          <cell r="AJ309">
            <v>14.121</v>
          </cell>
          <cell r="AK309">
            <v>49.817</v>
          </cell>
          <cell r="AL309">
            <v>318.47989999999999</v>
          </cell>
          <cell r="AM309">
            <v>42.961100000000002</v>
          </cell>
          <cell r="AN309">
            <v>470.6814</v>
          </cell>
          <cell r="AO309">
            <v>671.03110000000004</v>
          </cell>
        </row>
        <row r="310">
          <cell r="C310">
            <v>265.53949999999998</v>
          </cell>
          <cell r="D310">
            <v>34.285899999999998</v>
          </cell>
          <cell r="E310">
            <v>756.79179999999997</v>
          </cell>
          <cell r="F310">
            <v>11.2408</v>
          </cell>
          <cell r="G310">
            <v>116.9522</v>
          </cell>
          <cell r="H310">
            <v>3.5000000000000003E-2</v>
          </cell>
          <cell r="I310">
            <v>13.845499999999999</v>
          </cell>
          <cell r="J310">
            <v>63.442500000000003</v>
          </cell>
          <cell r="K310">
            <v>529.44000000000005</v>
          </cell>
          <cell r="L310">
            <v>30.1525</v>
          </cell>
          <cell r="M310">
            <v>5.0641999999999996</v>
          </cell>
          <cell r="N310">
            <v>599.0421</v>
          </cell>
          <cell r="O310">
            <v>28.354800000000001</v>
          </cell>
          <cell r="P310">
            <v>24.365600000000001</v>
          </cell>
          <cell r="Q310">
            <v>336.3399</v>
          </cell>
          <cell r="R310">
            <v>3.5773000000000001</v>
          </cell>
          <cell r="S310">
            <v>840.38099999999997</v>
          </cell>
          <cell r="T310">
            <v>132.36000000000001</v>
          </cell>
          <cell r="U310">
            <v>41.193899999999999</v>
          </cell>
          <cell r="V310">
            <v>214.08619999999999</v>
          </cell>
          <cell r="W310">
            <v>241.2193</v>
          </cell>
          <cell r="X310">
            <v>59.325200000000002</v>
          </cell>
          <cell r="Y310">
            <v>129.27359999999999</v>
          </cell>
          <cell r="Z310">
            <v>2.3532000000000002</v>
          </cell>
          <cell r="AA310">
            <v>1.7867999999999999</v>
          </cell>
          <cell r="AB310">
            <v>289.49130000000002</v>
          </cell>
          <cell r="AC310">
            <v>10.804600000000001</v>
          </cell>
          <cell r="AD310">
            <v>3.2899999999999999E-2</v>
          </cell>
          <cell r="AE310">
            <v>10.1815</v>
          </cell>
          <cell r="AF310">
            <v>18.649100000000001</v>
          </cell>
          <cell r="AG310">
            <v>1.2250000000000001</v>
          </cell>
          <cell r="AH310">
            <v>79.348399999999998</v>
          </cell>
          <cell r="AI310">
            <v>71.923000000000002</v>
          </cell>
          <cell r="AJ310">
            <v>14.014099999999999</v>
          </cell>
          <cell r="AK310">
            <v>50.022199999999998</v>
          </cell>
          <cell r="AL310">
            <v>319.94029999999998</v>
          </cell>
          <cell r="AM310">
            <v>43.183900000000001</v>
          </cell>
          <cell r="AN310">
            <v>471.78399999999999</v>
          </cell>
          <cell r="AO310">
            <v>671.99839999999995</v>
          </cell>
        </row>
        <row r="311">
          <cell r="C311">
            <v>265.53949999999998</v>
          </cell>
          <cell r="D311">
            <v>34.285899999999998</v>
          </cell>
          <cell r="E311">
            <v>756.79179999999997</v>
          </cell>
          <cell r="F311">
            <v>11.2408</v>
          </cell>
          <cell r="G311">
            <v>116.9522</v>
          </cell>
          <cell r="H311">
            <v>3.5000000000000003E-2</v>
          </cell>
          <cell r="I311">
            <v>13.845499999999999</v>
          </cell>
          <cell r="J311">
            <v>63.442500000000003</v>
          </cell>
          <cell r="K311">
            <v>529.44000000000005</v>
          </cell>
          <cell r="L311">
            <v>30.1525</v>
          </cell>
          <cell r="M311">
            <v>5.0641999999999996</v>
          </cell>
          <cell r="N311">
            <v>599.0421</v>
          </cell>
          <cell r="O311">
            <v>28.354800000000001</v>
          </cell>
          <cell r="P311">
            <v>24.365600000000001</v>
          </cell>
          <cell r="Q311">
            <v>336.3399</v>
          </cell>
          <cell r="R311">
            <v>3.5773000000000001</v>
          </cell>
          <cell r="S311">
            <v>840.38099999999997</v>
          </cell>
          <cell r="T311">
            <v>132.36000000000001</v>
          </cell>
          <cell r="U311">
            <v>41.193899999999999</v>
          </cell>
          <cell r="V311">
            <v>214.08619999999999</v>
          </cell>
          <cell r="W311">
            <v>241.2193</v>
          </cell>
          <cell r="X311">
            <v>59.325200000000002</v>
          </cell>
          <cell r="Y311">
            <v>129.27359999999999</v>
          </cell>
          <cell r="Z311">
            <v>2.3532000000000002</v>
          </cell>
          <cell r="AA311">
            <v>1.7867999999999999</v>
          </cell>
          <cell r="AB311">
            <v>289.49130000000002</v>
          </cell>
          <cell r="AC311">
            <v>10.804600000000001</v>
          </cell>
          <cell r="AD311">
            <v>3.2899999999999999E-2</v>
          </cell>
          <cell r="AE311">
            <v>10.1815</v>
          </cell>
          <cell r="AF311">
            <v>18.649100000000001</v>
          </cell>
          <cell r="AG311">
            <v>1.2250000000000001</v>
          </cell>
          <cell r="AH311">
            <v>79.348399999999998</v>
          </cell>
          <cell r="AI311">
            <v>71.923000000000002</v>
          </cell>
          <cell r="AJ311">
            <v>14.014099999999999</v>
          </cell>
          <cell r="AK311">
            <v>50.022199999999998</v>
          </cell>
          <cell r="AL311">
            <v>319.94029999999998</v>
          </cell>
          <cell r="AM311">
            <v>43.183900000000001</v>
          </cell>
          <cell r="AN311">
            <v>471.78399999999999</v>
          </cell>
          <cell r="AO311">
            <v>671.99839999999995</v>
          </cell>
        </row>
        <row r="312">
          <cell r="C312">
            <v>265.53949999999998</v>
          </cell>
          <cell r="D312">
            <v>34.285899999999998</v>
          </cell>
          <cell r="E312">
            <v>756.79179999999997</v>
          </cell>
          <cell r="F312">
            <v>11.2408</v>
          </cell>
          <cell r="G312">
            <v>116.9522</v>
          </cell>
          <cell r="H312">
            <v>3.5000000000000003E-2</v>
          </cell>
          <cell r="I312">
            <v>13.845499999999999</v>
          </cell>
          <cell r="J312">
            <v>63.442500000000003</v>
          </cell>
          <cell r="K312">
            <v>529.44000000000005</v>
          </cell>
          <cell r="L312">
            <v>30.1525</v>
          </cell>
          <cell r="M312">
            <v>5.0641999999999996</v>
          </cell>
          <cell r="N312">
            <v>599.0421</v>
          </cell>
          <cell r="O312">
            <v>28.354800000000001</v>
          </cell>
          <cell r="P312">
            <v>24.365600000000001</v>
          </cell>
          <cell r="Q312">
            <v>336.3399</v>
          </cell>
          <cell r="R312">
            <v>3.5773000000000001</v>
          </cell>
          <cell r="S312">
            <v>840.38099999999997</v>
          </cell>
          <cell r="T312">
            <v>132.36000000000001</v>
          </cell>
          <cell r="U312">
            <v>41.193899999999999</v>
          </cell>
          <cell r="V312">
            <v>214.08619999999999</v>
          </cell>
          <cell r="W312">
            <v>241.2193</v>
          </cell>
          <cell r="X312">
            <v>59.325200000000002</v>
          </cell>
          <cell r="Y312">
            <v>129.27359999999999</v>
          </cell>
          <cell r="Z312">
            <v>2.3532000000000002</v>
          </cell>
          <cell r="AA312">
            <v>1.7867999999999999</v>
          </cell>
          <cell r="AB312">
            <v>289.49130000000002</v>
          </cell>
          <cell r="AC312">
            <v>10.804600000000001</v>
          </cell>
          <cell r="AD312">
            <v>3.2899999999999999E-2</v>
          </cell>
          <cell r="AE312">
            <v>10.1815</v>
          </cell>
          <cell r="AF312">
            <v>18.649100000000001</v>
          </cell>
          <cell r="AG312">
            <v>1.2250000000000001</v>
          </cell>
          <cell r="AH312">
            <v>79.348399999999998</v>
          </cell>
          <cell r="AI312">
            <v>71.923000000000002</v>
          </cell>
          <cell r="AJ312">
            <v>14.014099999999999</v>
          </cell>
          <cell r="AK312">
            <v>50.022199999999998</v>
          </cell>
          <cell r="AL312">
            <v>319.94029999999998</v>
          </cell>
          <cell r="AM312">
            <v>43.183900000000001</v>
          </cell>
          <cell r="AN312">
            <v>471.78399999999999</v>
          </cell>
          <cell r="AO312">
            <v>671.99839999999995</v>
          </cell>
        </row>
        <row r="313">
          <cell r="C313">
            <v>267.34750000000003</v>
          </cell>
          <cell r="D313">
            <v>34.647599999999997</v>
          </cell>
          <cell r="E313">
            <v>767.73059999999998</v>
          </cell>
          <cell r="F313">
            <v>11.236000000000001</v>
          </cell>
          <cell r="G313">
            <v>118.1859</v>
          </cell>
          <cell r="H313">
            <v>3.49E-2</v>
          </cell>
          <cell r="I313">
            <v>13.9915</v>
          </cell>
          <cell r="J313">
            <v>64.081599999999995</v>
          </cell>
          <cell r="K313">
            <v>529.44000000000005</v>
          </cell>
          <cell r="L313">
            <v>30.470600000000001</v>
          </cell>
          <cell r="M313">
            <v>5.0784000000000002</v>
          </cell>
          <cell r="N313">
            <v>605.36120000000005</v>
          </cell>
          <cell r="O313">
            <v>28.6539</v>
          </cell>
          <cell r="P313">
            <v>24.622599999999998</v>
          </cell>
          <cell r="Q313">
            <v>335.7706</v>
          </cell>
          <cell r="R313">
            <v>3.5749</v>
          </cell>
          <cell r="S313">
            <v>840.38099999999997</v>
          </cell>
          <cell r="T313">
            <v>132.36000000000001</v>
          </cell>
          <cell r="U313">
            <v>41.186799999999998</v>
          </cell>
          <cell r="V313">
            <v>216.34460000000001</v>
          </cell>
          <cell r="W313">
            <v>243.76390000000001</v>
          </cell>
          <cell r="X313">
            <v>59.834400000000002</v>
          </cell>
          <cell r="Y313">
            <v>129.27350000000001</v>
          </cell>
          <cell r="Z313">
            <v>2.3780999999999999</v>
          </cell>
          <cell r="AA313">
            <v>1.7838000000000001</v>
          </cell>
          <cell r="AB313">
            <v>288.9984</v>
          </cell>
          <cell r="AC313">
            <v>10.927899999999999</v>
          </cell>
          <cell r="AD313">
            <v>3.3000000000000002E-2</v>
          </cell>
          <cell r="AE313">
            <v>10.1815</v>
          </cell>
          <cell r="AF313">
            <v>18.770099999999999</v>
          </cell>
          <cell r="AG313">
            <v>1.2250000000000001</v>
          </cell>
          <cell r="AH313">
            <v>80.185400000000001</v>
          </cell>
          <cell r="AI313">
            <v>72.681700000000006</v>
          </cell>
          <cell r="AJ313">
            <v>14.2117</v>
          </cell>
          <cell r="AK313">
            <v>50.322000000000003</v>
          </cell>
          <cell r="AL313">
            <v>323.49079999999998</v>
          </cell>
          <cell r="AM313">
            <v>43.365499999999997</v>
          </cell>
          <cell r="AN313">
            <v>476.76069999999999</v>
          </cell>
          <cell r="AO313">
            <v>674.57820000000004</v>
          </cell>
        </row>
        <row r="314">
          <cell r="C314">
            <v>269.32029999999997</v>
          </cell>
          <cell r="D314">
            <v>34.869900000000001</v>
          </cell>
          <cell r="E314">
            <v>769.93089999999995</v>
          </cell>
          <cell r="F314">
            <v>11.234500000000001</v>
          </cell>
          <cell r="G314">
            <v>118.94450000000001</v>
          </cell>
          <cell r="H314">
            <v>3.49E-2</v>
          </cell>
          <cell r="I314">
            <v>14.081300000000001</v>
          </cell>
          <cell r="J314">
            <v>64.487700000000004</v>
          </cell>
          <cell r="K314">
            <v>529.37</v>
          </cell>
          <cell r="L314">
            <v>30.6661</v>
          </cell>
          <cell r="M314">
            <v>5.0979999999999999</v>
          </cell>
          <cell r="N314">
            <v>609.24699999999996</v>
          </cell>
          <cell r="O314">
            <v>28.837800000000001</v>
          </cell>
          <cell r="P314">
            <v>24.7807</v>
          </cell>
          <cell r="Q314">
            <v>335.98559999999998</v>
          </cell>
          <cell r="R314">
            <v>3.5743999999999998</v>
          </cell>
          <cell r="S314">
            <v>841.60569999999996</v>
          </cell>
          <cell r="T314">
            <v>132.3425</v>
          </cell>
          <cell r="U314">
            <v>41.174999999999997</v>
          </cell>
          <cell r="V314">
            <v>217.73330000000001</v>
          </cell>
          <cell r="W314">
            <v>245.32859999999999</v>
          </cell>
          <cell r="X314">
            <v>60.169400000000003</v>
          </cell>
          <cell r="Y314">
            <v>128.9564</v>
          </cell>
          <cell r="Z314">
            <v>2.3933</v>
          </cell>
          <cell r="AA314">
            <v>1.7824</v>
          </cell>
          <cell r="AB314">
            <v>290.51889999999997</v>
          </cell>
          <cell r="AC314">
            <v>10.969799999999999</v>
          </cell>
          <cell r="AD314">
            <v>3.3099999999999997E-2</v>
          </cell>
          <cell r="AE314">
            <v>10.180199999999999</v>
          </cell>
          <cell r="AF314">
            <v>18.7181</v>
          </cell>
          <cell r="AG314">
            <v>1.2248000000000001</v>
          </cell>
          <cell r="AH314">
            <v>80.700100000000006</v>
          </cell>
          <cell r="AI314">
            <v>73.148200000000003</v>
          </cell>
          <cell r="AJ314">
            <v>14.2727</v>
          </cell>
          <cell r="AK314">
            <v>50.069000000000003</v>
          </cell>
          <cell r="AL314">
            <v>326.34219999999999</v>
          </cell>
          <cell r="AM314">
            <v>43.4542</v>
          </cell>
          <cell r="AN314">
            <v>479.82100000000003</v>
          </cell>
          <cell r="AO314">
            <v>676.5752</v>
          </cell>
        </row>
        <row r="315">
          <cell r="C315">
            <v>267.67985806451611</v>
          </cell>
          <cell r="D315">
            <v>34.945448387096768</v>
          </cell>
          <cell r="E315">
            <v>770.86483548387082</v>
          </cell>
          <cell r="F315">
            <v>11.301522580645162</v>
          </cell>
          <cell r="G315">
            <v>119.20200967741937</v>
          </cell>
          <cell r="H315">
            <v>3.549677419354838E-2</v>
          </cell>
          <cell r="I315">
            <v>14.111806451612903</v>
          </cell>
          <cell r="J315">
            <v>64.663503225806451</v>
          </cell>
          <cell r="K315">
            <v>531.02870967741933</v>
          </cell>
          <cell r="L315">
            <v>30.732535483870976</v>
          </cell>
          <cell r="M315">
            <v>5.1856483870967738</v>
          </cell>
          <cell r="N315">
            <v>610.5658709677416</v>
          </cell>
          <cell r="O315">
            <v>28.900251612903229</v>
          </cell>
          <cell r="P315">
            <v>24.834325806451616</v>
          </cell>
          <cell r="Q315">
            <v>338.25428387096775</v>
          </cell>
          <cell r="R315">
            <v>3.590038709677418</v>
          </cell>
          <cell r="S315">
            <v>850.03552258064519</v>
          </cell>
          <cell r="T315">
            <v>132.75717741935483</v>
          </cell>
          <cell r="U315">
            <v>41.300299999999986</v>
          </cell>
          <cell r="V315">
            <v>218.2046096774194</v>
          </cell>
          <cell r="W315">
            <v>245.85965161290312</v>
          </cell>
          <cell r="X315">
            <v>60.12077096774194</v>
          </cell>
          <cell r="Y315">
            <v>128.37127741935481</v>
          </cell>
          <cell r="Z315">
            <v>2.3985258064516133</v>
          </cell>
          <cell r="AA315">
            <v>1.7979129032258063</v>
          </cell>
          <cell r="AB315">
            <v>293.53583548387098</v>
          </cell>
          <cell r="AC315">
            <v>11.031148387096776</v>
          </cell>
          <cell r="AD315">
            <v>3.2977419354838715E-2</v>
          </cell>
          <cell r="AE315">
            <v>10.212083870967742</v>
          </cell>
          <cell r="AF315">
            <v>18.839416129032262</v>
          </cell>
          <cell r="AG315">
            <v>1.2349516129032261</v>
          </cell>
          <cell r="AH315">
            <v>80.874799999999979</v>
          </cell>
          <cell r="AI315">
            <v>73.306580645161276</v>
          </cell>
          <cell r="AJ315">
            <v>14.324074193548382</v>
          </cell>
          <cell r="AK315">
            <v>50.236674193548396</v>
          </cell>
          <cell r="AL315">
            <v>324.93604193548379</v>
          </cell>
          <cell r="AM315">
            <v>43.817122580645162</v>
          </cell>
          <cell r="AN315">
            <v>480.85969677419354</v>
          </cell>
          <cell r="AO315">
            <v>679.05337096774178</v>
          </cell>
        </row>
        <row r="316">
          <cell r="C316">
            <v>266.77980000000002</v>
          </cell>
          <cell r="D316">
            <v>34.785299999999999</v>
          </cell>
          <cell r="E316">
            <v>770.41099999999994</v>
          </cell>
          <cell r="F316">
            <v>11.234500000000001</v>
          </cell>
          <cell r="G316">
            <v>118.6558</v>
          </cell>
          <cell r="H316">
            <v>3.49E-2</v>
          </cell>
          <cell r="I316">
            <v>14.0471</v>
          </cell>
          <cell r="J316">
            <v>64.306100000000001</v>
          </cell>
          <cell r="K316">
            <v>529.37</v>
          </cell>
          <cell r="L316">
            <v>30.591699999999999</v>
          </cell>
          <cell r="M316">
            <v>5.0964</v>
          </cell>
          <cell r="N316">
            <v>607.76819999999998</v>
          </cell>
          <cell r="O316">
            <v>28.767800000000001</v>
          </cell>
          <cell r="P316">
            <v>24.720500000000001</v>
          </cell>
          <cell r="Q316">
            <v>333.62819999999999</v>
          </cell>
          <cell r="R316">
            <v>3.5743999999999998</v>
          </cell>
          <cell r="S316">
            <v>845.63900000000001</v>
          </cell>
          <cell r="T316">
            <v>132.3425</v>
          </cell>
          <cell r="U316">
            <v>41.162799999999997</v>
          </cell>
          <cell r="V316">
            <v>217.20480000000001</v>
          </cell>
          <cell r="W316">
            <v>244.73310000000001</v>
          </cell>
          <cell r="X316">
            <v>59.843299999999999</v>
          </cell>
          <cell r="Y316">
            <v>129.19200000000001</v>
          </cell>
          <cell r="Z316">
            <v>2.3875000000000002</v>
          </cell>
          <cell r="AA316">
            <v>1.7836000000000001</v>
          </cell>
          <cell r="AB316">
            <v>290.49970000000002</v>
          </cell>
          <cell r="AC316">
            <v>10.974600000000001</v>
          </cell>
          <cell r="AD316">
            <v>3.3300000000000003E-2</v>
          </cell>
          <cell r="AE316">
            <v>10.180199999999999</v>
          </cell>
          <cell r="AF316">
            <v>18.7532</v>
          </cell>
          <cell r="AG316">
            <v>1.2248000000000001</v>
          </cell>
          <cell r="AH316">
            <v>80.504199999999997</v>
          </cell>
          <cell r="AI316">
            <v>72.970699999999994</v>
          </cell>
          <cell r="AJ316">
            <v>14.237299999999999</v>
          </cell>
          <cell r="AK316">
            <v>49.796799999999998</v>
          </cell>
          <cell r="AL316">
            <v>326.01580000000001</v>
          </cell>
          <cell r="AM316">
            <v>43.368299999999998</v>
          </cell>
          <cell r="AN316">
            <v>478.65640000000002</v>
          </cell>
          <cell r="AO316">
            <v>676.5752</v>
          </cell>
        </row>
        <row r="317">
          <cell r="C317">
            <v>270.83280000000002</v>
          </cell>
          <cell r="D317">
            <v>34.996899999999997</v>
          </cell>
          <cell r="E317">
            <v>775.97149999999999</v>
          </cell>
          <cell r="F317">
            <v>11.234500000000001</v>
          </cell>
          <cell r="G317">
            <v>119.3776</v>
          </cell>
          <cell r="H317">
            <v>3.49E-2</v>
          </cell>
          <cell r="I317">
            <v>14.1326</v>
          </cell>
          <cell r="J317">
            <v>64.656499999999994</v>
          </cell>
          <cell r="K317">
            <v>529.37</v>
          </cell>
          <cell r="L317">
            <v>30.777799999999999</v>
          </cell>
          <cell r="M317">
            <v>5.0734000000000004</v>
          </cell>
          <cell r="N317">
            <v>611.46510000000001</v>
          </cell>
          <cell r="O317">
            <v>28.942799999999998</v>
          </cell>
          <cell r="P317">
            <v>24.870899999999999</v>
          </cell>
          <cell r="Q317">
            <v>332.43680000000001</v>
          </cell>
          <cell r="R317">
            <v>3.5743999999999998</v>
          </cell>
          <cell r="S317">
            <v>846.99199999999996</v>
          </cell>
          <cell r="T317">
            <v>132.3425</v>
          </cell>
          <cell r="U317">
            <v>41.1586</v>
          </cell>
          <cell r="V317">
            <v>218.52600000000001</v>
          </cell>
          <cell r="W317">
            <v>246.2218</v>
          </cell>
          <cell r="X317">
            <v>60.309100000000001</v>
          </cell>
          <cell r="Y317">
            <v>129.75720000000001</v>
          </cell>
          <cell r="Z317">
            <v>2.4020999999999999</v>
          </cell>
          <cell r="AA317">
            <v>1.7824</v>
          </cell>
          <cell r="AB317">
            <v>289.63010000000003</v>
          </cell>
          <cell r="AC317">
            <v>11.0616</v>
          </cell>
          <cell r="AD317">
            <v>3.3700000000000001E-2</v>
          </cell>
          <cell r="AE317">
            <v>10.180199999999999</v>
          </cell>
          <cell r="AF317">
            <v>18.875399999999999</v>
          </cell>
          <cell r="AG317">
            <v>0.77749999999999997</v>
          </cell>
          <cell r="AH317">
            <v>80.993899999999996</v>
          </cell>
          <cell r="AI317">
            <v>73.414599999999993</v>
          </cell>
          <cell r="AJ317">
            <v>14.320399999999999</v>
          </cell>
          <cell r="AK317">
            <v>50.241799999999998</v>
          </cell>
          <cell r="AL317">
            <v>327.041</v>
          </cell>
          <cell r="AM317">
            <v>43.494199999999999</v>
          </cell>
          <cell r="AN317">
            <v>481.56790000000001</v>
          </cell>
          <cell r="AO317">
            <v>678.12130000000002</v>
          </cell>
        </row>
        <row r="318">
          <cell r="C318">
            <v>268.39</v>
          </cell>
          <cell r="D318">
            <v>34.8431</v>
          </cell>
          <cell r="E318">
            <v>775.43560000000002</v>
          </cell>
          <cell r="F318">
            <v>11.235799999999999</v>
          </cell>
          <cell r="G318">
            <v>118.85299999999999</v>
          </cell>
          <cell r="H318">
            <v>3.49E-2</v>
          </cell>
          <cell r="I318">
            <v>14.070499999999999</v>
          </cell>
          <cell r="J318">
            <v>64.370599999999996</v>
          </cell>
          <cell r="K318">
            <v>529.42999999999995</v>
          </cell>
          <cell r="L318">
            <v>30.642600000000002</v>
          </cell>
          <cell r="M318">
            <v>5.0622999999999996</v>
          </cell>
          <cell r="N318">
            <v>608.77819999999997</v>
          </cell>
          <cell r="O318">
            <v>28.8156</v>
          </cell>
          <cell r="P318">
            <v>24.761600000000001</v>
          </cell>
          <cell r="Q318">
            <v>331.4794</v>
          </cell>
          <cell r="R318">
            <v>3.5748000000000002</v>
          </cell>
          <cell r="S318">
            <v>844.38599999999997</v>
          </cell>
          <cell r="T318">
            <v>132.35749999999999</v>
          </cell>
          <cell r="U318">
            <v>41.165199999999999</v>
          </cell>
          <cell r="V318">
            <v>217.56569999999999</v>
          </cell>
          <cell r="W318">
            <v>245.13980000000001</v>
          </cell>
          <cell r="X318">
            <v>60.1646</v>
          </cell>
          <cell r="Y318">
            <v>128.88489999999999</v>
          </cell>
          <cell r="Z318">
            <v>2.3915000000000002</v>
          </cell>
          <cell r="AA318">
            <v>1.7807999999999999</v>
          </cell>
          <cell r="AB318">
            <v>289.31439999999998</v>
          </cell>
          <cell r="AC318">
            <v>11.015499999999999</v>
          </cell>
          <cell r="AD318">
            <v>3.3799999999999997E-2</v>
          </cell>
          <cell r="AE318">
            <v>10.1813</v>
          </cell>
          <cell r="AF318">
            <v>18.8094</v>
          </cell>
          <cell r="AG318">
            <v>0.77749999999999997</v>
          </cell>
          <cell r="AH318">
            <v>80.638000000000005</v>
          </cell>
          <cell r="AI318">
            <v>73.091999999999999</v>
          </cell>
          <cell r="AJ318">
            <v>14.299200000000001</v>
          </cell>
          <cell r="AK318">
            <v>50.290700000000001</v>
          </cell>
          <cell r="AL318">
            <v>325.25049999999999</v>
          </cell>
          <cell r="AM318">
            <v>43.566699999999997</v>
          </cell>
          <cell r="AN318">
            <v>479.45179999999999</v>
          </cell>
          <cell r="AO318">
            <v>677.44060000000002</v>
          </cell>
        </row>
        <row r="319">
          <cell r="C319">
            <v>268.39</v>
          </cell>
          <cell r="D319">
            <v>34.8431</v>
          </cell>
          <cell r="E319">
            <v>775.43560000000002</v>
          </cell>
          <cell r="F319">
            <v>11.235799999999999</v>
          </cell>
          <cell r="G319">
            <v>118.85299999999999</v>
          </cell>
          <cell r="H319">
            <v>3.49E-2</v>
          </cell>
          <cell r="I319">
            <v>14.070499999999999</v>
          </cell>
          <cell r="J319">
            <v>64.370599999999996</v>
          </cell>
          <cell r="K319">
            <v>529.42999999999995</v>
          </cell>
          <cell r="L319">
            <v>30.642600000000002</v>
          </cell>
          <cell r="M319">
            <v>5.0622999999999996</v>
          </cell>
          <cell r="N319">
            <v>608.77819999999997</v>
          </cell>
          <cell r="O319">
            <v>28.8156</v>
          </cell>
          <cell r="P319">
            <v>24.761600000000001</v>
          </cell>
          <cell r="Q319">
            <v>331.4794</v>
          </cell>
          <cell r="R319">
            <v>3.5748000000000002</v>
          </cell>
          <cell r="S319">
            <v>844.38599999999997</v>
          </cell>
          <cell r="T319">
            <v>132.35749999999999</v>
          </cell>
          <cell r="U319">
            <v>41.165199999999999</v>
          </cell>
          <cell r="V319">
            <v>217.56569999999999</v>
          </cell>
          <cell r="W319">
            <v>245.13980000000001</v>
          </cell>
          <cell r="X319">
            <v>60.1646</v>
          </cell>
          <cell r="Y319">
            <v>128.88489999999999</v>
          </cell>
          <cell r="Z319">
            <v>2.3915000000000002</v>
          </cell>
          <cell r="AA319">
            <v>1.7807999999999999</v>
          </cell>
          <cell r="AB319">
            <v>289.31439999999998</v>
          </cell>
          <cell r="AC319">
            <v>11.015499999999999</v>
          </cell>
          <cell r="AD319">
            <v>3.3799999999999997E-2</v>
          </cell>
          <cell r="AE319">
            <v>10.1813</v>
          </cell>
          <cell r="AF319">
            <v>18.8094</v>
          </cell>
          <cell r="AG319">
            <v>0.77749999999999997</v>
          </cell>
          <cell r="AH319">
            <v>80.638000000000005</v>
          </cell>
          <cell r="AI319">
            <v>73.091999999999999</v>
          </cell>
          <cell r="AJ319">
            <v>14.299200000000001</v>
          </cell>
          <cell r="AK319">
            <v>50.290700000000001</v>
          </cell>
          <cell r="AL319">
            <v>325.25049999999999</v>
          </cell>
          <cell r="AM319">
            <v>43.566699999999997</v>
          </cell>
          <cell r="AN319">
            <v>479.45179999999999</v>
          </cell>
          <cell r="AO319">
            <v>677.44060000000002</v>
          </cell>
        </row>
        <row r="320">
          <cell r="C320">
            <v>268.39</v>
          </cell>
          <cell r="D320">
            <v>34.8431</v>
          </cell>
          <cell r="E320">
            <v>775.43560000000002</v>
          </cell>
          <cell r="F320">
            <v>11.235799999999999</v>
          </cell>
          <cell r="G320">
            <v>118.85299999999999</v>
          </cell>
          <cell r="H320">
            <v>3.49E-2</v>
          </cell>
          <cell r="I320">
            <v>14.070499999999999</v>
          </cell>
          <cell r="J320">
            <v>64.370599999999996</v>
          </cell>
          <cell r="K320">
            <v>529.42999999999995</v>
          </cell>
          <cell r="L320">
            <v>30.642600000000002</v>
          </cell>
          <cell r="M320">
            <v>5.0622999999999996</v>
          </cell>
          <cell r="N320">
            <v>608.77819999999997</v>
          </cell>
          <cell r="O320">
            <v>28.8156</v>
          </cell>
          <cell r="P320">
            <v>24.761600000000001</v>
          </cell>
          <cell r="Q320">
            <v>331.4794</v>
          </cell>
          <cell r="R320">
            <v>3.5748000000000002</v>
          </cell>
          <cell r="S320">
            <v>844.38599999999997</v>
          </cell>
          <cell r="T320">
            <v>132.35749999999999</v>
          </cell>
          <cell r="U320">
            <v>41.165199999999999</v>
          </cell>
          <cell r="V320">
            <v>217.56569999999999</v>
          </cell>
          <cell r="W320">
            <v>245.13980000000001</v>
          </cell>
          <cell r="X320">
            <v>60.1646</v>
          </cell>
          <cell r="Y320">
            <v>128.88489999999999</v>
          </cell>
          <cell r="Z320">
            <v>2.3915000000000002</v>
          </cell>
          <cell r="AA320">
            <v>1.7807999999999999</v>
          </cell>
          <cell r="AB320">
            <v>289.31439999999998</v>
          </cell>
          <cell r="AC320">
            <v>11.015499999999999</v>
          </cell>
          <cell r="AD320">
            <v>3.3799999999999997E-2</v>
          </cell>
          <cell r="AE320">
            <v>10.1813</v>
          </cell>
          <cell r="AF320">
            <v>18.8094</v>
          </cell>
          <cell r="AG320">
            <v>0.77749999999999997</v>
          </cell>
          <cell r="AH320">
            <v>80.638000000000005</v>
          </cell>
          <cell r="AI320">
            <v>73.091999999999999</v>
          </cell>
          <cell r="AJ320">
            <v>14.299200000000001</v>
          </cell>
          <cell r="AK320">
            <v>50.290700000000001</v>
          </cell>
          <cell r="AL320">
            <v>325.25049999999999</v>
          </cell>
          <cell r="AM320">
            <v>43.566699999999997</v>
          </cell>
          <cell r="AN320">
            <v>479.45179999999999</v>
          </cell>
          <cell r="AO320">
            <v>677.44060000000002</v>
          </cell>
        </row>
        <row r="321">
          <cell r="C321">
            <v>268.82490000000001</v>
          </cell>
          <cell r="D321">
            <v>34.510800000000003</v>
          </cell>
          <cell r="E321">
            <v>770.6576</v>
          </cell>
          <cell r="F321">
            <v>11.2204</v>
          </cell>
          <cell r="G321">
            <v>117.7195</v>
          </cell>
          <cell r="H321">
            <v>3.4700000000000002E-2</v>
          </cell>
          <cell r="I321">
            <v>13.936299999999999</v>
          </cell>
          <cell r="J321">
            <v>63.759300000000003</v>
          </cell>
          <cell r="K321">
            <v>529.94000000000005</v>
          </cell>
          <cell r="L321">
            <v>30.350300000000001</v>
          </cell>
          <cell r="M321">
            <v>5.0193000000000003</v>
          </cell>
          <cell r="N321">
            <v>602.97220000000004</v>
          </cell>
          <cell r="O321">
            <v>28.540800000000001</v>
          </cell>
          <cell r="P321">
            <v>24.525500000000001</v>
          </cell>
          <cell r="Q321">
            <v>332.73489999999998</v>
          </cell>
          <cell r="R321">
            <v>3.5733999999999999</v>
          </cell>
          <cell r="S321">
            <v>846.54949999999997</v>
          </cell>
          <cell r="T321">
            <v>132.48500000000001</v>
          </cell>
          <cell r="U321">
            <v>41.2119</v>
          </cell>
          <cell r="V321">
            <v>215.49080000000001</v>
          </cell>
          <cell r="W321">
            <v>242.80189999999999</v>
          </cell>
          <cell r="X321">
            <v>59.722000000000001</v>
          </cell>
          <cell r="Y321">
            <v>128.88919999999999</v>
          </cell>
          <cell r="Z321">
            <v>2.3687</v>
          </cell>
          <cell r="AA321">
            <v>1.7819</v>
          </cell>
          <cell r="AB321">
            <v>290.89080000000001</v>
          </cell>
          <cell r="AC321">
            <v>10.9495</v>
          </cell>
          <cell r="AD321">
            <v>3.4000000000000002E-2</v>
          </cell>
          <cell r="AE321">
            <v>10.1912</v>
          </cell>
          <cell r="AF321">
            <v>18.737300000000001</v>
          </cell>
          <cell r="AG321">
            <v>0.77729999999999999</v>
          </cell>
          <cell r="AH321">
            <v>79.869</v>
          </cell>
          <cell r="AI321">
            <v>72.394900000000007</v>
          </cell>
          <cell r="AJ321">
            <v>14.195</v>
          </cell>
          <cell r="AK321">
            <v>49.925800000000002</v>
          </cell>
          <cell r="AL321">
            <v>322.76170000000002</v>
          </cell>
          <cell r="AM321">
            <v>43.447299999999998</v>
          </cell>
          <cell r="AN321">
            <v>474.87920000000003</v>
          </cell>
          <cell r="AO321">
            <v>674.70550000000003</v>
          </cell>
        </row>
        <row r="322">
          <cell r="C322">
            <v>271.75369999999998</v>
          </cell>
          <cell r="D322">
            <v>34.5017</v>
          </cell>
          <cell r="E322">
            <v>771.70640000000003</v>
          </cell>
          <cell r="F322">
            <v>11.2174</v>
          </cell>
          <cell r="G322">
            <v>117.6884</v>
          </cell>
          <cell r="H322">
            <v>3.4700000000000002E-2</v>
          </cell>
          <cell r="I322">
            <v>13.932600000000001</v>
          </cell>
          <cell r="J322">
            <v>63.744199999999999</v>
          </cell>
          <cell r="K322">
            <v>529.79999999999995</v>
          </cell>
          <cell r="L322">
            <v>30.342300000000002</v>
          </cell>
          <cell r="M322">
            <v>4.9880000000000004</v>
          </cell>
          <cell r="N322">
            <v>602.81299999999999</v>
          </cell>
          <cell r="O322">
            <v>28.533300000000001</v>
          </cell>
          <cell r="P322">
            <v>24.518999999999998</v>
          </cell>
          <cell r="Q322">
            <v>332.41410000000002</v>
          </cell>
          <cell r="R322">
            <v>3.5724999999999998</v>
          </cell>
          <cell r="S322">
            <v>844.97609999999997</v>
          </cell>
          <cell r="T322">
            <v>132.44999999999999</v>
          </cell>
          <cell r="U322">
            <v>41.204599999999999</v>
          </cell>
          <cell r="V322">
            <v>215.43389999999999</v>
          </cell>
          <cell r="W322">
            <v>242.73779999999999</v>
          </cell>
          <cell r="X322">
            <v>59.894500000000001</v>
          </cell>
          <cell r="Y322">
            <v>129.40299999999999</v>
          </cell>
          <cell r="Z322">
            <v>2.3681000000000001</v>
          </cell>
          <cell r="AA322">
            <v>1.7849999999999999</v>
          </cell>
          <cell r="AB322">
            <v>291.17070000000001</v>
          </cell>
          <cell r="AC322">
            <v>10.9466</v>
          </cell>
          <cell r="AD322">
            <v>3.44E-2</v>
          </cell>
          <cell r="AE322">
            <v>10.188499999999999</v>
          </cell>
          <cell r="AF322">
            <v>18.828199999999999</v>
          </cell>
          <cell r="AG322">
            <v>0.77710000000000001</v>
          </cell>
          <cell r="AH322">
            <v>79.847899999999996</v>
          </cell>
          <cell r="AI322">
            <v>72.375699999999995</v>
          </cell>
          <cell r="AJ322">
            <v>14.19</v>
          </cell>
          <cell r="AK322">
            <v>50.079500000000003</v>
          </cell>
          <cell r="AL322">
            <v>322.63249999999999</v>
          </cell>
          <cell r="AM322">
            <v>43.772199999999998</v>
          </cell>
          <cell r="AN322">
            <v>474.75380000000001</v>
          </cell>
          <cell r="AO322">
            <v>676.04380000000003</v>
          </cell>
        </row>
        <row r="323">
          <cell r="C323">
            <v>273.04919999999998</v>
          </cell>
          <cell r="D323">
            <v>34.695900000000002</v>
          </cell>
          <cell r="E323">
            <v>775.67259999999999</v>
          </cell>
          <cell r="F323">
            <v>11.2143</v>
          </cell>
          <cell r="G323">
            <v>118.3509</v>
          </cell>
          <cell r="H323">
            <v>3.4700000000000002E-2</v>
          </cell>
          <cell r="I323">
            <v>14.010999999999999</v>
          </cell>
          <cell r="J323">
            <v>64.093599999999995</v>
          </cell>
          <cell r="K323">
            <v>529.65</v>
          </cell>
          <cell r="L323">
            <v>30.513100000000001</v>
          </cell>
          <cell r="M323">
            <v>5.0266000000000002</v>
          </cell>
          <cell r="N323">
            <v>606.20659999999998</v>
          </cell>
          <cell r="O323">
            <v>28.693899999999999</v>
          </cell>
          <cell r="P323">
            <v>24.657</v>
          </cell>
          <cell r="Q323">
            <v>332.6087</v>
          </cell>
          <cell r="R323">
            <v>3.5714999999999999</v>
          </cell>
          <cell r="S323">
            <v>844.73680000000002</v>
          </cell>
          <cell r="T323">
            <v>132.41249999999999</v>
          </cell>
          <cell r="U323">
            <v>41.184600000000003</v>
          </cell>
          <cell r="V323">
            <v>216.64670000000001</v>
          </cell>
          <cell r="W323">
            <v>244.10429999999999</v>
          </cell>
          <cell r="X323">
            <v>59.9895</v>
          </cell>
          <cell r="Y323">
            <v>129.76009999999999</v>
          </cell>
          <cell r="Z323">
            <v>2.3814000000000002</v>
          </cell>
          <cell r="AA323">
            <v>1.7845</v>
          </cell>
          <cell r="AB323">
            <v>291.89690000000002</v>
          </cell>
          <cell r="AC323">
            <v>11.0296</v>
          </cell>
          <cell r="AD323">
            <v>3.4099999999999998E-2</v>
          </cell>
          <cell r="AE323">
            <v>10.185600000000001</v>
          </cell>
          <cell r="AF323">
            <v>18.9575</v>
          </cell>
          <cell r="AG323">
            <v>0.77690000000000003</v>
          </cell>
          <cell r="AH323">
            <v>80.297399999999996</v>
          </cell>
          <cell r="AI323">
            <v>72.783199999999994</v>
          </cell>
          <cell r="AJ323">
            <v>14.2737</v>
          </cell>
          <cell r="AK323">
            <v>50.393300000000004</v>
          </cell>
          <cell r="AL323">
            <v>324.69159999999999</v>
          </cell>
          <cell r="AM323">
            <v>43.808599999999998</v>
          </cell>
          <cell r="AN323">
            <v>477.42649999999998</v>
          </cell>
          <cell r="AO323">
            <v>677.66840000000002</v>
          </cell>
        </row>
        <row r="324">
          <cell r="C324">
            <v>272.536</v>
          </cell>
          <cell r="D324">
            <v>34.529699999999998</v>
          </cell>
          <cell r="E324">
            <v>775.35770000000002</v>
          </cell>
          <cell r="F324">
            <v>11.2128</v>
          </cell>
          <cell r="G324">
            <v>117.7839</v>
          </cell>
          <cell r="H324">
            <v>3.4799999999999998E-2</v>
          </cell>
          <cell r="I324">
            <v>13.943899999999999</v>
          </cell>
          <cell r="J324">
            <v>63.777099999999997</v>
          </cell>
          <cell r="K324">
            <v>529.58000000000004</v>
          </cell>
          <cell r="L324">
            <v>30.366900000000001</v>
          </cell>
          <cell r="M324">
            <v>5.0719000000000003</v>
          </cell>
          <cell r="N324">
            <v>603.30229999999995</v>
          </cell>
          <cell r="O324">
            <v>28.5564</v>
          </cell>
          <cell r="P324">
            <v>24.538900000000002</v>
          </cell>
          <cell r="Q324">
            <v>331.70839999999998</v>
          </cell>
          <cell r="R324">
            <v>3.5710000000000002</v>
          </cell>
          <cell r="S324">
            <v>845.97439999999995</v>
          </cell>
          <cell r="T324">
            <v>132.39500000000001</v>
          </cell>
          <cell r="U324">
            <v>41.184899999999999</v>
          </cell>
          <cell r="V324">
            <v>215.6088</v>
          </cell>
          <cell r="W324">
            <v>242.9348</v>
          </cell>
          <cell r="X324">
            <v>60.205199999999998</v>
          </cell>
          <cell r="Y324">
            <v>130.37870000000001</v>
          </cell>
          <cell r="Z324">
            <v>2.37</v>
          </cell>
          <cell r="AA324">
            <v>1.7843</v>
          </cell>
          <cell r="AB324">
            <v>291.67540000000002</v>
          </cell>
          <cell r="AC324">
            <v>11.026899999999999</v>
          </cell>
          <cell r="AD324">
            <v>3.4299999999999997E-2</v>
          </cell>
          <cell r="AE324">
            <v>10.184200000000001</v>
          </cell>
          <cell r="AF324">
            <v>18.965399999999999</v>
          </cell>
          <cell r="AG324">
            <v>0.77680000000000005</v>
          </cell>
          <cell r="AH324">
            <v>79.912700000000001</v>
          </cell>
          <cell r="AI324">
            <v>72.4345</v>
          </cell>
          <cell r="AJ324">
            <v>14.2492</v>
          </cell>
          <cell r="AK324">
            <v>50.654499999999999</v>
          </cell>
          <cell r="AL324">
            <v>323.68630000000002</v>
          </cell>
          <cell r="AM324">
            <v>43.892800000000001</v>
          </cell>
          <cell r="AN324">
            <v>475.13920000000002</v>
          </cell>
          <cell r="AO324">
            <v>676.13670000000002</v>
          </cell>
        </row>
        <row r="325">
          <cell r="C325">
            <v>272.49189999999999</v>
          </cell>
          <cell r="D325">
            <v>34.351799999999997</v>
          </cell>
          <cell r="E325">
            <v>769.35500000000002</v>
          </cell>
          <cell r="F325">
            <v>11.2075</v>
          </cell>
          <cell r="G325">
            <v>117.1772</v>
          </cell>
          <cell r="H325">
            <v>3.4799999999999998E-2</v>
          </cell>
          <cell r="I325">
            <v>13.8721</v>
          </cell>
          <cell r="J325">
            <v>63.451999999999998</v>
          </cell>
          <cell r="K325">
            <v>529.33000000000004</v>
          </cell>
          <cell r="L325">
            <v>30.2105</v>
          </cell>
          <cell r="M325">
            <v>5.0571000000000002</v>
          </cell>
          <cell r="N325">
            <v>600.19460000000004</v>
          </cell>
          <cell r="O325">
            <v>28.409300000000002</v>
          </cell>
          <cell r="P325">
            <v>24.412500000000001</v>
          </cell>
          <cell r="Q325">
            <v>331.06299999999999</v>
          </cell>
          <cell r="R325">
            <v>3.5693000000000001</v>
          </cell>
          <cell r="S325">
            <v>845.57510000000002</v>
          </cell>
          <cell r="T325">
            <v>132.33250000000001</v>
          </cell>
          <cell r="U325">
            <v>41.182099999999998</v>
          </cell>
          <cell r="V325">
            <v>214.49809999999999</v>
          </cell>
          <cell r="W325">
            <v>241.68340000000001</v>
          </cell>
          <cell r="X325">
            <v>59.883699999999997</v>
          </cell>
          <cell r="Y325">
            <v>129.96029999999999</v>
          </cell>
          <cell r="Z325">
            <v>2.3578000000000001</v>
          </cell>
          <cell r="AA325">
            <v>1.7817000000000001</v>
          </cell>
          <cell r="AB325">
            <v>290.13729999999998</v>
          </cell>
          <cell r="AC325">
            <v>10.982900000000001</v>
          </cell>
          <cell r="AD325">
            <v>3.4099999999999998E-2</v>
          </cell>
          <cell r="AE325">
            <v>10.179399999999999</v>
          </cell>
          <cell r="AF325">
            <v>18.8323</v>
          </cell>
          <cell r="AG325">
            <v>0.77639999999999998</v>
          </cell>
          <cell r="AH325">
            <v>79.501000000000005</v>
          </cell>
          <cell r="AI325">
            <v>72.061400000000006</v>
          </cell>
          <cell r="AJ325">
            <v>14.1601</v>
          </cell>
          <cell r="AK325">
            <v>50.156199999999998</v>
          </cell>
          <cell r="AL325">
            <v>322.28250000000003</v>
          </cell>
          <cell r="AM325">
            <v>43.983600000000003</v>
          </cell>
          <cell r="AN325">
            <v>472.69170000000003</v>
          </cell>
          <cell r="AO325">
            <v>673.9529</v>
          </cell>
        </row>
        <row r="326">
          <cell r="C326">
            <v>272.49189999999999</v>
          </cell>
          <cell r="D326">
            <v>34.351799999999997</v>
          </cell>
          <cell r="E326">
            <v>769.35500000000002</v>
          </cell>
          <cell r="F326">
            <v>11.2075</v>
          </cell>
          <cell r="G326">
            <v>117.1772</v>
          </cell>
          <cell r="H326">
            <v>3.4799999999999998E-2</v>
          </cell>
          <cell r="I326">
            <v>13.8721</v>
          </cell>
          <cell r="J326">
            <v>63.451999999999998</v>
          </cell>
          <cell r="K326">
            <v>529.33000000000004</v>
          </cell>
          <cell r="L326">
            <v>30.2105</v>
          </cell>
          <cell r="M326">
            <v>5.0571000000000002</v>
          </cell>
          <cell r="N326">
            <v>600.19460000000004</v>
          </cell>
          <cell r="O326">
            <v>28.409300000000002</v>
          </cell>
          <cell r="P326">
            <v>24.412500000000001</v>
          </cell>
          <cell r="Q326">
            <v>331.06299999999999</v>
          </cell>
          <cell r="R326">
            <v>3.5693000000000001</v>
          </cell>
          <cell r="S326">
            <v>845.57510000000002</v>
          </cell>
          <cell r="T326">
            <v>132.33250000000001</v>
          </cell>
          <cell r="U326">
            <v>41.182099999999998</v>
          </cell>
          <cell r="V326">
            <v>214.49809999999999</v>
          </cell>
          <cell r="W326">
            <v>241.68340000000001</v>
          </cell>
          <cell r="X326">
            <v>59.883699999999997</v>
          </cell>
          <cell r="Y326">
            <v>129.96029999999999</v>
          </cell>
          <cell r="Z326">
            <v>2.3578000000000001</v>
          </cell>
          <cell r="AA326">
            <v>1.7817000000000001</v>
          </cell>
          <cell r="AB326">
            <v>290.13729999999998</v>
          </cell>
          <cell r="AC326">
            <v>10.982900000000001</v>
          </cell>
          <cell r="AD326">
            <v>3.4099999999999998E-2</v>
          </cell>
          <cell r="AE326">
            <v>10.179399999999999</v>
          </cell>
          <cell r="AF326">
            <v>18.8323</v>
          </cell>
          <cell r="AG326">
            <v>0.77639999999999998</v>
          </cell>
          <cell r="AH326">
            <v>79.501000000000005</v>
          </cell>
          <cell r="AI326">
            <v>72.061400000000006</v>
          </cell>
          <cell r="AJ326">
            <v>14.1601</v>
          </cell>
          <cell r="AK326">
            <v>50.156199999999998</v>
          </cell>
          <cell r="AL326">
            <v>322.28250000000003</v>
          </cell>
          <cell r="AM326">
            <v>43.983600000000003</v>
          </cell>
          <cell r="AN326">
            <v>472.69170000000003</v>
          </cell>
          <cell r="AO326">
            <v>673.9529</v>
          </cell>
        </row>
        <row r="327">
          <cell r="C327">
            <v>272.49189999999999</v>
          </cell>
          <cell r="D327">
            <v>34.351799999999997</v>
          </cell>
          <cell r="E327">
            <v>769.35500000000002</v>
          </cell>
          <cell r="F327">
            <v>11.2075</v>
          </cell>
          <cell r="G327">
            <v>117.1772</v>
          </cell>
          <cell r="H327">
            <v>3.4799999999999998E-2</v>
          </cell>
          <cell r="I327">
            <v>13.8721</v>
          </cell>
          <cell r="J327">
            <v>63.451999999999998</v>
          </cell>
          <cell r="K327">
            <v>529.33000000000004</v>
          </cell>
          <cell r="L327">
            <v>30.2105</v>
          </cell>
          <cell r="M327">
            <v>5.0571000000000002</v>
          </cell>
          <cell r="N327">
            <v>600.19460000000004</v>
          </cell>
          <cell r="O327">
            <v>28.409300000000002</v>
          </cell>
          <cell r="P327">
            <v>24.412500000000001</v>
          </cell>
          <cell r="Q327">
            <v>331.06299999999999</v>
          </cell>
          <cell r="R327">
            <v>3.5693000000000001</v>
          </cell>
          <cell r="S327">
            <v>845.57510000000002</v>
          </cell>
          <cell r="T327">
            <v>132.33250000000001</v>
          </cell>
          <cell r="U327">
            <v>41.182099999999998</v>
          </cell>
          <cell r="V327">
            <v>214.49809999999999</v>
          </cell>
          <cell r="W327">
            <v>241.68340000000001</v>
          </cell>
          <cell r="X327">
            <v>59.883699999999997</v>
          </cell>
          <cell r="Y327">
            <v>129.96029999999999</v>
          </cell>
          <cell r="Z327">
            <v>2.3578000000000001</v>
          </cell>
          <cell r="AA327">
            <v>1.7817000000000001</v>
          </cell>
          <cell r="AB327">
            <v>290.13729999999998</v>
          </cell>
          <cell r="AC327">
            <v>10.982900000000001</v>
          </cell>
          <cell r="AD327">
            <v>3.4099999999999998E-2</v>
          </cell>
          <cell r="AE327">
            <v>10.179399999999999</v>
          </cell>
          <cell r="AF327">
            <v>18.8323</v>
          </cell>
          <cell r="AG327">
            <v>0.77639999999999998</v>
          </cell>
          <cell r="AH327">
            <v>79.501000000000005</v>
          </cell>
          <cell r="AI327">
            <v>72.061400000000006</v>
          </cell>
          <cell r="AJ327">
            <v>14.1601</v>
          </cell>
          <cell r="AK327">
            <v>50.156199999999998</v>
          </cell>
          <cell r="AL327">
            <v>322.28250000000003</v>
          </cell>
          <cell r="AM327">
            <v>43.983600000000003</v>
          </cell>
          <cell r="AN327">
            <v>472.69170000000003</v>
          </cell>
          <cell r="AO327">
            <v>673.9529</v>
          </cell>
        </row>
        <row r="328">
          <cell r="C328">
            <v>275.02589999999998</v>
          </cell>
          <cell r="D328">
            <v>34.3095</v>
          </cell>
          <cell r="E328">
            <v>769.47180000000003</v>
          </cell>
          <cell r="F328">
            <v>11.2028</v>
          </cell>
          <cell r="G328">
            <v>117.0329</v>
          </cell>
          <cell r="H328">
            <v>3.4700000000000002E-2</v>
          </cell>
          <cell r="I328">
            <v>13.855</v>
          </cell>
          <cell r="J328">
            <v>63.3491</v>
          </cell>
          <cell r="K328">
            <v>529.33000000000004</v>
          </cell>
          <cell r="L328">
            <v>30.173300000000001</v>
          </cell>
          <cell r="M328">
            <v>5.0369000000000002</v>
          </cell>
          <cell r="N328">
            <v>599.45529999999997</v>
          </cell>
          <cell r="O328">
            <v>28.374300000000002</v>
          </cell>
          <cell r="P328">
            <v>24.382400000000001</v>
          </cell>
          <cell r="Q328">
            <v>330.3775</v>
          </cell>
          <cell r="R328">
            <v>3.5657000000000001</v>
          </cell>
          <cell r="S328">
            <v>845.57510000000002</v>
          </cell>
          <cell r="T328">
            <v>132.33250000000001</v>
          </cell>
          <cell r="U328">
            <v>41.182099999999998</v>
          </cell>
          <cell r="V328">
            <v>214.23390000000001</v>
          </cell>
          <cell r="W328">
            <v>241.38570000000001</v>
          </cell>
          <cell r="X328">
            <v>59.7834</v>
          </cell>
          <cell r="Y328">
            <v>130.02189999999999</v>
          </cell>
          <cell r="Z328">
            <v>2.3549000000000002</v>
          </cell>
          <cell r="AA328">
            <v>1.7817000000000001</v>
          </cell>
          <cell r="AB328">
            <v>290.20740000000001</v>
          </cell>
          <cell r="AC328">
            <v>11.0098</v>
          </cell>
          <cell r="AD328">
            <v>3.39E-2</v>
          </cell>
          <cell r="AE328">
            <v>10.179399999999999</v>
          </cell>
          <cell r="AF328">
            <v>18.837700000000002</v>
          </cell>
          <cell r="AG328">
            <v>0.77669999999999995</v>
          </cell>
          <cell r="AH328">
            <v>79.403099999999995</v>
          </cell>
          <cell r="AI328">
            <v>71.9726</v>
          </cell>
          <cell r="AJ328">
            <v>14.1775</v>
          </cell>
          <cell r="AK328">
            <v>50.167299999999997</v>
          </cell>
          <cell r="AL328">
            <v>322.61130000000003</v>
          </cell>
          <cell r="AM328">
            <v>43.851900000000001</v>
          </cell>
          <cell r="AN328">
            <v>472.10939999999999</v>
          </cell>
          <cell r="AO328">
            <v>674.47590000000002</v>
          </cell>
        </row>
        <row r="329">
          <cell r="C329">
            <v>274.71429999999998</v>
          </cell>
          <cell r="D329">
            <v>34.019100000000002</v>
          </cell>
          <cell r="E329">
            <v>764.26639999999998</v>
          </cell>
          <cell r="F329">
            <v>11.204700000000001</v>
          </cell>
          <cell r="G329">
            <v>116.04219999999999</v>
          </cell>
          <cell r="H329">
            <v>3.4700000000000002E-2</v>
          </cell>
          <cell r="I329">
            <v>13.7377</v>
          </cell>
          <cell r="J329">
            <v>62.843299999999999</v>
          </cell>
          <cell r="K329">
            <v>529.41999999999996</v>
          </cell>
          <cell r="L329">
            <v>29.917899999999999</v>
          </cell>
          <cell r="M329">
            <v>4.9352999999999998</v>
          </cell>
          <cell r="N329">
            <v>594.38109999999995</v>
          </cell>
          <cell r="O329">
            <v>28.1342</v>
          </cell>
          <cell r="P329">
            <v>24.175999999999998</v>
          </cell>
          <cell r="Q329">
            <v>331.6893</v>
          </cell>
          <cell r="R329">
            <v>3.5663</v>
          </cell>
          <cell r="S329">
            <v>844.37</v>
          </cell>
          <cell r="T329">
            <v>132.35499999999999</v>
          </cell>
          <cell r="U329">
            <v>41.1875</v>
          </cell>
          <cell r="V329">
            <v>212.4205</v>
          </cell>
          <cell r="W329">
            <v>239.3425</v>
          </cell>
          <cell r="X329">
            <v>59.375100000000003</v>
          </cell>
          <cell r="Y329">
            <v>129.42740000000001</v>
          </cell>
          <cell r="Z329">
            <v>2.3349000000000002</v>
          </cell>
          <cell r="AA329">
            <v>1.7814000000000001</v>
          </cell>
          <cell r="AB329">
            <v>290.08690000000001</v>
          </cell>
          <cell r="AC329">
            <v>10.9436</v>
          </cell>
          <cell r="AD329">
            <v>3.3799999999999997E-2</v>
          </cell>
          <cell r="AE329">
            <v>10.1812</v>
          </cell>
          <cell r="AF329">
            <v>18.7621</v>
          </cell>
          <cell r="AG329">
            <v>0.77680000000000005</v>
          </cell>
          <cell r="AH329">
            <v>78.730999999999995</v>
          </cell>
          <cell r="AI329">
            <v>71.363399999999999</v>
          </cell>
          <cell r="AJ329">
            <v>14.074400000000001</v>
          </cell>
          <cell r="AK329">
            <v>50.014800000000001</v>
          </cell>
          <cell r="AL329">
            <v>319.42219999999998</v>
          </cell>
          <cell r="AM329">
            <v>43.691699999999997</v>
          </cell>
          <cell r="AN329">
            <v>468.11320000000001</v>
          </cell>
          <cell r="AO329">
            <v>672.22130000000004</v>
          </cell>
        </row>
        <row r="330">
          <cell r="C330">
            <v>276.30610000000001</v>
          </cell>
          <cell r="D330">
            <v>33.844700000000003</v>
          </cell>
          <cell r="E330">
            <v>760.2251</v>
          </cell>
          <cell r="F330">
            <v>11.1966</v>
          </cell>
          <cell r="G330">
            <v>115.44750000000001</v>
          </cell>
          <cell r="H330">
            <v>3.4599999999999999E-2</v>
          </cell>
          <cell r="I330">
            <v>13.667299999999999</v>
          </cell>
          <cell r="J330">
            <v>62.557299999999998</v>
          </cell>
          <cell r="K330">
            <v>529.04</v>
          </cell>
          <cell r="L330">
            <v>29.764500000000002</v>
          </cell>
          <cell r="M330">
            <v>4.9250999999999996</v>
          </cell>
          <cell r="N330">
            <v>591.3347</v>
          </cell>
          <cell r="O330">
            <v>27.99</v>
          </cell>
          <cell r="P330">
            <v>24.052099999999999</v>
          </cell>
          <cell r="Q330">
            <v>332.65280000000001</v>
          </cell>
          <cell r="R330">
            <v>3.5638000000000001</v>
          </cell>
          <cell r="S330">
            <v>842.42039999999997</v>
          </cell>
          <cell r="T330">
            <v>132.26</v>
          </cell>
          <cell r="U330">
            <v>41.157299999999999</v>
          </cell>
          <cell r="V330">
            <v>211.33179999999999</v>
          </cell>
          <cell r="W330">
            <v>238.1157</v>
          </cell>
          <cell r="X330">
            <v>59.372</v>
          </cell>
          <cell r="Y330">
            <v>129.0138</v>
          </cell>
          <cell r="Z330">
            <v>2.323</v>
          </cell>
          <cell r="AA330">
            <v>1.7801</v>
          </cell>
          <cell r="AB330">
            <v>289.6771</v>
          </cell>
          <cell r="AC330">
            <v>10.893599999999999</v>
          </cell>
          <cell r="AD330">
            <v>3.44E-2</v>
          </cell>
          <cell r="AE330">
            <v>10.1738</v>
          </cell>
          <cell r="AF330">
            <v>18.6921</v>
          </cell>
          <cell r="AG330">
            <v>0.7762</v>
          </cell>
          <cell r="AH330">
            <v>78.327500000000001</v>
          </cell>
          <cell r="AI330">
            <v>70.997600000000006</v>
          </cell>
          <cell r="AJ330">
            <v>14.009399999999999</v>
          </cell>
          <cell r="AK330">
            <v>49.894399999999997</v>
          </cell>
          <cell r="AL330">
            <v>316.79059999999998</v>
          </cell>
          <cell r="AM330">
            <v>43.4435</v>
          </cell>
          <cell r="AN330">
            <v>465.71390000000002</v>
          </cell>
          <cell r="AO330">
            <v>669.33960000000002</v>
          </cell>
        </row>
        <row r="331">
          <cell r="C331">
            <v>274.7131</v>
          </cell>
          <cell r="D331">
            <v>33.917099999999998</v>
          </cell>
          <cell r="E331">
            <v>759.00170000000003</v>
          </cell>
          <cell r="F331">
            <v>11.192600000000001</v>
          </cell>
          <cell r="G331">
            <v>115.6944</v>
          </cell>
          <cell r="H331">
            <v>3.4599999999999999E-2</v>
          </cell>
          <cell r="I331">
            <v>13.6966</v>
          </cell>
          <cell r="J331">
            <v>62.711300000000001</v>
          </cell>
          <cell r="K331">
            <v>528.85</v>
          </cell>
          <cell r="L331">
            <v>29.828199999999999</v>
          </cell>
          <cell r="M331">
            <v>4.9596999999999998</v>
          </cell>
          <cell r="N331">
            <v>592.59960000000001</v>
          </cell>
          <cell r="O331">
            <v>28.049800000000001</v>
          </cell>
          <cell r="P331">
            <v>24.1036</v>
          </cell>
          <cell r="Q331">
            <v>332.20170000000002</v>
          </cell>
          <cell r="R331">
            <v>3.5625</v>
          </cell>
          <cell r="S331">
            <v>838.11410000000001</v>
          </cell>
          <cell r="T331">
            <v>132.21250000000001</v>
          </cell>
          <cell r="U331">
            <v>41.119500000000002</v>
          </cell>
          <cell r="V331">
            <v>211.78380000000001</v>
          </cell>
          <cell r="W331">
            <v>238.6251</v>
          </cell>
          <cell r="X331">
            <v>59.077199999999998</v>
          </cell>
          <cell r="Y331">
            <v>128.87200000000001</v>
          </cell>
          <cell r="Z331">
            <v>2.3279000000000001</v>
          </cell>
          <cell r="AA331">
            <v>1.7769999999999999</v>
          </cell>
          <cell r="AB331">
            <v>288.5736</v>
          </cell>
          <cell r="AC331">
            <v>10.9146</v>
          </cell>
          <cell r="AD331">
            <v>3.4700000000000002E-2</v>
          </cell>
          <cell r="AE331">
            <v>10.170199999999999</v>
          </cell>
          <cell r="AF331">
            <v>18.687799999999999</v>
          </cell>
          <cell r="AG331">
            <v>0.77600000000000002</v>
          </cell>
          <cell r="AH331">
            <v>78.495000000000005</v>
          </cell>
          <cell r="AI331">
            <v>71.149500000000003</v>
          </cell>
          <cell r="AJ331">
            <v>14.0258</v>
          </cell>
          <cell r="AK331">
            <v>49.998399999999997</v>
          </cell>
          <cell r="AL331">
            <v>317.29559999999998</v>
          </cell>
          <cell r="AM331">
            <v>43.249899999999997</v>
          </cell>
          <cell r="AN331">
            <v>466.71010000000001</v>
          </cell>
          <cell r="AO331">
            <v>669.53800000000001</v>
          </cell>
        </row>
        <row r="332">
          <cell r="C332">
            <v>276.76949999999999</v>
          </cell>
          <cell r="D332">
            <v>33.977899999999998</v>
          </cell>
          <cell r="E332">
            <v>757.16060000000004</v>
          </cell>
          <cell r="F332">
            <v>11.1873</v>
          </cell>
          <cell r="G332">
            <v>115.90179999999999</v>
          </cell>
          <cell r="H332">
            <v>3.4500000000000003E-2</v>
          </cell>
          <cell r="I332">
            <v>13.7211</v>
          </cell>
          <cell r="J332">
            <v>62.832999999999998</v>
          </cell>
          <cell r="K332">
            <v>528.6</v>
          </cell>
          <cell r="L332">
            <v>29.881699999999999</v>
          </cell>
          <cell r="M332">
            <v>4.9382000000000001</v>
          </cell>
          <cell r="N332">
            <v>593.66179999999997</v>
          </cell>
          <cell r="O332">
            <v>28.100100000000001</v>
          </cell>
          <cell r="P332">
            <v>24.146799999999999</v>
          </cell>
          <cell r="Q332">
            <v>332.18239999999997</v>
          </cell>
          <cell r="R332">
            <v>3.5608</v>
          </cell>
          <cell r="S332">
            <v>836.39239999999995</v>
          </cell>
          <cell r="T332">
            <v>132.15</v>
          </cell>
          <cell r="U332">
            <v>41.1</v>
          </cell>
          <cell r="V332">
            <v>212.1634</v>
          </cell>
          <cell r="W332">
            <v>239.05279999999999</v>
          </cell>
          <cell r="X332">
            <v>59.033700000000003</v>
          </cell>
          <cell r="Y332">
            <v>127.65779999999999</v>
          </cell>
          <cell r="Z332">
            <v>2.3321000000000001</v>
          </cell>
          <cell r="AA332">
            <v>1.7749999999999999</v>
          </cell>
          <cell r="AB332">
            <v>287.91590000000002</v>
          </cell>
          <cell r="AC332">
            <v>10.9217</v>
          </cell>
          <cell r="AD332">
            <v>3.5000000000000003E-2</v>
          </cell>
          <cell r="AE332">
            <v>10.1654</v>
          </cell>
          <cell r="AF332">
            <v>18.5534</v>
          </cell>
          <cell r="AG332">
            <v>0.77559999999999996</v>
          </cell>
          <cell r="AH332">
            <v>78.6357</v>
          </cell>
          <cell r="AI332">
            <v>71.277000000000001</v>
          </cell>
          <cell r="AJ332">
            <v>14.058199999999999</v>
          </cell>
          <cell r="AK332">
            <v>49.860999999999997</v>
          </cell>
          <cell r="AL332">
            <v>318.6225</v>
          </cell>
          <cell r="AM332">
            <v>43.107799999999997</v>
          </cell>
          <cell r="AN332">
            <v>467.54669999999999</v>
          </cell>
          <cell r="AO332">
            <v>669.01059999999995</v>
          </cell>
        </row>
        <row r="333">
          <cell r="C333">
            <v>276.76949999999999</v>
          </cell>
          <cell r="D333">
            <v>33.977899999999998</v>
          </cell>
          <cell r="E333">
            <v>757.16060000000004</v>
          </cell>
          <cell r="F333">
            <v>11.1873</v>
          </cell>
          <cell r="G333">
            <v>115.90179999999999</v>
          </cell>
          <cell r="H333">
            <v>3.4500000000000003E-2</v>
          </cell>
          <cell r="I333">
            <v>13.7211</v>
          </cell>
          <cell r="J333">
            <v>62.832999999999998</v>
          </cell>
          <cell r="K333">
            <v>528.6</v>
          </cell>
          <cell r="L333">
            <v>29.881699999999999</v>
          </cell>
          <cell r="M333">
            <v>4.9382000000000001</v>
          </cell>
          <cell r="N333">
            <v>593.66179999999997</v>
          </cell>
          <cell r="O333">
            <v>28.100100000000001</v>
          </cell>
          <cell r="P333">
            <v>24.146799999999999</v>
          </cell>
          <cell r="Q333">
            <v>332.18239999999997</v>
          </cell>
          <cell r="R333">
            <v>3.5608</v>
          </cell>
          <cell r="S333">
            <v>836.39239999999995</v>
          </cell>
          <cell r="T333">
            <v>132.15</v>
          </cell>
          <cell r="U333">
            <v>41.1</v>
          </cell>
          <cell r="V333">
            <v>212.1634</v>
          </cell>
          <cell r="W333">
            <v>239.05279999999999</v>
          </cell>
          <cell r="X333">
            <v>59.033700000000003</v>
          </cell>
          <cell r="Y333">
            <v>127.65779999999999</v>
          </cell>
          <cell r="Z333">
            <v>2.3321000000000001</v>
          </cell>
          <cell r="AA333">
            <v>1.7749999999999999</v>
          </cell>
          <cell r="AB333">
            <v>287.91590000000002</v>
          </cell>
          <cell r="AC333">
            <v>10.9217</v>
          </cell>
          <cell r="AD333">
            <v>3.5000000000000003E-2</v>
          </cell>
          <cell r="AE333">
            <v>10.1654</v>
          </cell>
          <cell r="AF333">
            <v>18.5534</v>
          </cell>
          <cell r="AG333">
            <v>0.77559999999999996</v>
          </cell>
          <cell r="AH333">
            <v>78.6357</v>
          </cell>
          <cell r="AI333">
            <v>71.277000000000001</v>
          </cell>
          <cell r="AJ333">
            <v>14.058199999999999</v>
          </cell>
          <cell r="AK333">
            <v>49.860999999999997</v>
          </cell>
          <cell r="AL333">
            <v>318.6225</v>
          </cell>
          <cell r="AM333">
            <v>43.107799999999997</v>
          </cell>
          <cell r="AN333">
            <v>467.54669999999999</v>
          </cell>
          <cell r="AO333">
            <v>669.01059999999995</v>
          </cell>
        </row>
        <row r="334">
          <cell r="C334">
            <v>276.76949999999999</v>
          </cell>
          <cell r="D334">
            <v>33.977899999999998</v>
          </cell>
          <cell r="E334">
            <v>757.16060000000004</v>
          </cell>
          <cell r="F334">
            <v>11.1873</v>
          </cell>
          <cell r="G334">
            <v>115.90179999999999</v>
          </cell>
          <cell r="H334">
            <v>3.4500000000000003E-2</v>
          </cell>
          <cell r="I334">
            <v>13.7211</v>
          </cell>
          <cell r="J334">
            <v>62.832999999999998</v>
          </cell>
          <cell r="K334">
            <v>528.6</v>
          </cell>
          <cell r="L334">
            <v>29.881699999999999</v>
          </cell>
          <cell r="M334">
            <v>4.9382000000000001</v>
          </cell>
          <cell r="N334">
            <v>593.66179999999997</v>
          </cell>
          <cell r="O334">
            <v>28.100100000000001</v>
          </cell>
          <cell r="P334">
            <v>24.146799999999999</v>
          </cell>
          <cell r="Q334">
            <v>332.18239999999997</v>
          </cell>
          <cell r="R334">
            <v>3.5608</v>
          </cell>
          <cell r="S334">
            <v>836.39239999999995</v>
          </cell>
          <cell r="T334">
            <v>132.15</v>
          </cell>
          <cell r="U334">
            <v>41.1</v>
          </cell>
          <cell r="V334">
            <v>212.1634</v>
          </cell>
          <cell r="W334">
            <v>239.05279999999999</v>
          </cell>
          <cell r="X334">
            <v>59.033700000000003</v>
          </cell>
          <cell r="Y334">
            <v>127.65779999999999</v>
          </cell>
          <cell r="Z334">
            <v>2.3321000000000001</v>
          </cell>
          <cell r="AA334">
            <v>1.7749999999999999</v>
          </cell>
          <cell r="AB334">
            <v>287.91590000000002</v>
          </cell>
          <cell r="AC334">
            <v>10.9217</v>
          </cell>
          <cell r="AD334">
            <v>3.5000000000000003E-2</v>
          </cell>
          <cell r="AE334">
            <v>10.1654</v>
          </cell>
          <cell r="AF334">
            <v>18.5534</v>
          </cell>
          <cell r="AG334">
            <v>0.77559999999999996</v>
          </cell>
          <cell r="AH334">
            <v>78.6357</v>
          </cell>
          <cell r="AI334">
            <v>71.277000000000001</v>
          </cell>
          <cell r="AJ334">
            <v>14.058199999999999</v>
          </cell>
          <cell r="AK334">
            <v>49.860999999999997</v>
          </cell>
          <cell r="AL334">
            <v>318.6225</v>
          </cell>
          <cell r="AM334">
            <v>43.107799999999997</v>
          </cell>
          <cell r="AN334">
            <v>467.54669999999999</v>
          </cell>
          <cell r="AO334">
            <v>669.01059999999995</v>
          </cell>
        </row>
        <row r="335">
          <cell r="C335">
            <v>275.399</v>
          </cell>
          <cell r="D335">
            <v>33.759700000000002</v>
          </cell>
          <cell r="E335">
            <v>750.95860000000005</v>
          </cell>
          <cell r="F335">
            <v>11.1812</v>
          </cell>
          <cell r="G335">
            <v>115.1572</v>
          </cell>
          <cell r="H335">
            <v>3.44E-2</v>
          </cell>
          <cell r="I335">
            <v>13.632999999999999</v>
          </cell>
          <cell r="J335">
            <v>62.406700000000001</v>
          </cell>
          <cell r="K335">
            <v>528.30999999999995</v>
          </cell>
          <cell r="L335">
            <v>29.689699999999998</v>
          </cell>
          <cell r="M335">
            <v>4.9008000000000003</v>
          </cell>
          <cell r="N335">
            <v>589.84789999999998</v>
          </cell>
          <cell r="O335">
            <v>27.919599999999999</v>
          </cell>
          <cell r="P335">
            <v>23.991599999999998</v>
          </cell>
          <cell r="Q335">
            <v>333.5317</v>
          </cell>
          <cell r="R335">
            <v>3.5564</v>
          </cell>
          <cell r="S335">
            <v>837.25829999999996</v>
          </cell>
          <cell r="T335">
            <v>132.07749999999999</v>
          </cell>
          <cell r="U335">
            <v>41.067900000000002</v>
          </cell>
          <cell r="V335">
            <v>210.8004</v>
          </cell>
          <cell r="W335">
            <v>237.5171</v>
          </cell>
          <cell r="X335">
            <v>58.639600000000002</v>
          </cell>
          <cell r="Y335">
            <v>128.26660000000001</v>
          </cell>
          <cell r="Z335">
            <v>2.3170999999999999</v>
          </cell>
          <cell r="AA335">
            <v>1.7728999999999999</v>
          </cell>
          <cell r="AB335">
            <v>286.66649999999998</v>
          </cell>
          <cell r="AC335">
            <v>10.8452</v>
          </cell>
          <cell r="AD335">
            <v>3.5400000000000001E-2</v>
          </cell>
          <cell r="AE335">
            <v>10.159800000000001</v>
          </cell>
          <cell r="AF335">
            <v>18.581700000000001</v>
          </cell>
          <cell r="AG335">
            <v>0.7752</v>
          </cell>
          <cell r="AH335">
            <v>78.130499999999998</v>
          </cell>
          <cell r="AI335">
            <v>70.819100000000006</v>
          </cell>
          <cell r="AJ335">
            <v>14.004099999999999</v>
          </cell>
          <cell r="AK335">
            <v>49.596200000000003</v>
          </cell>
          <cell r="AL335">
            <v>317.07249999999999</v>
          </cell>
          <cell r="AM335">
            <v>42.822899999999997</v>
          </cell>
          <cell r="AN335">
            <v>464.54300000000001</v>
          </cell>
          <cell r="AO335">
            <v>666.42700000000002</v>
          </cell>
        </row>
        <row r="336">
          <cell r="C336">
            <v>275.03320000000002</v>
          </cell>
          <cell r="D336">
            <v>33.860700000000001</v>
          </cell>
          <cell r="E336">
            <v>748.24739999999997</v>
          </cell>
          <cell r="F336">
            <v>11.1752</v>
          </cell>
          <cell r="G336">
            <v>115.50190000000001</v>
          </cell>
          <cell r="H336">
            <v>3.44E-2</v>
          </cell>
          <cell r="I336">
            <v>13.6738</v>
          </cell>
          <cell r="J336">
            <v>62.5792</v>
          </cell>
          <cell r="K336">
            <v>528.03</v>
          </cell>
          <cell r="L336">
            <v>29.778600000000001</v>
          </cell>
          <cell r="M336">
            <v>4.8834999999999997</v>
          </cell>
          <cell r="N336">
            <v>591.61369999999999</v>
          </cell>
          <cell r="O336">
            <v>28.0032</v>
          </cell>
          <cell r="P336">
            <v>24.063500000000001</v>
          </cell>
          <cell r="Q336">
            <v>331.76710000000003</v>
          </cell>
          <cell r="R336">
            <v>3.5546000000000002</v>
          </cell>
          <cell r="S336">
            <v>834.17060000000004</v>
          </cell>
          <cell r="T336">
            <v>132.00749999999999</v>
          </cell>
          <cell r="U336">
            <v>41.033700000000003</v>
          </cell>
          <cell r="V336">
            <v>211.4315</v>
          </cell>
          <cell r="W336">
            <v>238.22810000000001</v>
          </cell>
          <cell r="X336">
            <v>58.885800000000003</v>
          </cell>
          <cell r="Y336">
            <v>128.8819</v>
          </cell>
          <cell r="Z336">
            <v>2.3241000000000001</v>
          </cell>
          <cell r="AA336">
            <v>1.7654000000000001</v>
          </cell>
          <cell r="AB336">
            <v>287.4359</v>
          </cell>
          <cell r="AC336">
            <v>10.8688</v>
          </cell>
          <cell r="AD336">
            <v>3.61E-2</v>
          </cell>
          <cell r="AE336">
            <v>10.154400000000001</v>
          </cell>
          <cell r="AF336">
            <v>18.6463</v>
          </cell>
          <cell r="AG336">
            <v>0.77480000000000004</v>
          </cell>
          <cell r="AH336">
            <v>78.364400000000003</v>
          </cell>
          <cell r="AI336">
            <v>71.031099999999995</v>
          </cell>
          <cell r="AJ336">
            <v>14.045999999999999</v>
          </cell>
          <cell r="AK336">
            <v>49.747300000000003</v>
          </cell>
          <cell r="AL336">
            <v>319.57040000000001</v>
          </cell>
          <cell r="AM336">
            <v>42.955100000000002</v>
          </cell>
          <cell r="AN336">
            <v>465.93369999999999</v>
          </cell>
          <cell r="AO336">
            <v>667.35419999999999</v>
          </cell>
        </row>
        <row r="337">
          <cell r="C337">
            <v>273.07900000000001</v>
          </cell>
          <cell r="D337">
            <v>33.701500000000003</v>
          </cell>
          <cell r="E337">
            <v>748.69690000000003</v>
          </cell>
          <cell r="F337">
            <v>11.164400000000001</v>
          </cell>
          <cell r="G337">
            <v>114.9588</v>
          </cell>
          <cell r="H337">
            <v>3.44E-2</v>
          </cell>
          <cell r="I337">
            <v>13.609500000000001</v>
          </cell>
          <cell r="J337">
            <v>62.29</v>
          </cell>
          <cell r="K337">
            <v>527.52</v>
          </cell>
          <cell r="L337">
            <v>29.6386</v>
          </cell>
          <cell r="M337">
            <v>4.8146000000000004</v>
          </cell>
          <cell r="N337">
            <v>588.83190000000002</v>
          </cell>
          <cell r="O337">
            <v>27.871500000000001</v>
          </cell>
          <cell r="P337">
            <v>23.950299999999999</v>
          </cell>
          <cell r="Q337">
            <v>330.01909999999998</v>
          </cell>
          <cell r="R337">
            <v>3.5510999999999999</v>
          </cell>
          <cell r="S337">
            <v>832.05050000000006</v>
          </cell>
          <cell r="T337">
            <v>131.88</v>
          </cell>
          <cell r="U337">
            <v>40.988</v>
          </cell>
          <cell r="V337">
            <v>210.43729999999999</v>
          </cell>
          <cell r="W337">
            <v>237.1079</v>
          </cell>
          <cell r="X337">
            <v>58.746200000000002</v>
          </cell>
          <cell r="Y337">
            <v>129.0325</v>
          </cell>
          <cell r="Z337">
            <v>2.3130999999999999</v>
          </cell>
          <cell r="AA337">
            <v>1.7643</v>
          </cell>
          <cell r="AB337">
            <v>287.18279999999999</v>
          </cell>
          <cell r="AC337">
            <v>10.7447</v>
          </cell>
          <cell r="AD337">
            <v>3.5400000000000001E-2</v>
          </cell>
          <cell r="AE337">
            <v>10.144600000000001</v>
          </cell>
          <cell r="AF337">
            <v>18.538599999999999</v>
          </cell>
          <cell r="AG337">
            <v>0.7732</v>
          </cell>
          <cell r="AH337">
            <v>77.995900000000006</v>
          </cell>
          <cell r="AI337">
            <v>70.697100000000006</v>
          </cell>
          <cell r="AJ337">
            <v>13.961</v>
          </cell>
          <cell r="AK337">
            <v>49.2913</v>
          </cell>
          <cell r="AL337">
            <v>318.22059999999999</v>
          </cell>
          <cell r="AM337">
            <v>42.931199999999997</v>
          </cell>
          <cell r="AN337">
            <v>463.74279999999999</v>
          </cell>
          <cell r="AO337">
            <v>665.99249999999995</v>
          </cell>
        </row>
        <row r="338">
          <cell r="C338">
            <v>272.29039999999998</v>
          </cell>
          <cell r="D338">
            <v>33.651699999999998</v>
          </cell>
          <cell r="E338">
            <v>745.54349999999999</v>
          </cell>
          <cell r="F338">
            <v>11.164400000000001</v>
          </cell>
          <cell r="G338">
            <v>114.78879999999999</v>
          </cell>
          <cell r="H338">
            <v>3.44E-2</v>
          </cell>
          <cell r="I338">
            <v>13.5893</v>
          </cell>
          <cell r="J338">
            <v>62.2196</v>
          </cell>
          <cell r="K338">
            <v>527.52</v>
          </cell>
          <cell r="L338">
            <v>29.5947</v>
          </cell>
          <cell r="M338">
            <v>4.8064999999999998</v>
          </cell>
          <cell r="N338">
            <v>587.96119999999996</v>
          </cell>
          <cell r="O338">
            <v>27.830300000000001</v>
          </cell>
          <cell r="P338">
            <v>23.914899999999999</v>
          </cell>
          <cell r="Q338">
            <v>329.62490000000003</v>
          </cell>
          <cell r="R338">
            <v>3.5510999999999999</v>
          </cell>
          <cell r="S338">
            <v>832.05050000000006</v>
          </cell>
          <cell r="T338">
            <v>131.88</v>
          </cell>
          <cell r="U338">
            <v>40.9801</v>
          </cell>
          <cell r="V338">
            <v>210.12610000000001</v>
          </cell>
          <cell r="W338">
            <v>236.75729999999999</v>
          </cell>
          <cell r="X338">
            <v>58.741199999999999</v>
          </cell>
          <cell r="Y338">
            <v>128.83090000000001</v>
          </cell>
          <cell r="Z338">
            <v>2.3096999999999999</v>
          </cell>
          <cell r="AA338">
            <v>1.7643</v>
          </cell>
          <cell r="AB338">
            <v>286.38569999999999</v>
          </cell>
          <cell r="AC338">
            <v>10.703799999999999</v>
          </cell>
          <cell r="AD338">
            <v>3.5099999999999999E-2</v>
          </cell>
          <cell r="AE338">
            <v>10.144600000000001</v>
          </cell>
          <cell r="AF338">
            <v>18.411799999999999</v>
          </cell>
          <cell r="AG338">
            <v>0.7732</v>
          </cell>
          <cell r="AH338">
            <v>77.880600000000001</v>
          </cell>
          <cell r="AI338">
            <v>70.592600000000004</v>
          </cell>
          <cell r="AJ338">
            <v>13.9316</v>
          </cell>
          <cell r="AK338">
            <v>49.3307</v>
          </cell>
          <cell r="AL338">
            <v>317.2928</v>
          </cell>
          <cell r="AM338">
            <v>42.615200000000002</v>
          </cell>
          <cell r="AN338">
            <v>463.05709999999999</v>
          </cell>
          <cell r="AO338">
            <v>665.99249999999995</v>
          </cell>
        </row>
        <row r="339">
          <cell r="C339">
            <v>272.83629999999999</v>
          </cell>
          <cell r="D339">
            <v>33.7271</v>
          </cell>
          <cell r="E339">
            <v>746.2527</v>
          </cell>
          <cell r="F339">
            <v>11.1678</v>
          </cell>
          <cell r="G339">
            <v>115.04600000000001</v>
          </cell>
          <cell r="H339">
            <v>3.4299999999999997E-2</v>
          </cell>
          <cell r="I339">
            <v>13.6198</v>
          </cell>
          <cell r="J339">
            <v>62.369900000000001</v>
          </cell>
          <cell r="K339">
            <v>527.67999999999995</v>
          </cell>
          <cell r="L339">
            <v>29.661000000000001</v>
          </cell>
          <cell r="M339">
            <v>4.7790999999999997</v>
          </cell>
          <cell r="N339">
            <v>589.27850000000001</v>
          </cell>
          <cell r="O339">
            <v>27.892600000000002</v>
          </cell>
          <cell r="P339">
            <v>23.968499999999999</v>
          </cell>
          <cell r="Q339">
            <v>330.19889999999998</v>
          </cell>
          <cell r="R339">
            <v>3.5522</v>
          </cell>
          <cell r="S339">
            <v>832.30280000000005</v>
          </cell>
          <cell r="T339">
            <v>131.91999999999999</v>
          </cell>
          <cell r="U339">
            <v>40.9925</v>
          </cell>
          <cell r="V339">
            <v>210.59690000000001</v>
          </cell>
          <cell r="W339">
            <v>237.2878</v>
          </cell>
          <cell r="X339">
            <v>58.531300000000002</v>
          </cell>
          <cell r="Y339">
            <v>128.63999999999999</v>
          </cell>
          <cell r="Z339">
            <v>2.3149000000000002</v>
          </cell>
          <cell r="AA339">
            <v>1.7629999999999999</v>
          </cell>
          <cell r="AB339">
            <v>287.0806</v>
          </cell>
          <cell r="AC339">
            <v>10.762600000000001</v>
          </cell>
          <cell r="AD339">
            <v>3.5299999999999998E-2</v>
          </cell>
          <cell r="AE339">
            <v>10.1477</v>
          </cell>
          <cell r="AF339">
            <v>18.431100000000001</v>
          </cell>
          <cell r="AG339">
            <v>0.77339999999999998</v>
          </cell>
          <cell r="AH339">
            <v>78.055099999999996</v>
          </cell>
          <cell r="AI339">
            <v>70.750799999999998</v>
          </cell>
          <cell r="AJ339">
            <v>14.007</v>
          </cell>
          <cell r="AK339">
            <v>49.576900000000002</v>
          </cell>
          <cell r="AL339">
            <v>317.50330000000002</v>
          </cell>
          <cell r="AM339">
            <v>42.538499999999999</v>
          </cell>
          <cell r="AN339">
            <v>464.09460000000001</v>
          </cell>
          <cell r="AO339">
            <v>666.19449999999995</v>
          </cell>
        </row>
        <row r="340">
          <cell r="C340">
            <v>272.83629999999999</v>
          </cell>
          <cell r="D340">
            <v>33.7271</v>
          </cell>
          <cell r="E340">
            <v>746.2527</v>
          </cell>
          <cell r="F340">
            <v>11.1678</v>
          </cell>
          <cell r="G340">
            <v>115.04600000000001</v>
          </cell>
          <cell r="H340">
            <v>3.4299999999999997E-2</v>
          </cell>
          <cell r="I340">
            <v>13.6198</v>
          </cell>
          <cell r="J340">
            <v>62.369900000000001</v>
          </cell>
          <cell r="K340">
            <v>527.67999999999995</v>
          </cell>
          <cell r="L340">
            <v>29.661000000000001</v>
          </cell>
          <cell r="M340">
            <v>4.7790999999999997</v>
          </cell>
          <cell r="N340">
            <v>589.27850000000001</v>
          </cell>
          <cell r="O340">
            <v>27.892600000000002</v>
          </cell>
          <cell r="P340">
            <v>23.968499999999999</v>
          </cell>
          <cell r="Q340">
            <v>330.19889999999998</v>
          </cell>
          <cell r="R340">
            <v>3.5522</v>
          </cell>
          <cell r="S340">
            <v>832.30280000000005</v>
          </cell>
          <cell r="T340">
            <v>131.91999999999999</v>
          </cell>
          <cell r="U340">
            <v>40.9925</v>
          </cell>
          <cell r="V340">
            <v>210.59690000000001</v>
          </cell>
          <cell r="W340">
            <v>237.2878</v>
          </cell>
          <cell r="X340">
            <v>58.531300000000002</v>
          </cell>
          <cell r="Y340">
            <v>128.63999999999999</v>
          </cell>
          <cell r="Z340">
            <v>2.3149000000000002</v>
          </cell>
          <cell r="AA340">
            <v>1.7629999999999999</v>
          </cell>
          <cell r="AB340">
            <v>287.0806</v>
          </cell>
          <cell r="AC340">
            <v>10.762600000000001</v>
          </cell>
          <cell r="AD340">
            <v>3.5299999999999998E-2</v>
          </cell>
          <cell r="AE340">
            <v>10.1477</v>
          </cell>
          <cell r="AF340">
            <v>18.431100000000001</v>
          </cell>
          <cell r="AG340">
            <v>0.77339999999999998</v>
          </cell>
          <cell r="AH340">
            <v>78.055099999999996</v>
          </cell>
          <cell r="AI340">
            <v>70.750799999999998</v>
          </cell>
          <cell r="AJ340">
            <v>14.007</v>
          </cell>
          <cell r="AK340">
            <v>49.576900000000002</v>
          </cell>
          <cell r="AL340">
            <v>317.50330000000002</v>
          </cell>
          <cell r="AM340">
            <v>42.538499999999999</v>
          </cell>
          <cell r="AN340">
            <v>464.09460000000001</v>
          </cell>
          <cell r="AO340">
            <v>666.19449999999995</v>
          </cell>
        </row>
        <row r="341">
          <cell r="C341">
            <v>272.83629999999999</v>
          </cell>
          <cell r="D341">
            <v>33.7271</v>
          </cell>
          <cell r="E341">
            <v>746.2527</v>
          </cell>
          <cell r="F341">
            <v>11.1678</v>
          </cell>
          <cell r="G341">
            <v>115.04600000000001</v>
          </cell>
          <cell r="H341">
            <v>3.4299999999999997E-2</v>
          </cell>
          <cell r="I341">
            <v>13.6198</v>
          </cell>
          <cell r="J341">
            <v>62.369900000000001</v>
          </cell>
          <cell r="K341">
            <v>527.67999999999995</v>
          </cell>
          <cell r="L341">
            <v>29.661000000000001</v>
          </cell>
          <cell r="M341">
            <v>4.7790999999999997</v>
          </cell>
          <cell r="N341">
            <v>589.27850000000001</v>
          </cell>
          <cell r="O341">
            <v>27.892600000000002</v>
          </cell>
          <cell r="P341">
            <v>23.968499999999999</v>
          </cell>
          <cell r="Q341">
            <v>330.19889999999998</v>
          </cell>
          <cell r="R341">
            <v>3.5522</v>
          </cell>
          <cell r="S341">
            <v>832.30280000000005</v>
          </cell>
          <cell r="T341">
            <v>131.91999999999999</v>
          </cell>
          <cell r="U341">
            <v>40.9925</v>
          </cell>
          <cell r="V341">
            <v>210.59690000000001</v>
          </cell>
          <cell r="W341">
            <v>237.2878</v>
          </cell>
          <cell r="X341">
            <v>58.531300000000002</v>
          </cell>
          <cell r="Y341">
            <v>128.63999999999999</v>
          </cell>
          <cell r="Z341">
            <v>2.3149000000000002</v>
          </cell>
          <cell r="AA341">
            <v>1.7629999999999999</v>
          </cell>
          <cell r="AB341">
            <v>287.0806</v>
          </cell>
          <cell r="AC341">
            <v>10.762600000000001</v>
          </cell>
          <cell r="AD341">
            <v>3.5299999999999998E-2</v>
          </cell>
          <cell r="AE341">
            <v>10.1477</v>
          </cell>
          <cell r="AF341">
            <v>18.431100000000001</v>
          </cell>
          <cell r="AG341">
            <v>0.77339999999999998</v>
          </cell>
          <cell r="AH341">
            <v>78.055099999999996</v>
          </cell>
          <cell r="AI341">
            <v>70.750799999999998</v>
          </cell>
          <cell r="AJ341">
            <v>14.007</v>
          </cell>
          <cell r="AK341">
            <v>49.576900000000002</v>
          </cell>
          <cell r="AL341">
            <v>317.50330000000002</v>
          </cell>
          <cell r="AM341">
            <v>42.538499999999999</v>
          </cell>
          <cell r="AN341">
            <v>464.09460000000001</v>
          </cell>
          <cell r="AO341">
            <v>666.19449999999995</v>
          </cell>
        </row>
        <row r="342">
          <cell r="C342">
            <v>273.38029999999998</v>
          </cell>
          <cell r="D342">
            <v>33.788400000000003</v>
          </cell>
          <cell r="E342">
            <v>747.48850000000004</v>
          </cell>
          <cell r="F342">
            <v>11.1166</v>
          </cell>
          <cell r="G342">
            <v>115.2551</v>
          </cell>
          <cell r="H342">
            <v>3.4200000000000001E-2</v>
          </cell>
          <cell r="I342">
            <v>13.644500000000001</v>
          </cell>
          <cell r="J342">
            <v>62.4816</v>
          </cell>
          <cell r="K342">
            <v>527.26</v>
          </cell>
          <cell r="L342">
            <v>29.7149</v>
          </cell>
          <cell r="M342">
            <v>4.7823000000000002</v>
          </cell>
          <cell r="N342">
            <v>590.34929999999997</v>
          </cell>
          <cell r="O342">
            <v>27.943300000000001</v>
          </cell>
          <cell r="P342">
            <v>24.012</v>
          </cell>
          <cell r="Q342">
            <v>329.7432</v>
          </cell>
          <cell r="R342">
            <v>3.5493999999999999</v>
          </cell>
          <cell r="S342">
            <v>831.6404</v>
          </cell>
          <cell r="T342">
            <v>131.815</v>
          </cell>
          <cell r="U342">
            <v>40.911900000000003</v>
          </cell>
          <cell r="V342">
            <v>210.9796</v>
          </cell>
          <cell r="W342">
            <v>237.71899999999999</v>
          </cell>
          <cell r="X342">
            <v>58.486400000000003</v>
          </cell>
          <cell r="Y342">
            <v>128.79169999999999</v>
          </cell>
          <cell r="Z342">
            <v>2.3191000000000002</v>
          </cell>
          <cell r="AA342">
            <v>1.7616000000000001</v>
          </cell>
          <cell r="AB342">
            <v>287.65570000000002</v>
          </cell>
          <cell r="AC342">
            <v>10.774699999999999</v>
          </cell>
          <cell r="AD342">
            <v>3.5700000000000003E-2</v>
          </cell>
          <cell r="AE342">
            <v>10.1396</v>
          </cell>
          <cell r="AF342">
            <v>18.482900000000001</v>
          </cell>
          <cell r="AG342">
            <v>0.77149999999999996</v>
          </cell>
          <cell r="AH342">
            <v>78.196899999999999</v>
          </cell>
          <cell r="AI342">
            <v>70.879300000000001</v>
          </cell>
          <cell r="AJ342">
            <v>14.035</v>
          </cell>
          <cell r="AK342">
            <v>49.6511</v>
          </cell>
          <cell r="AL342">
            <v>317.08240000000001</v>
          </cell>
          <cell r="AM342">
            <v>42.5261</v>
          </cell>
          <cell r="AN342">
            <v>464.93790000000001</v>
          </cell>
          <cell r="AO342">
            <v>665.12929999999994</v>
          </cell>
        </row>
        <row r="343">
          <cell r="C343">
            <v>275.49310000000003</v>
          </cell>
          <cell r="D343">
            <v>33.695099999999996</v>
          </cell>
          <cell r="E343">
            <v>743.51329999999996</v>
          </cell>
          <cell r="F343">
            <v>11.123799999999999</v>
          </cell>
          <cell r="G343">
            <v>114.937</v>
          </cell>
          <cell r="H343">
            <v>3.4200000000000001E-2</v>
          </cell>
          <cell r="I343">
            <v>13.6069</v>
          </cell>
          <cell r="J343">
            <v>62.315899999999999</v>
          </cell>
          <cell r="K343">
            <v>527.6</v>
          </cell>
          <cell r="L343">
            <v>29.632899999999999</v>
          </cell>
          <cell r="M343">
            <v>4.7834000000000003</v>
          </cell>
          <cell r="N343">
            <v>588.72029999999995</v>
          </cell>
          <cell r="O343">
            <v>27.866199999999999</v>
          </cell>
          <cell r="P343">
            <v>23.945799999999998</v>
          </cell>
          <cell r="Q343">
            <v>331.18209999999999</v>
          </cell>
          <cell r="R343">
            <v>3.5516999999999999</v>
          </cell>
          <cell r="S343">
            <v>832.17669999999998</v>
          </cell>
          <cell r="T343">
            <v>131.9</v>
          </cell>
          <cell r="U343">
            <v>40.938299999999998</v>
          </cell>
          <cell r="V343">
            <v>210.3974</v>
          </cell>
          <cell r="W343">
            <v>237.06299999999999</v>
          </cell>
          <cell r="X343">
            <v>58.387500000000003</v>
          </cell>
          <cell r="Y343">
            <v>129.25980000000001</v>
          </cell>
          <cell r="Z343">
            <v>2.3127</v>
          </cell>
          <cell r="AA343">
            <v>1.7627999999999999</v>
          </cell>
          <cell r="AB343">
            <v>287.5557</v>
          </cell>
          <cell r="AC343">
            <v>10.7102</v>
          </cell>
          <cell r="AD343">
            <v>3.5700000000000003E-2</v>
          </cell>
          <cell r="AE343">
            <v>10.1462</v>
          </cell>
          <cell r="AF343">
            <v>18.424600000000002</v>
          </cell>
          <cell r="AG343">
            <v>0.77200000000000002</v>
          </cell>
          <cell r="AH343">
            <v>77.981200000000001</v>
          </cell>
          <cell r="AI343">
            <v>70.683700000000002</v>
          </cell>
          <cell r="AJ343">
            <v>13.9878</v>
          </cell>
          <cell r="AK343">
            <v>49.6355</v>
          </cell>
          <cell r="AL343">
            <v>316.6825</v>
          </cell>
          <cell r="AM343">
            <v>42.540999999999997</v>
          </cell>
          <cell r="AN343">
            <v>463.6549</v>
          </cell>
          <cell r="AO343">
            <v>664.149</v>
          </cell>
        </row>
        <row r="344">
          <cell r="C344">
            <v>274.99059999999997</v>
          </cell>
          <cell r="D344">
            <v>33.8735</v>
          </cell>
          <cell r="E344">
            <v>747.56859999999995</v>
          </cell>
          <cell r="F344">
            <v>11.1282</v>
          </cell>
          <cell r="G344">
            <v>115.5454</v>
          </cell>
          <cell r="H344">
            <v>3.4200000000000001E-2</v>
          </cell>
          <cell r="I344">
            <v>13.678900000000001</v>
          </cell>
          <cell r="J344">
            <v>62.643999999999998</v>
          </cell>
          <cell r="K344">
            <v>527.80999999999995</v>
          </cell>
          <cell r="L344">
            <v>29.7898</v>
          </cell>
          <cell r="M344">
            <v>4.7885</v>
          </cell>
          <cell r="N344">
            <v>591.83640000000003</v>
          </cell>
          <cell r="O344">
            <v>28.0137</v>
          </cell>
          <cell r="P344">
            <v>24.072500000000002</v>
          </cell>
          <cell r="Q344">
            <v>332.19940000000003</v>
          </cell>
          <cell r="R344">
            <v>3.5531000000000001</v>
          </cell>
          <cell r="S344">
            <v>832.50789999999995</v>
          </cell>
          <cell r="T344">
            <v>131.95249999999999</v>
          </cell>
          <cell r="U344">
            <v>40.954599999999999</v>
          </cell>
          <cell r="V344">
            <v>211.511</v>
          </cell>
          <cell r="W344">
            <v>238.31780000000001</v>
          </cell>
          <cell r="X344">
            <v>58.692799999999998</v>
          </cell>
          <cell r="Y344">
            <v>129.47470000000001</v>
          </cell>
          <cell r="Z344">
            <v>2.3249</v>
          </cell>
          <cell r="AA344">
            <v>1.7635000000000001</v>
          </cell>
          <cell r="AB344">
            <v>287.93490000000003</v>
          </cell>
          <cell r="AC344">
            <v>10.757199999999999</v>
          </cell>
          <cell r="AD344">
            <v>3.56E-2</v>
          </cell>
          <cell r="AE344">
            <v>10.1502</v>
          </cell>
          <cell r="AF344">
            <v>18.581900000000001</v>
          </cell>
          <cell r="AG344">
            <v>0.77229999999999999</v>
          </cell>
          <cell r="AH344">
            <v>78.393900000000002</v>
          </cell>
          <cell r="AI344">
            <v>71.057900000000004</v>
          </cell>
          <cell r="AJ344">
            <v>14.0238</v>
          </cell>
          <cell r="AK344">
            <v>49.541800000000002</v>
          </cell>
          <cell r="AL344">
            <v>319.55919999999998</v>
          </cell>
          <cell r="AM344">
            <v>42.785800000000002</v>
          </cell>
          <cell r="AN344">
            <v>466.10899999999998</v>
          </cell>
          <cell r="AO344">
            <v>666.48230000000001</v>
          </cell>
        </row>
        <row r="345">
          <cell r="C345">
            <v>274.16590000000002</v>
          </cell>
          <cell r="D345">
            <v>34.120600000000003</v>
          </cell>
          <cell r="E345">
            <v>752.90110000000004</v>
          </cell>
          <cell r="F345">
            <v>11.127000000000001</v>
          </cell>
          <cell r="G345">
            <v>116.3883</v>
          </cell>
          <cell r="H345">
            <v>3.4200000000000001E-2</v>
          </cell>
          <cell r="I345">
            <v>13.778700000000001</v>
          </cell>
          <cell r="J345">
            <v>63.096699999999998</v>
          </cell>
          <cell r="K345">
            <v>528.30999999999995</v>
          </cell>
          <cell r="L345">
            <v>30.007100000000001</v>
          </cell>
          <cell r="M345">
            <v>4.8463000000000003</v>
          </cell>
          <cell r="N345">
            <v>596.15359999999998</v>
          </cell>
          <cell r="O345">
            <v>28.2181</v>
          </cell>
          <cell r="P345">
            <v>24.248100000000001</v>
          </cell>
          <cell r="Q345">
            <v>333.90879999999999</v>
          </cell>
          <cell r="R345">
            <v>3.5564</v>
          </cell>
          <cell r="S345">
            <v>833.29650000000004</v>
          </cell>
          <cell r="T345">
            <v>132.07749999999999</v>
          </cell>
          <cell r="U345">
            <v>40.993400000000001</v>
          </cell>
          <cell r="V345">
            <v>213.0539</v>
          </cell>
          <cell r="W345">
            <v>240.05619999999999</v>
          </cell>
          <cell r="X345">
            <v>59.072600000000001</v>
          </cell>
          <cell r="Y345">
            <v>129.5984</v>
          </cell>
          <cell r="Z345">
            <v>2.3418999999999999</v>
          </cell>
          <cell r="AA345">
            <v>1.7668999999999999</v>
          </cell>
          <cell r="AB345">
            <v>288.83980000000003</v>
          </cell>
          <cell r="AC345">
            <v>10.8307</v>
          </cell>
          <cell r="AD345">
            <v>3.5400000000000001E-2</v>
          </cell>
          <cell r="AE345">
            <v>10.159800000000001</v>
          </cell>
          <cell r="AF345">
            <v>18.727900000000002</v>
          </cell>
          <cell r="AG345">
            <v>0.77300000000000002</v>
          </cell>
          <cell r="AH345">
            <v>78.965800000000002</v>
          </cell>
          <cell r="AI345">
            <v>71.5762</v>
          </cell>
          <cell r="AJ345">
            <v>14.1112</v>
          </cell>
          <cell r="AK345">
            <v>49.588999999999999</v>
          </cell>
          <cell r="AL345">
            <v>320.8125</v>
          </cell>
          <cell r="AM345">
            <v>42.983499999999999</v>
          </cell>
          <cell r="AN345">
            <v>469.50909999999999</v>
          </cell>
          <cell r="AO345">
            <v>668.88149999999996</v>
          </cell>
        </row>
        <row r="346">
          <cell r="C346">
            <v>272.99434666666667</v>
          </cell>
          <cell r="D346">
            <v>34.175386666666661</v>
          </cell>
          <cell r="E346">
            <v>760.7423799999998</v>
          </cell>
          <cell r="F346">
            <v>11.19022</v>
          </cell>
          <cell r="G346">
            <v>116.57531999999999</v>
          </cell>
          <cell r="H346">
            <v>3.4573333333333331E-2</v>
          </cell>
          <cell r="I346">
            <v>13.800839999999997</v>
          </cell>
          <cell r="J346">
            <v>63.163599999999995</v>
          </cell>
          <cell r="K346">
            <v>528.72766666666678</v>
          </cell>
          <cell r="L346">
            <v>30.055323333333334</v>
          </cell>
          <cell r="M346">
            <v>4.9416199999999995</v>
          </cell>
          <cell r="N346">
            <v>597.11172333333332</v>
          </cell>
          <cell r="O346">
            <v>28.263400000000001</v>
          </cell>
          <cell r="P346">
            <v>24.287093333333328</v>
          </cell>
          <cell r="Q346">
            <v>331.63999333333328</v>
          </cell>
          <cell r="R346">
            <v>3.5630199999999999</v>
          </cell>
          <cell r="S346">
            <v>839.54892333333373</v>
          </cell>
          <cell r="T346">
            <v>132.18191666666669</v>
          </cell>
          <cell r="U346">
            <v>41.098036666666665</v>
          </cell>
          <cell r="V346">
            <v>213.39634999999998</v>
          </cell>
          <cell r="W346">
            <v>240.44201666666672</v>
          </cell>
          <cell r="X346">
            <v>59.335443333333338</v>
          </cell>
          <cell r="Y346">
            <v>129.07602666666665</v>
          </cell>
          <cell r="Z346">
            <v>2.3456666666666668</v>
          </cell>
          <cell r="AA346">
            <v>1.7748366666666664</v>
          </cell>
          <cell r="AB346">
            <v>288.91034000000002</v>
          </cell>
          <cell r="AC346">
            <v>10.901126666666666</v>
          </cell>
          <cell r="AD346">
            <v>3.4653333333333335E-2</v>
          </cell>
          <cell r="AE346">
            <v>10.167836666666666</v>
          </cell>
          <cell r="AF346">
            <v>18.679033333333336</v>
          </cell>
          <cell r="AG346">
            <v>0.79033333333333322</v>
          </cell>
          <cell r="AH346">
            <v>79.092676666666662</v>
          </cell>
          <cell r="AI346">
            <v>71.691243333333333</v>
          </cell>
          <cell r="AJ346">
            <v>14.114223333333335</v>
          </cell>
          <cell r="AK346">
            <v>49.906796666666672</v>
          </cell>
          <cell r="AL346">
            <v>320.6739300000001</v>
          </cell>
          <cell r="AM346">
            <v>43.259033333333342</v>
          </cell>
          <cell r="AN346">
            <v>470.26371666666671</v>
          </cell>
          <cell r="AO346">
            <v>671.16765999999996</v>
          </cell>
        </row>
        <row r="347">
          <cell r="C347">
            <v>275.51850000000002</v>
          </cell>
          <cell r="D347">
            <v>34.184800000000003</v>
          </cell>
          <cell r="E347">
            <v>754.07629999999995</v>
          </cell>
          <cell r="F347">
            <v>11.1342</v>
          </cell>
          <cell r="G347">
            <v>116.6073</v>
          </cell>
          <cell r="H347">
            <v>3.4200000000000001E-2</v>
          </cell>
          <cell r="I347">
            <v>13.804600000000001</v>
          </cell>
          <cell r="J347">
            <v>63.203600000000002</v>
          </cell>
          <cell r="K347">
            <v>528.65</v>
          </cell>
          <cell r="L347">
            <v>30.063600000000001</v>
          </cell>
          <cell r="M347">
            <v>4.9375</v>
          </cell>
          <cell r="N347">
            <v>597.27560000000005</v>
          </cell>
          <cell r="O347">
            <v>28.2712</v>
          </cell>
          <cell r="P347">
            <v>24.293800000000001</v>
          </cell>
          <cell r="Q347">
            <v>334.63240000000002</v>
          </cell>
          <cell r="R347">
            <v>3.5587</v>
          </cell>
          <cell r="S347">
            <v>836.47149999999999</v>
          </cell>
          <cell r="T347">
            <v>132.16249999999999</v>
          </cell>
          <cell r="U347">
            <v>40.700400000000002</v>
          </cell>
          <cell r="V347">
            <v>213.45490000000001</v>
          </cell>
          <cell r="W347">
            <v>240.50800000000001</v>
          </cell>
          <cell r="X347">
            <v>59.161499999999997</v>
          </cell>
          <cell r="Y347">
            <v>129.7456</v>
          </cell>
          <cell r="Z347">
            <v>2.3462999999999998</v>
          </cell>
          <cell r="AA347">
            <v>1.7681</v>
          </cell>
          <cell r="AB347">
            <v>288.61989999999997</v>
          </cell>
          <cell r="AC347">
            <v>10.8383</v>
          </cell>
          <cell r="AD347">
            <v>3.5700000000000003E-2</v>
          </cell>
          <cell r="AE347">
            <v>10.1663</v>
          </cell>
          <cell r="AF347">
            <v>18.682700000000001</v>
          </cell>
          <cell r="AG347">
            <v>0.77349999999999997</v>
          </cell>
          <cell r="AH347">
            <v>79.114400000000003</v>
          </cell>
          <cell r="AI347">
            <v>71.710899999999995</v>
          </cell>
          <cell r="AJ347">
            <v>14.2126</v>
          </cell>
          <cell r="AK347">
            <v>49.561999999999998</v>
          </cell>
          <cell r="AL347">
            <v>319.4735</v>
          </cell>
          <cell r="AM347">
            <v>42.739699999999999</v>
          </cell>
          <cell r="AN347">
            <v>470.39280000000002</v>
          </cell>
          <cell r="AO347">
            <v>669.31190000000004</v>
          </cell>
        </row>
        <row r="348">
          <cell r="C348">
            <v>275.51850000000002</v>
          </cell>
          <cell r="D348">
            <v>34.184800000000003</v>
          </cell>
          <cell r="E348">
            <v>754.07629999999995</v>
          </cell>
          <cell r="F348">
            <v>11.1342</v>
          </cell>
          <cell r="G348">
            <v>116.6073</v>
          </cell>
          <cell r="H348">
            <v>3.4200000000000001E-2</v>
          </cell>
          <cell r="I348">
            <v>13.804600000000001</v>
          </cell>
          <cell r="J348">
            <v>63.203600000000002</v>
          </cell>
          <cell r="K348">
            <v>528.65</v>
          </cell>
          <cell r="L348">
            <v>30.063600000000001</v>
          </cell>
          <cell r="M348">
            <v>4.9375</v>
          </cell>
          <cell r="N348">
            <v>597.27560000000005</v>
          </cell>
          <cell r="O348">
            <v>28.2712</v>
          </cell>
          <cell r="P348">
            <v>24.293800000000001</v>
          </cell>
          <cell r="Q348">
            <v>334.63240000000002</v>
          </cell>
          <cell r="R348">
            <v>3.5587</v>
          </cell>
          <cell r="S348">
            <v>836.47149999999999</v>
          </cell>
          <cell r="T348">
            <v>132.16249999999999</v>
          </cell>
          <cell r="U348">
            <v>40.700400000000002</v>
          </cell>
          <cell r="V348">
            <v>213.45490000000001</v>
          </cell>
          <cell r="W348">
            <v>240.50800000000001</v>
          </cell>
          <cell r="X348">
            <v>59.161499999999997</v>
          </cell>
          <cell r="Y348">
            <v>129.7456</v>
          </cell>
          <cell r="Z348">
            <v>2.3462999999999998</v>
          </cell>
          <cell r="AA348">
            <v>1.7681</v>
          </cell>
          <cell r="AB348">
            <v>288.61989999999997</v>
          </cell>
          <cell r="AC348">
            <v>10.8383</v>
          </cell>
          <cell r="AD348">
            <v>3.5700000000000003E-2</v>
          </cell>
          <cell r="AE348">
            <v>10.1663</v>
          </cell>
          <cell r="AF348">
            <v>18.682700000000001</v>
          </cell>
          <cell r="AG348">
            <v>0.77349999999999997</v>
          </cell>
          <cell r="AH348">
            <v>79.114400000000003</v>
          </cell>
          <cell r="AI348">
            <v>71.710899999999995</v>
          </cell>
          <cell r="AJ348">
            <v>14.2126</v>
          </cell>
          <cell r="AK348">
            <v>49.561999999999998</v>
          </cell>
          <cell r="AL348">
            <v>319.4735</v>
          </cell>
          <cell r="AM348">
            <v>42.739699999999999</v>
          </cell>
          <cell r="AN348">
            <v>470.39280000000002</v>
          </cell>
          <cell r="AO348">
            <v>669.31190000000004</v>
          </cell>
        </row>
        <row r="349">
          <cell r="C349">
            <v>275.51850000000002</v>
          </cell>
          <cell r="D349">
            <v>34.184800000000003</v>
          </cell>
          <cell r="E349">
            <v>754.07629999999995</v>
          </cell>
          <cell r="F349">
            <v>11.1342</v>
          </cell>
          <cell r="G349">
            <v>116.6073</v>
          </cell>
          <cell r="H349">
            <v>3.4200000000000001E-2</v>
          </cell>
          <cell r="I349">
            <v>13.804600000000001</v>
          </cell>
          <cell r="J349">
            <v>63.203600000000002</v>
          </cell>
          <cell r="K349">
            <v>528.65</v>
          </cell>
          <cell r="L349">
            <v>30.063600000000001</v>
          </cell>
          <cell r="M349">
            <v>4.9375</v>
          </cell>
          <cell r="N349">
            <v>597.27560000000005</v>
          </cell>
          <cell r="O349">
            <v>28.2712</v>
          </cell>
          <cell r="P349">
            <v>24.293800000000001</v>
          </cell>
          <cell r="Q349">
            <v>334.63240000000002</v>
          </cell>
          <cell r="R349">
            <v>3.5587</v>
          </cell>
          <cell r="S349">
            <v>836.47149999999999</v>
          </cell>
          <cell r="T349">
            <v>132.16249999999999</v>
          </cell>
          <cell r="U349">
            <v>40.700400000000002</v>
          </cell>
          <cell r="V349">
            <v>213.45490000000001</v>
          </cell>
          <cell r="W349">
            <v>240.50800000000001</v>
          </cell>
          <cell r="X349">
            <v>59.161499999999997</v>
          </cell>
          <cell r="Y349">
            <v>129.7456</v>
          </cell>
          <cell r="Z349">
            <v>2.3462999999999998</v>
          </cell>
          <cell r="AA349">
            <v>1.7681</v>
          </cell>
          <cell r="AB349">
            <v>288.61989999999997</v>
          </cell>
          <cell r="AC349">
            <v>10.8383</v>
          </cell>
          <cell r="AD349">
            <v>3.5700000000000003E-2</v>
          </cell>
          <cell r="AE349">
            <v>10.1663</v>
          </cell>
          <cell r="AF349">
            <v>18.682700000000001</v>
          </cell>
          <cell r="AG349">
            <v>0.77349999999999997</v>
          </cell>
          <cell r="AH349">
            <v>79.114400000000003</v>
          </cell>
          <cell r="AI349">
            <v>71.710899999999995</v>
          </cell>
          <cell r="AJ349">
            <v>14.2126</v>
          </cell>
          <cell r="AK349">
            <v>49.561999999999998</v>
          </cell>
          <cell r="AL349">
            <v>319.4735</v>
          </cell>
          <cell r="AM349">
            <v>42.739699999999999</v>
          </cell>
          <cell r="AN349">
            <v>470.39280000000002</v>
          </cell>
          <cell r="AO349">
            <v>669.31190000000004</v>
          </cell>
        </row>
        <row r="350">
          <cell r="C350">
            <v>274.31810000000002</v>
          </cell>
          <cell r="D350">
            <v>34.295000000000002</v>
          </cell>
          <cell r="E350">
            <v>752.04679999999996</v>
          </cell>
          <cell r="F350">
            <v>11.1363</v>
          </cell>
          <cell r="G350">
            <v>116.9833</v>
          </cell>
          <cell r="H350">
            <v>3.4000000000000002E-2</v>
          </cell>
          <cell r="I350">
            <v>13.8491</v>
          </cell>
          <cell r="J350">
            <v>63.384399999999999</v>
          </cell>
          <cell r="K350">
            <v>528.75</v>
          </cell>
          <cell r="L350">
            <v>30.160499999999999</v>
          </cell>
          <cell r="M350">
            <v>4.9617000000000004</v>
          </cell>
          <cell r="N350">
            <v>599.20129999999995</v>
          </cell>
          <cell r="O350">
            <v>28.362300000000001</v>
          </cell>
          <cell r="P350">
            <v>24.3721</v>
          </cell>
          <cell r="Q350">
            <v>335.78300000000002</v>
          </cell>
          <cell r="R350">
            <v>3.5546000000000002</v>
          </cell>
          <cell r="S350">
            <v>835.30809999999997</v>
          </cell>
          <cell r="T350">
            <v>132.1875</v>
          </cell>
          <cell r="U350">
            <v>40.515999999999998</v>
          </cell>
          <cell r="V350">
            <v>214.1431</v>
          </cell>
          <cell r="W350">
            <v>241.2834</v>
          </cell>
          <cell r="X350">
            <v>58.977600000000002</v>
          </cell>
          <cell r="Y350">
            <v>130.45179999999999</v>
          </cell>
          <cell r="Z350">
            <v>2.3538999999999999</v>
          </cell>
          <cell r="AA350">
            <v>1.7665999999999999</v>
          </cell>
          <cell r="AB350">
            <v>288.31220000000002</v>
          </cell>
          <cell r="AC350">
            <v>10.916499999999999</v>
          </cell>
          <cell r="AD350">
            <v>3.5299999999999998E-2</v>
          </cell>
          <cell r="AE350">
            <v>10.1683</v>
          </cell>
          <cell r="AF350">
            <v>18.834900000000001</v>
          </cell>
          <cell r="AG350">
            <v>0.7732</v>
          </cell>
          <cell r="AH350">
            <v>79.369500000000002</v>
          </cell>
          <cell r="AI350">
            <v>71.942099999999996</v>
          </cell>
          <cell r="AJ350">
            <v>14.2463</v>
          </cell>
          <cell r="AK350">
            <v>49.2928</v>
          </cell>
          <cell r="AL350">
            <v>320.3295</v>
          </cell>
          <cell r="AM350">
            <v>42.819099999999999</v>
          </cell>
          <cell r="AN350">
            <v>471.90940000000001</v>
          </cell>
          <cell r="AO350">
            <v>669.9271</v>
          </cell>
        </row>
        <row r="351">
          <cell r="C351">
            <v>273.28160000000003</v>
          </cell>
          <cell r="D351">
            <v>34.213099999999997</v>
          </cell>
          <cell r="E351">
            <v>752.16849999999999</v>
          </cell>
          <cell r="F351">
            <v>11.138400000000001</v>
          </cell>
          <cell r="G351">
            <v>116.7039</v>
          </cell>
          <cell r="H351">
            <v>3.4000000000000002E-2</v>
          </cell>
          <cell r="I351">
            <v>13.8161</v>
          </cell>
          <cell r="J351">
            <v>63.238100000000003</v>
          </cell>
          <cell r="K351">
            <v>528.85</v>
          </cell>
          <cell r="L351">
            <v>30.0885</v>
          </cell>
          <cell r="M351">
            <v>4.9085999999999999</v>
          </cell>
          <cell r="N351">
            <v>597.77020000000005</v>
          </cell>
          <cell r="O351">
            <v>28.294599999999999</v>
          </cell>
          <cell r="P351">
            <v>24.3139</v>
          </cell>
          <cell r="Q351">
            <v>336.10500000000002</v>
          </cell>
          <cell r="R351">
            <v>3.5552999999999999</v>
          </cell>
          <cell r="S351">
            <v>835.46600000000001</v>
          </cell>
          <cell r="T351">
            <v>132.21250000000001</v>
          </cell>
          <cell r="U351">
            <v>40.523699999999998</v>
          </cell>
          <cell r="V351">
            <v>213.6317</v>
          </cell>
          <cell r="W351">
            <v>240.7072</v>
          </cell>
          <cell r="X351">
            <v>59.095199999999998</v>
          </cell>
          <cell r="Y351">
            <v>131.309</v>
          </cell>
          <cell r="Z351">
            <v>2.3483000000000001</v>
          </cell>
          <cell r="AA351">
            <v>1.7669999999999999</v>
          </cell>
          <cell r="AB351">
            <v>288.04590000000002</v>
          </cell>
          <cell r="AC351">
            <v>10.910399999999999</v>
          </cell>
          <cell r="AD351">
            <v>3.56E-2</v>
          </cell>
          <cell r="AE351">
            <v>10.170199999999999</v>
          </cell>
          <cell r="AF351">
            <v>18.874300000000002</v>
          </cell>
          <cell r="AG351">
            <v>0.77339999999999998</v>
          </cell>
          <cell r="AH351">
            <v>79.179900000000004</v>
          </cell>
          <cell r="AI351">
            <v>71.770300000000006</v>
          </cell>
          <cell r="AJ351">
            <v>14.249700000000001</v>
          </cell>
          <cell r="AK351">
            <v>49.692599999999999</v>
          </cell>
          <cell r="AL351">
            <v>319.69459999999998</v>
          </cell>
          <cell r="AM351">
            <v>42.604700000000001</v>
          </cell>
          <cell r="AN351">
            <v>470.78230000000002</v>
          </cell>
          <cell r="AO351">
            <v>669.65589999999997</v>
          </cell>
        </row>
        <row r="352">
          <cell r="C352">
            <v>272.44060000000002</v>
          </cell>
          <cell r="D352">
            <v>34.297899999999998</v>
          </cell>
          <cell r="E352">
            <v>752.70950000000005</v>
          </cell>
          <cell r="F352">
            <v>11.1447</v>
          </cell>
          <cell r="G352">
            <v>116.9931</v>
          </cell>
          <cell r="H352">
            <v>3.4000000000000002E-2</v>
          </cell>
          <cell r="I352">
            <v>13.850300000000001</v>
          </cell>
          <cell r="J352">
            <v>63.386299999999999</v>
          </cell>
          <cell r="K352">
            <v>529.15</v>
          </cell>
          <cell r="L352">
            <v>30.163</v>
          </cell>
          <cell r="M352">
            <v>4.8578999999999999</v>
          </cell>
          <cell r="N352">
            <v>599.25149999999996</v>
          </cell>
          <cell r="O352">
            <v>28.364699999999999</v>
          </cell>
          <cell r="P352">
            <v>24.374099999999999</v>
          </cell>
          <cell r="Q352">
            <v>336.26569999999998</v>
          </cell>
          <cell r="R352">
            <v>3.5573000000000001</v>
          </cell>
          <cell r="S352">
            <v>837.2627</v>
          </cell>
          <cell r="T352">
            <v>132.28749999999999</v>
          </cell>
          <cell r="U352">
            <v>40.320799999999998</v>
          </cell>
          <cell r="V352">
            <v>214.1611</v>
          </cell>
          <cell r="W352">
            <v>241.30359999999999</v>
          </cell>
          <cell r="X352">
            <v>58.993600000000001</v>
          </cell>
          <cell r="Y352">
            <v>130.77719999999999</v>
          </cell>
          <cell r="Z352">
            <v>2.3540999999999999</v>
          </cell>
          <cell r="AA352">
            <v>1.7674000000000001</v>
          </cell>
          <cell r="AB352">
            <v>288.23070000000001</v>
          </cell>
          <cell r="AC352">
            <v>10.9323</v>
          </cell>
          <cell r="AD352">
            <v>3.6200000000000003E-2</v>
          </cell>
          <cell r="AE352">
            <v>10.176</v>
          </cell>
          <cell r="AF352">
            <v>18.989599999999999</v>
          </cell>
          <cell r="AG352">
            <v>0.77380000000000004</v>
          </cell>
          <cell r="AH352">
            <v>79.376099999999994</v>
          </cell>
          <cell r="AI352">
            <v>71.948099999999997</v>
          </cell>
          <cell r="AJ352">
            <v>14.290699999999999</v>
          </cell>
          <cell r="AK352">
            <v>49.964399999999998</v>
          </cell>
          <cell r="AL352">
            <v>320.03039999999999</v>
          </cell>
          <cell r="AM352">
            <v>42.579300000000003</v>
          </cell>
          <cell r="AN352">
            <v>471.94889999999998</v>
          </cell>
          <cell r="AO352">
            <v>669.87030000000004</v>
          </cell>
        </row>
        <row r="353">
          <cell r="C353">
            <v>274.15859999999998</v>
          </cell>
          <cell r="D353">
            <v>34.221299999999999</v>
          </cell>
          <cell r="E353">
            <v>752.76919999999996</v>
          </cell>
          <cell r="F353">
            <v>11.157299999999999</v>
          </cell>
          <cell r="G353">
            <v>116.73180000000001</v>
          </cell>
          <cell r="H353">
            <v>3.4000000000000002E-2</v>
          </cell>
          <cell r="I353">
            <v>13.8194</v>
          </cell>
          <cell r="J353">
            <v>63.245600000000003</v>
          </cell>
          <cell r="K353">
            <v>529.75</v>
          </cell>
          <cell r="L353">
            <v>30.095700000000001</v>
          </cell>
          <cell r="M353">
            <v>4.8441000000000001</v>
          </cell>
          <cell r="N353">
            <v>597.91300000000001</v>
          </cell>
          <cell r="O353">
            <v>28.301300000000001</v>
          </cell>
          <cell r="P353">
            <v>24.319700000000001</v>
          </cell>
          <cell r="Q353">
            <v>337.00330000000002</v>
          </cell>
          <cell r="R353">
            <v>3.5613000000000001</v>
          </cell>
          <cell r="S353">
            <v>838.21199999999999</v>
          </cell>
          <cell r="T353">
            <v>132.4375</v>
          </cell>
          <cell r="U353">
            <v>40.363399999999999</v>
          </cell>
          <cell r="V353">
            <v>213.68270000000001</v>
          </cell>
          <cell r="W353">
            <v>240.7647</v>
          </cell>
          <cell r="X353">
            <v>59.039000000000001</v>
          </cell>
          <cell r="Y353">
            <v>129.64089999999999</v>
          </cell>
          <cell r="Z353">
            <v>2.3488000000000002</v>
          </cell>
          <cell r="AA353">
            <v>1.7706</v>
          </cell>
          <cell r="AB353">
            <v>288.928</v>
          </cell>
          <cell r="AC353">
            <v>10.913</v>
          </cell>
          <cell r="AD353">
            <v>3.6400000000000002E-2</v>
          </cell>
          <cell r="AE353">
            <v>10.1875</v>
          </cell>
          <cell r="AF353">
            <v>18.919</v>
          </cell>
          <cell r="AG353">
            <v>0.77470000000000006</v>
          </cell>
          <cell r="AH353">
            <v>79.198800000000006</v>
          </cell>
          <cell r="AI353">
            <v>71.787400000000005</v>
          </cell>
          <cell r="AJ353">
            <v>14.283799999999999</v>
          </cell>
          <cell r="AK353">
            <v>50.299100000000003</v>
          </cell>
          <cell r="AL353">
            <v>319.44560000000001</v>
          </cell>
          <cell r="AM353">
            <v>42.530200000000001</v>
          </cell>
          <cell r="AN353">
            <v>470.89479999999998</v>
          </cell>
          <cell r="AO353">
            <v>668.80280000000005</v>
          </cell>
        </row>
        <row r="354">
          <cell r="C354">
            <v>273.73739999999998</v>
          </cell>
          <cell r="D354">
            <v>34.305999999999997</v>
          </cell>
          <cell r="E354">
            <v>756.38559999999995</v>
          </cell>
          <cell r="F354">
            <v>11.157299999999999</v>
          </cell>
          <cell r="G354">
            <v>117.02070000000001</v>
          </cell>
          <cell r="H354">
            <v>3.4000000000000002E-2</v>
          </cell>
          <cell r="I354">
            <v>13.8536</v>
          </cell>
          <cell r="J354">
            <v>63.398699999999998</v>
          </cell>
          <cell r="K354">
            <v>529.75</v>
          </cell>
          <cell r="L354">
            <v>30.170100000000001</v>
          </cell>
          <cell r="M354">
            <v>4.8711000000000002</v>
          </cell>
          <cell r="N354">
            <v>599.39279999999997</v>
          </cell>
          <cell r="O354">
            <v>28.371400000000001</v>
          </cell>
          <cell r="P354">
            <v>24.379899999999999</v>
          </cell>
          <cell r="Q354">
            <v>335.98590000000002</v>
          </cell>
          <cell r="R354">
            <v>3.5613000000000001</v>
          </cell>
          <cell r="S354">
            <v>836.88779999999997</v>
          </cell>
          <cell r="T354">
            <v>132.4375</v>
          </cell>
          <cell r="U354">
            <v>40.376399999999997</v>
          </cell>
          <cell r="V354">
            <v>214.2116</v>
          </cell>
          <cell r="W354">
            <v>241.36060000000001</v>
          </cell>
          <cell r="X354">
            <v>59.177700000000002</v>
          </cell>
          <cell r="Y354">
            <v>129.41309999999999</v>
          </cell>
          <cell r="Z354">
            <v>2.3546</v>
          </cell>
          <cell r="AA354">
            <v>1.7687999999999999</v>
          </cell>
          <cell r="AB354">
            <v>289.18169999999998</v>
          </cell>
          <cell r="AC354">
            <v>10.938700000000001</v>
          </cell>
          <cell r="AD354">
            <v>3.6600000000000001E-2</v>
          </cell>
          <cell r="AE354">
            <v>10.1875</v>
          </cell>
          <cell r="AF354">
            <v>18.912700000000001</v>
          </cell>
          <cell r="AG354">
            <v>0.77470000000000006</v>
          </cell>
          <cell r="AH354">
            <v>79.394800000000004</v>
          </cell>
          <cell r="AI354">
            <v>71.965100000000007</v>
          </cell>
          <cell r="AJ354">
            <v>14.3049</v>
          </cell>
          <cell r="AK354">
            <v>50.448300000000003</v>
          </cell>
          <cell r="AL354">
            <v>319.24</v>
          </cell>
          <cell r="AM354">
            <v>42.337200000000003</v>
          </cell>
          <cell r="AN354">
            <v>472.06020000000001</v>
          </cell>
          <cell r="AO354">
            <v>670.18529999999998</v>
          </cell>
        </row>
        <row r="355">
          <cell r="C355">
            <v>273.73739999999998</v>
          </cell>
          <cell r="D355">
            <v>34.305999999999997</v>
          </cell>
          <cell r="E355">
            <v>756.38559999999995</v>
          </cell>
          <cell r="F355">
            <v>11.157299999999999</v>
          </cell>
          <cell r="G355">
            <v>117.02070000000001</v>
          </cell>
          <cell r="H355">
            <v>3.4000000000000002E-2</v>
          </cell>
          <cell r="I355">
            <v>13.8536</v>
          </cell>
          <cell r="J355">
            <v>63.398699999999998</v>
          </cell>
          <cell r="K355">
            <v>529.75</v>
          </cell>
          <cell r="L355">
            <v>30.170100000000001</v>
          </cell>
          <cell r="M355">
            <v>4.8711000000000002</v>
          </cell>
          <cell r="N355">
            <v>599.39279999999997</v>
          </cell>
          <cell r="O355">
            <v>28.371400000000001</v>
          </cell>
          <cell r="P355">
            <v>24.379899999999999</v>
          </cell>
          <cell r="Q355">
            <v>335.98590000000002</v>
          </cell>
          <cell r="R355">
            <v>3.5613000000000001</v>
          </cell>
          <cell r="S355">
            <v>836.88779999999997</v>
          </cell>
          <cell r="T355">
            <v>132.4375</v>
          </cell>
          <cell r="U355">
            <v>40.376399999999997</v>
          </cell>
          <cell r="V355">
            <v>214.2116</v>
          </cell>
          <cell r="W355">
            <v>241.36060000000001</v>
          </cell>
          <cell r="X355">
            <v>59.177700000000002</v>
          </cell>
          <cell r="Y355">
            <v>129.41309999999999</v>
          </cell>
          <cell r="Z355">
            <v>2.3546</v>
          </cell>
          <cell r="AA355">
            <v>1.7687999999999999</v>
          </cell>
          <cell r="AB355">
            <v>289.18169999999998</v>
          </cell>
          <cell r="AC355">
            <v>10.938700000000001</v>
          </cell>
          <cell r="AD355">
            <v>3.6600000000000001E-2</v>
          </cell>
          <cell r="AE355">
            <v>10.1875</v>
          </cell>
          <cell r="AF355">
            <v>18.912700000000001</v>
          </cell>
          <cell r="AG355">
            <v>0.77470000000000006</v>
          </cell>
          <cell r="AH355">
            <v>79.394800000000004</v>
          </cell>
          <cell r="AI355">
            <v>71.965100000000007</v>
          </cell>
          <cell r="AJ355">
            <v>14.3049</v>
          </cell>
          <cell r="AK355">
            <v>50.448300000000003</v>
          </cell>
          <cell r="AL355">
            <v>319.24</v>
          </cell>
          <cell r="AM355">
            <v>42.337200000000003</v>
          </cell>
          <cell r="AN355">
            <v>472.06020000000001</v>
          </cell>
          <cell r="AO355">
            <v>670.18529999999998</v>
          </cell>
        </row>
        <row r="356">
          <cell r="C356">
            <v>273.73739999999998</v>
          </cell>
          <cell r="D356">
            <v>34.305999999999997</v>
          </cell>
          <cell r="E356">
            <v>756.38559999999995</v>
          </cell>
          <cell r="F356">
            <v>11.157299999999999</v>
          </cell>
          <cell r="G356">
            <v>117.02070000000001</v>
          </cell>
          <cell r="H356">
            <v>3.4000000000000002E-2</v>
          </cell>
          <cell r="I356">
            <v>13.8536</v>
          </cell>
          <cell r="J356">
            <v>63.398699999999998</v>
          </cell>
          <cell r="K356">
            <v>529.75</v>
          </cell>
          <cell r="L356">
            <v>30.170100000000001</v>
          </cell>
          <cell r="M356">
            <v>4.8711000000000002</v>
          </cell>
          <cell r="N356">
            <v>599.39279999999997</v>
          </cell>
          <cell r="O356">
            <v>28.371400000000001</v>
          </cell>
          <cell r="P356">
            <v>24.379899999999999</v>
          </cell>
          <cell r="Q356">
            <v>335.98590000000002</v>
          </cell>
          <cell r="R356">
            <v>3.5613000000000001</v>
          </cell>
          <cell r="S356">
            <v>836.88779999999997</v>
          </cell>
          <cell r="T356">
            <v>132.4375</v>
          </cell>
          <cell r="U356">
            <v>40.376399999999997</v>
          </cell>
          <cell r="V356">
            <v>214.2116</v>
          </cell>
          <cell r="W356">
            <v>241.36060000000001</v>
          </cell>
          <cell r="X356">
            <v>59.177700000000002</v>
          </cell>
          <cell r="Y356">
            <v>129.41309999999999</v>
          </cell>
          <cell r="Z356">
            <v>2.3546</v>
          </cell>
          <cell r="AA356">
            <v>1.7687999999999999</v>
          </cell>
          <cell r="AB356">
            <v>289.18169999999998</v>
          </cell>
          <cell r="AC356">
            <v>10.938700000000001</v>
          </cell>
          <cell r="AD356">
            <v>3.6600000000000001E-2</v>
          </cell>
          <cell r="AE356">
            <v>10.1875</v>
          </cell>
          <cell r="AF356">
            <v>18.912700000000001</v>
          </cell>
          <cell r="AG356">
            <v>0.77470000000000006</v>
          </cell>
          <cell r="AH356">
            <v>79.394800000000004</v>
          </cell>
          <cell r="AI356">
            <v>71.965100000000007</v>
          </cell>
          <cell r="AJ356">
            <v>14.3049</v>
          </cell>
          <cell r="AK356">
            <v>50.448300000000003</v>
          </cell>
          <cell r="AL356">
            <v>319.24</v>
          </cell>
          <cell r="AM356">
            <v>42.337200000000003</v>
          </cell>
          <cell r="AN356">
            <v>472.06020000000001</v>
          </cell>
          <cell r="AO356">
            <v>670.18529999999998</v>
          </cell>
        </row>
        <row r="357">
          <cell r="C357">
            <v>272.4323</v>
          </cell>
          <cell r="D357">
            <v>34.071100000000001</v>
          </cell>
          <cell r="E357">
            <v>756.4194</v>
          </cell>
          <cell r="F357">
            <v>11.157299999999999</v>
          </cell>
          <cell r="G357">
            <v>116.2196</v>
          </cell>
          <cell r="H357">
            <v>3.39E-2</v>
          </cell>
          <cell r="I357">
            <v>13.758699999999999</v>
          </cell>
          <cell r="J357">
            <v>62.9816</v>
          </cell>
          <cell r="K357">
            <v>529.75</v>
          </cell>
          <cell r="L357">
            <v>29.9636</v>
          </cell>
          <cell r="M357">
            <v>4.8815999999999997</v>
          </cell>
          <cell r="N357">
            <v>595.28970000000004</v>
          </cell>
          <cell r="O357">
            <v>28.177199999999999</v>
          </cell>
          <cell r="P357">
            <v>24.213000000000001</v>
          </cell>
          <cell r="Q357">
            <v>335.69290000000001</v>
          </cell>
          <cell r="R357">
            <v>3.5434999999999999</v>
          </cell>
          <cell r="S357">
            <v>838.21199999999999</v>
          </cell>
          <cell r="T357">
            <v>132.4375</v>
          </cell>
          <cell r="U357">
            <v>40.3825</v>
          </cell>
          <cell r="V357">
            <v>212.74520000000001</v>
          </cell>
          <cell r="W357">
            <v>239.70830000000001</v>
          </cell>
          <cell r="X357">
            <v>58.680599999999998</v>
          </cell>
          <cell r="Y357">
            <v>129.52860000000001</v>
          </cell>
          <cell r="Z357">
            <v>2.3384999999999998</v>
          </cell>
          <cell r="AA357">
            <v>1.7605999999999999</v>
          </cell>
          <cell r="AB357">
            <v>288.84769999999997</v>
          </cell>
          <cell r="AC357">
            <v>10.845000000000001</v>
          </cell>
          <cell r="AD357">
            <v>3.6700000000000003E-2</v>
          </cell>
          <cell r="AE357">
            <v>10.1875</v>
          </cell>
          <cell r="AF357">
            <v>18.738900000000001</v>
          </cell>
          <cell r="AG357">
            <v>0.77429999999999999</v>
          </cell>
          <cell r="AH357">
            <v>78.851299999999995</v>
          </cell>
          <cell r="AI357">
            <v>71.472499999999997</v>
          </cell>
          <cell r="AJ357">
            <v>14.2272</v>
          </cell>
          <cell r="AK357">
            <v>50.172699999999999</v>
          </cell>
          <cell r="AL357">
            <v>316.64780000000002</v>
          </cell>
          <cell r="AM357">
            <v>41.927100000000003</v>
          </cell>
          <cell r="AN357">
            <v>468.8288</v>
          </cell>
          <cell r="AO357">
            <v>668.98779999999999</v>
          </cell>
        </row>
        <row r="358">
          <cell r="C358">
            <v>272.38170000000002</v>
          </cell>
          <cell r="D358">
            <v>34.294400000000003</v>
          </cell>
          <cell r="E358">
            <v>759.90549999999996</v>
          </cell>
          <cell r="F358">
            <v>11.157299999999999</v>
          </cell>
          <cell r="G358">
            <v>116.9813</v>
          </cell>
          <cell r="H358">
            <v>3.39E-2</v>
          </cell>
          <cell r="I358">
            <v>13.8489</v>
          </cell>
          <cell r="J358">
            <v>63.3782</v>
          </cell>
          <cell r="K358">
            <v>529.75</v>
          </cell>
          <cell r="L358">
            <v>30.16</v>
          </cell>
          <cell r="M358">
            <v>5.0011000000000001</v>
          </cell>
          <cell r="N358">
            <v>599.19100000000003</v>
          </cell>
          <cell r="O358">
            <v>28.361799999999999</v>
          </cell>
          <cell r="P358">
            <v>24.371700000000001</v>
          </cell>
          <cell r="Q358">
            <v>335.56229999999999</v>
          </cell>
          <cell r="R358">
            <v>3.5434999999999999</v>
          </cell>
          <cell r="S358">
            <v>838.21199999999999</v>
          </cell>
          <cell r="T358">
            <v>132.4375</v>
          </cell>
          <cell r="U358">
            <v>40.3825</v>
          </cell>
          <cell r="V358">
            <v>214.1395</v>
          </cell>
          <cell r="W358">
            <v>241.27930000000001</v>
          </cell>
          <cell r="X358">
            <v>58.972900000000003</v>
          </cell>
          <cell r="Y358">
            <v>130.52889999999999</v>
          </cell>
          <cell r="Z358">
            <v>2.3538000000000001</v>
          </cell>
          <cell r="AA358">
            <v>1.7611000000000001</v>
          </cell>
          <cell r="AB358">
            <v>289.49220000000003</v>
          </cell>
          <cell r="AC358">
            <v>10.8972</v>
          </cell>
          <cell r="AD358">
            <v>3.6799999999999999E-2</v>
          </cell>
          <cell r="AE358">
            <v>10.1875</v>
          </cell>
          <cell r="AF358">
            <v>19.0398</v>
          </cell>
          <cell r="AG358">
            <v>0.77429999999999999</v>
          </cell>
          <cell r="AH358">
            <v>79.368099999999998</v>
          </cell>
          <cell r="AI358">
            <v>71.940899999999999</v>
          </cell>
          <cell r="AJ358">
            <v>14.361000000000001</v>
          </cell>
          <cell r="AK358">
            <v>50.3797</v>
          </cell>
          <cell r="AL358">
            <v>319.0247</v>
          </cell>
          <cell r="AM358">
            <v>42.021500000000003</v>
          </cell>
          <cell r="AN358">
            <v>471.90129999999999</v>
          </cell>
          <cell r="AO358">
            <v>669.572</v>
          </cell>
        </row>
        <row r="359">
          <cell r="C359">
            <v>274.68470000000002</v>
          </cell>
          <cell r="D359">
            <v>34.404699999999998</v>
          </cell>
          <cell r="E359">
            <v>762.71799999999996</v>
          </cell>
          <cell r="F359">
            <v>11.1556</v>
          </cell>
          <cell r="G359">
            <v>117.3575</v>
          </cell>
          <cell r="H359">
            <v>3.39E-2</v>
          </cell>
          <cell r="I359">
            <v>13.8934</v>
          </cell>
          <cell r="J359">
            <v>63.554699999999997</v>
          </cell>
          <cell r="K359">
            <v>529.66999999999996</v>
          </cell>
          <cell r="L359">
            <v>30.257000000000001</v>
          </cell>
          <cell r="M359">
            <v>5.0731000000000002</v>
          </cell>
          <cell r="N359">
            <v>601.1182</v>
          </cell>
          <cell r="O359">
            <v>28.453099999999999</v>
          </cell>
          <cell r="P359">
            <v>24.450099999999999</v>
          </cell>
          <cell r="Q359">
            <v>338.03570000000002</v>
          </cell>
          <cell r="R359">
            <v>3.5428999999999999</v>
          </cell>
          <cell r="S359">
            <v>838.08540000000005</v>
          </cell>
          <cell r="T359">
            <v>132.41749999999999</v>
          </cell>
          <cell r="U359">
            <v>40.376399999999997</v>
          </cell>
          <cell r="V359">
            <v>214.82820000000001</v>
          </cell>
          <cell r="W359">
            <v>242.05529999999999</v>
          </cell>
          <cell r="X359">
            <v>59.129300000000001</v>
          </cell>
          <cell r="Y359">
            <v>130.52269999999999</v>
          </cell>
          <cell r="Z359">
            <v>2.3614000000000002</v>
          </cell>
          <cell r="AA359">
            <v>1.7608999999999999</v>
          </cell>
          <cell r="AB359">
            <v>289.35829999999999</v>
          </cell>
          <cell r="AC359">
            <v>10.940799999999999</v>
          </cell>
          <cell r="AD359">
            <v>3.7100000000000001E-2</v>
          </cell>
          <cell r="AE359">
            <v>10.186</v>
          </cell>
          <cell r="AF359">
            <v>19.155899999999999</v>
          </cell>
          <cell r="AG359">
            <v>0.7742</v>
          </cell>
          <cell r="AH359">
            <v>79.623400000000004</v>
          </cell>
          <cell r="AI359">
            <v>72.172300000000007</v>
          </cell>
          <cell r="AJ359">
            <v>14.4754</v>
          </cell>
          <cell r="AK359">
            <v>50.453400000000002</v>
          </cell>
          <cell r="AL359">
            <v>321.20159999999998</v>
          </cell>
          <cell r="AM359">
            <v>42.0443</v>
          </cell>
          <cell r="AN359">
            <v>473.41899999999998</v>
          </cell>
          <cell r="AO359">
            <v>669.47090000000003</v>
          </cell>
        </row>
        <row r="360">
          <cell r="C360">
            <v>275.65809999999999</v>
          </cell>
          <cell r="D360">
            <v>34.538600000000002</v>
          </cell>
          <cell r="E360">
            <v>765.44069999999999</v>
          </cell>
          <cell r="F360">
            <v>11.152900000000001</v>
          </cell>
          <cell r="G360">
            <v>117.81440000000001</v>
          </cell>
          <cell r="H360">
            <v>3.3799999999999997E-2</v>
          </cell>
          <cell r="I360">
            <v>13.9475</v>
          </cell>
          <cell r="J360">
            <v>63.810699999999997</v>
          </cell>
          <cell r="K360">
            <v>529.54</v>
          </cell>
          <cell r="L360">
            <v>30.3748</v>
          </cell>
          <cell r="M360">
            <v>5.0646000000000004</v>
          </cell>
          <cell r="N360">
            <v>603.45839999999998</v>
          </cell>
          <cell r="O360">
            <v>28.563800000000001</v>
          </cell>
          <cell r="P360">
            <v>24.545200000000001</v>
          </cell>
          <cell r="Q360">
            <v>337.88010000000003</v>
          </cell>
          <cell r="R360">
            <v>3.5421</v>
          </cell>
          <cell r="S360">
            <v>839.20759999999996</v>
          </cell>
          <cell r="T360">
            <v>132.38499999999999</v>
          </cell>
          <cell r="U360">
            <v>40.434600000000003</v>
          </cell>
          <cell r="V360">
            <v>215.66460000000001</v>
          </cell>
          <cell r="W360">
            <v>242.99770000000001</v>
          </cell>
          <cell r="X360">
            <v>59.233800000000002</v>
          </cell>
          <cell r="Y360">
            <v>131.32419999999999</v>
          </cell>
          <cell r="Z360">
            <v>2.3706</v>
          </cell>
          <cell r="AA360">
            <v>1.754</v>
          </cell>
          <cell r="AB360">
            <v>289.5292</v>
          </cell>
          <cell r="AC360">
            <v>10.9963</v>
          </cell>
          <cell r="AD360">
            <v>3.7499999999999999E-2</v>
          </cell>
          <cell r="AE360">
            <v>10.1835</v>
          </cell>
          <cell r="AF360">
            <v>19.260899999999999</v>
          </cell>
          <cell r="AG360">
            <v>0.77400000000000002</v>
          </cell>
          <cell r="AH360">
            <v>79.933400000000006</v>
          </cell>
          <cell r="AI360">
            <v>72.453199999999995</v>
          </cell>
          <cell r="AJ360">
            <v>14.592000000000001</v>
          </cell>
          <cell r="AK360">
            <v>50.782400000000003</v>
          </cell>
          <cell r="AL360">
            <v>322.64909999999998</v>
          </cell>
          <cell r="AM360">
            <v>41.950899999999997</v>
          </cell>
          <cell r="AN360">
            <v>475.26220000000001</v>
          </cell>
          <cell r="AO360">
            <v>671.27250000000004</v>
          </cell>
        </row>
        <row r="361">
          <cell r="C361">
            <v>274.41849999999999</v>
          </cell>
          <cell r="D361">
            <v>34.696399999999997</v>
          </cell>
          <cell r="E361">
            <v>767.94799999999998</v>
          </cell>
          <cell r="F361">
            <v>11.152900000000001</v>
          </cell>
          <cell r="G361">
            <v>118.3526</v>
          </cell>
          <cell r="H361">
            <v>3.3700000000000001E-2</v>
          </cell>
          <cell r="I361">
            <v>14.011200000000001</v>
          </cell>
          <cell r="J361">
            <v>64.106499999999997</v>
          </cell>
          <cell r="K361">
            <v>529.54</v>
          </cell>
          <cell r="L361">
            <v>30.513500000000001</v>
          </cell>
          <cell r="M361">
            <v>5.0986000000000002</v>
          </cell>
          <cell r="N361">
            <v>606.21519999999998</v>
          </cell>
          <cell r="O361">
            <v>28.694299999999998</v>
          </cell>
          <cell r="P361">
            <v>24.657399999999999</v>
          </cell>
          <cell r="Q361">
            <v>337.64729999999997</v>
          </cell>
          <cell r="R361">
            <v>3.5421</v>
          </cell>
          <cell r="S361">
            <v>840.53970000000004</v>
          </cell>
          <cell r="T361">
            <v>132.38499999999999</v>
          </cell>
          <cell r="U361">
            <v>40.461199999999998</v>
          </cell>
          <cell r="V361">
            <v>216.6498</v>
          </cell>
          <cell r="W361">
            <v>244.1078</v>
          </cell>
          <cell r="X361">
            <v>59.470999999999997</v>
          </cell>
          <cell r="Y361">
            <v>131.70570000000001</v>
          </cell>
          <cell r="Z361">
            <v>2.3814000000000002</v>
          </cell>
          <cell r="AA361">
            <v>1.7545999999999999</v>
          </cell>
          <cell r="AB361">
            <v>288.77589999999998</v>
          </cell>
          <cell r="AC361">
            <v>11.0725</v>
          </cell>
          <cell r="AD361">
            <v>3.6999999999999998E-2</v>
          </cell>
          <cell r="AE361">
            <v>10.1835</v>
          </cell>
          <cell r="AF361">
            <v>19.3779</v>
          </cell>
          <cell r="AG361">
            <v>0.77400000000000002</v>
          </cell>
          <cell r="AH361">
            <v>80.298500000000004</v>
          </cell>
          <cell r="AI361">
            <v>72.784199999999998</v>
          </cell>
          <cell r="AJ361">
            <v>14.6317</v>
          </cell>
          <cell r="AK361">
            <v>50.446199999999997</v>
          </cell>
          <cell r="AL361">
            <v>323.96910000000003</v>
          </cell>
          <cell r="AM361">
            <v>41.497900000000001</v>
          </cell>
          <cell r="AN361">
            <v>477.43329999999997</v>
          </cell>
          <cell r="AO361">
            <v>672.11</v>
          </cell>
        </row>
        <row r="362">
          <cell r="C362">
            <v>274.41849999999999</v>
          </cell>
          <cell r="D362">
            <v>34.696399999999997</v>
          </cell>
          <cell r="E362">
            <v>767.94799999999998</v>
          </cell>
          <cell r="F362">
            <v>11.152900000000001</v>
          </cell>
          <cell r="G362">
            <v>118.3526</v>
          </cell>
          <cell r="H362">
            <v>3.3700000000000001E-2</v>
          </cell>
          <cell r="I362">
            <v>14.011200000000001</v>
          </cell>
          <cell r="J362">
            <v>64.106499999999997</v>
          </cell>
          <cell r="K362">
            <v>529.54</v>
          </cell>
          <cell r="L362">
            <v>30.513500000000001</v>
          </cell>
          <cell r="M362">
            <v>5.0986000000000002</v>
          </cell>
          <cell r="N362">
            <v>606.21519999999998</v>
          </cell>
          <cell r="O362">
            <v>28.694299999999998</v>
          </cell>
          <cell r="P362">
            <v>24.657399999999999</v>
          </cell>
          <cell r="Q362">
            <v>337.64729999999997</v>
          </cell>
          <cell r="R362">
            <v>3.5421</v>
          </cell>
          <cell r="S362">
            <v>840.53970000000004</v>
          </cell>
          <cell r="T362">
            <v>132.38499999999999</v>
          </cell>
          <cell r="U362">
            <v>40.461199999999998</v>
          </cell>
          <cell r="V362">
            <v>216.6498</v>
          </cell>
          <cell r="W362">
            <v>244.1078</v>
          </cell>
          <cell r="X362">
            <v>59.470999999999997</v>
          </cell>
          <cell r="Y362">
            <v>131.70570000000001</v>
          </cell>
          <cell r="Z362">
            <v>2.3814000000000002</v>
          </cell>
          <cell r="AA362">
            <v>1.7545999999999999</v>
          </cell>
          <cell r="AB362">
            <v>288.77589999999998</v>
          </cell>
          <cell r="AC362">
            <v>11.0725</v>
          </cell>
          <cell r="AD362">
            <v>3.6999999999999998E-2</v>
          </cell>
          <cell r="AE362">
            <v>10.1835</v>
          </cell>
          <cell r="AF362">
            <v>19.3779</v>
          </cell>
          <cell r="AG362">
            <v>0.77400000000000002</v>
          </cell>
          <cell r="AH362">
            <v>80.298500000000004</v>
          </cell>
          <cell r="AI362">
            <v>72.784199999999998</v>
          </cell>
          <cell r="AJ362">
            <v>14.6317</v>
          </cell>
          <cell r="AK362">
            <v>50.446199999999997</v>
          </cell>
          <cell r="AL362">
            <v>323.96910000000003</v>
          </cell>
          <cell r="AM362">
            <v>41.497900000000001</v>
          </cell>
          <cell r="AN362">
            <v>477.43329999999997</v>
          </cell>
          <cell r="AO362">
            <v>672.11</v>
          </cell>
        </row>
        <row r="363">
          <cell r="C363">
            <v>274.41849999999999</v>
          </cell>
          <cell r="D363">
            <v>34.696399999999997</v>
          </cell>
          <cell r="E363">
            <v>767.94799999999998</v>
          </cell>
          <cell r="F363">
            <v>11.152900000000001</v>
          </cell>
          <cell r="G363">
            <v>118.3526</v>
          </cell>
          <cell r="H363">
            <v>3.3700000000000001E-2</v>
          </cell>
          <cell r="I363">
            <v>14.011200000000001</v>
          </cell>
          <cell r="J363">
            <v>64.106499999999997</v>
          </cell>
          <cell r="K363">
            <v>529.54</v>
          </cell>
          <cell r="L363">
            <v>30.513500000000001</v>
          </cell>
          <cell r="M363">
            <v>5.0986000000000002</v>
          </cell>
          <cell r="N363">
            <v>606.21519999999998</v>
          </cell>
          <cell r="O363">
            <v>28.694299999999998</v>
          </cell>
          <cell r="P363">
            <v>24.657399999999999</v>
          </cell>
          <cell r="Q363">
            <v>337.64729999999997</v>
          </cell>
          <cell r="R363">
            <v>3.5421</v>
          </cell>
          <cell r="S363">
            <v>840.53970000000004</v>
          </cell>
          <cell r="T363">
            <v>132.38499999999999</v>
          </cell>
          <cell r="U363">
            <v>40.461199999999998</v>
          </cell>
          <cell r="V363">
            <v>216.6498</v>
          </cell>
          <cell r="W363">
            <v>244.1078</v>
          </cell>
          <cell r="X363">
            <v>59.470999999999997</v>
          </cell>
          <cell r="Y363">
            <v>131.70570000000001</v>
          </cell>
          <cell r="Z363">
            <v>2.3814000000000002</v>
          </cell>
          <cell r="AA363">
            <v>1.7545999999999999</v>
          </cell>
          <cell r="AB363">
            <v>288.77589999999998</v>
          </cell>
          <cell r="AC363">
            <v>11.0725</v>
          </cell>
          <cell r="AD363">
            <v>3.6999999999999998E-2</v>
          </cell>
          <cell r="AE363">
            <v>10.1835</v>
          </cell>
          <cell r="AF363">
            <v>19.3779</v>
          </cell>
          <cell r="AG363">
            <v>0.77400000000000002</v>
          </cell>
          <cell r="AH363">
            <v>80.298500000000004</v>
          </cell>
          <cell r="AI363">
            <v>72.784199999999998</v>
          </cell>
          <cell r="AJ363">
            <v>14.6317</v>
          </cell>
          <cell r="AK363">
            <v>50.446199999999997</v>
          </cell>
          <cell r="AL363">
            <v>323.96910000000003</v>
          </cell>
          <cell r="AM363">
            <v>41.497900000000001</v>
          </cell>
          <cell r="AN363">
            <v>477.43329999999997</v>
          </cell>
          <cell r="AO363">
            <v>672.11</v>
          </cell>
        </row>
        <row r="364">
          <cell r="C364">
            <v>274.47629999999998</v>
          </cell>
          <cell r="D364">
            <v>34.823399999999999</v>
          </cell>
          <cell r="E364">
            <v>771.255</v>
          </cell>
          <cell r="F364">
            <v>11.152900000000001</v>
          </cell>
          <cell r="G364">
            <v>118.78579999999999</v>
          </cell>
          <cell r="H364">
            <v>3.3700000000000001E-2</v>
          </cell>
          <cell r="I364">
            <v>14.0625</v>
          </cell>
          <cell r="J364">
            <v>64.371399999999994</v>
          </cell>
          <cell r="K364">
            <v>529.54</v>
          </cell>
          <cell r="L364">
            <v>30.6252</v>
          </cell>
          <cell r="M364">
            <v>5.1864999999999997</v>
          </cell>
          <cell r="N364">
            <v>608.43399999999997</v>
          </cell>
          <cell r="O364">
            <v>28.799299999999999</v>
          </cell>
          <cell r="P364">
            <v>24.747599999999998</v>
          </cell>
          <cell r="Q364">
            <v>339.14699999999999</v>
          </cell>
          <cell r="R364">
            <v>3.5326</v>
          </cell>
          <cell r="S364">
            <v>840.53970000000004</v>
          </cell>
          <cell r="T364">
            <v>132.38499999999999</v>
          </cell>
          <cell r="U364">
            <v>40.460599999999999</v>
          </cell>
          <cell r="V364">
            <v>217.4427</v>
          </cell>
          <cell r="W364">
            <v>245.00120000000001</v>
          </cell>
          <cell r="X364">
            <v>59.6218</v>
          </cell>
          <cell r="Y364">
            <v>132.9101</v>
          </cell>
          <cell r="Z364">
            <v>2.3900999999999999</v>
          </cell>
          <cell r="AA364">
            <v>1.7477</v>
          </cell>
          <cell r="AB364">
            <v>288.125</v>
          </cell>
          <cell r="AC364">
            <v>11.1723</v>
          </cell>
          <cell r="AD364">
            <v>3.6600000000000001E-2</v>
          </cell>
          <cell r="AE364">
            <v>10.1835</v>
          </cell>
          <cell r="AF364">
            <v>19.470199999999998</v>
          </cell>
          <cell r="AG364">
            <v>0.77249999999999996</v>
          </cell>
          <cell r="AH364">
            <v>80.592399999999998</v>
          </cell>
          <cell r="AI364">
            <v>73.050600000000003</v>
          </cell>
          <cell r="AJ364">
            <v>14.9069</v>
          </cell>
          <cell r="AK364">
            <v>50.537399999999998</v>
          </cell>
          <cell r="AL364">
            <v>324.3845</v>
          </cell>
          <cell r="AM364">
            <v>41.423000000000002</v>
          </cell>
          <cell r="AN364">
            <v>479.1807</v>
          </cell>
          <cell r="AO364">
            <v>672.9085</v>
          </cell>
        </row>
        <row r="365">
          <cell r="C365">
            <v>273.44799999999998</v>
          </cell>
          <cell r="D365">
            <v>34.680999999999997</v>
          </cell>
          <cell r="E365">
            <v>771.08010000000002</v>
          </cell>
          <cell r="F365">
            <v>11.152900000000001</v>
          </cell>
          <cell r="G365">
            <v>118.3001</v>
          </cell>
          <cell r="H365">
            <v>3.3599999999999998E-2</v>
          </cell>
          <cell r="I365">
            <v>14.005000000000001</v>
          </cell>
          <cell r="J365">
            <v>64.151300000000006</v>
          </cell>
          <cell r="K365">
            <v>529.54</v>
          </cell>
          <cell r="L365">
            <v>30.5</v>
          </cell>
          <cell r="M365">
            <v>5.1974</v>
          </cell>
          <cell r="N365">
            <v>605.94619999999998</v>
          </cell>
          <cell r="O365">
            <v>28.6816</v>
          </cell>
          <cell r="P365">
            <v>24.6464</v>
          </cell>
          <cell r="Q365">
            <v>337.47359999999998</v>
          </cell>
          <cell r="R365">
            <v>3.5326</v>
          </cell>
          <cell r="S365">
            <v>840.53970000000004</v>
          </cell>
          <cell r="T365">
            <v>132.38499999999999</v>
          </cell>
          <cell r="U365">
            <v>40.438000000000002</v>
          </cell>
          <cell r="V365">
            <v>216.55369999999999</v>
          </cell>
          <cell r="W365">
            <v>243.99950000000001</v>
          </cell>
          <cell r="X365">
            <v>59.7012</v>
          </cell>
          <cell r="Y365">
            <v>133.1422</v>
          </cell>
          <cell r="Z365">
            <v>2.3803999999999998</v>
          </cell>
          <cell r="AA365">
            <v>1.7487999999999999</v>
          </cell>
          <cell r="AB365">
            <v>287.91640000000001</v>
          </cell>
          <cell r="AC365">
            <v>11.139900000000001</v>
          </cell>
          <cell r="AD365">
            <v>3.6499999999999998E-2</v>
          </cell>
          <cell r="AE365">
            <v>10.1835</v>
          </cell>
          <cell r="AF365">
            <v>19.455400000000001</v>
          </cell>
          <cell r="AG365">
            <v>0.77249999999999996</v>
          </cell>
          <cell r="AH365">
            <v>80.262900000000002</v>
          </cell>
          <cell r="AI365">
            <v>72.751900000000006</v>
          </cell>
          <cell r="AJ365">
            <v>14.9956</v>
          </cell>
          <cell r="AK365">
            <v>50.420699999999997</v>
          </cell>
          <cell r="AL365">
            <v>323.67160000000001</v>
          </cell>
          <cell r="AM365">
            <v>41.4039</v>
          </cell>
          <cell r="AN365">
            <v>477.22140000000002</v>
          </cell>
          <cell r="AO365">
            <v>671.64710000000002</v>
          </cell>
        </row>
        <row r="366">
          <cell r="C366">
            <v>272.36520000000002</v>
          </cell>
          <cell r="D366">
            <v>34.569400000000002</v>
          </cell>
          <cell r="E366">
            <v>767.60659999999996</v>
          </cell>
          <cell r="F366">
            <v>11.152900000000001</v>
          </cell>
          <cell r="G366">
            <v>117.9194</v>
          </cell>
          <cell r="H366">
            <v>3.3599999999999998E-2</v>
          </cell>
          <cell r="I366">
            <v>13.96</v>
          </cell>
          <cell r="J366">
            <v>63.942300000000003</v>
          </cell>
          <cell r="K366">
            <v>529.54</v>
          </cell>
          <cell r="L366">
            <v>30.401900000000001</v>
          </cell>
          <cell r="M366">
            <v>5.2648999999999999</v>
          </cell>
          <cell r="N366">
            <v>603.99639999999999</v>
          </cell>
          <cell r="O366">
            <v>28.589300000000001</v>
          </cell>
          <cell r="P366">
            <v>24.5671</v>
          </cell>
          <cell r="Q366">
            <v>335.72289999999998</v>
          </cell>
          <cell r="R366">
            <v>3.5326</v>
          </cell>
          <cell r="S366">
            <v>840.53970000000004</v>
          </cell>
          <cell r="T366">
            <v>132.38499999999999</v>
          </cell>
          <cell r="U366">
            <v>40.431199999999997</v>
          </cell>
          <cell r="V366">
            <v>215.85679999999999</v>
          </cell>
          <cell r="W366">
            <v>243.21430000000001</v>
          </cell>
          <cell r="X366">
            <v>59.606000000000002</v>
          </cell>
          <cell r="Y366">
            <v>133.52959999999999</v>
          </cell>
          <cell r="Z366">
            <v>2.3727</v>
          </cell>
          <cell r="AA366">
            <v>1.7487999999999999</v>
          </cell>
          <cell r="AB366">
            <v>288.67930000000001</v>
          </cell>
          <cell r="AC366">
            <v>11.059900000000001</v>
          </cell>
          <cell r="AD366">
            <v>3.61E-2</v>
          </cell>
          <cell r="AE366">
            <v>10.1835</v>
          </cell>
          <cell r="AF366">
            <v>19.391999999999999</v>
          </cell>
          <cell r="AG366">
            <v>0.77249999999999996</v>
          </cell>
          <cell r="AH366">
            <v>80.004599999999996</v>
          </cell>
          <cell r="AI366">
            <v>72.517799999999994</v>
          </cell>
          <cell r="AJ366">
            <v>14.882400000000001</v>
          </cell>
          <cell r="AK366">
            <v>50.056899999999999</v>
          </cell>
          <cell r="AL366">
            <v>322.84899999999999</v>
          </cell>
          <cell r="AM366">
            <v>41.479399999999998</v>
          </cell>
          <cell r="AN366">
            <v>475.68579999999997</v>
          </cell>
          <cell r="AO366">
            <v>670.06119999999999</v>
          </cell>
        </row>
        <row r="367">
          <cell r="C367">
            <v>268.77379999999999</v>
          </cell>
          <cell r="D367">
            <v>34.527700000000003</v>
          </cell>
          <cell r="E367">
            <v>765.93809999999996</v>
          </cell>
          <cell r="F367">
            <v>11.151899999999999</v>
          </cell>
          <cell r="G367">
            <v>117.777</v>
          </cell>
          <cell r="H367">
            <v>3.3599999999999998E-2</v>
          </cell>
          <cell r="I367">
            <v>13.943099999999999</v>
          </cell>
          <cell r="J367">
            <v>63.865900000000003</v>
          </cell>
          <cell r="K367">
            <v>529.49</v>
          </cell>
          <cell r="L367">
            <v>30.365200000000002</v>
          </cell>
          <cell r="M367">
            <v>5.2609000000000004</v>
          </cell>
          <cell r="N367">
            <v>603.26700000000005</v>
          </cell>
          <cell r="O367">
            <v>28.5548</v>
          </cell>
          <cell r="P367">
            <v>24.537500000000001</v>
          </cell>
          <cell r="Q367">
            <v>335.64920000000001</v>
          </cell>
          <cell r="R367">
            <v>3.5323000000000002</v>
          </cell>
          <cell r="S367">
            <v>840.46029999999996</v>
          </cell>
          <cell r="T367">
            <v>132.3725</v>
          </cell>
          <cell r="U367">
            <v>40.443800000000003</v>
          </cell>
          <cell r="V367">
            <v>215.59610000000001</v>
          </cell>
          <cell r="W367">
            <v>242.92060000000001</v>
          </cell>
          <cell r="X367">
            <v>59.507899999999999</v>
          </cell>
          <cell r="Y367">
            <v>133.6046</v>
          </cell>
          <cell r="Z367">
            <v>2.3698000000000001</v>
          </cell>
          <cell r="AA367">
            <v>1.7498</v>
          </cell>
          <cell r="AB367">
            <v>288.4708</v>
          </cell>
          <cell r="AC367">
            <v>10.998200000000001</v>
          </cell>
          <cell r="AD367">
            <v>3.5799999999999998E-2</v>
          </cell>
          <cell r="AE367">
            <v>10.182499999999999</v>
          </cell>
          <cell r="AF367">
            <v>19.264099999999999</v>
          </cell>
          <cell r="AG367">
            <v>0.77249999999999996</v>
          </cell>
          <cell r="AH367">
            <v>79.908000000000001</v>
          </cell>
          <cell r="AI367">
            <v>72.430300000000003</v>
          </cell>
          <cell r="AJ367">
            <v>14.725300000000001</v>
          </cell>
          <cell r="AK367">
            <v>49.948599999999999</v>
          </cell>
          <cell r="AL367">
            <v>323.75560000000002</v>
          </cell>
          <cell r="AM367">
            <v>41.296100000000003</v>
          </cell>
          <cell r="AN367">
            <v>475.1114</v>
          </cell>
          <cell r="AO367">
            <v>669.73350000000005</v>
          </cell>
        </row>
        <row r="368">
          <cell r="C368">
            <v>268.21910000000003</v>
          </cell>
          <cell r="D368">
            <v>34.401899999999998</v>
          </cell>
          <cell r="E368">
            <v>766.48289999999997</v>
          </cell>
          <cell r="F368">
            <v>11.1485</v>
          </cell>
          <cell r="G368">
            <v>117.34780000000001</v>
          </cell>
          <cell r="H368">
            <v>3.3599999999999998E-2</v>
          </cell>
          <cell r="I368">
            <v>13.892300000000001</v>
          </cell>
          <cell r="J368">
            <v>63.622900000000001</v>
          </cell>
          <cell r="K368">
            <v>529.33000000000004</v>
          </cell>
          <cell r="L368">
            <v>30.2545</v>
          </cell>
          <cell r="M368">
            <v>5.2088000000000001</v>
          </cell>
          <cell r="N368">
            <v>601.0684</v>
          </cell>
          <cell r="O368">
            <v>28.450700000000001</v>
          </cell>
          <cell r="P368">
            <v>24.448</v>
          </cell>
          <cell r="Q368">
            <v>334.66230000000002</v>
          </cell>
          <cell r="R368">
            <v>3.5312000000000001</v>
          </cell>
          <cell r="S368">
            <v>837.54750000000001</v>
          </cell>
          <cell r="T368">
            <v>132.33250000000001</v>
          </cell>
          <cell r="U368">
            <v>40.4161</v>
          </cell>
          <cell r="V368">
            <v>214.81039999999999</v>
          </cell>
          <cell r="W368">
            <v>242.03530000000001</v>
          </cell>
          <cell r="X368">
            <v>59.268799999999999</v>
          </cell>
          <cell r="Y368">
            <v>133.50810000000001</v>
          </cell>
          <cell r="Z368">
            <v>2.3612000000000002</v>
          </cell>
          <cell r="AA368">
            <v>1.7597</v>
          </cell>
          <cell r="AB368">
            <v>287.87389999999999</v>
          </cell>
          <cell r="AC368">
            <v>10.988099999999999</v>
          </cell>
          <cell r="AD368">
            <v>3.5799999999999998E-2</v>
          </cell>
          <cell r="AE368">
            <v>10.179399999999999</v>
          </cell>
          <cell r="AF368">
            <v>19.225899999999999</v>
          </cell>
          <cell r="AG368">
            <v>0.7722</v>
          </cell>
          <cell r="AH368">
            <v>79.616799999999998</v>
          </cell>
          <cell r="AI368">
            <v>72.166300000000007</v>
          </cell>
          <cell r="AJ368">
            <v>14.644399999999999</v>
          </cell>
          <cell r="AK368">
            <v>49.795400000000001</v>
          </cell>
          <cell r="AL368">
            <v>323.30270000000002</v>
          </cell>
          <cell r="AM368">
            <v>40.850900000000003</v>
          </cell>
          <cell r="AN368">
            <v>473.37979999999999</v>
          </cell>
          <cell r="AO368">
            <v>668.19830000000002</v>
          </cell>
        </row>
        <row r="369">
          <cell r="C369">
            <v>268.21910000000003</v>
          </cell>
          <cell r="D369">
            <v>34.401899999999998</v>
          </cell>
          <cell r="E369">
            <v>766.48289999999997</v>
          </cell>
          <cell r="F369">
            <v>11.1485</v>
          </cell>
          <cell r="G369">
            <v>117.34780000000001</v>
          </cell>
          <cell r="H369">
            <v>3.3599999999999998E-2</v>
          </cell>
          <cell r="I369">
            <v>13.892300000000001</v>
          </cell>
          <cell r="J369">
            <v>63.622900000000001</v>
          </cell>
          <cell r="K369">
            <v>529.33000000000004</v>
          </cell>
          <cell r="L369">
            <v>30.2545</v>
          </cell>
          <cell r="M369">
            <v>5.2088000000000001</v>
          </cell>
          <cell r="N369">
            <v>601.0684</v>
          </cell>
          <cell r="O369">
            <v>28.450700000000001</v>
          </cell>
          <cell r="P369">
            <v>24.448</v>
          </cell>
          <cell r="Q369">
            <v>334.66230000000002</v>
          </cell>
          <cell r="R369">
            <v>3.5312000000000001</v>
          </cell>
          <cell r="S369">
            <v>837.54750000000001</v>
          </cell>
          <cell r="T369">
            <v>132.33250000000001</v>
          </cell>
          <cell r="U369">
            <v>40.4161</v>
          </cell>
          <cell r="V369">
            <v>214.81039999999999</v>
          </cell>
          <cell r="W369">
            <v>242.03530000000001</v>
          </cell>
          <cell r="X369">
            <v>59.268799999999999</v>
          </cell>
          <cell r="Y369">
            <v>133.50810000000001</v>
          </cell>
          <cell r="Z369">
            <v>2.3612000000000002</v>
          </cell>
          <cell r="AA369">
            <v>1.7597</v>
          </cell>
          <cell r="AB369">
            <v>287.87389999999999</v>
          </cell>
          <cell r="AC369">
            <v>10.988099999999999</v>
          </cell>
          <cell r="AD369">
            <v>3.5799999999999998E-2</v>
          </cell>
          <cell r="AE369">
            <v>10.179399999999999</v>
          </cell>
          <cell r="AF369">
            <v>19.225899999999999</v>
          </cell>
          <cell r="AG369">
            <v>0.7722</v>
          </cell>
          <cell r="AH369">
            <v>79.616799999999998</v>
          </cell>
          <cell r="AI369">
            <v>72.166300000000007</v>
          </cell>
          <cell r="AJ369">
            <v>14.644399999999999</v>
          </cell>
          <cell r="AK369">
            <v>49.795400000000001</v>
          </cell>
          <cell r="AL369">
            <v>323.30270000000002</v>
          </cell>
          <cell r="AM369">
            <v>40.850900000000003</v>
          </cell>
          <cell r="AN369">
            <v>473.37979999999999</v>
          </cell>
          <cell r="AO369">
            <v>668.19830000000002</v>
          </cell>
        </row>
        <row r="370">
          <cell r="C370">
            <v>268.21910000000003</v>
          </cell>
          <cell r="D370">
            <v>34.401899999999998</v>
          </cell>
          <cell r="E370">
            <v>766.48289999999997</v>
          </cell>
          <cell r="F370">
            <v>11.1485</v>
          </cell>
          <cell r="G370">
            <v>117.34780000000001</v>
          </cell>
          <cell r="H370">
            <v>3.3599999999999998E-2</v>
          </cell>
          <cell r="I370">
            <v>13.892300000000001</v>
          </cell>
          <cell r="J370">
            <v>63.622900000000001</v>
          </cell>
          <cell r="K370">
            <v>529.33000000000004</v>
          </cell>
          <cell r="L370">
            <v>30.2545</v>
          </cell>
          <cell r="M370">
            <v>5.2088000000000001</v>
          </cell>
          <cell r="N370">
            <v>601.0684</v>
          </cell>
          <cell r="O370">
            <v>28.450700000000001</v>
          </cell>
          <cell r="P370">
            <v>24.448</v>
          </cell>
          <cell r="Q370">
            <v>334.66230000000002</v>
          </cell>
          <cell r="R370">
            <v>3.5312000000000001</v>
          </cell>
          <cell r="S370">
            <v>837.54750000000001</v>
          </cell>
          <cell r="T370">
            <v>132.33250000000001</v>
          </cell>
          <cell r="U370">
            <v>40.4161</v>
          </cell>
          <cell r="V370">
            <v>214.81039999999999</v>
          </cell>
          <cell r="W370">
            <v>242.03530000000001</v>
          </cell>
          <cell r="X370">
            <v>59.268799999999999</v>
          </cell>
          <cell r="Y370">
            <v>133.50810000000001</v>
          </cell>
          <cell r="Z370">
            <v>2.3612000000000002</v>
          </cell>
          <cell r="AA370">
            <v>1.7597</v>
          </cell>
          <cell r="AB370">
            <v>287.87389999999999</v>
          </cell>
          <cell r="AC370">
            <v>10.988099999999999</v>
          </cell>
          <cell r="AD370">
            <v>3.5799999999999998E-2</v>
          </cell>
          <cell r="AE370">
            <v>10.179399999999999</v>
          </cell>
          <cell r="AF370">
            <v>19.225899999999999</v>
          </cell>
          <cell r="AG370">
            <v>0.7722</v>
          </cell>
          <cell r="AH370">
            <v>79.616799999999998</v>
          </cell>
          <cell r="AI370">
            <v>72.166300000000007</v>
          </cell>
          <cell r="AJ370">
            <v>14.644399999999999</v>
          </cell>
          <cell r="AK370">
            <v>49.795400000000001</v>
          </cell>
          <cell r="AL370">
            <v>323.30270000000002</v>
          </cell>
          <cell r="AM370">
            <v>40.850900000000003</v>
          </cell>
          <cell r="AN370">
            <v>473.37979999999999</v>
          </cell>
          <cell r="AO370">
            <v>668.19830000000002</v>
          </cell>
        </row>
        <row r="371">
          <cell r="C371">
            <v>268.84219999999999</v>
          </cell>
          <cell r="D371">
            <v>33.837000000000003</v>
          </cell>
          <cell r="E371">
            <v>759.92780000000005</v>
          </cell>
          <cell r="F371">
            <v>11.1111</v>
          </cell>
          <cell r="G371">
            <v>115.4211</v>
          </cell>
          <cell r="H371">
            <v>3.3500000000000002E-2</v>
          </cell>
          <cell r="I371">
            <v>13.664199999999999</v>
          </cell>
          <cell r="J371">
            <v>62.593499999999999</v>
          </cell>
          <cell r="K371">
            <v>529.22</v>
          </cell>
          <cell r="L371">
            <v>29.7578</v>
          </cell>
          <cell r="M371">
            <v>5.1791999999999998</v>
          </cell>
          <cell r="N371">
            <v>591.19989999999996</v>
          </cell>
          <cell r="O371">
            <v>27.983599999999999</v>
          </cell>
          <cell r="P371">
            <v>24.046600000000002</v>
          </cell>
          <cell r="Q371">
            <v>331.53500000000003</v>
          </cell>
          <cell r="R371">
            <v>3.5234000000000001</v>
          </cell>
          <cell r="S371">
            <v>837.37339999999995</v>
          </cell>
          <cell r="T371">
            <v>132.30500000000001</v>
          </cell>
          <cell r="U371">
            <v>40.4099</v>
          </cell>
          <cell r="V371">
            <v>211.28360000000001</v>
          </cell>
          <cell r="W371">
            <v>238.0615</v>
          </cell>
          <cell r="X371">
            <v>58.379800000000003</v>
          </cell>
          <cell r="Y371">
            <v>132.2937</v>
          </cell>
          <cell r="Z371">
            <v>2.3224</v>
          </cell>
          <cell r="AA371">
            <v>1.7569999999999999</v>
          </cell>
          <cell r="AB371">
            <v>287.74970000000002</v>
          </cell>
          <cell r="AC371">
            <v>10.837899999999999</v>
          </cell>
          <cell r="AD371">
            <v>3.5700000000000003E-2</v>
          </cell>
          <cell r="AE371">
            <v>10.177300000000001</v>
          </cell>
          <cell r="AF371">
            <v>18.9495</v>
          </cell>
          <cell r="AG371">
            <v>0.77039999999999997</v>
          </cell>
          <cell r="AH371">
            <v>78.309600000000003</v>
          </cell>
          <cell r="AI371">
            <v>70.981399999999994</v>
          </cell>
          <cell r="AJ371">
            <v>14.5298</v>
          </cell>
          <cell r="AK371">
            <v>48.985599999999998</v>
          </cell>
          <cell r="AL371">
            <v>316.28809999999999</v>
          </cell>
          <cell r="AM371">
            <v>40.7605</v>
          </cell>
          <cell r="AN371">
            <v>465.6078</v>
          </cell>
          <cell r="AO371">
            <v>668.05949999999996</v>
          </cell>
        </row>
        <row r="372">
          <cell r="C372">
            <v>268.84219999999999</v>
          </cell>
          <cell r="D372">
            <v>33.837000000000003</v>
          </cell>
          <cell r="E372">
            <v>759.92780000000005</v>
          </cell>
          <cell r="F372">
            <v>11.1111</v>
          </cell>
          <cell r="G372">
            <v>115.4211</v>
          </cell>
          <cell r="H372">
            <v>3.3399999999999999E-2</v>
          </cell>
          <cell r="I372">
            <v>13.664199999999999</v>
          </cell>
          <cell r="J372">
            <v>62.593499999999999</v>
          </cell>
          <cell r="K372">
            <v>529.22</v>
          </cell>
          <cell r="L372">
            <v>29.7578</v>
          </cell>
          <cell r="M372">
            <v>5.1791999999999998</v>
          </cell>
          <cell r="N372">
            <v>591.19989999999996</v>
          </cell>
          <cell r="O372">
            <v>27.983599999999999</v>
          </cell>
          <cell r="P372">
            <v>24.046600000000002</v>
          </cell>
          <cell r="Q372">
            <v>331.53500000000003</v>
          </cell>
          <cell r="R372">
            <v>3.5234000000000001</v>
          </cell>
          <cell r="S372">
            <v>837.37339999999995</v>
          </cell>
          <cell r="T372">
            <v>132.30500000000001</v>
          </cell>
          <cell r="U372">
            <v>40.4176</v>
          </cell>
          <cell r="V372">
            <v>211.28360000000001</v>
          </cell>
          <cell r="W372">
            <v>238.0615</v>
          </cell>
          <cell r="X372">
            <v>58.379800000000003</v>
          </cell>
          <cell r="Y372">
            <v>132.2937</v>
          </cell>
          <cell r="Z372">
            <v>2.3224</v>
          </cell>
          <cell r="AA372">
            <v>1.7569999999999999</v>
          </cell>
          <cell r="AB372">
            <v>287.74970000000002</v>
          </cell>
          <cell r="AC372">
            <v>10.837899999999999</v>
          </cell>
          <cell r="AD372">
            <v>3.5700000000000003E-2</v>
          </cell>
          <cell r="AE372">
            <v>10.177300000000001</v>
          </cell>
          <cell r="AF372">
            <v>18.9495</v>
          </cell>
          <cell r="AG372">
            <v>0.77039999999999997</v>
          </cell>
          <cell r="AH372">
            <v>78.309600000000003</v>
          </cell>
          <cell r="AI372">
            <v>70.981399999999994</v>
          </cell>
          <cell r="AJ372">
            <v>14.5298</v>
          </cell>
          <cell r="AK372">
            <v>48.985599999999998</v>
          </cell>
          <cell r="AL372">
            <v>316.28809999999999</v>
          </cell>
          <cell r="AM372">
            <v>40.7605</v>
          </cell>
          <cell r="AN372">
            <v>465.6078</v>
          </cell>
          <cell r="AO372">
            <v>668.05949999999996</v>
          </cell>
        </row>
        <row r="373">
          <cell r="C373">
            <v>268.89299999999997</v>
          </cell>
          <cell r="D373">
            <v>33.843400000000003</v>
          </cell>
          <cell r="E373">
            <v>760.07140000000004</v>
          </cell>
          <cell r="F373">
            <v>11.113200000000001</v>
          </cell>
          <cell r="G373">
            <v>115.443</v>
          </cell>
          <cell r="H373">
            <v>3.3300000000000003E-2</v>
          </cell>
          <cell r="I373">
            <v>13.6668</v>
          </cell>
          <cell r="J373">
            <v>62.6053</v>
          </cell>
          <cell r="K373">
            <v>529.32000000000005</v>
          </cell>
          <cell r="L373">
            <v>29.763400000000001</v>
          </cell>
          <cell r="M373">
            <v>5.1802000000000001</v>
          </cell>
          <cell r="N373">
            <v>591.3116</v>
          </cell>
          <cell r="O373">
            <v>27.988900000000001</v>
          </cell>
          <cell r="P373">
            <v>24.051200000000001</v>
          </cell>
          <cell r="Q373">
            <v>331.5976</v>
          </cell>
          <cell r="R373">
            <v>3.5240999999999998</v>
          </cell>
          <cell r="S373">
            <v>837.53160000000003</v>
          </cell>
          <cell r="T373">
            <v>132.33000000000001</v>
          </cell>
          <cell r="U373">
            <v>40.411700000000003</v>
          </cell>
          <cell r="V373">
            <v>211.3235</v>
          </cell>
          <cell r="W373">
            <v>238.10640000000001</v>
          </cell>
          <cell r="X373">
            <v>58.390799999999999</v>
          </cell>
          <cell r="Y373">
            <v>132.31870000000001</v>
          </cell>
          <cell r="Z373">
            <v>2.3229000000000002</v>
          </cell>
          <cell r="AA373">
            <v>1.7521</v>
          </cell>
          <cell r="AB373">
            <v>287.80410000000001</v>
          </cell>
          <cell r="AC373">
            <v>10.84</v>
          </cell>
          <cell r="AD373">
            <v>3.5700000000000003E-2</v>
          </cell>
          <cell r="AE373">
            <v>10.1792</v>
          </cell>
          <cell r="AF373">
            <v>18.953099999999999</v>
          </cell>
          <cell r="AG373">
            <v>0.77059999999999995</v>
          </cell>
          <cell r="AH373">
            <v>78.324399999999997</v>
          </cell>
          <cell r="AI373">
            <v>70.994900000000001</v>
          </cell>
          <cell r="AJ373">
            <v>14.5326</v>
          </cell>
          <cell r="AK373">
            <v>48.994799999999998</v>
          </cell>
          <cell r="AL373">
            <v>316.34789999999998</v>
          </cell>
          <cell r="AM373">
            <v>40.768300000000004</v>
          </cell>
          <cell r="AN373">
            <v>465.69569999999999</v>
          </cell>
          <cell r="AO373">
            <v>668.1857</v>
          </cell>
        </row>
        <row r="374">
          <cell r="C374">
            <v>268.90249999999997</v>
          </cell>
          <cell r="D374">
            <v>33.971699999999998</v>
          </cell>
          <cell r="E374">
            <v>767.5865</v>
          </cell>
          <cell r="F374">
            <v>11.123699999999999</v>
          </cell>
          <cell r="G374">
            <v>115.88039999999999</v>
          </cell>
          <cell r="H374">
            <v>3.3099999999999997E-2</v>
          </cell>
          <cell r="I374">
            <v>13.7186</v>
          </cell>
          <cell r="J374">
            <v>62.842500000000001</v>
          </cell>
          <cell r="K374">
            <v>529.82000000000005</v>
          </cell>
          <cell r="L374">
            <v>29.876200000000001</v>
          </cell>
          <cell r="M374">
            <v>5.1969000000000003</v>
          </cell>
          <cell r="N374">
            <v>593.55200000000002</v>
          </cell>
          <cell r="O374">
            <v>28.094899999999999</v>
          </cell>
          <cell r="P374">
            <v>24.142299999999999</v>
          </cell>
          <cell r="Q374">
            <v>330.73450000000003</v>
          </cell>
          <cell r="R374">
            <v>3.5274000000000001</v>
          </cell>
          <cell r="S374">
            <v>838.32280000000003</v>
          </cell>
          <cell r="T374">
            <v>132.45500000000001</v>
          </cell>
          <cell r="U374">
            <v>40.466200000000001</v>
          </cell>
          <cell r="V374">
            <v>212.1242</v>
          </cell>
          <cell r="W374">
            <v>239.0086</v>
          </cell>
          <cell r="X374">
            <v>58.718800000000002</v>
          </cell>
          <cell r="Y374">
            <v>132.7936</v>
          </cell>
          <cell r="Z374">
            <v>2.3317000000000001</v>
          </cell>
          <cell r="AA374">
            <v>1.7579</v>
          </cell>
          <cell r="AB374">
            <v>285.73360000000002</v>
          </cell>
          <cell r="AC374">
            <v>10.9079</v>
          </cell>
          <cell r="AD374">
            <v>3.6799999999999999E-2</v>
          </cell>
          <cell r="AE374">
            <v>10.188800000000001</v>
          </cell>
          <cell r="AF374">
            <v>19.019500000000001</v>
          </cell>
          <cell r="AG374">
            <v>0.77129999999999999</v>
          </cell>
          <cell r="AH374">
            <v>78.621200000000002</v>
          </cell>
          <cell r="AI374">
            <v>71.263800000000003</v>
          </cell>
          <cell r="AJ374">
            <v>14.5318</v>
          </cell>
          <cell r="AK374">
            <v>49.512300000000003</v>
          </cell>
          <cell r="AL374">
            <v>315.10629999999998</v>
          </cell>
          <cell r="AM374">
            <v>40.333100000000002</v>
          </cell>
          <cell r="AN374">
            <v>467.46019999999999</v>
          </cell>
          <cell r="AO374">
            <v>664.64110000000005</v>
          </cell>
        </row>
        <row r="375">
          <cell r="C375">
            <v>270.2296</v>
          </cell>
          <cell r="D375">
            <v>33.935099999999998</v>
          </cell>
          <cell r="E375">
            <v>767.39</v>
          </cell>
          <cell r="F375">
            <v>11.1243</v>
          </cell>
          <cell r="G375">
            <v>115.7556</v>
          </cell>
          <cell r="H375">
            <v>3.3099999999999997E-2</v>
          </cell>
          <cell r="I375">
            <v>13.703799999999999</v>
          </cell>
          <cell r="J375">
            <v>62.7926</v>
          </cell>
          <cell r="K375">
            <v>529.85</v>
          </cell>
          <cell r="L375">
            <v>29.844000000000001</v>
          </cell>
          <cell r="M375">
            <v>5.1044999999999998</v>
          </cell>
          <cell r="N375">
            <v>592.91279999999995</v>
          </cell>
          <cell r="O375">
            <v>28.064699999999998</v>
          </cell>
          <cell r="P375">
            <v>24.116299999999999</v>
          </cell>
          <cell r="Q375">
            <v>331.71609999999998</v>
          </cell>
          <cell r="R375">
            <v>3.5276000000000001</v>
          </cell>
          <cell r="S375">
            <v>830.48590000000002</v>
          </cell>
          <cell r="T375">
            <v>132.46250000000001</v>
          </cell>
          <cell r="U375">
            <v>40.474699999999999</v>
          </cell>
          <cell r="V375">
            <v>211.89580000000001</v>
          </cell>
          <cell r="W375">
            <v>238.75120000000001</v>
          </cell>
          <cell r="X375">
            <v>58.7256</v>
          </cell>
          <cell r="Y375">
            <v>133.59559999999999</v>
          </cell>
          <cell r="Z375">
            <v>2.3292000000000002</v>
          </cell>
          <cell r="AA375">
            <v>1.7581</v>
          </cell>
          <cell r="AB375">
            <v>286.37119999999999</v>
          </cell>
          <cell r="AC375">
            <v>10.9153</v>
          </cell>
          <cell r="AD375">
            <v>3.6799999999999999E-2</v>
          </cell>
          <cell r="AE375">
            <v>10.189399999999999</v>
          </cell>
          <cell r="AF375">
            <v>19.045500000000001</v>
          </cell>
          <cell r="AG375">
            <v>0.77010000000000001</v>
          </cell>
          <cell r="AH375">
            <v>78.536500000000004</v>
          </cell>
          <cell r="AI375">
            <v>71.187100000000001</v>
          </cell>
          <cell r="AJ375">
            <v>14.6097</v>
          </cell>
          <cell r="AK375">
            <v>50.203899999999997</v>
          </cell>
          <cell r="AL375">
            <v>314.89429999999999</v>
          </cell>
          <cell r="AM375">
            <v>40.488799999999998</v>
          </cell>
          <cell r="AN375">
            <v>466.95679999999999</v>
          </cell>
          <cell r="AO375">
            <v>665.29049999999995</v>
          </cell>
        </row>
        <row r="376">
          <cell r="C376">
            <v>270.2296</v>
          </cell>
          <cell r="D376">
            <v>33.935099999999998</v>
          </cell>
          <cell r="E376">
            <v>767.39</v>
          </cell>
          <cell r="F376">
            <v>11.1243</v>
          </cell>
          <cell r="G376">
            <v>115.7556</v>
          </cell>
          <cell r="H376">
            <v>3.3099999999999997E-2</v>
          </cell>
          <cell r="I376">
            <v>13.703799999999999</v>
          </cell>
          <cell r="J376">
            <v>62.7926</v>
          </cell>
          <cell r="K376">
            <v>529.85</v>
          </cell>
          <cell r="L376">
            <v>29.844000000000001</v>
          </cell>
          <cell r="M376">
            <v>5.1044999999999998</v>
          </cell>
          <cell r="N376">
            <v>592.91279999999995</v>
          </cell>
          <cell r="O376">
            <v>28.064699999999998</v>
          </cell>
          <cell r="P376">
            <v>24.116299999999999</v>
          </cell>
          <cell r="Q376">
            <v>331.71609999999998</v>
          </cell>
          <cell r="R376">
            <v>3.5276000000000001</v>
          </cell>
          <cell r="S376">
            <v>830.48590000000002</v>
          </cell>
          <cell r="T376">
            <v>132.46250000000001</v>
          </cell>
          <cell r="U376">
            <v>40.474699999999999</v>
          </cell>
          <cell r="V376">
            <v>211.89580000000001</v>
          </cell>
          <cell r="W376">
            <v>238.75120000000001</v>
          </cell>
          <cell r="X376">
            <v>58.7256</v>
          </cell>
          <cell r="Y376">
            <v>133.59559999999999</v>
          </cell>
          <cell r="Z376">
            <v>2.3292000000000002</v>
          </cell>
          <cell r="AA376">
            <v>1.7581</v>
          </cell>
          <cell r="AB376">
            <v>286.37119999999999</v>
          </cell>
          <cell r="AC376">
            <v>10.9153</v>
          </cell>
          <cell r="AD376">
            <v>3.6799999999999999E-2</v>
          </cell>
          <cell r="AE376">
            <v>10.189399999999999</v>
          </cell>
          <cell r="AF376">
            <v>19.045500000000001</v>
          </cell>
          <cell r="AG376">
            <v>0.77010000000000001</v>
          </cell>
          <cell r="AH376">
            <v>78.536500000000004</v>
          </cell>
          <cell r="AI376">
            <v>71.187100000000001</v>
          </cell>
          <cell r="AJ376">
            <v>14.6097</v>
          </cell>
          <cell r="AK376">
            <v>50.203899999999997</v>
          </cell>
          <cell r="AL376">
            <v>314.89429999999999</v>
          </cell>
          <cell r="AM376">
            <v>40.488799999999998</v>
          </cell>
          <cell r="AN376">
            <v>466.95679999999999</v>
          </cell>
          <cell r="AO376">
            <v>665.29049999999995</v>
          </cell>
        </row>
        <row r="377">
          <cell r="C377">
            <v>270.2296</v>
          </cell>
          <cell r="D377">
            <v>33.935099999999998</v>
          </cell>
          <cell r="E377">
            <v>767.39</v>
          </cell>
          <cell r="F377">
            <v>11.1243</v>
          </cell>
          <cell r="G377">
            <v>115.7556</v>
          </cell>
          <cell r="H377">
            <v>3.3099999999999997E-2</v>
          </cell>
          <cell r="I377">
            <v>13.703799999999999</v>
          </cell>
          <cell r="J377">
            <v>62.7926</v>
          </cell>
          <cell r="K377">
            <v>529.85</v>
          </cell>
          <cell r="L377">
            <v>29.844000000000001</v>
          </cell>
          <cell r="M377">
            <v>5.1044999999999998</v>
          </cell>
          <cell r="N377">
            <v>592.91279999999995</v>
          </cell>
          <cell r="O377">
            <v>28.064699999999998</v>
          </cell>
          <cell r="P377">
            <v>24.116299999999999</v>
          </cell>
          <cell r="Q377">
            <v>331.71609999999998</v>
          </cell>
          <cell r="R377">
            <v>3.5276000000000001</v>
          </cell>
          <cell r="S377">
            <v>830.48590000000002</v>
          </cell>
          <cell r="T377">
            <v>132.46250000000001</v>
          </cell>
          <cell r="U377">
            <v>40.474699999999999</v>
          </cell>
          <cell r="V377">
            <v>211.89580000000001</v>
          </cell>
          <cell r="W377">
            <v>238.75120000000001</v>
          </cell>
          <cell r="X377">
            <v>58.7256</v>
          </cell>
          <cell r="Y377">
            <v>133.59559999999999</v>
          </cell>
          <cell r="Z377">
            <v>2.3292000000000002</v>
          </cell>
          <cell r="AA377">
            <v>1.7581</v>
          </cell>
          <cell r="AB377">
            <v>286.37119999999999</v>
          </cell>
          <cell r="AC377">
            <v>10.9153</v>
          </cell>
          <cell r="AD377">
            <v>3.6799999999999999E-2</v>
          </cell>
          <cell r="AE377">
            <v>10.189399999999999</v>
          </cell>
          <cell r="AF377">
            <v>19.045500000000001</v>
          </cell>
          <cell r="AG377">
            <v>0.77010000000000001</v>
          </cell>
          <cell r="AH377">
            <v>78.536500000000004</v>
          </cell>
          <cell r="AI377">
            <v>71.187100000000001</v>
          </cell>
          <cell r="AJ377">
            <v>14.6097</v>
          </cell>
          <cell r="AK377">
            <v>50.203899999999997</v>
          </cell>
          <cell r="AL377">
            <v>314.89429999999999</v>
          </cell>
          <cell r="AM377">
            <v>40.488799999999998</v>
          </cell>
          <cell r="AN377">
            <v>466.95679999999999</v>
          </cell>
          <cell r="AO377">
            <v>665.29049999999995</v>
          </cell>
        </row>
        <row r="378">
          <cell r="C378">
            <v>272.26671612903226</v>
          </cell>
          <cell r="D378">
            <v>34.290299999999995</v>
          </cell>
          <cell r="E378">
            <v>761.7554612903225</v>
          </cell>
          <cell r="F378">
            <v>11.142616129032257</v>
          </cell>
          <cell r="G378">
            <v>116.96725161290323</v>
          </cell>
          <cell r="H378">
            <v>3.3712903225806432E-2</v>
          </cell>
          <cell r="I378">
            <v>13.847235483870966</v>
          </cell>
          <cell r="J378">
            <v>63.397361290322578</v>
          </cell>
          <cell r="K378">
            <v>529.42774193548382</v>
          </cell>
          <cell r="L378">
            <v>30.156377419354843</v>
          </cell>
          <cell r="M378">
            <v>5.0612709677419359</v>
          </cell>
          <cell r="N378">
            <v>599.1191838709675</v>
          </cell>
          <cell r="O378">
            <v>28.358441935483871</v>
          </cell>
          <cell r="P378">
            <v>24.368751612903225</v>
          </cell>
          <cell r="Q378">
            <v>335.15015483870962</v>
          </cell>
          <cell r="R378">
            <v>3.5416645161290328</v>
          </cell>
          <cell r="S378">
            <v>837.36914838709674</v>
          </cell>
          <cell r="T378">
            <v>132.35693548387096</v>
          </cell>
          <cell r="U378">
            <v>40.453719354838718</v>
          </cell>
          <cell r="V378">
            <v>214.11380000000005</v>
          </cell>
          <cell r="W378">
            <v>241.25038064516116</v>
          </cell>
          <cell r="X378">
            <v>59.091674193548386</v>
          </cell>
          <cell r="Y378">
            <v>131.64109032258065</v>
          </cell>
          <cell r="Z378">
            <v>2.3535451612903229</v>
          </cell>
          <cell r="AA378">
            <v>1.7598451612903228</v>
          </cell>
          <cell r="AB378">
            <v>288.24001935483864</v>
          </cell>
          <cell r="AC378">
            <v>10.948522580645157</v>
          </cell>
          <cell r="AD378">
            <v>3.6329032258064518E-2</v>
          </cell>
          <cell r="AE378">
            <v>10.181303225806451</v>
          </cell>
          <cell r="AF378">
            <v>19.064538709677418</v>
          </cell>
          <cell r="AG378">
            <v>0.77284193548387115</v>
          </cell>
          <cell r="AH378">
            <v>79.358587096774215</v>
          </cell>
          <cell r="AI378">
            <v>71.932248387096791</v>
          </cell>
          <cell r="AJ378">
            <v>14.502264516129035</v>
          </cell>
          <cell r="AK378">
            <v>49.995045161290321</v>
          </cell>
          <cell r="AL378">
            <v>320.01139354838716</v>
          </cell>
          <cell r="AM378">
            <v>41.627270967741943</v>
          </cell>
          <cell r="AN378">
            <v>471.84471612903224</v>
          </cell>
          <cell r="AO378">
            <v>669.23043225806441</v>
          </cell>
        </row>
      </sheetData>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
      <sheetName val="General"/>
      <sheetName val="WagExp_OLD2"/>
      <sheetName val="Deflated"/>
      <sheetName val="Form"/>
      <sheetName val="MC"/>
      <sheetName val="M"/>
      <sheetName val="Q"/>
      <sheetName val="A"/>
      <sheetName val="MP"/>
      <sheetName val="T"/>
      <sheetName val="WagExp"/>
      <sheetName val="Calc"/>
      <sheetName val="Index"/>
      <sheetName val="Deflators"/>
      <sheetName val="G100"/>
      <sheetName val="Str"/>
      <sheetName val="Desc"/>
      <sheetName val="O"/>
      <sheetName val="address"/>
      <sheetName val="M (deleted)"/>
    </sheetNames>
    <sheetDataSet>
      <sheetData sheetId="0">
        <row r="139">
          <cell r="BB139" t="e">
            <v>#REF!</v>
          </cell>
        </row>
        <row r="146">
          <cell r="N146" t="e">
            <v>#REF!</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FSUOUT"/>
      <sheetName val="labels"/>
    </sheetNames>
    <sheetDataSet>
      <sheetData sheetId="0"/>
      <sheetData sheetId="1"/>
      <sheetData sheetId="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Довідники"/>
      <sheetName val="Лист1"/>
      <sheetName val="Все-все-все"/>
      <sheetName val="labels"/>
      <sheetName val="Inform"/>
    </sheetNames>
    <sheetDataSet>
      <sheetData sheetId="0" refreshError="1">
        <row r="27">
          <cell r="A27" t="str">
            <v>UCUU</v>
          </cell>
          <cell r="B27">
            <v>351005</v>
          </cell>
          <cell r="C27" t="str">
            <v>Укрсиббанк-186</v>
          </cell>
        </row>
        <row r="28">
          <cell r="A28" t="str">
            <v>UCVF</v>
          </cell>
          <cell r="B28">
            <v>351005</v>
          </cell>
          <cell r="C28" t="str">
            <v>Укрсиббанк-206</v>
          </cell>
        </row>
        <row r="29">
          <cell r="A29" t="str">
            <v>UCI9</v>
          </cell>
          <cell r="B29">
            <v>351005</v>
          </cell>
          <cell r="C29" t="str">
            <v>Укрсиббанк-463</v>
          </cell>
        </row>
        <row r="30">
          <cell r="A30" t="str">
            <v>UCX7</v>
          </cell>
          <cell r="B30">
            <v>351005</v>
          </cell>
          <cell r="C30" t="str">
            <v>Укрсиббанк-793</v>
          </cell>
        </row>
        <row r="31">
          <cell r="A31" t="str">
            <v>erst</v>
          </cell>
          <cell r="B31">
            <v>380009</v>
          </cell>
          <cell r="C31" t="str">
            <v>ВАТ "Ерсте Банк"</v>
          </cell>
        </row>
        <row r="32">
          <cell r="A32" t="str">
            <v>U0HD</v>
          </cell>
          <cell r="B32">
            <v>399012</v>
          </cell>
          <cell r="C32" t="str">
            <v>Державна скарбниця</v>
          </cell>
        </row>
        <row r="33">
          <cell r="A33" t="str">
            <v>U0HG</v>
          </cell>
          <cell r="B33">
            <v>399131</v>
          </cell>
          <cell r="C33" t="str">
            <v>ГУП НБУ</v>
          </cell>
        </row>
        <row r="34">
          <cell r="A34" t="str">
            <v>U0HH</v>
          </cell>
          <cell r="B34">
            <v>399119</v>
          </cell>
          <cell r="C34" t="str">
            <v>Центральний апарат НБУ</v>
          </cell>
        </row>
        <row r="35">
          <cell r="A35" t="str">
            <v>U0HK</v>
          </cell>
          <cell r="B35">
            <v>399090</v>
          </cell>
          <cell r="C35" t="str">
            <v>Виробничо-ремонтний комп.НБ</v>
          </cell>
        </row>
        <row r="36">
          <cell r="A36" t="str">
            <v>U0HM</v>
          </cell>
          <cell r="B36">
            <v>399056</v>
          </cell>
          <cell r="C36" t="str">
            <v>Фабрика банкнотного паперу</v>
          </cell>
        </row>
        <row r="37">
          <cell r="A37" t="str">
            <v>U0HP</v>
          </cell>
          <cell r="B37">
            <v>399023</v>
          </cell>
          <cell r="C37" t="str">
            <v>Центральна РП НБУ</v>
          </cell>
        </row>
        <row r="38">
          <cell r="A38" t="str">
            <v>U0OM</v>
          </cell>
          <cell r="B38">
            <v>380559</v>
          </cell>
          <cell r="C38" t="str">
            <v>УДППЗ "Укрпошта"</v>
          </cell>
        </row>
        <row r="39">
          <cell r="A39" t="str">
            <v>U0PW</v>
          </cell>
          <cell r="B39">
            <v>399120</v>
          </cell>
          <cell r="C39" t="str">
            <v>Ауд.Ф"ПрайсвотерхаусКуперс"</v>
          </cell>
        </row>
        <row r="40">
          <cell r="A40" t="str">
            <v>U0TS</v>
          </cell>
          <cell r="B40">
            <v>399391</v>
          </cell>
          <cell r="C40" t="str">
            <v>УНІВЕРСИТЕТ БС НБУ м.КИЇВ</v>
          </cell>
        </row>
        <row r="41">
          <cell r="A41" t="str">
            <v>U1AA</v>
          </cell>
          <cell r="B41">
            <v>300012</v>
          </cell>
          <cell r="C41" t="str">
            <v>ПРОМІНВЕСТБАНК</v>
          </cell>
        </row>
        <row r="42">
          <cell r="A42" t="str">
            <v>U1AB</v>
          </cell>
          <cell r="B42">
            <v>300380</v>
          </cell>
          <cell r="C42" t="str">
            <v>ЦЕНТРАЛЬНА РП ПІБ, М.КИЇВ</v>
          </cell>
        </row>
        <row r="43">
          <cell r="A43" t="str">
            <v>U1HA</v>
          </cell>
          <cell r="B43">
            <v>300001</v>
          </cell>
          <cell r="C43" t="str">
            <v>"НАЦІОНАЛЬНИЙ БАНК"</v>
          </cell>
        </row>
        <row r="44">
          <cell r="A44" t="str">
            <v>U1HB</v>
          </cell>
          <cell r="B44">
            <v>300302</v>
          </cell>
          <cell r="C44" t="str">
            <v>Центральне сховище НБУ</v>
          </cell>
        </row>
        <row r="45">
          <cell r="A45" t="str">
            <v>U1HF</v>
          </cell>
          <cell r="B45">
            <v>399045</v>
          </cell>
          <cell r="C45" t="str">
            <v>Банкнотно-монетний двір</v>
          </cell>
        </row>
        <row r="46">
          <cell r="A46" t="str">
            <v>U1HS</v>
          </cell>
          <cell r="B46">
            <v>399261</v>
          </cell>
          <cell r="C46" t="str">
            <v>Господ.-екс.упр.НБУ</v>
          </cell>
        </row>
        <row r="47">
          <cell r="A47" t="str">
            <v>U1HT</v>
          </cell>
          <cell r="B47">
            <v>399034</v>
          </cell>
          <cell r="C47" t="str">
            <v>ІТЦ НБУ</v>
          </cell>
        </row>
        <row r="48">
          <cell r="A48" t="str">
            <v>U1QK</v>
          </cell>
          <cell r="B48">
            <v>820172</v>
          </cell>
          <cell r="C48" t="str">
            <v>ДЕРЖКАЗНАЧЕЙСТВО УКРАЇНИ</v>
          </cell>
        </row>
        <row r="49">
          <cell r="A49" t="str">
            <v>U1WF</v>
          </cell>
          <cell r="B49">
            <v>300926</v>
          </cell>
          <cell r="C49" t="str">
            <v>АТ "УФГ"</v>
          </cell>
        </row>
        <row r="50">
          <cell r="A50" t="str">
            <v>U9QK</v>
          </cell>
          <cell r="B50">
            <v>824509</v>
          </cell>
          <cell r="C50" t="str">
            <v>ГУ ДК УКРАЇНИ У СЕВАСТ.</v>
          </cell>
        </row>
        <row r="51">
          <cell r="A51" t="str">
            <v>UAAA</v>
          </cell>
          <cell r="B51">
            <v>302571</v>
          </cell>
          <cell r="C51" t="str">
            <v>Ф."ВІДДІЛЕН. ПІБ,М.ВІННИЦЯ"</v>
          </cell>
        </row>
        <row r="52">
          <cell r="A52" t="str">
            <v>UAAC</v>
          </cell>
          <cell r="B52">
            <v>302322</v>
          </cell>
          <cell r="C52" t="str">
            <v>Ф.ВІД.ПІБ В М.ЖМЕРИНКА ВІН.</v>
          </cell>
        </row>
        <row r="53">
          <cell r="A53" t="str">
            <v>UAAE</v>
          </cell>
          <cell r="B53">
            <v>302485</v>
          </cell>
          <cell r="C53" t="str">
            <v>Ф.ВІД.ПІБ В М.ЛАДИЖИН ВІН.</v>
          </cell>
        </row>
        <row r="54">
          <cell r="A54" t="str">
            <v>UACA</v>
          </cell>
          <cell r="B54">
            <v>302010</v>
          </cell>
          <cell r="C54" t="str">
            <v>Вінниц.обл.філ.АКБ"УСБ"</v>
          </cell>
        </row>
        <row r="55">
          <cell r="A55" t="str">
            <v>UAFE</v>
          </cell>
          <cell r="B55">
            <v>302775</v>
          </cell>
          <cell r="C55" t="str">
            <v>Вінницька ф. ВАТ"КРЕДОБАНК"</v>
          </cell>
        </row>
        <row r="56">
          <cell r="A56" t="str">
            <v>UAFF</v>
          </cell>
          <cell r="B56">
            <v>302805</v>
          </cell>
          <cell r="C56" t="str">
            <v>Вінницька ФАБ "КР"</v>
          </cell>
        </row>
        <row r="57">
          <cell r="A57" t="str">
            <v>UAGA</v>
          </cell>
          <cell r="B57">
            <v>302429</v>
          </cell>
          <cell r="C57" t="str">
            <v>Ф-я Укрексімбанк, Вінниця</v>
          </cell>
        </row>
        <row r="58">
          <cell r="A58" t="str">
            <v>UAHA</v>
          </cell>
          <cell r="B58">
            <v>302504</v>
          </cell>
          <cell r="C58" t="str">
            <v>Упр. НБУ у Вінницькій обл.</v>
          </cell>
        </row>
        <row r="59">
          <cell r="A59" t="str">
            <v>UAIC</v>
          </cell>
          <cell r="B59">
            <v>302623</v>
          </cell>
          <cell r="C59" t="str">
            <v>Вінн.ФВАТ "КРЕДИТПРОМБАНК"</v>
          </cell>
        </row>
        <row r="60">
          <cell r="A60" t="str">
            <v>UAIH</v>
          </cell>
          <cell r="B60">
            <v>302333</v>
          </cell>
          <cell r="C60" t="str">
            <v>Вінницька ФАТ"Укрінбанк"</v>
          </cell>
        </row>
        <row r="61">
          <cell r="A61" t="str">
            <v>UAIJ</v>
          </cell>
          <cell r="B61">
            <v>302247</v>
          </cell>
          <cell r="C61" t="str">
            <v>ОД "Райффайзен Банк Аваль"</v>
          </cell>
        </row>
        <row r="62">
          <cell r="A62" t="str">
            <v>UAIL</v>
          </cell>
          <cell r="B62">
            <v>302731</v>
          </cell>
          <cell r="C62" t="str">
            <v>ФАБ "Енергобанк"в м.Вінниці</v>
          </cell>
        </row>
        <row r="63">
          <cell r="A63" t="str">
            <v>UAIN</v>
          </cell>
          <cell r="B63">
            <v>302559</v>
          </cell>
          <cell r="C63" t="str">
            <v>Вінницька Ф ВАТ ВТБ Банк</v>
          </cell>
        </row>
        <row r="64">
          <cell r="A64" t="str">
            <v>UAIO</v>
          </cell>
          <cell r="B64">
            <v>302689</v>
          </cell>
          <cell r="C64" t="str">
            <v>Вінницька філія ПриватБанку</v>
          </cell>
        </row>
        <row r="65">
          <cell r="A65" t="str">
            <v>UAIP</v>
          </cell>
          <cell r="B65">
            <v>302894</v>
          </cell>
          <cell r="C65" t="str">
            <v>ФАКБ"НК" в Козятин</v>
          </cell>
        </row>
        <row r="66">
          <cell r="A66" t="str">
            <v>UAIQ</v>
          </cell>
          <cell r="B66">
            <v>302355</v>
          </cell>
          <cell r="C66" t="str">
            <v>Ф ВАТ КБ "НАДРА" В.РУ</v>
          </cell>
        </row>
        <row r="67">
          <cell r="A67" t="str">
            <v>UAIR</v>
          </cell>
          <cell r="B67">
            <v>302430</v>
          </cell>
          <cell r="C67" t="str">
            <v>Вінниц.ф-я ВАТ СКБ"Дністер"</v>
          </cell>
        </row>
        <row r="68">
          <cell r="A68" t="str">
            <v>UAIT</v>
          </cell>
          <cell r="B68">
            <v>302515</v>
          </cell>
          <cell r="C68" t="str">
            <v>Вінниц.ф. ТОВ "УКРПРОМБАНК"</v>
          </cell>
        </row>
        <row r="69">
          <cell r="A69" t="str">
            <v>UAIU</v>
          </cell>
          <cell r="B69">
            <v>302537</v>
          </cell>
          <cell r="C69" t="str">
            <v>Філ.Він.дир.АТ"ІНДЕКС-БАНК"</v>
          </cell>
        </row>
        <row r="70">
          <cell r="A70" t="str">
            <v>UAIY</v>
          </cell>
          <cell r="B70">
            <v>302560</v>
          </cell>
          <cell r="C70" t="str">
            <v>Жмеринс. філ.АБ "Експр-Банк</v>
          </cell>
        </row>
        <row r="71">
          <cell r="A71" t="str">
            <v>UAJD</v>
          </cell>
          <cell r="B71">
            <v>302690</v>
          </cell>
          <cell r="C71" t="str">
            <v>ВІННИЦЬКАФ АКБ "ІМЕКСБАНК"</v>
          </cell>
        </row>
        <row r="72">
          <cell r="A72" t="str">
            <v>UAJF</v>
          </cell>
          <cell r="B72">
            <v>302708</v>
          </cell>
          <cell r="C72" t="str">
            <v>ВФ ВАТ "ПІРЕУС БАНК МКБ"</v>
          </cell>
        </row>
        <row r="73">
          <cell r="A73" t="str">
            <v>UAJM</v>
          </cell>
          <cell r="B73">
            <v>302786</v>
          </cell>
          <cell r="C73" t="str">
            <v>Вінниц.ф-я ВАТ КБ"Хрещатик"</v>
          </cell>
        </row>
        <row r="74">
          <cell r="A74" t="str">
            <v>UAKF</v>
          </cell>
          <cell r="B74">
            <v>302719</v>
          </cell>
          <cell r="C74" t="str">
            <v>Вінницька Ф"БРОКБІЗНЕСБАНК"</v>
          </cell>
        </row>
        <row r="75">
          <cell r="A75" t="str">
            <v>UAKG</v>
          </cell>
          <cell r="B75">
            <v>302861</v>
          </cell>
          <cell r="C75" t="str">
            <v>Вінницька філія АКБ "СЄБ"</v>
          </cell>
        </row>
        <row r="76">
          <cell r="A76" t="str">
            <v>UAKI</v>
          </cell>
          <cell r="B76">
            <v>302816</v>
          </cell>
          <cell r="C76" t="str">
            <v>Вінницька філія АКБ "Форум"</v>
          </cell>
        </row>
        <row r="77">
          <cell r="A77" t="str">
            <v>UAKJ</v>
          </cell>
          <cell r="B77">
            <v>302720</v>
          </cell>
          <cell r="C77" t="str">
            <v>Філія ЗАТ "ОТП Банк"</v>
          </cell>
        </row>
        <row r="78">
          <cell r="A78" t="str">
            <v>UAKK</v>
          </cell>
          <cell r="B78">
            <v>302753</v>
          </cell>
          <cell r="C78" t="str">
            <v>Він. Філ ВАТ АБ"Укргазбанк"</v>
          </cell>
        </row>
        <row r="79">
          <cell r="A79" t="str">
            <v>UALA</v>
          </cell>
          <cell r="B79">
            <v>302076</v>
          </cell>
          <cell r="C79" t="str">
            <v>ФВінницьке обласне уВАТОщад</v>
          </cell>
        </row>
        <row r="80">
          <cell r="A80" t="str">
            <v>UALF</v>
          </cell>
          <cell r="B80">
            <v>362061</v>
          </cell>
          <cell r="C80" t="str">
            <v>ФВінницьке районне вВАТОщад</v>
          </cell>
        </row>
        <row r="81">
          <cell r="A81" t="str">
            <v>UALH</v>
          </cell>
          <cell r="B81">
            <v>362083</v>
          </cell>
          <cell r="C81" t="str">
            <v>ФЖмеринське відділенВАТОщад</v>
          </cell>
        </row>
        <row r="82">
          <cell r="A82" t="str">
            <v>UALI</v>
          </cell>
          <cell r="B82">
            <v>362191</v>
          </cell>
          <cell r="C82" t="str">
            <v>ФІллінецьке відділенВАТОщад</v>
          </cell>
        </row>
        <row r="83">
          <cell r="A83" t="str">
            <v>UALJ</v>
          </cell>
          <cell r="B83">
            <v>362102</v>
          </cell>
          <cell r="C83" t="str">
            <v>ФКозятинське відділеВАТОщад</v>
          </cell>
        </row>
        <row r="84">
          <cell r="A84" t="str">
            <v>UALO</v>
          </cell>
          <cell r="B84">
            <v>362157</v>
          </cell>
          <cell r="C84" t="str">
            <v>ФМогилів-Подільське ВАТОщад</v>
          </cell>
        </row>
        <row r="85">
          <cell r="A85" t="str">
            <v>UALR</v>
          </cell>
          <cell r="B85">
            <v>362180</v>
          </cell>
          <cell r="C85" t="str">
            <v>ФОратівське відділенВАТОщад</v>
          </cell>
        </row>
        <row r="86">
          <cell r="A86" t="str">
            <v>UALZ</v>
          </cell>
          <cell r="B86">
            <v>362265</v>
          </cell>
          <cell r="C86" t="str">
            <v>ФХмільницьке відділеВАТОщад</v>
          </cell>
        </row>
        <row r="87">
          <cell r="A87" t="str">
            <v>UAMI</v>
          </cell>
          <cell r="B87">
            <v>362317</v>
          </cell>
          <cell r="C87" t="str">
            <v>ФВінницьке міське віВАТОщад</v>
          </cell>
        </row>
        <row r="88">
          <cell r="A88" t="str">
            <v>UAQK</v>
          </cell>
          <cell r="B88">
            <v>802015</v>
          </cell>
          <cell r="C88" t="str">
            <v>ГУДКУ у Вінницькій області</v>
          </cell>
        </row>
        <row r="89">
          <cell r="A89" t="str">
            <v>UAW2</v>
          </cell>
          <cell r="B89">
            <v>302548</v>
          </cell>
          <cell r="C89" t="str">
            <v>Перша ФАТ "УФГ", м.Вінниця</v>
          </cell>
        </row>
        <row r="90">
          <cell r="A90" t="str">
            <v>UBAA</v>
          </cell>
          <cell r="B90">
            <v>303138</v>
          </cell>
          <cell r="C90" t="str">
            <v>Ф."ВІДДІЛЕННЯ ПІБ, М.ЛУЦЬК"</v>
          </cell>
        </row>
        <row r="91">
          <cell r="A91" t="str">
            <v>UBAB</v>
          </cell>
          <cell r="B91">
            <v>303194</v>
          </cell>
          <cell r="C91" t="str">
            <v>ФІЛІЯ ВІД.ПІБ В М.КОВЕЛЬ</v>
          </cell>
        </row>
        <row r="92">
          <cell r="A92" t="str">
            <v>UBAC</v>
          </cell>
          <cell r="B92">
            <v>303310</v>
          </cell>
          <cell r="C92" t="str">
            <v>Ф. ВІД.ПІБ В М.НОВОВОЛИНСЬК</v>
          </cell>
        </row>
        <row r="93">
          <cell r="A93" t="str">
            <v>UBCA</v>
          </cell>
          <cell r="B93">
            <v>303019</v>
          </cell>
          <cell r="C93" t="str">
            <v>Волинь.обл.філія АКБ"УСБ"</v>
          </cell>
        </row>
        <row r="94">
          <cell r="A94" t="str">
            <v>UBFA</v>
          </cell>
          <cell r="B94">
            <v>303655</v>
          </cell>
          <cell r="C94" t="str">
            <v>Волинська ФАКБ "ІМЕКСБАНК"</v>
          </cell>
        </row>
        <row r="95">
          <cell r="A95" t="str">
            <v>UBFB</v>
          </cell>
          <cell r="B95">
            <v>303707</v>
          </cell>
          <cell r="C95" t="str">
            <v>ВолинськаФВАТКБ"Хрещатик"</v>
          </cell>
        </row>
        <row r="96">
          <cell r="A96" t="str">
            <v>UBGB</v>
          </cell>
          <cell r="B96">
            <v>303547</v>
          </cell>
          <cell r="C96" t="str">
            <v>Ф-я Укрексімбанк, Луцьк</v>
          </cell>
        </row>
        <row r="97">
          <cell r="A97" t="str">
            <v>UBHA</v>
          </cell>
          <cell r="B97">
            <v>303020</v>
          </cell>
          <cell r="C97" t="str">
            <v>Упр. НБУ у Волинській обл.</v>
          </cell>
        </row>
        <row r="98">
          <cell r="A98" t="str">
            <v>UBIA</v>
          </cell>
          <cell r="B98">
            <v>303224</v>
          </cell>
          <cell r="C98" t="str">
            <v>Волинська Ф.ВАТ "КРЕДОБАНК"</v>
          </cell>
        </row>
        <row r="99">
          <cell r="A99" t="str">
            <v>UBIF</v>
          </cell>
          <cell r="B99">
            <v>303279</v>
          </cell>
          <cell r="C99" t="str">
            <v>АКБ "ГРАДОБАНК"Луцька ф-я</v>
          </cell>
        </row>
        <row r="100">
          <cell r="A100" t="str">
            <v>UBIG</v>
          </cell>
          <cell r="B100">
            <v>303440</v>
          </cell>
          <cell r="C100" t="str">
            <v>Волинське ГРУ Приватбанку</v>
          </cell>
        </row>
        <row r="101">
          <cell r="A101" t="str">
            <v>UBIV</v>
          </cell>
          <cell r="B101">
            <v>303569</v>
          </cell>
          <cell r="C101" t="str">
            <v>ОДВАТ"Райффайзен Банк Аваль</v>
          </cell>
        </row>
        <row r="102">
          <cell r="A102" t="str">
            <v>UBIZ</v>
          </cell>
          <cell r="B102">
            <v>303343</v>
          </cell>
          <cell r="C102" t="str">
            <v>Луцька ФАТ "Укрінбанк"</v>
          </cell>
        </row>
        <row r="103">
          <cell r="A103" t="str">
            <v>UBJA</v>
          </cell>
          <cell r="B103">
            <v>303484</v>
          </cell>
          <cell r="C103" t="str">
            <v>КБ "Західінкомбанк" ТзОВ</v>
          </cell>
        </row>
        <row r="104">
          <cell r="A104" t="str">
            <v>UBJC</v>
          </cell>
          <cell r="B104">
            <v>303536</v>
          </cell>
          <cell r="C104" t="str">
            <v>УніКредит Банк ТзОВ</v>
          </cell>
        </row>
        <row r="105">
          <cell r="A105" t="str">
            <v>UBJE</v>
          </cell>
          <cell r="B105">
            <v>303473</v>
          </cell>
          <cell r="C105" t="str">
            <v>Луцька філія ВАТ ВТБ Банк</v>
          </cell>
        </row>
        <row r="106">
          <cell r="A106" t="str">
            <v>UBJG</v>
          </cell>
          <cell r="B106">
            <v>303525</v>
          </cell>
          <cell r="C106" t="str">
            <v>ВАТКБ"Надра"Луцьке РУ</v>
          </cell>
        </row>
        <row r="107">
          <cell r="A107" t="str">
            <v>UBJH</v>
          </cell>
          <cell r="B107">
            <v>303592</v>
          </cell>
          <cell r="C107" t="str">
            <v>Волин.ф.АБ "Брокбізнесбанк"</v>
          </cell>
        </row>
        <row r="108">
          <cell r="A108" t="str">
            <v>UBJL</v>
          </cell>
          <cell r="B108">
            <v>303008</v>
          </cell>
          <cell r="C108" t="str">
            <v>Волин.ф. ТОВ "УКРПРОМБАНК"</v>
          </cell>
        </row>
        <row r="109">
          <cell r="A109" t="str">
            <v>UBJO</v>
          </cell>
          <cell r="B109">
            <v>303633</v>
          </cell>
          <cell r="C109" t="str">
            <v>Волиньска дир."ІНДЕКС-БАНК"</v>
          </cell>
        </row>
        <row r="110">
          <cell r="A110" t="str">
            <v>UBJT</v>
          </cell>
          <cell r="B110">
            <v>303741</v>
          </cell>
          <cell r="C110" t="str">
            <v>ФВАТ"Кредитпромбанк", Луцьк</v>
          </cell>
        </row>
        <row r="111">
          <cell r="A111" t="str">
            <v>UBJU</v>
          </cell>
          <cell r="B111">
            <v>303644</v>
          </cell>
          <cell r="C111" t="str">
            <v>Луцька філія АКБ "Форум"</v>
          </cell>
        </row>
        <row r="112">
          <cell r="A112" t="str">
            <v>UBJV</v>
          </cell>
          <cell r="B112">
            <v>303763</v>
          </cell>
          <cell r="C112" t="str">
            <v>Філія ЗАТ "ОТП Банк"</v>
          </cell>
        </row>
        <row r="113">
          <cell r="A113" t="str">
            <v>UBJW</v>
          </cell>
          <cell r="B113">
            <v>303677</v>
          </cell>
          <cell r="C113" t="str">
            <v>Волинська ФВАТ"ВіЕйБі Банк"</v>
          </cell>
        </row>
        <row r="114">
          <cell r="A114" t="str">
            <v>UBLA</v>
          </cell>
          <cell r="B114">
            <v>303398</v>
          </cell>
          <cell r="C114" t="str">
            <v>ФВолинське обласне уВАТОщад</v>
          </cell>
        </row>
        <row r="115">
          <cell r="A115" t="str">
            <v>UBLC</v>
          </cell>
          <cell r="B115">
            <v>303321</v>
          </cell>
          <cell r="C115" t="str">
            <v>ФНововолинське віддіВАТОщад</v>
          </cell>
        </row>
        <row r="116">
          <cell r="A116" t="str">
            <v>UBQK</v>
          </cell>
          <cell r="B116">
            <v>803014</v>
          </cell>
          <cell r="C116" t="str">
            <v>ГУДКУ У ВОЛИНСЬКІЙ ОБЛАСТІ</v>
          </cell>
        </row>
        <row r="117">
          <cell r="A117" t="str">
            <v>UC8A</v>
          </cell>
          <cell r="B117">
            <v>805283</v>
          </cell>
          <cell r="C117" t="str">
            <v>ВДК У ПОКРОВСЬКОМУ Р-НІ  ДН</v>
          </cell>
        </row>
        <row r="118">
          <cell r="A118" t="str">
            <v>UC8B</v>
          </cell>
          <cell r="B118">
            <v>805294</v>
          </cell>
          <cell r="C118" t="str">
            <v>ВДК У П"ЯТИХАТСЬКОМУ Р-НІ</v>
          </cell>
        </row>
        <row r="119">
          <cell r="A119" t="str">
            <v>UC8C</v>
          </cell>
          <cell r="B119">
            <v>805302</v>
          </cell>
          <cell r="C119" t="str">
            <v>ВДК У СИНЕЛЬНИКіВСЬКОМУ Р-Н</v>
          </cell>
        </row>
        <row r="120">
          <cell r="A120" t="str">
            <v>UC8D</v>
          </cell>
          <cell r="B120">
            <v>805313</v>
          </cell>
          <cell r="C120" t="str">
            <v>ВДК У СОЛОНЯНСЬКОМУ Р-НІ  Д</v>
          </cell>
        </row>
        <row r="121">
          <cell r="A121" t="str">
            <v>UC8E</v>
          </cell>
          <cell r="B121">
            <v>805324</v>
          </cell>
          <cell r="C121" t="str">
            <v>ВДК У СОФіЇВСЬКОМУ Р-НІ  ДН</v>
          </cell>
        </row>
        <row r="122">
          <cell r="A122" t="str">
            <v>UC8F</v>
          </cell>
          <cell r="B122">
            <v>805335</v>
          </cell>
          <cell r="C122" t="str">
            <v>ВДК У ТОМАКіВСЬКОМУ Р-НІ  Д</v>
          </cell>
        </row>
        <row r="123">
          <cell r="A123" t="str">
            <v>UC8G</v>
          </cell>
          <cell r="B123">
            <v>805346</v>
          </cell>
          <cell r="C123" t="str">
            <v>ВДК У ЦАРИЧАНСЬКОМУ Р-НІ  Д</v>
          </cell>
        </row>
        <row r="124">
          <cell r="A124" t="str">
            <v>UC8H</v>
          </cell>
          <cell r="B124">
            <v>805357</v>
          </cell>
          <cell r="C124" t="str">
            <v>ВДК У ШИРОКіВСЬКОМУ Р-НІ  Д</v>
          </cell>
        </row>
        <row r="125">
          <cell r="A125" t="str">
            <v>UC8I</v>
          </cell>
          <cell r="B125">
            <v>805368</v>
          </cell>
          <cell r="C125" t="str">
            <v>ВДК У ЮР"ЇВСЬКОМУ Р-НІ  ДНІ</v>
          </cell>
        </row>
        <row r="126">
          <cell r="A126" t="str">
            <v>UC8J</v>
          </cell>
          <cell r="B126">
            <v>805379</v>
          </cell>
          <cell r="C126" t="str">
            <v>ВДК У АМУР-НИЖНЬОДНіПР.Р-НІ</v>
          </cell>
        </row>
        <row r="127">
          <cell r="A127" t="str">
            <v>UC8K</v>
          </cell>
          <cell r="B127">
            <v>805391</v>
          </cell>
          <cell r="C127" t="str">
            <v>ВДК У ЖОВТНЕВОМУ Р-НІ М.ДНІ</v>
          </cell>
        </row>
        <row r="128">
          <cell r="A128" t="str">
            <v>UC8L</v>
          </cell>
          <cell r="B128">
            <v>805380</v>
          </cell>
          <cell r="C128" t="str">
            <v>ВДК У БАБУШКіНСЬКОМУ Р-НІ М</v>
          </cell>
        </row>
        <row r="129">
          <cell r="A129" t="str">
            <v>UC8M</v>
          </cell>
          <cell r="B129">
            <v>805409</v>
          </cell>
          <cell r="C129" t="str">
            <v>ВДК В ІНДУСТРіАЛЬНОМУ Р-НІ</v>
          </cell>
        </row>
        <row r="130">
          <cell r="A130" t="str">
            <v>UC8N</v>
          </cell>
          <cell r="B130">
            <v>805410</v>
          </cell>
          <cell r="C130" t="str">
            <v>ВДК У КіРОВСЬКОМУ Р-НІ М.ДН</v>
          </cell>
        </row>
        <row r="131">
          <cell r="A131" t="str">
            <v>UC8O</v>
          </cell>
          <cell r="B131">
            <v>805421</v>
          </cell>
          <cell r="C131" t="str">
            <v>ВДК У КРАСНОГВАРДіЙС.Р-Ні М</v>
          </cell>
        </row>
        <row r="132">
          <cell r="A132" t="str">
            <v>UC8P</v>
          </cell>
          <cell r="B132">
            <v>805432</v>
          </cell>
          <cell r="C132" t="str">
            <v>ВДК У ЛЕНіНСЬКОМУ Р-НІ М.ДН</v>
          </cell>
        </row>
        <row r="133">
          <cell r="A133" t="str">
            <v>UC8Q</v>
          </cell>
          <cell r="B133">
            <v>805443</v>
          </cell>
          <cell r="C133" t="str">
            <v>ВДК У САМАРСЬКОМУ Р-НІ М.ДН</v>
          </cell>
        </row>
        <row r="134">
          <cell r="A134" t="str">
            <v>UC8R</v>
          </cell>
          <cell r="B134">
            <v>805454</v>
          </cell>
          <cell r="C134" t="str">
            <v>ВДК У ЖОВТНЕВОМУ Р-НІ М.КРИ</v>
          </cell>
        </row>
        <row r="135">
          <cell r="A135" t="str">
            <v>UC8S</v>
          </cell>
          <cell r="B135">
            <v>805465</v>
          </cell>
          <cell r="C135" t="str">
            <v>ВДК В ІНГУЛЕЦЬКОМУ Р-НІ М.К</v>
          </cell>
        </row>
        <row r="136">
          <cell r="A136" t="str">
            <v>UC8T</v>
          </cell>
          <cell r="B136">
            <v>805476</v>
          </cell>
          <cell r="C136" t="str">
            <v>ВДК У ТЕРНіВСЬКОМУ Р-НІ М.К</v>
          </cell>
        </row>
        <row r="137">
          <cell r="A137" t="str">
            <v>UC8U</v>
          </cell>
          <cell r="B137">
            <v>805487</v>
          </cell>
          <cell r="C137" t="str">
            <v>ВДК У ЦЕНТРАЛЬНО-МіСЬКОМУ Р</v>
          </cell>
        </row>
        <row r="138">
          <cell r="A138" t="str">
            <v>UCAA</v>
          </cell>
          <cell r="B138">
            <v>305437</v>
          </cell>
          <cell r="C138" t="str">
            <v>Ф."ВІД.ПІБ,М.ДНІПРОПЕТ-СЬК"</v>
          </cell>
        </row>
        <row r="139">
          <cell r="A139" t="str">
            <v>UCAE</v>
          </cell>
          <cell r="B139">
            <v>305363</v>
          </cell>
          <cell r="C139" t="str">
            <v>Ф."ВІД.ПІБ В М.ЖОВТІ ВОДИ"</v>
          </cell>
        </row>
        <row r="140">
          <cell r="A140" t="str">
            <v>UCAJ</v>
          </cell>
          <cell r="B140">
            <v>305493</v>
          </cell>
          <cell r="C140" t="str">
            <v>Ф."Ц-МІСЬК.ВІД.ПІБ КР.РІГ"</v>
          </cell>
        </row>
        <row r="141">
          <cell r="A141" t="str">
            <v>UCAL</v>
          </cell>
          <cell r="B141">
            <v>305534</v>
          </cell>
          <cell r="C141" t="str">
            <v>Ф."ВІД.ПІБ В М.НІКОПОЛЬ"</v>
          </cell>
        </row>
        <row r="142">
          <cell r="A142" t="str">
            <v>UCAM</v>
          </cell>
          <cell r="B142">
            <v>305545</v>
          </cell>
          <cell r="C142" t="str">
            <v>Ф.ВІД.ПІБ В М.НОВОМОСКОВСЬК</v>
          </cell>
        </row>
        <row r="143">
          <cell r="A143" t="str">
            <v>UCAN</v>
          </cell>
          <cell r="B143">
            <v>305556</v>
          </cell>
          <cell r="C143" t="str">
            <v>Ф. "ВІД.ПІБ В М.ПАВЛОГРАД"</v>
          </cell>
        </row>
        <row r="144">
          <cell r="A144" t="str">
            <v>UCAO</v>
          </cell>
          <cell r="B144">
            <v>305501</v>
          </cell>
          <cell r="C144" t="str">
            <v>Ф."ВІД.ПІБ В М.ДНІПРОДЗЕРЖ.</v>
          </cell>
        </row>
        <row r="145">
          <cell r="A145" t="str">
            <v>UCCA</v>
          </cell>
          <cell r="B145">
            <v>305017</v>
          </cell>
          <cell r="C145" t="str">
            <v>Дніпроп обласн Філ АКБ УСБ</v>
          </cell>
        </row>
        <row r="146">
          <cell r="A146" t="str">
            <v>UCFJ</v>
          </cell>
          <cell r="B146">
            <v>307361</v>
          </cell>
          <cell r="C146" t="str">
            <v>Дніпр.ФВАТКБ"Нац.стандарт"</v>
          </cell>
        </row>
        <row r="147">
          <cell r="A147" t="str">
            <v>UCGA</v>
          </cell>
          <cell r="B147">
            <v>305675</v>
          </cell>
          <cell r="C147" t="str">
            <v>Ф.Укрексiмбанк,м.Дніпропетр</v>
          </cell>
        </row>
        <row r="148">
          <cell r="A148" t="str">
            <v>UCGB</v>
          </cell>
          <cell r="B148">
            <v>305589</v>
          </cell>
          <cell r="C148" t="str">
            <v>Ф-я Укрексiмбанк,Кривий Ріг</v>
          </cell>
        </row>
        <row r="149">
          <cell r="A149" t="str">
            <v>UCHA</v>
          </cell>
          <cell r="B149">
            <v>305006</v>
          </cell>
          <cell r="C149" t="str">
            <v>Упр. НБУ в Дніпропетр.обл.</v>
          </cell>
        </row>
        <row r="150">
          <cell r="A150" t="str">
            <v>UCIC</v>
          </cell>
          <cell r="B150">
            <v>305266</v>
          </cell>
          <cell r="C150" t="str">
            <v>Дн.ФВАТ КБ "Південкомбанк"</v>
          </cell>
        </row>
        <row r="151">
          <cell r="A151" t="str">
            <v>UCID</v>
          </cell>
          <cell r="B151">
            <v>305686</v>
          </cell>
          <cell r="C151" t="str">
            <v>АКБ "ПРЕМ"ЄРБАНК"</v>
          </cell>
        </row>
        <row r="152">
          <cell r="A152" t="str">
            <v>UCIG</v>
          </cell>
          <cell r="B152">
            <v>305448</v>
          </cell>
          <cell r="C152" t="str">
            <v>ДНІПРОП.ФВАТ АБ"УКРГАЗБАНК"</v>
          </cell>
        </row>
        <row r="153">
          <cell r="A153" t="str">
            <v>UCIH</v>
          </cell>
          <cell r="B153">
            <v>305299</v>
          </cell>
          <cell r="C153" t="str">
            <v>КБ "ПРИВАТБАНК" ДНІПРОПЕТР.</v>
          </cell>
        </row>
        <row r="154">
          <cell r="A154" t="str">
            <v>UCII</v>
          </cell>
          <cell r="B154">
            <v>305590</v>
          </cell>
          <cell r="C154" t="str">
            <v>Дніпропетровська ФАТ"УІБ"</v>
          </cell>
        </row>
        <row r="155">
          <cell r="A155" t="str">
            <v>UCIK</v>
          </cell>
          <cell r="B155">
            <v>305062</v>
          </cell>
          <cell r="C155" t="str">
            <v>КБ "НОВИЙ" ДНІПРОПЕТРОВСЬК</v>
          </cell>
        </row>
        <row r="156">
          <cell r="A156" t="str">
            <v>UCIN</v>
          </cell>
          <cell r="B156">
            <v>305578</v>
          </cell>
          <cell r="C156" t="str">
            <v>АБ "БРОКБІЗНЕСБАНК",ДНІПР.</v>
          </cell>
        </row>
        <row r="157">
          <cell r="A157" t="str">
            <v>UCIU</v>
          </cell>
          <cell r="B157">
            <v>305653</v>
          </cell>
          <cell r="C157" t="str">
            <v>Д.ОД"Райффайзен Банк Аваль"</v>
          </cell>
        </row>
        <row r="158">
          <cell r="A158" t="str">
            <v>UCIV</v>
          </cell>
          <cell r="B158">
            <v>305727</v>
          </cell>
          <cell r="C158" t="str">
            <v>Павлоград.філія ПриватБанку</v>
          </cell>
        </row>
        <row r="159">
          <cell r="A159" t="str">
            <v>UCIX</v>
          </cell>
          <cell r="B159">
            <v>305749</v>
          </cell>
          <cell r="C159" t="str">
            <v>АБ "КРЕДИТ-ДНІПРО"</v>
          </cell>
        </row>
        <row r="160">
          <cell r="A160" t="str">
            <v>UCIZ</v>
          </cell>
          <cell r="B160">
            <v>305750</v>
          </cell>
          <cell r="C160" t="str">
            <v>Криворізька ф ПриватБанку</v>
          </cell>
        </row>
        <row r="161">
          <cell r="A161" t="str">
            <v>UCJE</v>
          </cell>
          <cell r="B161">
            <v>305813</v>
          </cell>
          <cell r="C161" t="str">
            <v>Філія ПУМБ,Дніпропетровськ</v>
          </cell>
        </row>
        <row r="162">
          <cell r="A162" t="str">
            <v>UCJG</v>
          </cell>
          <cell r="B162">
            <v>305835</v>
          </cell>
          <cell r="C162" t="str">
            <v>КрфВАТ"Б"ФІНАНСИ ТА КРЕДИТ"</v>
          </cell>
        </row>
        <row r="163">
          <cell r="A163" t="str">
            <v>UCJH</v>
          </cell>
          <cell r="B163">
            <v>305868</v>
          </cell>
          <cell r="C163" t="str">
            <v>Дніпр.Ф.ВАТ"ВіЕйБіБанк"</v>
          </cell>
        </row>
        <row r="164">
          <cell r="A164" t="str">
            <v>UCJJ</v>
          </cell>
          <cell r="B164">
            <v>305880</v>
          </cell>
          <cell r="C164" t="str">
            <v>ТОВ КБ "ЗЕМЕЛЬНИЙ КАПІТАЛ"</v>
          </cell>
        </row>
        <row r="165">
          <cell r="A165" t="str">
            <v>UCJM</v>
          </cell>
          <cell r="B165">
            <v>305891</v>
          </cell>
          <cell r="C165" t="str">
            <v>Нікопольс.філія ПриватБанку</v>
          </cell>
        </row>
        <row r="166">
          <cell r="A166" t="str">
            <v>UCJR</v>
          </cell>
          <cell r="B166">
            <v>305954</v>
          </cell>
          <cell r="C166" t="str">
            <v>ФКБ "НОВИЙ",СИНЕЛЬНИКОВЕ</v>
          </cell>
        </row>
        <row r="167">
          <cell r="A167" t="str">
            <v>UCJS</v>
          </cell>
          <cell r="B167">
            <v>305987</v>
          </cell>
          <cell r="C167" t="str">
            <v>ЗАТ "ФІНАНСОВИЙ СОЮЗ БАНК"</v>
          </cell>
        </row>
        <row r="168">
          <cell r="A168" t="str">
            <v>UCJT</v>
          </cell>
          <cell r="B168">
            <v>305965</v>
          </cell>
          <cell r="C168" t="str">
            <v>Дніпродзержинська ф.ПриватБ</v>
          </cell>
        </row>
        <row r="169">
          <cell r="A169" t="str">
            <v>UCKN</v>
          </cell>
          <cell r="B169">
            <v>306704</v>
          </cell>
          <cell r="C169" t="str">
            <v>ТОВ"КЛАСИКБАНК"</v>
          </cell>
        </row>
        <row r="170">
          <cell r="A170" t="str">
            <v>UCKQ</v>
          </cell>
          <cell r="B170">
            <v>306759</v>
          </cell>
          <cell r="C170" t="str">
            <v>ВАТ "КБ "ПРИЧОРНОМОР"Я"</v>
          </cell>
        </row>
        <row r="171">
          <cell r="A171" t="str">
            <v>UCKR</v>
          </cell>
          <cell r="B171">
            <v>306566</v>
          </cell>
          <cell r="C171" t="str">
            <v>ДФ АБ "Укоопспілка"</v>
          </cell>
        </row>
        <row r="172">
          <cell r="A172" t="str">
            <v>UCKU</v>
          </cell>
          <cell r="B172">
            <v>306470</v>
          </cell>
          <cell r="C172" t="str">
            <v>Новомоск.Ф.АБ Кредит-Дніпро</v>
          </cell>
        </row>
        <row r="173">
          <cell r="A173" t="str">
            <v>UCKY</v>
          </cell>
          <cell r="B173">
            <v>306500</v>
          </cell>
          <cell r="C173" t="str">
            <v>АБ "РАДАБАНК"</v>
          </cell>
        </row>
        <row r="174">
          <cell r="A174" t="str">
            <v>UCKZ</v>
          </cell>
          <cell r="B174">
            <v>306889</v>
          </cell>
          <cell r="C174" t="str">
            <v>КФ ВАТ КБ "ПІВДЕНКОМБАНК"</v>
          </cell>
        </row>
        <row r="175">
          <cell r="A175" t="str">
            <v>UCLA</v>
          </cell>
          <cell r="B175">
            <v>305482</v>
          </cell>
          <cell r="C175" t="str">
            <v>ФДніпропетровське обВАТОщад</v>
          </cell>
        </row>
        <row r="176">
          <cell r="A176" t="str">
            <v>UCLC</v>
          </cell>
          <cell r="B176">
            <v>306038</v>
          </cell>
          <cell r="C176" t="str">
            <v>ФАпостолівське віддіВАТОщад</v>
          </cell>
        </row>
        <row r="177">
          <cell r="A177" t="str">
            <v>UCLG</v>
          </cell>
          <cell r="B177">
            <v>306072</v>
          </cell>
          <cell r="C177" t="str">
            <v>ФДзержинське відділеВАТОщад</v>
          </cell>
        </row>
        <row r="178">
          <cell r="A178" t="str">
            <v>UCLH</v>
          </cell>
          <cell r="B178">
            <v>306083</v>
          </cell>
          <cell r="C178" t="str">
            <v>ФДніпродзержинське вВАТОщад</v>
          </cell>
        </row>
        <row r="179">
          <cell r="A179" t="str">
            <v>UCLL</v>
          </cell>
          <cell r="B179">
            <v>306124</v>
          </cell>
          <cell r="C179" t="str">
            <v>ФЖовтневе відділенняВАТОщад</v>
          </cell>
        </row>
        <row r="180">
          <cell r="A180" t="str">
            <v>UCLM</v>
          </cell>
          <cell r="B180">
            <v>306135</v>
          </cell>
          <cell r="C180" t="str">
            <v>ФЖовтоводсько-П`ятихВАТОщад</v>
          </cell>
        </row>
        <row r="181">
          <cell r="A181" t="str">
            <v>UCLP</v>
          </cell>
          <cell r="B181">
            <v>306168</v>
          </cell>
          <cell r="C181" t="str">
            <v>ФІнгулецьке відділенВАТОщад</v>
          </cell>
        </row>
        <row r="182">
          <cell r="A182" t="str">
            <v>UCLR</v>
          </cell>
          <cell r="B182">
            <v>306180</v>
          </cell>
          <cell r="C182" t="str">
            <v>ФПравобережне відділВАТОщад</v>
          </cell>
        </row>
        <row r="183">
          <cell r="A183" t="str">
            <v>UCLS</v>
          </cell>
          <cell r="B183">
            <v>306191</v>
          </cell>
          <cell r="C183" t="str">
            <v>ФКриворізьке відділеВАТОщад</v>
          </cell>
        </row>
        <row r="184">
          <cell r="A184" t="str">
            <v>UCLV</v>
          </cell>
          <cell r="B184">
            <v>306221</v>
          </cell>
          <cell r="C184" t="str">
            <v>ФМагдалинівське віддВАТОщад</v>
          </cell>
        </row>
        <row r="185">
          <cell r="A185" t="str">
            <v>UCLW</v>
          </cell>
          <cell r="B185">
            <v>306232</v>
          </cell>
          <cell r="C185" t="str">
            <v>ФМарганецьке відділеВАТОщад</v>
          </cell>
        </row>
        <row r="186">
          <cell r="A186" t="str">
            <v>UCMA</v>
          </cell>
          <cell r="B186">
            <v>306276</v>
          </cell>
          <cell r="C186" t="str">
            <v>ФНовомосковське віддВАТОщад</v>
          </cell>
        </row>
        <row r="187">
          <cell r="A187" t="str">
            <v>UCMB</v>
          </cell>
          <cell r="B187">
            <v>306287</v>
          </cell>
          <cell r="C187" t="str">
            <v>ФНікопольське відділВАТОщад</v>
          </cell>
        </row>
        <row r="188">
          <cell r="A188" t="str">
            <v>UCMC</v>
          </cell>
          <cell r="B188">
            <v>306298</v>
          </cell>
          <cell r="C188" t="str">
            <v>ФПавлоградське віддіВАТОщад</v>
          </cell>
        </row>
        <row r="189">
          <cell r="A189" t="str">
            <v>UCMF</v>
          </cell>
          <cell r="B189">
            <v>306328</v>
          </cell>
          <cell r="C189" t="str">
            <v>ФПокровське відділенВАТОщад</v>
          </cell>
        </row>
        <row r="190">
          <cell r="A190" t="str">
            <v>UCMH</v>
          </cell>
          <cell r="B190">
            <v>306340</v>
          </cell>
          <cell r="C190" t="str">
            <v>ФЛівобережне відділеВАТОщад</v>
          </cell>
        </row>
        <row r="191">
          <cell r="A191" t="str">
            <v>UCMI</v>
          </cell>
          <cell r="B191">
            <v>306351</v>
          </cell>
          <cell r="C191" t="str">
            <v>ФСаксаганське відділВАТОщад</v>
          </cell>
        </row>
        <row r="192">
          <cell r="A192" t="str">
            <v>UCMJ</v>
          </cell>
          <cell r="B192">
            <v>306362</v>
          </cell>
          <cell r="C192" t="str">
            <v>ФСинельниківське відВАТОщад</v>
          </cell>
        </row>
        <row r="193">
          <cell r="A193" t="str">
            <v>UCMK</v>
          </cell>
          <cell r="B193">
            <v>306373</v>
          </cell>
          <cell r="C193" t="str">
            <v>ФСолонянське відділеВАТОщад</v>
          </cell>
        </row>
        <row r="194">
          <cell r="A194" t="str">
            <v>UCNB</v>
          </cell>
          <cell r="B194">
            <v>307123</v>
          </cell>
          <cell r="C194" t="str">
            <v>ЗАТ "ХК БАНК"</v>
          </cell>
        </row>
        <row r="195">
          <cell r="A195" t="str">
            <v>UCND</v>
          </cell>
          <cell r="B195">
            <v>307145</v>
          </cell>
          <cell r="C195" t="str">
            <v>ФАКБ"ЗОЛОТІ ВОРОТА",Дн-ськ</v>
          </cell>
        </row>
        <row r="196">
          <cell r="A196" t="str">
            <v>UCNJ</v>
          </cell>
          <cell r="B196">
            <v>307189</v>
          </cell>
          <cell r="C196" t="str">
            <v>ДФ АКБ "ІНДУСТРІАЛБАНК"</v>
          </cell>
        </row>
        <row r="197">
          <cell r="A197" t="str">
            <v>UCNM</v>
          </cell>
          <cell r="B197">
            <v>307219</v>
          </cell>
          <cell r="C197" t="str">
            <v>ДПФ ВАТ АКБ "АВТОКРАЗБАНК"</v>
          </cell>
        </row>
        <row r="198">
          <cell r="A198" t="str">
            <v>UCNN</v>
          </cell>
          <cell r="B198">
            <v>307208</v>
          </cell>
          <cell r="C198" t="str">
            <v>Дніпр.ФТОВ."Укрпромбанк"</v>
          </cell>
        </row>
        <row r="199">
          <cell r="A199" t="str">
            <v>UCNO</v>
          </cell>
          <cell r="B199">
            <v>307220</v>
          </cell>
          <cell r="C199" t="str">
            <v>Дн-ська ФАКБ "Базис"</v>
          </cell>
        </row>
        <row r="200">
          <cell r="A200" t="str">
            <v>UCNP</v>
          </cell>
          <cell r="B200">
            <v>307231</v>
          </cell>
          <cell r="C200" t="str">
            <v>Ф"ДРРУ"Банк"Фін та Кред"</v>
          </cell>
        </row>
        <row r="201">
          <cell r="A201" t="str">
            <v>UCNQ</v>
          </cell>
          <cell r="B201">
            <v>307242</v>
          </cell>
          <cell r="C201" t="str">
            <v>Криворізька філія ВАТ "УБРП</v>
          </cell>
        </row>
        <row r="202">
          <cell r="A202" t="str">
            <v>UCNR</v>
          </cell>
          <cell r="B202">
            <v>307253</v>
          </cell>
          <cell r="C202" t="str">
            <v>Філ.АКБ"Трансб"м.Дніпропетр</v>
          </cell>
        </row>
        <row r="203">
          <cell r="A203" t="str">
            <v>UCNV</v>
          </cell>
          <cell r="B203">
            <v>307316</v>
          </cell>
          <cell r="C203" t="str">
            <v>Дн.ФВАТ КБ "Причорномор"я"</v>
          </cell>
        </row>
        <row r="204">
          <cell r="A204" t="str">
            <v>UCOM</v>
          </cell>
          <cell r="B204">
            <v>307372</v>
          </cell>
          <cell r="C204" t="str">
            <v>Дн.ф. ВАТ КБ "Хрещатик"</v>
          </cell>
        </row>
        <row r="205">
          <cell r="A205" t="str">
            <v>UCOU</v>
          </cell>
          <cell r="B205">
            <v>307770</v>
          </cell>
          <cell r="C205" t="str">
            <v>ЗАТ "А-БАНК"</v>
          </cell>
        </row>
        <row r="206">
          <cell r="A206" t="str">
            <v>UCQA</v>
          </cell>
          <cell r="B206">
            <v>805023</v>
          </cell>
          <cell r="C206" t="str">
            <v>ВДК У М.ВІЛЬНОГІРСЬКУ ДНІПР</v>
          </cell>
        </row>
        <row r="207">
          <cell r="A207" t="str">
            <v>UCQB</v>
          </cell>
          <cell r="B207">
            <v>805034</v>
          </cell>
          <cell r="C207" t="str">
            <v>ВДК У М.ДНІПРОДЗЕРЖИНСЬКУ Д</v>
          </cell>
        </row>
        <row r="208">
          <cell r="A208" t="str">
            <v>UCQC</v>
          </cell>
          <cell r="B208">
            <v>805045</v>
          </cell>
          <cell r="C208" t="str">
            <v>ВДК У М.ЖОВТІ ВОДИ ДНІПРОПЕ</v>
          </cell>
        </row>
        <row r="209">
          <cell r="A209" t="str">
            <v>UCQD</v>
          </cell>
          <cell r="B209">
            <v>805056</v>
          </cell>
          <cell r="C209" t="str">
            <v>ВДК У М.КРИВИЙ РІГ ДНІПРОПЕ</v>
          </cell>
        </row>
        <row r="210">
          <cell r="A210" t="str">
            <v>UCQE</v>
          </cell>
          <cell r="B210">
            <v>805067</v>
          </cell>
          <cell r="C210" t="str">
            <v>ВДК У М.МАРГАНЕЦЬ ДНІПРОПЕТ</v>
          </cell>
        </row>
        <row r="211">
          <cell r="A211" t="str">
            <v>UCQF</v>
          </cell>
          <cell r="B211">
            <v>805078</v>
          </cell>
          <cell r="C211" t="str">
            <v>ВДК У М.НІКОПОЛЬ ДНІПРОПЕТР</v>
          </cell>
        </row>
        <row r="212">
          <cell r="A212" t="str">
            <v>UCQG</v>
          </cell>
          <cell r="B212">
            <v>805089</v>
          </cell>
          <cell r="C212" t="str">
            <v>ВДК У М.НОВОМОСКОВСЬКУ ДНІП</v>
          </cell>
        </row>
        <row r="213">
          <cell r="A213" t="str">
            <v>UCQH</v>
          </cell>
          <cell r="B213">
            <v>805090</v>
          </cell>
          <cell r="C213" t="str">
            <v>ВДК У М.ОРДЖОНІКІДЗЕ ДНІПРО</v>
          </cell>
        </row>
        <row r="214">
          <cell r="A214" t="str">
            <v>UCQI</v>
          </cell>
          <cell r="B214">
            <v>805108</v>
          </cell>
          <cell r="C214" t="str">
            <v>ВДК У М.ПАВЛОГРАД ДНІПРОПЕТ</v>
          </cell>
        </row>
        <row r="215">
          <cell r="A215" t="str">
            <v>UCQJ</v>
          </cell>
          <cell r="B215">
            <v>805119</v>
          </cell>
          <cell r="C215" t="str">
            <v>ВДК У М.ПЕРШОТРАВЕНСЬКУ  ДН</v>
          </cell>
        </row>
        <row r="216">
          <cell r="A216" t="str">
            <v>UCQK</v>
          </cell>
          <cell r="B216">
            <v>805012</v>
          </cell>
          <cell r="C216" t="str">
            <v>ГУДКУ У ДНІПРОПЕТРОВСЬКІЙ О</v>
          </cell>
        </row>
        <row r="217">
          <cell r="A217" t="str">
            <v>UCQL</v>
          </cell>
          <cell r="B217">
            <v>805120</v>
          </cell>
          <cell r="C217" t="str">
            <v>ВДК У М.СИНЕЛЬНИКОВЕ  ДНІПР</v>
          </cell>
        </row>
        <row r="218">
          <cell r="A218" t="str">
            <v>UCQM</v>
          </cell>
          <cell r="B218">
            <v>805131</v>
          </cell>
          <cell r="C218" t="str">
            <v>ВДК У М.ТЕРНІВКА  ДНІПРОПЕТ</v>
          </cell>
        </row>
        <row r="219">
          <cell r="A219" t="str">
            <v>UCQN</v>
          </cell>
          <cell r="B219">
            <v>805142</v>
          </cell>
          <cell r="C219" t="str">
            <v>ВДК У АПОСТОЛІВСЬКОМУ Р-НІ</v>
          </cell>
        </row>
        <row r="220">
          <cell r="A220" t="str">
            <v>UCQO</v>
          </cell>
          <cell r="B220">
            <v>805153</v>
          </cell>
          <cell r="C220" t="str">
            <v>ВДК У ВАСИЛЬКІВСЬКОМУ Р-НІ</v>
          </cell>
        </row>
        <row r="221">
          <cell r="A221" t="str">
            <v>UCQP</v>
          </cell>
          <cell r="B221">
            <v>805164</v>
          </cell>
          <cell r="C221" t="str">
            <v>ВДК У ВЕРХНЬОДНіПРОВ.Р-НІ</v>
          </cell>
        </row>
        <row r="222">
          <cell r="A222" t="str">
            <v>UCQQ</v>
          </cell>
          <cell r="B222">
            <v>805186</v>
          </cell>
          <cell r="C222" t="str">
            <v>ВДК У ДНіПРОПЕТРОВСЬКОМУ Р-</v>
          </cell>
        </row>
        <row r="223">
          <cell r="A223" t="str">
            <v>UCQR</v>
          </cell>
          <cell r="B223">
            <v>805197</v>
          </cell>
          <cell r="C223" t="str">
            <v>ВДК У КРИВОРіЗЬКОМУ Р-НІ КР</v>
          </cell>
        </row>
        <row r="224">
          <cell r="A224" t="str">
            <v>UCQS</v>
          </cell>
          <cell r="B224">
            <v>805205</v>
          </cell>
          <cell r="C224" t="str">
            <v>ВДК У КРИНИЧАНСЬКОМУ Р-НІ</v>
          </cell>
        </row>
        <row r="225">
          <cell r="A225" t="str">
            <v>UCQT</v>
          </cell>
          <cell r="B225">
            <v>805216</v>
          </cell>
          <cell r="C225" t="str">
            <v>ВДК У МАГДАЛИНіВСЬКОМУ Р-НІ</v>
          </cell>
        </row>
        <row r="226">
          <cell r="A226" t="str">
            <v>UCQU</v>
          </cell>
          <cell r="B226">
            <v>805227</v>
          </cell>
          <cell r="C226" t="str">
            <v>ВДК У МЕЖіВСЬКОМУ Р-НІ  ДНІ</v>
          </cell>
        </row>
        <row r="227">
          <cell r="A227" t="str">
            <v>UCQV</v>
          </cell>
          <cell r="B227">
            <v>805238</v>
          </cell>
          <cell r="C227" t="str">
            <v>ВДК У НіКОПОЛЬСЬКОМУ Р-НІ</v>
          </cell>
        </row>
        <row r="228">
          <cell r="A228" t="str">
            <v>UCQW</v>
          </cell>
          <cell r="B228">
            <v>805249</v>
          </cell>
          <cell r="C228" t="str">
            <v>ВДК У НОВОМОСКОВСЬКОМУ Р-НІ</v>
          </cell>
        </row>
        <row r="229">
          <cell r="A229" t="str">
            <v>UCQX</v>
          </cell>
          <cell r="B229">
            <v>805250</v>
          </cell>
          <cell r="C229" t="str">
            <v>ВДК У ПАВЛОГРАДСЬКОМУ Р-НІ</v>
          </cell>
        </row>
        <row r="230">
          <cell r="A230" t="str">
            <v>UCQY</v>
          </cell>
          <cell r="B230">
            <v>805261</v>
          </cell>
          <cell r="C230" t="str">
            <v>ВДК У ПЕТРИКіВСЬКОМУ Р-НІ</v>
          </cell>
        </row>
        <row r="231">
          <cell r="A231" t="str">
            <v>UCQZ</v>
          </cell>
          <cell r="B231">
            <v>805272</v>
          </cell>
          <cell r="C231" t="str">
            <v>ВДК У ПЕТРОПАВЛіВСЬКОМУ Р-Н</v>
          </cell>
        </row>
        <row r="232">
          <cell r="A232" t="str">
            <v>UCSA</v>
          </cell>
          <cell r="B232">
            <v>306890</v>
          </cell>
          <cell r="C232" t="str">
            <v>ДФ ВАТ "КРЕДИТПРОМБАНК"</v>
          </cell>
        </row>
        <row r="233">
          <cell r="A233" t="str">
            <v>UCSD</v>
          </cell>
          <cell r="B233">
            <v>306931</v>
          </cell>
          <cell r="C233" t="str">
            <v>Дніпропетр. Ф ВАТ ВТБ Банк</v>
          </cell>
        </row>
        <row r="234">
          <cell r="A234" t="str">
            <v>UCSG</v>
          </cell>
          <cell r="B234">
            <v>306964</v>
          </cell>
          <cell r="C234" t="str">
            <v>ДНІПРОПЕТР.ФАБ"ЕКСПРЕС-БАНК</v>
          </cell>
        </row>
        <row r="235">
          <cell r="A235" t="str">
            <v>UCSH</v>
          </cell>
          <cell r="B235">
            <v>306975</v>
          </cell>
          <cell r="C235" t="str">
            <v>ФАБ "Південний", Кривий Ріг</v>
          </cell>
        </row>
        <row r="236">
          <cell r="A236" t="str">
            <v>UCSI</v>
          </cell>
          <cell r="B236">
            <v>306986</v>
          </cell>
          <cell r="C236" t="str">
            <v>ДФ ВАТ "Інпромбанк"</v>
          </cell>
        </row>
        <row r="237">
          <cell r="A237" t="str">
            <v>UCSM</v>
          </cell>
          <cell r="B237">
            <v>306878</v>
          </cell>
          <cell r="C237" t="str">
            <v>Дніпропетров.Ф АКБ "Форум"</v>
          </cell>
        </row>
        <row r="238">
          <cell r="A238" t="str">
            <v>UCSN</v>
          </cell>
          <cell r="B238">
            <v>306458</v>
          </cell>
          <cell r="C238" t="str">
            <v>ФАБ "ПІВДЕННИЙ" В М.ДН-ВСЬК</v>
          </cell>
        </row>
        <row r="239">
          <cell r="A239" t="str">
            <v>UCSO</v>
          </cell>
          <cell r="B239">
            <v>306481</v>
          </cell>
          <cell r="C239" t="str">
            <v>ДФ ВАТ КБ "ПРОМЕКОНОМБАНК"</v>
          </cell>
        </row>
        <row r="240">
          <cell r="A240" t="str">
            <v>UCSP</v>
          </cell>
          <cell r="B240">
            <v>306016</v>
          </cell>
          <cell r="C240" t="str">
            <v>Ф ВАТ КБ"Надра"Дніпр-кеРУ</v>
          </cell>
        </row>
        <row r="241">
          <cell r="A241" t="str">
            <v>UCSQ</v>
          </cell>
          <cell r="B241">
            <v>307015</v>
          </cell>
          <cell r="C241" t="str">
            <v>Дніпр.Філ.АТ"ІНДЕКС-БАНК"</v>
          </cell>
        </row>
        <row r="242">
          <cell r="A242" t="str">
            <v>UCSS</v>
          </cell>
          <cell r="B242">
            <v>307037</v>
          </cell>
          <cell r="C242" t="str">
            <v>Дніпропетров.ФЗАТ"ЄБРФ"</v>
          </cell>
        </row>
        <row r="243">
          <cell r="A243" t="str">
            <v>UCST</v>
          </cell>
          <cell r="B243">
            <v>307048</v>
          </cell>
          <cell r="C243" t="str">
            <v>Дніпропетр.ф.ВАТ"КРЕДОБАНК"</v>
          </cell>
        </row>
        <row r="244">
          <cell r="A244" t="str">
            <v>UCSU</v>
          </cell>
          <cell r="B244">
            <v>307059</v>
          </cell>
          <cell r="C244" t="str">
            <v>ДнФ ВАТ "ПІРЕУС БАНК МКБ"</v>
          </cell>
        </row>
        <row r="245">
          <cell r="A245" t="str">
            <v>UCSV</v>
          </cell>
          <cell r="B245">
            <v>307060</v>
          </cell>
          <cell r="C245" t="str">
            <v>Криворізька філ.АКБ"Форум"</v>
          </cell>
        </row>
        <row r="246">
          <cell r="A246" t="str">
            <v>UCSW</v>
          </cell>
          <cell r="B246">
            <v>307071</v>
          </cell>
          <cell r="C246" t="str">
            <v>Філія ЗАТ "ОТП Банк"</v>
          </cell>
        </row>
        <row r="247">
          <cell r="A247" t="str">
            <v>UCSY</v>
          </cell>
          <cell r="B247">
            <v>307112</v>
          </cell>
          <cell r="C247" t="str">
            <v>ТОВ "ДІАЛОГБАНК"</v>
          </cell>
        </row>
        <row r="248">
          <cell r="A248" t="str">
            <v>UCSZ</v>
          </cell>
          <cell r="B248">
            <v>307093</v>
          </cell>
          <cell r="C248" t="str">
            <v>ДНІПРОПЕТРФ АКБ "ІМЕКСБАНК"</v>
          </cell>
        </row>
        <row r="249">
          <cell r="A249" t="str">
            <v>UCUP</v>
          </cell>
          <cell r="B249">
            <v>307264</v>
          </cell>
          <cell r="C249" t="str">
            <v>ФАКБ"Золоті ворота",Кр.Ріг</v>
          </cell>
        </row>
        <row r="250">
          <cell r="A250" t="str">
            <v>UCW1</v>
          </cell>
          <cell r="B250">
            <v>306823</v>
          </cell>
          <cell r="C250" t="str">
            <v>ФАТ "УФГ", М.КРИВИЙ РІГ</v>
          </cell>
        </row>
        <row r="251">
          <cell r="A251" t="str">
            <v>UCW3</v>
          </cell>
          <cell r="B251">
            <v>307178</v>
          </cell>
          <cell r="C251" t="str">
            <v>Дн-ська обласна ФАТ "УФГ"</v>
          </cell>
        </row>
        <row r="252">
          <cell r="A252" t="str">
            <v>UCWE</v>
          </cell>
          <cell r="B252">
            <v>307004</v>
          </cell>
          <cell r="C252" t="str">
            <v>ДНІПР.Ф КБ ТОВ "МІСТО БАНК"</v>
          </cell>
        </row>
        <row r="253">
          <cell r="A253" t="str">
            <v>UCWG</v>
          </cell>
          <cell r="B253">
            <v>307286</v>
          </cell>
          <cell r="C253" t="str">
            <v>Ф."Дн-ська дир.УКБ"КАМБІО"</v>
          </cell>
        </row>
        <row r="254">
          <cell r="A254" t="str">
            <v>UCWH</v>
          </cell>
          <cell r="B254">
            <v>307297</v>
          </cell>
          <cell r="C254" t="str">
            <v>ФВАТ "МТБ", ДНІПРОПЕТРОВСЬК</v>
          </cell>
        </row>
        <row r="255">
          <cell r="A255" t="str">
            <v>UCWI</v>
          </cell>
          <cell r="B255">
            <v>307305</v>
          </cell>
          <cell r="C255" t="str">
            <v>ВАТ АКБ "СИГМАБАНК"</v>
          </cell>
        </row>
        <row r="256">
          <cell r="A256" t="str">
            <v>UCWK</v>
          </cell>
          <cell r="B256">
            <v>307338</v>
          </cell>
          <cell r="C256" t="str">
            <v>Ф.N4"АКБ Капітал"Дн-ськ</v>
          </cell>
        </row>
        <row r="257">
          <cell r="A257" t="str">
            <v>UCWL</v>
          </cell>
          <cell r="B257">
            <v>307349</v>
          </cell>
          <cell r="C257" t="str">
            <v>Дніпропетров.Ф.ЗАТ "ФСБанк"</v>
          </cell>
        </row>
        <row r="258">
          <cell r="A258" t="str">
            <v>UCWM</v>
          </cell>
          <cell r="B258">
            <v>307350</v>
          </cell>
          <cell r="C258" t="str">
            <v>ЗАТ"АКБ "КОНКОРД"</v>
          </cell>
        </row>
        <row r="259">
          <cell r="A259" t="str">
            <v>UCXL</v>
          </cell>
          <cell r="B259">
            <v>307394</v>
          </cell>
          <cell r="C259" t="str">
            <v>ВАТ "АКТАБАНК"</v>
          </cell>
        </row>
        <row r="260">
          <cell r="A260" t="str">
            <v>UCXQ</v>
          </cell>
          <cell r="B260">
            <v>307402</v>
          </cell>
          <cell r="C260" t="str">
            <v>ФАБ "Енергобанк"м.Дніпропет</v>
          </cell>
        </row>
        <row r="261">
          <cell r="A261" t="str">
            <v>UCXR</v>
          </cell>
          <cell r="B261">
            <v>307413</v>
          </cell>
          <cell r="C261" t="str">
            <v>Дніпро ф"Фортуна-банк"</v>
          </cell>
        </row>
        <row r="262">
          <cell r="A262" t="str">
            <v>UDAA</v>
          </cell>
          <cell r="B262">
            <v>334635</v>
          </cell>
          <cell r="C262" t="str">
            <v>Ф-я"ГУ ПІБ В ДОНЕЦЬКІЙ ОБЛ.</v>
          </cell>
        </row>
        <row r="263">
          <cell r="A263" t="str">
            <v>UDAB</v>
          </cell>
          <cell r="B263">
            <v>334118</v>
          </cell>
          <cell r="C263" t="str">
            <v>Ф."ВІД.ПІБ В М.ДОБРОПІЛЛЯ"</v>
          </cell>
        </row>
        <row r="264">
          <cell r="A264" t="str">
            <v>UDAE</v>
          </cell>
          <cell r="B264">
            <v>334141</v>
          </cell>
          <cell r="C264" t="str">
            <v>Ф."ВІД.ПІБ В М.КРАМАТОРСЬК"</v>
          </cell>
        </row>
        <row r="265">
          <cell r="A265" t="str">
            <v>UDAF</v>
          </cell>
          <cell r="B265">
            <v>334282</v>
          </cell>
          <cell r="C265" t="str">
            <v>Ф."ВІД.ПІБ В М.ТОРЕЗ ДОНЕЦЬ</v>
          </cell>
        </row>
        <row r="266">
          <cell r="A266" t="str">
            <v>UDAH</v>
          </cell>
          <cell r="B266">
            <v>334204</v>
          </cell>
          <cell r="C266" t="str">
            <v>Ф."ВІД.ПІБ В М.ДОКУЧАЄВСЬК"</v>
          </cell>
        </row>
        <row r="267">
          <cell r="A267" t="str">
            <v>UDAI</v>
          </cell>
          <cell r="B267">
            <v>334215</v>
          </cell>
          <cell r="C267" t="str">
            <v>Ф."ВІД.ПІБ В М.ЄНАКІЄВО ДОН</v>
          </cell>
        </row>
        <row r="268">
          <cell r="A268" t="str">
            <v>UDAK</v>
          </cell>
          <cell r="B268">
            <v>334334</v>
          </cell>
          <cell r="C268" t="str">
            <v>Ф."ВІД.ПІБ В М.ДРУЖКІВКА"</v>
          </cell>
        </row>
        <row r="269">
          <cell r="A269" t="str">
            <v>UDAL</v>
          </cell>
          <cell r="B269">
            <v>334345</v>
          </cell>
          <cell r="C269" t="str">
            <v>Ф."ВІД.ПІБ В М.ХАРЦИЗСЬК"</v>
          </cell>
        </row>
        <row r="270">
          <cell r="A270" t="str">
            <v>UDAM</v>
          </cell>
          <cell r="B270">
            <v>334516</v>
          </cell>
          <cell r="C270" t="str">
            <v>Ф.Ц-МІСЬК.ВІД.ПІБ МАКІЇВКА</v>
          </cell>
        </row>
        <row r="271">
          <cell r="A271" t="str">
            <v>UDAN</v>
          </cell>
          <cell r="B271">
            <v>334237</v>
          </cell>
          <cell r="C271" t="str">
            <v>Ф."ВІД.ПІБ В М.СНІЖНЕ ДОН."</v>
          </cell>
        </row>
        <row r="272">
          <cell r="A272" t="str">
            <v>UDAO</v>
          </cell>
          <cell r="B272">
            <v>334408</v>
          </cell>
          <cell r="C272" t="str">
            <v>Ф."КУЙБИШ.ВІД.ПІБ М.ДОНЕЦЬК</v>
          </cell>
        </row>
        <row r="273">
          <cell r="A273" t="str">
            <v>UDAP</v>
          </cell>
          <cell r="B273">
            <v>334389</v>
          </cell>
          <cell r="C273" t="str">
            <v>Ф."ОРДЖОН.ВІД.ПІБ В МАРІУП.</v>
          </cell>
        </row>
        <row r="274">
          <cell r="A274" t="str">
            <v>UDAQ</v>
          </cell>
          <cell r="B274">
            <v>334420</v>
          </cell>
          <cell r="C274" t="str">
            <v>Ф."ВІД.ПІБ В М.ЯСИНУВАТА"</v>
          </cell>
        </row>
        <row r="275">
          <cell r="A275" t="str">
            <v>UDAR</v>
          </cell>
          <cell r="B275">
            <v>334271</v>
          </cell>
          <cell r="C275" t="str">
            <v>Ф"КИЇВ.ВІД.ПІБ В М.ДОНЕЦЬК"</v>
          </cell>
        </row>
        <row r="276">
          <cell r="A276" t="str">
            <v>UDAS</v>
          </cell>
          <cell r="B276">
            <v>334312</v>
          </cell>
          <cell r="C276" t="str">
            <v>Ф."ВІД.ПІБ В М.СЕЛИДОВЕ ДОН</v>
          </cell>
        </row>
        <row r="277">
          <cell r="A277" t="str">
            <v>UDAU</v>
          </cell>
          <cell r="B277">
            <v>334301</v>
          </cell>
          <cell r="C277" t="str">
            <v>Ф."ПРОЛЕТАР. ВІД.ПІБ В ДОН.</v>
          </cell>
        </row>
        <row r="278">
          <cell r="A278" t="str">
            <v>UDAV</v>
          </cell>
          <cell r="B278">
            <v>334442</v>
          </cell>
          <cell r="C278" t="str">
            <v>Ф."ІЛЛІЧІВ. ГВ ПІБ В МАРІУП</v>
          </cell>
        </row>
        <row r="279">
          <cell r="A279" t="str">
            <v>UDAW</v>
          </cell>
          <cell r="B279">
            <v>334613</v>
          </cell>
          <cell r="C279" t="str">
            <v>Ф."ВІД.ПІБ В М.ШАХТАРСЬК ДО</v>
          </cell>
        </row>
        <row r="280">
          <cell r="A280" t="str">
            <v>UDAX</v>
          </cell>
          <cell r="B280">
            <v>334464</v>
          </cell>
          <cell r="C280" t="str">
            <v>Ф."ЦЕНТР-МІС.ВІД.ПІБ ГОРЛІВ</v>
          </cell>
        </row>
        <row r="281">
          <cell r="A281" t="str">
            <v>UDAY</v>
          </cell>
          <cell r="B281">
            <v>334475</v>
          </cell>
          <cell r="C281" t="str">
            <v>Ф."ЖОВТН. ВІД.ПІБ В М.МАРІУ</v>
          </cell>
        </row>
        <row r="282">
          <cell r="A282" t="str">
            <v>UDAZ</v>
          </cell>
          <cell r="B282">
            <v>334646</v>
          </cell>
          <cell r="C282" t="str">
            <v>Ф."ВІД.ПІБ В М.ВОЛНОВАХА"</v>
          </cell>
        </row>
        <row r="283">
          <cell r="A283" t="str">
            <v>UDBA</v>
          </cell>
          <cell r="B283">
            <v>334497</v>
          </cell>
          <cell r="C283" t="str">
            <v>Ф."ВІД.ПІБ М.КРАСНОАРМ.ДОН"</v>
          </cell>
        </row>
        <row r="284">
          <cell r="A284" t="str">
            <v>UDBC</v>
          </cell>
          <cell r="B284">
            <v>334550</v>
          </cell>
          <cell r="C284" t="str">
            <v>Ф."ВІД.ПІБ В М.КОСТЯНТИН."</v>
          </cell>
        </row>
        <row r="285">
          <cell r="A285" t="str">
            <v>UDBF</v>
          </cell>
          <cell r="B285">
            <v>334754</v>
          </cell>
          <cell r="C285" t="str">
            <v>Ф."ВІД.ПІБ В М.КІРОВСЬКЕ ДО</v>
          </cell>
        </row>
        <row r="286">
          <cell r="A286" t="str">
            <v>UDBI</v>
          </cell>
          <cell r="B286">
            <v>334765</v>
          </cell>
          <cell r="C286" t="str">
            <v>Ф."СТАРОБЕШ.ВІД.ПІБ КОМСОМ"</v>
          </cell>
        </row>
        <row r="287">
          <cell r="A287" t="str">
            <v>UDBJ</v>
          </cell>
          <cell r="B287">
            <v>334806</v>
          </cell>
          <cell r="C287" t="str">
            <v>Ф."ВІД.ПІБ В М.ДИМИТРОВ</v>
          </cell>
        </row>
        <row r="288">
          <cell r="A288" t="str">
            <v>UDBK</v>
          </cell>
          <cell r="B288">
            <v>334561</v>
          </cell>
          <cell r="C288" t="str">
            <v>Ф."ВІД.ПІБ В М.СЛОВ"ЯНСЬК"</v>
          </cell>
        </row>
        <row r="289">
          <cell r="A289" t="str">
            <v>UDBM</v>
          </cell>
          <cell r="B289">
            <v>334914</v>
          </cell>
          <cell r="C289" t="str">
            <v>Ф."ПУТІЛОВ. ВІД.ПІБ В М.ДОН</v>
          </cell>
        </row>
        <row r="290">
          <cell r="A290" t="str">
            <v>UDBN</v>
          </cell>
          <cell r="B290">
            <v>335322</v>
          </cell>
          <cell r="C290" t="str">
            <v>Ф."КАЛЬМІУС. ВІД.ПІБ В ДОН.</v>
          </cell>
        </row>
        <row r="291">
          <cell r="A291" t="str">
            <v>UDCA</v>
          </cell>
          <cell r="B291">
            <v>334011</v>
          </cell>
          <cell r="C291" t="str">
            <v>Донецьк.ОФ АКБ "УСБ"</v>
          </cell>
        </row>
        <row r="292">
          <cell r="A292" t="str">
            <v>UDFG</v>
          </cell>
          <cell r="B292">
            <v>377012</v>
          </cell>
          <cell r="C292" t="str">
            <v>ФІЛ.АБ"ПІВДЕННИЙ"М.ДОНЕЦЬК</v>
          </cell>
        </row>
        <row r="293">
          <cell r="A293" t="str">
            <v>UDFH</v>
          </cell>
          <cell r="B293">
            <v>377034</v>
          </cell>
          <cell r="C293" t="str">
            <v>ДФ АБ"Київська Русь"</v>
          </cell>
        </row>
        <row r="294">
          <cell r="A294" t="str">
            <v>UDFQ</v>
          </cell>
          <cell r="B294">
            <v>377045</v>
          </cell>
          <cell r="C294" t="str">
            <v>Флія АБ "Енергоб"вм.Донецьк</v>
          </cell>
        </row>
        <row r="295">
          <cell r="A295" t="str">
            <v>UDGA</v>
          </cell>
          <cell r="B295">
            <v>334817</v>
          </cell>
          <cell r="C295" t="str">
            <v>Ф-я Укрексiмбанк, м.Донецьк</v>
          </cell>
        </row>
        <row r="296">
          <cell r="A296" t="str">
            <v>UDGB</v>
          </cell>
          <cell r="B296">
            <v>335957</v>
          </cell>
          <cell r="C296" t="str">
            <v>Ф-я Укрексiмбанк, Маріуполь</v>
          </cell>
        </row>
        <row r="297">
          <cell r="A297" t="str">
            <v>UDHA</v>
          </cell>
          <cell r="B297">
            <v>334624</v>
          </cell>
          <cell r="C297" t="str">
            <v>Упр. НБУ в Донецькій обл.</v>
          </cell>
        </row>
        <row r="298">
          <cell r="A298" t="str">
            <v>UDIA</v>
          </cell>
          <cell r="B298">
            <v>334594</v>
          </cell>
          <cell r="C298" t="str">
            <v>АБ "ІКАР-БАНК"</v>
          </cell>
        </row>
        <row r="299">
          <cell r="A299" t="str">
            <v>UDIB</v>
          </cell>
          <cell r="B299">
            <v>334895</v>
          </cell>
          <cell r="C299" t="str">
            <v>"ДОНВУГЛЕКОМБАНК"</v>
          </cell>
        </row>
        <row r="300">
          <cell r="A300" t="str">
            <v>UDIE</v>
          </cell>
          <cell r="B300">
            <v>334828</v>
          </cell>
          <cell r="C300" t="str">
            <v>ВАТ"АКБ "КАПІТАЛ"</v>
          </cell>
        </row>
        <row r="301">
          <cell r="A301" t="str">
            <v>UDIG</v>
          </cell>
          <cell r="B301">
            <v>334840</v>
          </cell>
          <cell r="C301" t="str">
            <v>ТОВ "Банк Фамільний"</v>
          </cell>
        </row>
        <row r="302">
          <cell r="A302" t="str">
            <v>UDIH</v>
          </cell>
          <cell r="B302">
            <v>334851</v>
          </cell>
          <cell r="C302" t="str">
            <v>ЗАТ "ПУМБ"</v>
          </cell>
        </row>
        <row r="303">
          <cell r="A303" t="str">
            <v>UDIJ</v>
          </cell>
          <cell r="B303">
            <v>334970</v>
          </cell>
          <cell r="C303" t="str">
            <v>ЗАТ "ДОНГОРБАНК"</v>
          </cell>
        </row>
        <row r="304">
          <cell r="A304" t="str">
            <v>UDIL</v>
          </cell>
          <cell r="B304">
            <v>334862</v>
          </cell>
          <cell r="C304" t="str">
            <v>Ф ВАТ КБ"Надра"ДонецькеРУ</v>
          </cell>
        </row>
        <row r="305">
          <cell r="A305" t="str">
            <v>UDIS</v>
          </cell>
          <cell r="B305">
            <v>334873</v>
          </cell>
          <cell r="C305" t="str">
            <v>Донецька ФАТ"Укрінбанк"</v>
          </cell>
        </row>
        <row r="306">
          <cell r="A306" t="str">
            <v>UDIT</v>
          </cell>
          <cell r="B306">
            <v>334992</v>
          </cell>
          <cell r="C306" t="str">
            <v>ВАТ КБ "ПРОМЕКОНОМБАНК"</v>
          </cell>
        </row>
        <row r="307">
          <cell r="A307" t="str">
            <v>UDIV</v>
          </cell>
          <cell r="B307">
            <v>334969</v>
          </cell>
          <cell r="C307" t="str">
            <v>АБ "УкрБізнесБанк"</v>
          </cell>
        </row>
        <row r="308">
          <cell r="A308" t="str">
            <v>UDJC</v>
          </cell>
          <cell r="B308">
            <v>335076</v>
          </cell>
          <cell r="C308" t="str">
            <v>Донецька обл.дирекція "РБА"</v>
          </cell>
        </row>
        <row r="309">
          <cell r="A309" t="str">
            <v>UDJQ</v>
          </cell>
          <cell r="B309">
            <v>335924</v>
          </cell>
          <cell r="C309" t="str">
            <v>ДонецькаФТОВ "Укрпромбанк"</v>
          </cell>
        </row>
        <row r="310">
          <cell r="A310" t="str">
            <v>UDJS</v>
          </cell>
          <cell r="B310">
            <v>335935</v>
          </cell>
          <cell r="C310" t="str">
            <v>Ф ВАТ "БТА Банк"в м.Донецьк</v>
          </cell>
        </row>
        <row r="311">
          <cell r="A311" t="str">
            <v>UDKC</v>
          </cell>
          <cell r="B311">
            <v>335496</v>
          </cell>
          <cell r="C311" t="str">
            <v>Донецьке РУ ПриватБанку</v>
          </cell>
        </row>
        <row r="312">
          <cell r="A312" t="str">
            <v>UDKE</v>
          </cell>
          <cell r="B312">
            <v>335548</v>
          </cell>
          <cell r="C312" t="str">
            <v>Краматор.філія Приватбанку</v>
          </cell>
        </row>
        <row r="313">
          <cell r="A313" t="str">
            <v>UDKF</v>
          </cell>
          <cell r="B313">
            <v>335429</v>
          </cell>
          <cell r="C313" t="str">
            <v>Маріупол.філія ПриватБанку</v>
          </cell>
        </row>
        <row r="314">
          <cell r="A314" t="str">
            <v>UDKH</v>
          </cell>
          <cell r="B314">
            <v>335441</v>
          </cell>
          <cell r="C314" t="str">
            <v>ФАБ"Енергобанк"в м.Курахове</v>
          </cell>
        </row>
        <row r="315">
          <cell r="A315" t="str">
            <v>UDKN</v>
          </cell>
          <cell r="B315">
            <v>335515</v>
          </cell>
          <cell r="C315" t="str">
            <v>Горлівська ф-я ПриватБанку</v>
          </cell>
        </row>
        <row r="316">
          <cell r="A316" t="str">
            <v>UDKP</v>
          </cell>
          <cell r="B316">
            <v>335537</v>
          </cell>
          <cell r="C316" t="str">
            <v>Філія ЗАТ ПУМБ в м.Донецьку</v>
          </cell>
        </row>
        <row r="317">
          <cell r="A317" t="str">
            <v>UDKQ</v>
          </cell>
          <cell r="B317">
            <v>335678</v>
          </cell>
          <cell r="C317" t="str">
            <v>ДФ АБ "БРОКБІЗНЕСБАНК"</v>
          </cell>
        </row>
        <row r="318">
          <cell r="A318" t="str">
            <v>UDKR</v>
          </cell>
          <cell r="B318">
            <v>335300</v>
          </cell>
          <cell r="C318" t="str">
            <v>МФ ВАТ Банку "БІГ Енергія"</v>
          </cell>
        </row>
        <row r="319">
          <cell r="A319" t="str">
            <v>UDKU</v>
          </cell>
          <cell r="B319">
            <v>335571</v>
          </cell>
          <cell r="C319" t="str">
            <v>Донецька фiлiя ВАТ ВТБ Банк</v>
          </cell>
        </row>
        <row r="320">
          <cell r="A320" t="str">
            <v>UDKY</v>
          </cell>
          <cell r="B320">
            <v>335946</v>
          </cell>
          <cell r="C320" t="str">
            <v>ВАТ КБ "ПІВДЕНКОМБАНК"</v>
          </cell>
        </row>
        <row r="321">
          <cell r="A321" t="str">
            <v>UDKZ</v>
          </cell>
          <cell r="B321">
            <v>335690</v>
          </cell>
          <cell r="C321" t="str">
            <v>ФАБ"Енергобанк"вм.Слов`янсь</v>
          </cell>
        </row>
        <row r="322">
          <cell r="A322" t="str">
            <v>UDLA</v>
          </cell>
          <cell r="B322">
            <v>335106</v>
          </cell>
          <cell r="C322" t="str">
            <v>ФДонецьке обласне упВАТОщад</v>
          </cell>
        </row>
        <row r="323">
          <cell r="A323" t="str">
            <v>UDLB</v>
          </cell>
          <cell r="B323">
            <v>335151</v>
          </cell>
          <cell r="C323" t="str">
            <v>ФХарцизьке відділеннВАТОщад</v>
          </cell>
        </row>
        <row r="324">
          <cell r="A324" t="str">
            <v>UDLC</v>
          </cell>
          <cell r="B324">
            <v>394017</v>
          </cell>
          <cell r="C324" t="str">
            <v>ФВорошиловське віддіВАТОщад</v>
          </cell>
        </row>
        <row r="325">
          <cell r="A325" t="str">
            <v>UDLD</v>
          </cell>
          <cell r="B325">
            <v>394028</v>
          </cell>
          <cell r="C325" t="str">
            <v>ФКалiнiнське відділеВАТОщад</v>
          </cell>
        </row>
        <row r="326">
          <cell r="A326" t="str">
            <v>UDLE</v>
          </cell>
          <cell r="B326">
            <v>394039</v>
          </cell>
          <cell r="C326" t="str">
            <v>ФКіровське відділеннВАТОщад</v>
          </cell>
        </row>
        <row r="327">
          <cell r="A327" t="str">
            <v>UDLF</v>
          </cell>
          <cell r="B327">
            <v>394040</v>
          </cell>
          <cell r="C327" t="str">
            <v>ФКуйбишевське відділВАТОщад</v>
          </cell>
        </row>
        <row r="328">
          <cell r="A328" t="str">
            <v>UDLG</v>
          </cell>
          <cell r="B328">
            <v>394051</v>
          </cell>
          <cell r="C328" t="str">
            <v>ФПролетарське відділВАТОщад</v>
          </cell>
        </row>
        <row r="329">
          <cell r="A329" t="str">
            <v>UDLH</v>
          </cell>
          <cell r="B329">
            <v>394062</v>
          </cell>
          <cell r="C329" t="str">
            <v>ФПетровське відділенВАТОщад</v>
          </cell>
        </row>
        <row r="330">
          <cell r="A330" t="str">
            <v>UDLI</v>
          </cell>
          <cell r="B330">
            <v>394073</v>
          </cell>
          <cell r="C330" t="str">
            <v>ФЛенiнське відділеннВАТОщад</v>
          </cell>
        </row>
        <row r="331">
          <cell r="A331" t="str">
            <v>UDLJ</v>
          </cell>
          <cell r="B331">
            <v>394181</v>
          </cell>
          <cell r="C331" t="str">
            <v>ФКиївське відділенняВАТОщад</v>
          </cell>
        </row>
        <row r="332">
          <cell r="A332" t="str">
            <v>UDLK</v>
          </cell>
          <cell r="B332">
            <v>394192</v>
          </cell>
          <cell r="C332" t="str">
            <v>ФАртемiвське відділеВАТОщад</v>
          </cell>
        </row>
        <row r="333">
          <cell r="A333" t="str">
            <v>UDLL</v>
          </cell>
          <cell r="B333">
            <v>394103</v>
          </cell>
          <cell r="C333" t="str">
            <v>ФГорлівське міське вВАТОщад</v>
          </cell>
        </row>
        <row r="334">
          <cell r="A334" t="str">
            <v>UDLO</v>
          </cell>
          <cell r="B334">
            <v>394136</v>
          </cell>
          <cell r="C334" t="str">
            <v>ФДебальцівське віддіВАТОщад</v>
          </cell>
        </row>
        <row r="335">
          <cell r="A335" t="str">
            <v>UDLP</v>
          </cell>
          <cell r="B335">
            <v>394147</v>
          </cell>
          <cell r="C335" t="str">
            <v>ФДзержинське відділеВАТОщад</v>
          </cell>
        </row>
        <row r="336">
          <cell r="A336" t="str">
            <v>UDLQ</v>
          </cell>
          <cell r="B336">
            <v>394158</v>
          </cell>
          <cell r="C336" t="str">
            <v>ФДобропільське віддіВАТОщад</v>
          </cell>
        </row>
        <row r="337">
          <cell r="A337" t="str">
            <v>UDLS</v>
          </cell>
          <cell r="B337">
            <v>394170</v>
          </cell>
          <cell r="C337" t="str">
            <v>ФЄнакiївське відділеВАТОщад</v>
          </cell>
        </row>
        <row r="338">
          <cell r="A338" t="str">
            <v>UDLV</v>
          </cell>
          <cell r="B338">
            <v>394200</v>
          </cell>
          <cell r="C338" t="str">
            <v>ФМаріупольське віддіВАТОщад</v>
          </cell>
        </row>
        <row r="339">
          <cell r="A339" t="str">
            <v>UDLX</v>
          </cell>
          <cell r="B339">
            <v>394222</v>
          </cell>
          <cell r="C339" t="str">
            <v>ФКраматорське відділВАТОщад</v>
          </cell>
        </row>
        <row r="340">
          <cell r="A340" t="str">
            <v>UDLY</v>
          </cell>
          <cell r="B340">
            <v>394233</v>
          </cell>
          <cell r="C340" t="str">
            <v>ФКрасноармiйське відВАТОщад</v>
          </cell>
        </row>
        <row r="341">
          <cell r="A341" t="str">
            <v>UDLZ</v>
          </cell>
          <cell r="B341">
            <v>394114</v>
          </cell>
          <cell r="C341" t="str">
            <v>ФКостянтинiвське відВАТОщад</v>
          </cell>
        </row>
        <row r="342">
          <cell r="A342" t="str">
            <v>UDMA</v>
          </cell>
          <cell r="B342">
            <v>394125</v>
          </cell>
          <cell r="C342" t="str">
            <v>ФМакіївське мiське вВАТОщад</v>
          </cell>
        </row>
        <row r="343">
          <cell r="A343" t="str">
            <v>UDMF</v>
          </cell>
          <cell r="B343">
            <v>394307</v>
          </cell>
          <cell r="C343" t="str">
            <v>ФСелидівське відділеВАТОщад</v>
          </cell>
        </row>
        <row r="344">
          <cell r="A344" t="str">
            <v>UDMG</v>
          </cell>
          <cell r="B344">
            <v>394318</v>
          </cell>
          <cell r="C344" t="str">
            <v>ФСлов`янське відділеВАТОщад</v>
          </cell>
        </row>
        <row r="345">
          <cell r="A345" t="str">
            <v>UDMH</v>
          </cell>
          <cell r="B345">
            <v>394329</v>
          </cell>
          <cell r="C345" t="str">
            <v>ФСніжнянське відділеВАТОщад</v>
          </cell>
        </row>
        <row r="346">
          <cell r="A346" t="str">
            <v>UDMI</v>
          </cell>
          <cell r="B346">
            <v>394330</v>
          </cell>
          <cell r="C346" t="str">
            <v>ФТорезьке відділенняВАТОщад</v>
          </cell>
        </row>
        <row r="347">
          <cell r="A347" t="str">
            <v>UDMK</v>
          </cell>
          <cell r="B347">
            <v>394352</v>
          </cell>
          <cell r="C347" t="str">
            <v>ФШахтарське відділенВАТОщад</v>
          </cell>
        </row>
        <row r="348">
          <cell r="A348" t="str">
            <v>UDMM</v>
          </cell>
          <cell r="B348">
            <v>394244</v>
          </cell>
          <cell r="C348" t="str">
            <v>ФАмвросiївське віддіВАТОщад</v>
          </cell>
        </row>
        <row r="349">
          <cell r="A349" t="str">
            <v>UDMN</v>
          </cell>
          <cell r="B349">
            <v>394482</v>
          </cell>
          <cell r="C349" t="str">
            <v>ФВеликоновосілкiвськВАТОщад</v>
          </cell>
        </row>
        <row r="350">
          <cell r="A350" t="str">
            <v>UDMO</v>
          </cell>
          <cell r="B350">
            <v>394493</v>
          </cell>
          <cell r="C350" t="str">
            <v>ФВолноваське відділеВАТОщад</v>
          </cell>
        </row>
        <row r="351">
          <cell r="A351" t="str">
            <v>UDMP</v>
          </cell>
          <cell r="B351">
            <v>394374</v>
          </cell>
          <cell r="C351" t="str">
            <v>ФВолодарське відділеВАТОщад</v>
          </cell>
        </row>
        <row r="352">
          <cell r="A352" t="str">
            <v>UDMQ</v>
          </cell>
          <cell r="B352">
            <v>394385</v>
          </cell>
          <cell r="C352" t="str">
            <v>ФКраснолиманське відВАТОщад</v>
          </cell>
        </row>
        <row r="353">
          <cell r="A353" t="str">
            <v>UDMR</v>
          </cell>
          <cell r="B353">
            <v>394426</v>
          </cell>
          <cell r="C353" t="str">
            <v>ФМар`їнське відділенВАТОщад</v>
          </cell>
        </row>
        <row r="354">
          <cell r="A354" t="str">
            <v>UDMU</v>
          </cell>
          <cell r="B354">
            <v>394459</v>
          </cell>
          <cell r="C354" t="str">
            <v>ФСтаробешівське віддВАТОщад</v>
          </cell>
        </row>
        <row r="355">
          <cell r="A355" t="str">
            <v>UDMV</v>
          </cell>
          <cell r="B355">
            <v>394460</v>
          </cell>
          <cell r="C355" t="str">
            <v>ФТельманівське віддіВАТОщад</v>
          </cell>
        </row>
        <row r="356">
          <cell r="A356" t="str">
            <v>UDMW</v>
          </cell>
          <cell r="B356">
            <v>394471</v>
          </cell>
          <cell r="C356" t="str">
            <v>ФЯсинуватське відділВАТОщад</v>
          </cell>
        </row>
        <row r="357">
          <cell r="A357" t="str">
            <v>UDNB</v>
          </cell>
          <cell r="B357">
            <v>335902</v>
          </cell>
          <cell r="C357" t="str">
            <v>ТОВ "УНІКОМБАНК"</v>
          </cell>
        </row>
        <row r="358">
          <cell r="A358" t="str">
            <v>UDNC</v>
          </cell>
          <cell r="B358">
            <v>335913</v>
          </cell>
          <cell r="C358" t="str">
            <v>КФ ВАТ КБ "Промекономбанк"</v>
          </cell>
        </row>
        <row r="359">
          <cell r="A359" t="str">
            <v>UDNE</v>
          </cell>
          <cell r="B359">
            <v>335968</v>
          </cell>
          <cell r="C359" t="str">
            <v>ДОНЕЦЬКА ФКБ ТОВ"МІСТО БАНК</v>
          </cell>
        </row>
        <row r="360">
          <cell r="A360" t="str">
            <v>UDNG</v>
          </cell>
          <cell r="B360">
            <v>335980</v>
          </cell>
          <cell r="C360" t="str">
            <v>Макіїв.ФАБ "УкрБізнесБанк"</v>
          </cell>
        </row>
        <row r="361">
          <cell r="A361" t="str">
            <v>UDNH</v>
          </cell>
          <cell r="B361">
            <v>394341</v>
          </cell>
          <cell r="C361" t="str">
            <v>Калінін. ФТОВ "УНІКОМБАНК"</v>
          </cell>
        </row>
        <row r="362">
          <cell r="A362" t="str">
            <v>UDNI</v>
          </cell>
          <cell r="B362">
            <v>394404</v>
          </cell>
          <cell r="C362" t="str">
            <v>ДОНЕЦЬКАФ АКБ "ІМЕКСБАНК"</v>
          </cell>
        </row>
        <row r="363">
          <cell r="A363" t="str">
            <v>UDNM</v>
          </cell>
          <cell r="B363">
            <v>394501</v>
          </cell>
          <cell r="C363" t="str">
            <v>ДонФ ВАТ "ПІРЕУС БАНК МКБ"</v>
          </cell>
        </row>
        <row r="364">
          <cell r="A364" t="str">
            <v>UDNX</v>
          </cell>
          <cell r="B364">
            <v>394512</v>
          </cell>
          <cell r="C364" t="str">
            <v>ДОНБАС.ФВАТ"РОДОВІД  БАНК"</v>
          </cell>
        </row>
        <row r="365">
          <cell r="A365" t="str">
            <v>UDOZ</v>
          </cell>
          <cell r="B365">
            <v>377090</v>
          </cell>
          <cell r="C365" t="str">
            <v>ВАТ "ЄВРОПРОМБАНК"</v>
          </cell>
        </row>
        <row r="366">
          <cell r="A366" t="str">
            <v>UDQK</v>
          </cell>
          <cell r="B366">
            <v>834016</v>
          </cell>
          <cell r="C366" t="str">
            <v>ГУДКУ У ДОНЕЦЬКІЙ ОБЛАСТІ</v>
          </cell>
        </row>
        <row r="367">
          <cell r="A367" t="str">
            <v>UDRA</v>
          </cell>
          <cell r="B367">
            <v>377119</v>
          </cell>
          <cell r="C367" t="str">
            <v>Маріупольська ФАБ "БРОК"</v>
          </cell>
        </row>
        <row r="368">
          <cell r="A368" t="str">
            <v>UDSC</v>
          </cell>
          <cell r="B368">
            <v>335742</v>
          </cell>
          <cell r="C368" t="str">
            <v>Філія ПУМБ в м.Маріуполі</v>
          </cell>
        </row>
        <row r="369">
          <cell r="A369" t="str">
            <v>UDSD</v>
          </cell>
          <cell r="B369">
            <v>335593</v>
          </cell>
          <cell r="C369" t="str">
            <v>Донб.ФВАТ "КРЕДИТПРОМБАНК"</v>
          </cell>
        </row>
        <row r="370">
          <cell r="A370" t="str">
            <v>UDSG</v>
          </cell>
          <cell r="B370">
            <v>335656</v>
          </cell>
          <cell r="C370" t="str">
            <v>ф.№2 ВАТ "АКБ "КАПІТАЛ"</v>
          </cell>
        </row>
        <row r="371">
          <cell r="A371" t="str">
            <v>UDSH</v>
          </cell>
          <cell r="B371">
            <v>335797</v>
          </cell>
          <cell r="C371" t="str">
            <v>Мик.ФАКБ "НК" в м.Гор.</v>
          </cell>
        </row>
        <row r="372">
          <cell r="A372" t="str">
            <v>UDSI</v>
          </cell>
          <cell r="B372">
            <v>335708</v>
          </cell>
          <cell r="C372" t="str">
            <v>ФАКБ "НК" в м.Артемівськ</v>
          </cell>
        </row>
        <row r="373">
          <cell r="A373" t="str">
            <v>UDSK</v>
          </cell>
          <cell r="B373">
            <v>335816</v>
          </cell>
          <cell r="C373" t="str">
            <v>ф."ДРУ"ВАТ"Банку"ФтК"</v>
          </cell>
        </row>
        <row r="374">
          <cell r="A374" t="str">
            <v>UDSL</v>
          </cell>
          <cell r="B374">
            <v>335838</v>
          </cell>
          <cell r="C374" t="str">
            <v>Дон.Ф АБ "ЕКСПРЕС-БАНК"</v>
          </cell>
        </row>
        <row r="375">
          <cell r="A375" t="str">
            <v>UDSO</v>
          </cell>
          <cell r="B375">
            <v>335720</v>
          </cell>
          <cell r="C375" t="str">
            <v>Калін.ФАКБ "НК" в м.Донецьк</v>
          </cell>
        </row>
        <row r="376">
          <cell r="A376" t="str">
            <v>UDSR</v>
          </cell>
          <cell r="B376">
            <v>335753</v>
          </cell>
          <cell r="C376" t="str">
            <v>Донецька ф.ВАТ "КРЕДОБАНК"</v>
          </cell>
        </row>
        <row r="377">
          <cell r="A377" t="str">
            <v>UDSS</v>
          </cell>
          <cell r="B377">
            <v>335764</v>
          </cell>
          <cell r="C377" t="str">
            <v>ДФ ВАТ "АКБ "АВТОКРАЗБАНК"</v>
          </cell>
        </row>
        <row r="378">
          <cell r="A378" t="str">
            <v>UDST</v>
          </cell>
          <cell r="B378">
            <v>335775</v>
          </cell>
          <cell r="C378" t="str">
            <v>Філія ЗАТ "ОТП Банк"</v>
          </cell>
        </row>
        <row r="379">
          <cell r="A379" t="str">
            <v>UDSU</v>
          </cell>
          <cell r="B379">
            <v>335850</v>
          </cell>
          <cell r="C379" t="str">
            <v>Ф-я Дон.дир"АТ"ІНДЕКС-БАНК"</v>
          </cell>
        </row>
        <row r="380">
          <cell r="A380" t="str">
            <v>UDSX</v>
          </cell>
          <cell r="B380">
            <v>335883</v>
          </cell>
          <cell r="C380" t="str">
            <v>Краматорська ф.Приватінвест</v>
          </cell>
        </row>
        <row r="381">
          <cell r="A381" t="str">
            <v>UDSZ</v>
          </cell>
          <cell r="B381">
            <v>335894</v>
          </cell>
          <cell r="C381" t="str">
            <v>Донецька ФВАТ АБ"УКРГАЗБАНК</v>
          </cell>
        </row>
        <row r="382">
          <cell r="A382" t="str">
            <v>UDUB</v>
          </cell>
          <cell r="B382">
            <v>394523</v>
          </cell>
          <cell r="C382" t="str">
            <v>Ф.ДОН.ДИР.ТОВ УКБ КАМБІО</v>
          </cell>
        </row>
        <row r="383">
          <cell r="A383" t="str">
            <v>UDUP</v>
          </cell>
          <cell r="B383">
            <v>334000</v>
          </cell>
          <cell r="C383" t="str">
            <v>ФВАТ КБ"Актив-Банк"Донецьк</v>
          </cell>
        </row>
        <row r="384">
          <cell r="A384" t="str">
            <v>UDVB</v>
          </cell>
          <cell r="B384">
            <v>394578</v>
          </cell>
          <cell r="C384" t="str">
            <v>Горл.Ф АБ "БРОКБІЗНЕСБАНК"</v>
          </cell>
        </row>
        <row r="385">
          <cell r="A385" t="str">
            <v>UDVC</v>
          </cell>
          <cell r="B385">
            <v>394534</v>
          </cell>
          <cell r="C385" t="str">
            <v>Ф.АКБ "Трансбанк" м.Донецьк</v>
          </cell>
        </row>
        <row r="386">
          <cell r="A386" t="str">
            <v>UDVD</v>
          </cell>
          <cell r="B386">
            <v>394545</v>
          </cell>
          <cell r="C386" t="str">
            <v>Донец.Ф.ВАТ"ВІЕЙБІБАНК"</v>
          </cell>
        </row>
        <row r="387">
          <cell r="A387" t="str">
            <v>UDVE</v>
          </cell>
          <cell r="B387">
            <v>394589</v>
          </cell>
          <cell r="C387" t="str">
            <v>Донецька філія ЗАТ "ЄБРФ"</v>
          </cell>
        </row>
        <row r="388">
          <cell r="A388" t="str">
            <v>UDVF</v>
          </cell>
          <cell r="B388">
            <v>394653</v>
          </cell>
          <cell r="C388" t="str">
            <v>Маріупольська Ф АКБ "Форум"</v>
          </cell>
        </row>
        <row r="389">
          <cell r="A389" t="str">
            <v>UDVG</v>
          </cell>
          <cell r="B389">
            <v>377131</v>
          </cell>
          <cell r="C389" t="str">
            <v>Ф "ДРУ" ТОВ "ФІНРОСТБАНК"</v>
          </cell>
        </row>
        <row r="390">
          <cell r="A390" t="str">
            <v>UDVH</v>
          </cell>
          <cell r="B390">
            <v>377078</v>
          </cell>
          <cell r="C390" t="str">
            <v>Крамат.Ф.АБ"БРОКБІЗНЕСБАНК"</v>
          </cell>
        </row>
        <row r="391">
          <cell r="A391" t="str">
            <v>UDVJ</v>
          </cell>
          <cell r="B391">
            <v>377197</v>
          </cell>
          <cell r="C391" t="str">
            <v>Донецька ФВАТ КБ "Хрещатик"</v>
          </cell>
        </row>
        <row r="392">
          <cell r="A392" t="str">
            <v>UDVK</v>
          </cell>
          <cell r="B392">
            <v>377108</v>
          </cell>
          <cell r="C392" t="str">
            <v>Донецькаф.ВАТ КБ "Нац.станд</v>
          </cell>
        </row>
        <row r="393">
          <cell r="A393" t="str">
            <v>UDVM</v>
          </cell>
          <cell r="B393">
            <v>377379</v>
          </cell>
          <cell r="C393" t="str">
            <v>Донецька ф.ТОВ КБ "АРМА"</v>
          </cell>
        </row>
        <row r="394">
          <cell r="A394" t="str">
            <v>UDVN</v>
          </cell>
          <cell r="B394">
            <v>377368</v>
          </cell>
          <cell r="C394" t="str">
            <v>Донецька Ф ВАТ "Інпромбанк"</v>
          </cell>
        </row>
        <row r="395">
          <cell r="A395" t="str">
            <v>UDW1</v>
          </cell>
          <cell r="B395">
            <v>335009</v>
          </cell>
          <cell r="C395" t="str">
            <v>Філія АТ "УФГ" в м.Донецьк</v>
          </cell>
        </row>
        <row r="396">
          <cell r="A396" t="str">
            <v>UDWA</v>
          </cell>
          <cell r="B396">
            <v>394631</v>
          </cell>
          <cell r="C396" t="str">
            <v>Донецька філія АКБ "Форум"</v>
          </cell>
        </row>
        <row r="397">
          <cell r="A397" t="str">
            <v>UDWB</v>
          </cell>
          <cell r="B397">
            <v>394675</v>
          </cell>
          <cell r="C397" t="str">
            <v>Київська ФТОВ "УНІКОМБАНК"</v>
          </cell>
        </row>
        <row r="398">
          <cell r="A398" t="str">
            <v>UDWW</v>
          </cell>
          <cell r="B398">
            <v>377777</v>
          </cell>
          <cell r="C398" t="str">
            <v>ТОВ КБ"Укр.фінансовий світ"</v>
          </cell>
        </row>
        <row r="399">
          <cell r="A399" t="str">
            <v>UEAA</v>
          </cell>
          <cell r="B399">
            <v>311056</v>
          </cell>
          <cell r="C399" t="str">
            <v>Ф."ВІДДІЛЕН.ПІБ,М. ЖИТОМИР"</v>
          </cell>
        </row>
        <row r="400">
          <cell r="A400" t="str">
            <v>UEAC</v>
          </cell>
          <cell r="B400">
            <v>311391</v>
          </cell>
          <cell r="C400" t="str">
            <v>Ф-Я ВІД.ПІБ В М.КОРОСТЕНЬ</v>
          </cell>
        </row>
        <row r="401">
          <cell r="A401" t="str">
            <v>UEAE</v>
          </cell>
          <cell r="B401">
            <v>311357</v>
          </cell>
          <cell r="C401" t="str">
            <v>Ф-Я ВІД.ПІБ В М.БЕРДИЧІВ</v>
          </cell>
        </row>
        <row r="402">
          <cell r="A402" t="str">
            <v>UEAG</v>
          </cell>
          <cell r="B402">
            <v>311711</v>
          </cell>
          <cell r="C402" t="str">
            <v>Ф-Я ВІД.ПІБ В М.НОВОГР-ВОЛ.</v>
          </cell>
        </row>
        <row r="403">
          <cell r="A403" t="str">
            <v>UECA</v>
          </cell>
          <cell r="B403">
            <v>311272</v>
          </cell>
          <cell r="C403" t="str">
            <v>Житомирська обл.ФАКБ"УСБ"</v>
          </cell>
        </row>
        <row r="404">
          <cell r="A404" t="str">
            <v>UECD</v>
          </cell>
          <cell r="B404">
            <v>311722</v>
          </cell>
          <cell r="C404" t="str">
            <v>ФАКБ "Нац.Кред" в м.Житомир</v>
          </cell>
        </row>
        <row r="405">
          <cell r="A405" t="str">
            <v>UEFA</v>
          </cell>
          <cell r="B405">
            <v>311841</v>
          </cell>
          <cell r="C405" t="str">
            <v>Житомирська філ.АКБ "Форум"</v>
          </cell>
        </row>
        <row r="406">
          <cell r="A406" t="str">
            <v>UEFB</v>
          </cell>
          <cell r="B406">
            <v>311852</v>
          </cell>
          <cell r="C406" t="str">
            <v>Житомирська філія ВАТ "КРЕД</v>
          </cell>
        </row>
        <row r="407">
          <cell r="A407" t="str">
            <v>UEFC</v>
          </cell>
          <cell r="B407">
            <v>311863</v>
          </cell>
          <cell r="C407" t="str">
            <v>Жит.філ.АБ "БРОКБІЗНЕСБАНК"</v>
          </cell>
        </row>
        <row r="408">
          <cell r="A408" t="str">
            <v>UEFD</v>
          </cell>
          <cell r="B408">
            <v>311874</v>
          </cell>
          <cell r="C408" t="str">
            <v>ЖитомирськаФВАТКБ"Хрещатик"</v>
          </cell>
        </row>
        <row r="409">
          <cell r="A409" t="str">
            <v>UEGA</v>
          </cell>
          <cell r="B409">
            <v>311324</v>
          </cell>
          <cell r="C409" t="str">
            <v>Ф-я Укрексімбанк, Житомир</v>
          </cell>
        </row>
        <row r="410">
          <cell r="A410" t="str">
            <v>UEH0</v>
          </cell>
          <cell r="B410">
            <v>311034</v>
          </cell>
          <cell r="C410" t="str">
            <v>Упр. НБУ в Житомир. обл.</v>
          </cell>
        </row>
        <row r="411">
          <cell r="A411" t="str">
            <v>UEIO</v>
          </cell>
          <cell r="B411">
            <v>311692</v>
          </cell>
          <cell r="C411" t="str">
            <v>ЖФ АБ "Укоопспілка"</v>
          </cell>
        </row>
        <row r="412">
          <cell r="A412" t="str">
            <v>UEIQ</v>
          </cell>
          <cell r="B412">
            <v>311346</v>
          </cell>
          <cell r="C412" t="str">
            <v>Житомирська Ф ВАТ ВТБ Банк</v>
          </cell>
        </row>
        <row r="413">
          <cell r="A413" t="str">
            <v>UEIR</v>
          </cell>
          <cell r="B413">
            <v>311409</v>
          </cell>
          <cell r="C413" t="str">
            <v>Житомирська ф-яПриватБанку</v>
          </cell>
        </row>
        <row r="414">
          <cell r="A414" t="str">
            <v>UEIU</v>
          </cell>
          <cell r="B414">
            <v>311432</v>
          </cell>
          <cell r="C414" t="str">
            <v>ФАТ  "ГРАДОБАНК", Житомир</v>
          </cell>
        </row>
        <row r="415">
          <cell r="A415" t="str">
            <v>UEIZ</v>
          </cell>
          <cell r="B415">
            <v>311528</v>
          </cell>
          <cell r="C415" t="str">
            <v>ОД "Райффайзен Банк Аваль"</v>
          </cell>
        </row>
        <row r="416">
          <cell r="A416" t="str">
            <v>UEJD</v>
          </cell>
          <cell r="B416">
            <v>311584</v>
          </cell>
          <cell r="C416" t="str">
            <v>Житомирська ФАТ"Укрінбанк"</v>
          </cell>
        </row>
        <row r="417">
          <cell r="A417" t="str">
            <v>UEJE</v>
          </cell>
          <cell r="B417">
            <v>311603</v>
          </cell>
          <cell r="C417" t="str">
            <v>ФАБ"Енергобанк"вм.Житомирі</v>
          </cell>
        </row>
        <row r="418">
          <cell r="A418" t="str">
            <v>UEJJ</v>
          </cell>
          <cell r="B418">
            <v>311670</v>
          </cell>
          <cell r="C418" t="str">
            <v>ЖФ КБ "Західінкомбанк" ТзОВ</v>
          </cell>
        </row>
        <row r="419">
          <cell r="A419" t="str">
            <v>UEJM</v>
          </cell>
          <cell r="B419">
            <v>311788</v>
          </cell>
          <cell r="C419" t="str">
            <v>ФАКБ "НК" в м.Малин</v>
          </cell>
        </row>
        <row r="420">
          <cell r="A420" t="str">
            <v>UEJO</v>
          </cell>
          <cell r="B420">
            <v>311744</v>
          </cell>
          <cell r="C420" t="str">
            <v>Житомирське РУ ПРИВАТБАНКУ</v>
          </cell>
        </row>
        <row r="421">
          <cell r="A421" t="str">
            <v>UEJP</v>
          </cell>
          <cell r="B421">
            <v>311755</v>
          </cell>
          <cell r="C421" t="str">
            <v>Ф-я Жит.дир.АТ"ІНДЕКС-БАНК"</v>
          </cell>
        </row>
        <row r="422">
          <cell r="A422" t="str">
            <v>UEJQ</v>
          </cell>
          <cell r="B422">
            <v>311766</v>
          </cell>
          <cell r="C422" t="str">
            <v>Ф ВАТ "ПершІнвБ"в м.Житомир</v>
          </cell>
        </row>
        <row r="423">
          <cell r="A423" t="str">
            <v>UEJX</v>
          </cell>
          <cell r="B423">
            <v>311799</v>
          </cell>
          <cell r="C423" t="str">
            <v>Житом.ф-я ТОВ"Укрпромбанк"</v>
          </cell>
        </row>
        <row r="424">
          <cell r="A424" t="str">
            <v>UEKA</v>
          </cell>
          <cell r="B424">
            <v>311807</v>
          </cell>
          <cell r="C424" t="str">
            <v>Житомирьска ф-я АКБ "КИЇВ"</v>
          </cell>
        </row>
        <row r="425">
          <cell r="A425" t="str">
            <v>UEKE</v>
          </cell>
          <cell r="B425">
            <v>311818</v>
          </cell>
          <cell r="C425" t="str">
            <v>ФВАТ КБ"Надра"Житомир.РУ</v>
          </cell>
        </row>
        <row r="426">
          <cell r="A426" t="str">
            <v>UEKM</v>
          </cell>
          <cell r="B426">
            <v>311830</v>
          </cell>
          <cell r="C426" t="str">
            <v>ЖИТОМИРСЬКАФ АКБ"ІМЕКСБАНК"</v>
          </cell>
        </row>
        <row r="427">
          <cell r="A427" t="str">
            <v>UEKN</v>
          </cell>
          <cell r="B427">
            <v>311937</v>
          </cell>
          <cell r="C427" t="str">
            <v>Житомирська Ф "ВіЕйБіБанк"</v>
          </cell>
        </row>
        <row r="428">
          <cell r="A428" t="str">
            <v>UELA</v>
          </cell>
          <cell r="B428">
            <v>311647</v>
          </cell>
          <cell r="C428" t="str">
            <v>ФЖитомирське обласнеВАТОщад</v>
          </cell>
        </row>
        <row r="429">
          <cell r="A429" t="str">
            <v>UELE</v>
          </cell>
          <cell r="B429">
            <v>371018</v>
          </cell>
          <cell r="C429" t="str">
            <v>ФБердичiвське відділВАТОщад</v>
          </cell>
        </row>
        <row r="430">
          <cell r="A430" t="str">
            <v>UELK</v>
          </cell>
          <cell r="B430">
            <v>371171</v>
          </cell>
          <cell r="C430" t="str">
            <v>ФКоростенське відділВАТОщад</v>
          </cell>
        </row>
        <row r="431">
          <cell r="A431" t="str">
            <v>UELQ</v>
          </cell>
          <cell r="B431">
            <v>371137</v>
          </cell>
          <cell r="C431" t="str">
            <v>ФНовоград-Волинське ВАТОщад</v>
          </cell>
        </row>
        <row r="432">
          <cell r="A432" t="str">
            <v>UELR</v>
          </cell>
          <cell r="B432">
            <v>371148</v>
          </cell>
          <cell r="C432" t="str">
            <v>ФОвруцьке відділенняВАТОщад</v>
          </cell>
        </row>
        <row r="433">
          <cell r="A433" t="str">
            <v>UELU</v>
          </cell>
          <cell r="B433">
            <v>371278</v>
          </cell>
          <cell r="C433" t="str">
            <v>ФРадомишльське віддіВАТОщад</v>
          </cell>
        </row>
        <row r="434">
          <cell r="A434" t="str">
            <v>UELZ</v>
          </cell>
          <cell r="B434">
            <v>371223</v>
          </cell>
          <cell r="C434" t="str">
            <v>ФБогунське відділеннВАТОщад</v>
          </cell>
        </row>
        <row r="435">
          <cell r="A435" t="str">
            <v>UEMA</v>
          </cell>
          <cell r="B435">
            <v>371104</v>
          </cell>
          <cell r="C435" t="str">
            <v>ФКорольовське відділВАТОщад</v>
          </cell>
        </row>
        <row r="436">
          <cell r="A436" t="str">
            <v>UEQK</v>
          </cell>
          <cell r="B436">
            <v>811039</v>
          </cell>
          <cell r="C436" t="str">
            <v>ГУДКУ У ЖИТОМИРСЬКІЙ ОБЛ.</v>
          </cell>
        </row>
        <row r="437">
          <cell r="A437" t="str">
            <v>UFAA</v>
          </cell>
          <cell r="B437">
            <v>312163</v>
          </cell>
          <cell r="C437" t="str">
            <v>Ф."ВІДДІЛЕН. ПІБ,М.УЖГОРОД"</v>
          </cell>
        </row>
        <row r="438">
          <cell r="A438" t="str">
            <v>UFAB</v>
          </cell>
          <cell r="B438">
            <v>312174</v>
          </cell>
          <cell r="C438" t="str">
            <v>Ф-Я ВІД.ПІБ В М.МУКАЧЕВО</v>
          </cell>
        </row>
        <row r="439">
          <cell r="A439" t="str">
            <v>UFAD</v>
          </cell>
          <cell r="B439">
            <v>312204</v>
          </cell>
          <cell r="C439" t="str">
            <v>Ф-Я ВІД.ПІБ В М.РАХІВ</v>
          </cell>
        </row>
        <row r="440">
          <cell r="A440" t="str">
            <v>UFAE</v>
          </cell>
          <cell r="B440">
            <v>312215</v>
          </cell>
          <cell r="C440" t="str">
            <v>Ф-Я ВІД.ПІБ В М.ТЯЧІВ</v>
          </cell>
        </row>
        <row r="441">
          <cell r="A441" t="str">
            <v>UFAH</v>
          </cell>
          <cell r="B441">
            <v>312646</v>
          </cell>
          <cell r="C441" t="str">
            <v>Ф-Я ВІД.ПІБ В М.ІРШАВА</v>
          </cell>
        </row>
        <row r="442">
          <cell r="A442" t="str">
            <v>UFAI</v>
          </cell>
          <cell r="B442">
            <v>312527</v>
          </cell>
          <cell r="C442" t="str">
            <v>Ф.ВІД.ПІБ В М.ЧОП ЗАКАРП.</v>
          </cell>
        </row>
        <row r="443">
          <cell r="A443" t="str">
            <v>UFAJ</v>
          </cell>
          <cell r="B443">
            <v>312453</v>
          </cell>
          <cell r="C443" t="str">
            <v>Ф.ВІД.ПІБ В М.ХУСТ ЗАКАРП.</v>
          </cell>
        </row>
        <row r="444">
          <cell r="A444" t="str">
            <v>UFCA</v>
          </cell>
          <cell r="B444">
            <v>312011</v>
          </cell>
          <cell r="C444" t="str">
            <v>Закарп.обл.філія АКБ "УСБ"</v>
          </cell>
        </row>
        <row r="445">
          <cell r="A445" t="str">
            <v>UFFA</v>
          </cell>
          <cell r="B445">
            <v>312709</v>
          </cell>
          <cell r="C445" t="str">
            <v>УЖФ АБ АБ "Київська Русь"</v>
          </cell>
        </row>
        <row r="446">
          <cell r="A446" t="str">
            <v>UFFB</v>
          </cell>
          <cell r="B446">
            <v>312710</v>
          </cell>
          <cell r="C446" t="str">
            <v>ФілАБ"Енергобанк"в мУжгород</v>
          </cell>
        </row>
        <row r="447">
          <cell r="A447" t="str">
            <v>UFGA</v>
          </cell>
          <cell r="B447">
            <v>312226</v>
          </cell>
          <cell r="C447" t="str">
            <v>Ф-я Укрексімбанк,Ужгород</v>
          </cell>
        </row>
        <row r="448">
          <cell r="A448" t="str">
            <v>UFHA</v>
          </cell>
          <cell r="B448">
            <v>312152</v>
          </cell>
          <cell r="C448" t="str">
            <v>Упр. НБУ в Закарпат.обл</v>
          </cell>
        </row>
        <row r="449">
          <cell r="A449" t="str">
            <v>UFIA</v>
          </cell>
          <cell r="B449">
            <v>312334</v>
          </cell>
          <cell r="C449" t="str">
            <v>"ЛІСБАНК"</v>
          </cell>
        </row>
        <row r="450">
          <cell r="A450" t="str">
            <v>UFIB</v>
          </cell>
          <cell r="B450">
            <v>312237</v>
          </cell>
          <cell r="C450" t="str">
            <v>Закарп.філія ВАТ"КРЕДОБАНК"</v>
          </cell>
        </row>
        <row r="451">
          <cell r="A451" t="str">
            <v>UFIF</v>
          </cell>
          <cell r="B451">
            <v>312345</v>
          </cell>
          <cell r="C451" t="str">
            <v>Дир-я Райффайзен Банк Аваль</v>
          </cell>
        </row>
        <row r="452">
          <cell r="A452" t="str">
            <v>UFIG</v>
          </cell>
          <cell r="B452">
            <v>312248</v>
          </cell>
          <cell r="C452" t="str">
            <v>КБ "КООПІНВЕСТБАНК"</v>
          </cell>
        </row>
        <row r="453">
          <cell r="A453" t="str">
            <v>UFIN</v>
          </cell>
          <cell r="B453">
            <v>312390</v>
          </cell>
          <cell r="C453" t="str">
            <v>ФАТ  "ГРАДОБАНК" Ужгород</v>
          </cell>
        </row>
        <row r="454">
          <cell r="A454" t="str">
            <v>UFIZ</v>
          </cell>
          <cell r="B454">
            <v>312378</v>
          </cell>
          <cell r="C454" t="str">
            <v>Ф-я Зак.РУ КБ"Приватбанк"</v>
          </cell>
        </row>
        <row r="455">
          <cell r="A455" t="str">
            <v>UFJB</v>
          </cell>
          <cell r="B455">
            <v>312776</v>
          </cell>
          <cell r="C455" t="str">
            <v>УФ ВАТ АБ "УКРГАЗБАНК"</v>
          </cell>
        </row>
        <row r="456">
          <cell r="A456" t="str">
            <v>UFJD</v>
          </cell>
          <cell r="B456">
            <v>312624</v>
          </cell>
          <cell r="C456" t="str">
            <v>Зак.ФАКБ"НК" м.Ужг.</v>
          </cell>
        </row>
        <row r="457">
          <cell r="A457" t="str">
            <v>UFJE</v>
          </cell>
          <cell r="B457">
            <v>312538</v>
          </cell>
          <cell r="C457" t="str">
            <v>ВАТКБ"Надра"Ужгородське РУ</v>
          </cell>
        </row>
        <row r="458">
          <cell r="A458" t="str">
            <v>UFJL</v>
          </cell>
          <cell r="B458">
            <v>312602</v>
          </cell>
          <cell r="C458" t="str">
            <v>Закарпат.ФТОВ "Укрпромбанк"</v>
          </cell>
        </row>
        <row r="459">
          <cell r="A459" t="str">
            <v>UFJM</v>
          </cell>
          <cell r="B459">
            <v>312635</v>
          </cell>
          <cell r="C459" t="str">
            <v>Ужгородська ФАКБ "СЄБ"</v>
          </cell>
        </row>
        <row r="460">
          <cell r="A460" t="str">
            <v>UFJN</v>
          </cell>
          <cell r="B460">
            <v>312657</v>
          </cell>
          <cell r="C460" t="str">
            <v>Філія ЗАТ "ОТП Банк"</v>
          </cell>
        </row>
        <row r="461">
          <cell r="A461" t="str">
            <v>UFKA</v>
          </cell>
          <cell r="B461">
            <v>312787</v>
          </cell>
          <cell r="C461" t="str">
            <v>Ужгородська Ф ВАТ ВТБ Банк</v>
          </cell>
        </row>
        <row r="462">
          <cell r="A462" t="str">
            <v>UFKP</v>
          </cell>
          <cell r="B462">
            <v>312668</v>
          </cell>
          <cell r="C462" t="str">
            <v>Закарп.ФАБ "БРОКБІЗНЕСБАНК"</v>
          </cell>
        </row>
        <row r="463">
          <cell r="A463" t="str">
            <v>UFKQ</v>
          </cell>
          <cell r="B463">
            <v>312679</v>
          </cell>
          <cell r="C463" t="str">
            <v>ЗФ ВАТ "ПІРЕУС БАНК МКБ"</v>
          </cell>
        </row>
        <row r="464">
          <cell r="A464" t="str">
            <v>UFKT</v>
          </cell>
          <cell r="B464">
            <v>312743</v>
          </cell>
          <cell r="C464" t="str">
            <v>Ф."Закар.дир."ІНДЕКС-БАНК"</v>
          </cell>
        </row>
        <row r="465">
          <cell r="A465" t="str">
            <v>UFKU</v>
          </cell>
          <cell r="B465">
            <v>312817</v>
          </cell>
          <cell r="C465" t="str">
            <v>Закар.Ф.ВАТ"ВІЕЙБІБАНК"</v>
          </cell>
        </row>
        <row r="466">
          <cell r="A466" t="str">
            <v>UFKV</v>
          </cell>
          <cell r="B466">
            <v>312754</v>
          </cell>
          <cell r="C466" t="str">
            <v>Ужгородська Ф АКБ "Форум"</v>
          </cell>
        </row>
        <row r="467">
          <cell r="A467" t="str">
            <v>UFKW</v>
          </cell>
          <cell r="B467">
            <v>312680</v>
          </cell>
          <cell r="C467" t="str">
            <v>Закарпат.ФВАТ КБ "Хрещатик"</v>
          </cell>
        </row>
        <row r="468">
          <cell r="A468" t="str">
            <v>UFKX</v>
          </cell>
          <cell r="B468">
            <v>312691</v>
          </cell>
          <cell r="C468" t="str">
            <v>ЗАКАРПАТСЬКАФАКБ"ІМЕКСБАНК"</v>
          </cell>
        </row>
        <row r="469">
          <cell r="A469" t="str">
            <v>UFLA</v>
          </cell>
          <cell r="B469">
            <v>312356</v>
          </cell>
          <cell r="C469" t="str">
            <v>ФЗакарпатське обласнВАТОщад</v>
          </cell>
        </row>
        <row r="470">
          <cell r="A470" t="str">
            <v>UFLC</v>
          </cell>
          <cell r="B470">
            <v>372028</v>
          </cell>
          <cell r="C470" t="str">
            <v>ФМукачівське відділеВАТОщад</v>
          </cell>
        </row>
        <row r="471">
          <cell r="A471" t="str">
            <v>UFLD</v>
          </cell>
          <cell r="B471">
            <v>372039</v>
          </cell>
          <cell r="C471" t="str">
            <v>ФБерегівське відділеВАТОщад</v>
          </cell>
        </row>
        <row r="472">
          <cell r="A472" t="str">
            <v>UFLE</v>
          </cell>
          <cell r="B472">
            <v>372040</v>
          </cell>
          <cell r="C472" t="str">
            <v>ФВиноградівське віддВАТОщад</v>
          </cell>
        </row>
        <row r="473">
          <cell r="A473" t="str">
            <v>UFLF</v>
          </cell>
          <cell r="B473">
            <v>372051</v>
          </cell>
          <cell r="C473" t="str">
            <v>ФХустське відділенняВАТОщад</v>
          </cell>
        </row>
        <row r="474">
          <cell r="A474" t="str">
            <v>UFLK</v>
          </cell>
          <cell r="B474">
            <v>372103</v>
          </cell>
          <cell r="C474" t="str">
            <v>ФРахівське відділеннВАТОщад</v>
          </cell>
        </row>
        <row r="475">
          <cell r="A475" t="str">
            <v>UFLL</v>
          </cell>
          <cell r="B475">
            <v>372084</v>
          </cell>
          <cell r="C475" t="str">
            <v>ФМіжгірське відділенВАТОщад</v>
          </cell>
        </row>
        <row r="476">
          <cell r="A476" t="str">
            <v>UFLM</v>
          </cell>
          <cell r="B476">
            <v>372095</v>
          </cell>
          <cell r="C476" t="str">
            <v>ФІршавське відділеннВАТОщад</v>
          </cell>
        </row>
        <row r="477">
          <cell r="A477" t="str">
            <v>UFLN</v>
          </cell>
          <cell r="B477">
            <v>372136</v>
          </cell>
          <cell r="C477" t="str">
            <v>ФТячівське відділеннВАТОщад</v>
          </cell>
        </row>
        <row r="478">
          <cell r="A478" t="str">
            <v>UFQK</v>
          </cell>
          <cell r="B478">
            <v>812016</v>
          </cell>
          <cell r="C478" t="str">
            <v>ГУДКУ у Закарпатській обл.</v>
          </cell>
        </row>
        <row r="479">
          <cell r="A479" t="str">
            <v>UFW1</v>
          </cell>
          <cell r="B479">
            <v>312613</v>
          </cell>
          <cell r="C479" t="str">
            <v>Закарпатська обл. ФАТ "УФГ"</v>
          </cell>
        </row>
        <row r="480">
          <cell r="A480" t="str">
            <v>UFW2</v>
          </cell>
          <cell r="B480">
            <v>312549</v>
          </cell>
          <cell r="C480" t="str">
            <v>Філія АТ "УФГ", м.Мукачеве</v>
          </cell>
        </row>
        <row r="481">
          <cell r="A481" t="str">
            <v>UGAA</v>
          </cell>
          <cell r="B481">
            <v>313355</v>
          </cell>
          <cell r="C481" t="str">
            <v>Ф."ВІДДІЛ. ПІБ,М.ЗАПОРІЖЖЯ"</v>
          </cell>
        </row>
        <row r="482">
          <cell r="A482" t="str">
            <v>UGAD</v>
          </cell>
          <cell r="B482">
            <v>313043</v>
          </cell>
          <cell r="C482" t="str">
            <v>Ф."ВІД.ПІБ В М.МЕЛІТОПОЛЬ"</v>
          </cell>
        </row>
        <row r="483">
          <cell r="A483" t="str">
            <v>UGAE</v>
          </cell>
          <cell r="B483">
            <v>313054</v>
          </cell>
          <cell r="C483" t="str">
            <v>Ф."ВІД.ПІБ В М.ДНІПРОРУДНЕ"</v>
          </cell>
        </row>
        <row r="484">
          <cell r="A484" t="str">
            <v>UGAF</v>
          </cell>
          <cell r="B484">
            <v>313098</v>
          </cell>
          <cell r="C484" t="str">
            <v>Ф.ВІД.ПІБ В М.ЕНЕРГОДАР ЗАП</v>
          </cell>
        </row>
        <row r="485">
          <cell r="A485" t="str">
            <v>UGAH</v>
          </cell>
          <cell r="B485">
            <v>313117</v>
          </cell>
          <cell r="C485" t="str">
            <v>Ф. "ВІД.ПІБ В М.БЕРДЯНСЬК"</v>
          </cell>
        </row>
        <row r="486">
          <cell r="A486" t="str">
            <v>UGCA</v>
          </cell>
          <cell r="B486">
            <v>313010</v>
          </cell>
          <cell r="C486" t="str">
            <v>Запоріж.обл.філія АКБ"УСБ"</v>
          </cell>
        </row>
        <row r="487">
          <cell r="A487" t="str">
            <v>UGFA</v>
          </cell>
          <cell r="B487">
            <v>313009</v>
          </cell>
          <cell r="C487" t="str">
            <v>ВАТ "Мотор-Банк"</v>
          </cell>
        </row>
        <row r="488">
          <cell r="A488" t="str">
            <v>UGFB</v>
          </cell>
          <cell r="B488">
            <v>373005</v>
          </cell>
          <cell r="C488" t="str">
            <v>ЗапорізькаФВАТКБ"Хрещатик"</v>
          </cell>
        </row>
        <row r="489">
          <cell r="A489" t="str">
            <v>UGFP</v>
          </cell>
          <cell r="B489">
            <v>373276</v>
          </cell>
          <cell r="C489" t="str">
            <v>Філія"ЗД ТОВ УКБ "Камбіо"</v>
          </cell>
        </row>
        <row r="490">
          <cell r="A490" t="str">
            <v>UGGA</v>
          </cell>
          <cell r="B490">
            <v>313979</v>
          </cell>
          <cell r="C490" t="str">
            <v>Ф-я Укрексімбанк,Запоріжжя</v>
          </cell>
        </row>
        <row r="491">
          <cell r="A491" t="str">
            <v>UGHA</v>
          </cell>
          <cell r="B491">
            <v>313377</v>
          </cell>
          <cell r="C491" t="str">
            <v>Упр. НБУ в Запорізькій обл.</v>
          </cell>
        </row>
        <row r="492">
          <cell r="A492" t="str">
            <v>UGIA</v>
          </cell>
          <cell r="B492">
            <v>313797</v>
          </cell>
          <cell r="C492" t="str">
            <v>"СЛОВ"ЯНСЬКИЙ"</v>
          </cell>
        </row>
        <row r="493">
          <cell r="A493" t="str">
            <v>UGIB</v>
          </cell>
          <cell r="B493">
            <v>313407</v>
          </cell>
          <cell r="C493" t="str">
            <v>ФАБ"АвтоЗАЗбанк"вмЗапоріжжя</v>
          </cell>
        </row>
        <row r="494">
          <cell r="A494" t="str">
            <v>UGIE</v>
          </cell>
          <cell r="B494">
            <v>313827</v>
          </cell>
          <cell r="C494" t="str">
            <v>ЗОД "Райффайзен Банк Аваль"</v>
          </cell>
        </row>
        <row r="495">
          <cell r="A495" t="str">
            <v>UGIH</v>
          </cell>
          <cell r="B495">
            <v>313281</v>
          </cell>
          <cell r="C495" t="str">
            <v>Мелітоп.ФАБ"АвтоЗАЗбанк"</v>
          </cell>
        </row>
        <row r="496">
          <cell r="A496" t="str">
            <v>UGIL</v>
          </cell>
          <cell r="B496">
            <v>313184</v>
          </cell>
          <cell r="C496" t="str">
            <v>Запорізька ФАТ"Укрінбанк"</v>
          </cell>
        </row>
        <row r="497">
          <cell r="A497" t="str">
            <v>UGIP</v>
          </cell>
          <cell r="B497">
            <v>313399</v>
          </cell>
          <cell r="C497" t="str">
            <v>Запорізьке РУ ПриватБанку</v>
          </cell>
        </row>
        <row r="498">
          <cell r="A498" t="str">
            <v>UGIQ</v>
          </cell>
          <cell r="B498">
            <v>313582</v>
          </cell>
          <cell r="C498" t="str">
            <v>АБ "МЕТАЛУРГ"</v>
          </cell>
        </row>
        <row r="499">
          <cell r="A499" t="str">
            <v>UGJC</v>
          </cell>
          <cell r="B499">
            <v>313690</v>
          </cell>
          <cell r="C499" t="str">
            <v>АТ "НАШ БАНК"</v>
          </cell>
        </row>
        <row r="500">
          <cell r="A500" t="str">
            <v>UGJF</v>
          </cell>
          <cell r="B500">
            <v>313623</v>
          </cell>
          <cell r="C500" t="str">
            <v>Філія ПУМБ в м.Запоріжжі</v>
          </cell>
        </row>
        <row r="501">
          <cell r="A501" t="str">
            <v>UGJH</v>
          </cell>
          <cell r="B501">
            <v>313708</v>
          </cell>
          <cell r="C501" t="str">
            <v>ЗФ ВАТ Банку "БІГ Енергія"</v>
          </cell>
        </row>
        <row r="502">
          <cell r="A502" t="str">
            <v>UGJI</v>
          </cell>
          <cell r="B502">
            <v>313849</v>
          </cell>
          <cell r="C502" t="str">
            <v>АКБ "ІНДУСТРІАЛБАНК"</v>
          </cell>
        </row>
        <row r="503">
          <cell r="A503" t="str">
            <v>UGJJ</v>
          </cell>
          <cell r="B503">
            <v>313764</v>
          </cell>
          <cell r="C503" t="str">
            <v>ЕФ ВАТ Банку "БІГ Енергія"</v>
          </cell>
        </row>
        <row r="504">
          <cell r="A504" t="str">
            <v>UGJK</v>
          </cell>
          <cell r="B504">
            <v>313850</v>
          </cell>
          <cell r="C504" t="str">
            <v>ФАБ"Енергобанк"вм.Запоріжжі</v>
          </cell>
        </row>
        <row r="505">
          <cell r="A505" t="str">
            <v>UGJM</v>
          </cell>
          <cell r="B505">
            <v>313775</v>
          </cell>
          <cell r="C505" t="str">
            <v>Ол.ФАКБ"НК"м.Зап.</v>
          </cell>
        </row>
        <row r="506">
          <cell r="A506" t="str">
            <v>UGJO</v>
          </cell>
          <cell r="B506">
            <v>313731</v>
          </cell>
          <cell r="C506" t="str">
            <v>Ф"ЗРУ"ВАТ"Б"Фін. та Кред"</v>
          </cell>
        </row>
        <row r="507">
          <cell r="A507" t="str">
            <v>UGJP</v>
          </cell>
          <cell r="B507">
            <v>313742</v>
          </cell>
          <cell r="C507" t="str">
            <v>Запорізька Ф ВАТ ВТБ Ба</v>
          </cell>
        </row>
        <row r="508">
          <cell r="A508" t="str">
            <v>UGJR</v>
          </cell>
          <cell r="B508">
            <v>313753</v>
          </cell>
          <cell r="C508" t="str">
            <v>ФАБ"ПІВДЕННИЙ"в м.Запоріжжі</v>
          </cell>
        </row>
        <row r="509">
          <cell r="A509" t="str">
            <v>UGJT</v>
          </cell>
          <cell r="B509">
            <v>313861</v>
          </cell>
          <cell r="C509" t="str">
            <v>ФІЛ.ЗАП.ДИР.АТ"ІНДЕКС-БАНК"</v>
          </cell>
        </row>
        <row r="510">
          <cell r="A510" t="str">
            <v>UGJU</v>
          </cell>
          <cell r="B510">
            <v>313872</v>
          </cell>
          <cell r="C510" t="str">
            <v>Філія ЗАТ "ОТП Банк"</v>
          </cell>
        </row>
        <row r="511">
          <cell r="A511" t="str">
            <v>UGJV</v>
          </cell>
          <cell r="B511">
            <v>313883</v>
          </cell>
          <cell r="C511" t="str">
            <v>Запорізька філ.Приватінвест</v>
          </cell>
        </row>
        <row r="512">
          <cell r="A512" t="str">
            <v>UGJW</v>
          </cell>
          <cell r="B512">
            <v>313894</v>
          </cell>
          <cell r="C512" t="str">
            <v>ЗАПОРІЗЬКАФ АКБ"ІМЕКСБАНК"</v>
          </cell>
        </row>
        <row r="513">
          <cell r="A513" t="str">
            <v>UGJY</v>
          </cell>
          <cell r="B513">
            <v>313913</v>
          </cell>
          <cell r="C513" t="str">
            <v>Запорізька філія АКБ"Форум"</v>
          </cell>
        </row>
        <row r="514">
          <cell r="A514" t="str">
            <v>UGKA</v>
          </cell>
          <cell r="B514">
            <v>313935</v>
          </cell>
          <cell r="C514" t="str">
            <v>ЗФ ТОВ "УКРПРОМБАНК"</v>
          </cell>
        </row>
        <row r="515">
          <cell r="A515" t="str">
            <v>UGKC</v>
          </cell>
          <cell r="B515">
            <v>313968</v>
          </cell>
          <cell r="C515" t="str">
            <v>Ф ВАТ КБ"Надра"ЗапорізькеРУ</v>
          </cell>
        </row>
        <row r="516">
          <cell r="A516" t="str">
            <v>UGKH</v>
          </cell>
          <cell r="B516">
            <v>313991</v>
          </cell>
          <cell r="C516" t="str">
            <v>ФАКБ "Трансбанк", Запоріжжя</v>
          </cell>
        </row>
        <row r="517">
          <cell r="A517" t="str">
            <v>UGKQ</v>
          </cell>
          <cell r="B517">
            <v>373135</v>
          </cell>
          <cell r="C517" t="str">
            <v>Запорізька Ф"Кредитпромбанк</v>
          </cell>
        </row>
        <row r="518">
          <cell r="A518" t="str">
            <v>UGKR</v>
          </cell>
          <cell r="B518">
            <v>373210</v>
          </cell>
          <cell r="C518" t="str">
            <v>Запорізька  ф.УкрБізнесБанк</v>
          </cell>
        </row>
        <row r="519">
          <cell r="A519" t="str">
            <v>UGLA</v>
          </cell>
          <cell r="B519">
            <v>313957</v>
          </cell>
          <cell r="C519" t="str">
            <v>ФЗапорізьке обласне ВАТОщад</v>
          </cell>
        </row>
        <row r="520">
          <cell r="A520" t="str">
            <v>UGLE</v>
          </cell>
          <cell r="B520">
            <v>373061</v>
          </cell>
          <cell r="C520" t="str">
            <v>ФОрджонікідзевське вВАТОщад</v>
          </cell>
        </row>
        <row r="521">
          <cell r="A521" t="str">
            <v>UGLF</v>
          </cell>
          <cell r="B521">
            <v>373072</v>
          </cell>
          <cell r="C521" t="str">
            <v>ФШевченківське віддіВАТОщад</v>
          </cell>
        </row>
        <row r="522">
          <cell r="A522" t="str">
            <v>UGLI</v>
          </cell>
          <cell r="B522">
            <v>373102</v>
          </cell>
          <cell r="C522" t="str">
            <v>ФБердянське відділенВАТОщад</v>
          </cell>
        </row>
        <row r="523">
          <cell r="A523" t="str">
            <v>UGLQ</v>
          </cell>
          <cell r="B523">
            <v>373180</v>
          </cell>
          <cell r="C523" t="str">
            <v>ФКам`янсько-ДніпровсВАТОщад</v>
          </cell>
        </row>
        <row r="524">
          <cell r="A524" t="str">
            <v>UGLV</v>
          </cell>
          <cell r="B524">
            <v>373232</v>
          </cell>
          <cell r="C524" t="str">
            <v>ФМелітопольське віддВАТОщад</v>
          </cell>
        </row>
        <row r="525">
          <cell r="A525" t="str">
            <v>UGLZ</v>
          </cell>
          <cell r="B525">
            <v>373146</v>
          </cell>
          <cell r="C525" t="str">
            <v>ФПологівське відділеВАТОщад</v>
          </cell>
        </row>
        <row r="526">
          <cell r="A526" t="str">
            <v>UGMC</v>
          </cell>
          <cell r="B526">
            <v>373287</v>
          </cell>
          <cell r="C526" t="str">
            <v>ФТокмацьке відділеннВАТОщад</v>
          </cell>
        </row>
        <row r="527">
          <cell r="A527" t="str">
            <v>UGNA</v>
          </cell>
          <cell r="B527">
            <v>373317</v>
          </cell>
          <cell r="C527" t="str">
            <v>Запор.Ф.ВАТ"ВІЕЙБІБАНК"</v>
          </cell>
        </row>
        <row r="528">
          <cell r="A528" t="str">
            <v>UGNB</v>
          </cell>
          <cell r="B528">
            <v>373254</v>
          </cell>
          <cell r="C528" t="str">
            <v>Запор. ФАБ "БРОКБІЗНЕСБАНК"</v>
          </cell>
        </row>
        <row r="529">
          <cell r="A529" t="str">
            <v>UGNC</v>
          </cell>
          <cell r="B529">
            <v>373481</v>
          </cell>
          <cell r="C529" t="str">
            <v>Запорізька Ф.ВАТ"КРЕДОБАНК"</v>
          </cell>
        </row>
        <row r="530">
          <cell r="A530" t="str">
            <v>UGQK</v>
          </cell>
          <cell r="B530">
            <v>813015</v>
          </cell>
          <cell r="C530" t="str">
            <v>ГУДКУ у Запорізькій області</v>
          </cell>
        </row>
        <row r="531">
          <cell r="A531" t="str">
            <v>UGW1</v>
          </cell>
          <cell r="B531">
            <v>613033</v>
          </cell>
          <cell r="C531" t="str">
            <v>ЗАПОРІЗЬКА ОБЛ.ФАТ "УФГ"</v>
          </cell>
        </row>
        <row r="532">
          <cell r="A532" t="str">
            <v>UHAA</v>
          </cell>
          <cell r="B532">
            <v>336354</v>
          </cell>
          <cell r="C532" t="str">
            <v>Ф.ВІД.ПІБ м.ІВ-Франківськ</v>
          </cell>
        </row>
        <row r="533">
          <cell r="A533" t="str">
            <v>UHAB</v>
          </cell>
          <cell r="B533">
            <v>336398</v>
          </cell>
          <cell r="C533" t="str">
            <v>Ф. ВІД.ПІБ мНадвір ІВ-Франк</v>
          </cell>
        </row>
        <row r="534">
          <cell r="A534" t="str">
            <v>UHAE</v>
          </cell>
          <cell r="B534">
            <v>336387</v>
          </cell>
          <cell r="C534" t="str">
            <v>Ф.В.ПІБв м.Калуш Ів-Франк</v>
          </cell>
        </row>
        <row r="535">
          <cell r="A535" t="str">
            <v>UHAF</v>
          </cell>
          <cell r="B535">
            <v>336417</v>
          </cell>
          <cell r="C535" t="str">
            <v>Ф.ВІД.ПІБ М.БУPШТИН ІВ.-ФР.</v>
          </cell>
        </row>
        <row r="536">
          <cell r="A536" t="str">
            <v>UHCA</v>
          </cell>
          <cell r="B536">
            <v>336019</v>
          </cell>
          <cell r="C536" t="str">
            <v>Ів-Фран.обл.філ.АКБ"УСБ"</v>
          </cell>
        </row>
        <row r="537">
          <cell r="A537" t="str">
            <v>UHFA</v>
          </cell>
          <cell r="B537">
            <v>336008</v>
          </cell>
          <cell r="C537" t="str">
            <v>Івано-Франківська Ф АБ "КР"</v>
          </cell>
        </row>
        <row r="538">
          <cell r="A538" t="str">
            <v>UHFB</v>
          </cell>
          <cell r="B538">
            <v>336785</v>
          </cell>
          <cell r="C538" t="str">
            <v>І-ФФ АКБ "ІМЕКСБАНК"</v>
          </cell>
        </row>
        <row r="539">
          <cell r="A539" t="str">
            <v>UHGA</v>
          </cell>
          <cell r="B539">
            <v>336688</v>
          </cell>
          <cell r="C539" t="str">
            <v>Ф.Укрексімбанк, Ів.-Франк</v>
          </cell>
        </row>
        <row r="540">
          <cell r="A540" t="str">
            <v>UHHA</v>
          </cell>
          <cell r="B540">
            <v>336343</v>
          </cell>
          <cell r="C540" t="str">
            <v>Упр. НБУ Ів-Фpанків. обл.</v>
          </cell>
        </row>
        <row r="541">
          <cell r="A541" t="str">
            <v>UHIB</v>
          </cell>
          <cell r="B541">
            <v>336310</v>
          </cell>
          <cell r="C541" t="str">
            <v>ВАТ "ПЛЮС БАНК"</v>
          </cell>
        </row>
        <row r="542">
          <cell r="A542" t="str">
            <v>UHIE</v>
          </cell>
          <cell r="B542">
            <v>336893</v>
          </cell>
          <cell r="C542" t="str">
            <v>Івано-Фр. Ф ВАТ ВТБ Банк</v>
          </cell>
        </row>
        <row r="543">
          <cell r="A543" t="str">
            <v>UHIH</v>
          </cell>
          <cell r="B543">
            <v>336161</v>
          </cell>
          <cell r="C543" t="str">
            <v>ІФФ ВАТ "КРЕДОБАНК"</v>
          </cell>
        </row>
        <row r="544">
          <cell r="A544" t="str">
            <v>UHII</v>
          </cell>
          <cell r="B544">
            <v>336202</v>
          </cell>
          <cell r="C544" t="str">
            <v>Ів-Франк.ФАТ"Укрінбанк"</v>
          </cell>
        </row>
        <row r="545">
          <cell r="A545" t="str">
            <v>UHIK</v>
          </cell>
          <cell r="B545">
            <v>336235</v>
          </cell>
          <cell r="C545" t="str">
            <v>Філ."ПРРУ"ВАТ"Б."Ф. таКр."</v>
          </cell>
        </row>
        <row r="546">
          <cell r="A546" t="str">
            <v>UHIN</v>
          </cell>
          <cell r="B546">
            <v>336440</v>
          </cell>
          <cell r="C546" t="str">
            <v>ФАТ  "ГРАДОБАНК" Ів.-Франк.</v>
          </cell>
        </row>
        <row r="547">
          <cell r="A547" t="str">
            <v>UHIS</v>
          </cell>
          <cell r="B547">
            <v>336462</v>
          </cell>
          <cell r="C547" t="str">
            <v>ОД "Райффайзен Банк Аваль"</v>
          </cell>
        </row>
        <row r="548">
          <cell r="A548" t="str">
            <v>UHIW</v>
          </cell>
          <cell r="B548">
            <v>336677</v>
          </cell>
          <cell r="C548" t="str">
            <v>Ів.-Франк. ФКБ "ПРИВАТБАНК"</v>
          </cell>
        </row>
        <row r="549">
          <cell r="A549" t="str">
            <v>UHJB</v>
          </cell>
          <cell r="B549">
            <v>336796</v>
          </cell>
          <cell r="C549" t="str">
            <v>ФАКБ "НК" м.Дол</v>
          </cell>
        </row>
        <row r="550">
          <cell r="A550" t="str">
            <v>UHJC</v>
          </cell>
          <cell r="B550">
            <v>336826</v>
          </cell>
          <cell r="C550" t="str">
            <v>ФАКБ "НК" в м.Коломия</v>
          </cell>
        </row>
        <row r="551">
          <cell r="A551" t="str">
            <v>UHJG</v>
          </cell>
          <cell r="B551">
            <v>336871</v>
          </cell>
          <cell r="C551" t="str">
            <v>ВАТКБ"Надра"Ів.-Франк. РУ</v>
          </cell>
        </row>
        <row r="552">
          <cell r="A552" t="str">
            <v>UHJI</v>
          </cell>
          <cell r="B552">
            <v>336882</v>
          </cell>
          <cell r="C552" t="str">
            <v>Ів.Фр.ФАБ "БРОКБІЗНЕСБАНК"</v>
          </cell>
        </row>
        <row r="553">
          <cell r="A553" t="str">
            <v>UHJJ</v>
          </cell>
          <cell r="B553">
            <v>336912</v>
          </cell>
          <cell r="C553" t="str">
            <v>Ів-Франк.ФТОВ "Укрпромбанк"</v>
          </cell>
        </row>
        <row r="554">
          <cell r="A554" t="str">
            <v>UHJL</v>
          </cell>
          <cell r="B554">
            <v>336923</v>
          </cell>
          <cell r="C554" t="str">
            <v>Ів.-Франк.ФВАТ СКБ"Дністер"</v>
          </cell>
        </row>
        <row r="555">
          <cell r="A555" t="str">
            <v>UHJP</v>
          </cell>
          <cell r="B555">
            <v>336934</v>
          </cell>
          <cell r="C555" t="str">
            <v>Ів.-Франк.ФВАТ"ВіЕйБі Банк"</v>
          </cell>
        </row>
        <row r="556">
          <cell r="A556" t="str">
            <v>UHJY</v>
          </cell>
          <cell r="B556">
            <v>336956</v>
          </cell>
          <cell r="C556" t="str">
            <v>Ів.-Франк.Ф АКБ "Форум"</v>
          </cell>
        </row>
        <row r="557">
          <cell r="A557" t="str">
            <v>UHJZ</v>
          </cell>
          <cell r="B557">
            <v>336978</v>
          </cell>
          <cell r="C557" t="str">
            <v>Івано-ФранківськаФАКБ"Київ"</v>
          </cell>
        </row>
        <row r="558">
          <cell r="A558" t="str">
            <v>UHKA</v>
          </cell>
          <cell r="B558">
            <v>336967</v>
          </cell>
          <cell r="C558" t="str">
            <v>Ів-Фр.ФКБ"Західінкомбанк"</v>
          </cell>
        </row>
        <row r="559">
          <cell r="A559" t="str">
            <v>UHKB</v>
          </cell>
          <cell r="B559">
            <v>336763</v>
          </cell>
          <cell r="C559" t="str">
            <v>Філія"ІФД"АТ"ІНДЕКС-БАНК"</v>
          </cell>
        </row>
        <row r="560">
          <cell r="A560" t="str">
            <v>UHKC</v>
          </cell>
          <cell r="B560">
            <v>336752</v>
          </cell>
          <cell r="C560" t="str">
            <v>Ів.Фр.ФВАТ КБ "Хрещатик"</v>
          </cell>
        </row>
        <row r="561">
          <cell r="A561" t="str">
            <v>UHKD</v>
          </cell>
          <cell r="B561">
            <v>336774</v>
          </cell>
          <cell r="C561" t="str">
            <v>Філія АКБ"ЗОЛОТІ ВОРОТА"</v>
          </cell>
        </row>
        <row r="562">
          <cell r="A562" t="str">
            <v>UHLA</v>
          </cell>
          <cell r="B562">
            <v>336503</v>
          </cell>
          <cell r="C562" t="str">
            <v>Обласне упр.ОБ Ів-Фpанків.</v>
          </cell>
        </row>
        <row r="563">
          <cell r="A563" t="str">
            <v>UHLC</v>
          </cell>
          <cell r="B563">
            <v>336514</v>
          </cell>
          <cell r="C563" t="str">
            <v>ФГалицьке відділенняВАТОщад</v>
          </cell>
        </row>
        <row r="564">
          <cell r="A564" t="str">
            <v>UHLD</v>
          </cell>
          <cell r="B564">
            <v>336525</v>
          </cell>
          <cell r="C564" t="str">
            <v>ФГороденківське віддВАТОщад</v>
          </cell>
        </row>
        <row r="565">
          <cell r="A565" t="str">
            <v>UHLE</v>
          </cell>
          <cell r="B565">
            <v>336536</v>
          </cell>
          <cell r="C565" t="str">
            <v>ФДолинське відділеннВАТОщад</v>
          </cell>
        </row>
        <row r="566">
          <cell r="A566" t="str">
            <v>UHLF</v>
          </cell>
          <cell r="B566">
            <v>336547</v>
          </cell>
          <cell r="C566" t="str">
            <v>ФКалуське відділенняВАТОщад</v>
          </cell>
        </row>
        <row r="567">
          <cell r="A567" t="str">
            <v>UHLG</v>
          </cell>
          <cell r="B567">
            <v>336558</v>
          </cell>
          <cell r="C567" t="str">
            <v>ФКоломийське відділеВАТОщад</v>
          </cell>
        </row>
        <row r="568">
          <cell r="A568" t="str">
            <v>UHLH</v>
          </cell>
          <cell r="B568">
            <v>336569</v>
          </cell>
          <cell r="C568" t="str">
            <v>ФКосівське відділеннВАТОщад</v>
          </cell>
        </row>
        <row r="569">
          <cell r="A569" t="str">
            <v>UHLI</v>
          </cell>
          <cell r="B569">
            <v>336570</v>
          </cell>
          <cell r="C569" t="str">
            <v>ФНадвірнянське віддіВАТОщад</v>
          </cell>
        </row>
        <row r="570">
          <cell r="A570" t="str">
            <v>UHLJ</v>
          </cell>
          <cell r="B570">
            <v>336581</v>
          </cell>
          <cell r="C570" t="str">
            <v>ФРогатинське відділеВАТОщад</v>
          </cell>
        </row>
        <row r="571">
          <cell r="A571" t="str">
            <v>UHLK</v>
          </cell>
          <cell r="B571">
            <v>336592</v>
          </cell>
          <cell r="C571" t="str">
            <v>ФСнятинське відділенВАТОщад</v>
          </cell>
        </row>
        <row r="572">
          <cell r="A572" t="str">
            <v>UHLL</v>
          </cell>
          <cell r="B572">
            <v>336600</v>
          </cell>
          <cell r="C572" t="str">
            <v>ФТлумацьке відділеннВАТОщад</v>
          </cell>
        </row>
        <row r="573">
          <cell r="A573" t="str">
            <v>UHLN</v>
          </cell>
          <cell r="B573">
            <v>336622</v>
          </cell>
          <cell r="C573" t="str">
            <v>ФБогородчанське віддВАТОщад</v>
          </cell>
        </row>
        <row r="574">
          <cell r="A574" t="str">
            <v>UHLO</v>
          </cell>
          <cell r="B574">
            <v>336633</v>
          </cell>
          <cell r="C574" t="str">
            <v>ФРожнятівське відділВАТОщад</v>
          </cell>
        </row>
        <row r="575">
          <cell r="A575" t="str">
            <v>UHLP</v>
          </cell>
          <cell r="B575">
            <v>336644</v>
          </cell>
          <cell r="C575" t="str">
            <v>ФВерховинське відділВАТОщад</v>
          </cell>
        </row>
        <row r="576">
          <cell r="A576" t="str">
            <v>UHLQ</v>
          </cell>
          <cell r="B576">
            <v>336655</v>
          </cell>
          <cell r="C576" t="str">
            <v>ФТисменицьке відділеВАТОщад</v>
          </cell>
        </row>
        <row r="577">
          <cell r="A577" t="str">
            <v>UHQK</v>
          </cell>
          <cell r="B577">
            <v>836014</v>
          </cell>
          <cell r="C577" t="str">
            <v>ГУДК УКРАЇНИ В ІВ-ФРАНК.ОБ.</v>
          </cell>
        </row>
        <row r="578">
          <cell r="A578" t="str">
            <v>UHW1</v>
          </cell>
          <cell r="B578">
            <v>336473</v>
          </cell>
          <cell r="C578" t="str">
            <v>Івано-Франк.регіон.ФАТ"УФГ"</v>
          </cell>
        </row>
        <row r="579">
          <cell r="A579" t="str">
            <v>UHW2</v>
          </cell>
          <cell r="B579">
            <v>336860</v>
          </cell>
          <cell r="C579" t="str">
            <v>Перша ФАТ "УФГ", м.Івано-Фр</v>
          </cell>
        </row>
        <row r="580">
          <cell r="A580" t="str">
            <v>UHW3</v>
          </cell>
          <cell r="B580">
            <v>336741</v>
          </cell>
          <cell r="C580" t="str">
            <v>ФАТ "УФГ", м.Івано-Франківс</v>
          </cell>
        </row>
        <row r="581">
          <cell r="A581" t="str">
            <v>UI0D</v>
          </cell>
          <cell r="B581">
            <v>380612</v>
          </cell>
          <cell r="C581" t="str">
            <v>ВАТ "Златобанк"</v>
          </cell>
        </row>
        <row r="582">
          <cell r="A582" t="str">
            <v>UI0F</v>
          </cell>
          <cell r="B582">
            <v>380634</v>
          </cell>
          <cell r="C582" t="str">
            <v>ВАТ "КБ "Акордбанк"</v>
          </cell>
        </row>
        <row r="583">
          <cell r="A583" t="str">
            <v>UI0J</v>
          </cell>
          <cell r="B583">
            <v>380764</v>
          </cell>
          <cell r="C583" t="str">
            <v>ВАТ АБ "НАДРА",М.КИЇВ,ЦЕНТР</v>
          </cell>
        </row>
        <row r="584">
          <cell r="A584" t="str">
            <v>UI0K</v>
          </cell>
          <cell r="B584">
            <v>380645</v>
          </cell>
          <cell r="C584" t="str">
            <v>ВАТ "БАНК 3/4"</v>
          </cell>
        </row>
        <row r="585">
          <cell r="A585" t="str">
            <v>UI1A</v>
          </cell>
          <cell r="B585">
            <v>380601</v>
          </cell>
          <cell r="C585" t="str">
            <v>ЗАТ "ТЕРРА БАНК"</v>
          </cell>
        </row>
        <row r="586">
          <cell r="A586" t="str">
            <v>UIAA</v>
          </cell>
          <cell r="B586">
            <v>322250</v>
          </cell>
          <cell r="C586" t="str">
            <v>Ф-Я КИЇВСЬКЕ МІСЬКЕ ВІД.ПІБ</v>
          </cell>
        </row>
        <row r="587">
          <cell r="A587" t="str">
            <v>UIAB</v>
          </cell>
          <cell r="B587">
            <v>322108</v>
          </cell>
          <cell r="C587" t="str">
            <v>Ф.ЛЕНІНГР.ВІД.ПІБ В М.КИЇВ</v>
          </cell>
        </row>
        <row r="588">
          <cell r="A588" t="str">
            <v>UIAC</v>
          </cell>
          <cell r="B588">
            <v>322119</v>
          </cell>
          <cell r="C588" t="str">
            <v>Ф.ЛІВОБЕРЕЖ.ВІД.ПІБ,М.КИЇВ</v>
          </cell>
        </row>
        <row r="589">
          <cell r="A589" t="str">
            <v>UIAD</v>
          </cell>
          <cell r="B589">
            <v>322142</v>
          </cell>
          <cell r="C589" t="str">
            <v>Ф.ДНІПРОВ.ВІД.ПІБ В М.КИЇВ</v>
          </cell>
        </row>
        <row r="590">
          <cell r="A590" t="str">
            <v>UIAE</v>
          </cell>
          <cell r="B590">
            <v>322153</v>
          </cell>
          <cell r="C590" t="str">
            <v>Ф.ЗАЛІЗНИЧ.ВІД.ПІБ В М.КИЇВ</v>
          </cell>
        </row>
        <row r="591">
          <cell r="A591" t="str">
            <v>UIAF</v>
          </cell>
          <cell r="B591">
            <v>322175</v>
          </cell>
          <cell r="C591" t="str">
            <v>Ф.МОСКОВСЬКЕ ВІД.ПІБ,М.КИЇВ</v>
          </cell>
        </row>
        <row r="592">
          <cell r="A592" t="str">
            <v>UIAI</v>
          </cell>
          <cell r="B592">
            <v>322216</v>
          </cell>
          <cell r="C592" t="str">
            <v>Ф-я Шевченків.від.ПІБ,Київ</v>
          </cell>
        </row>
        <row r="593">
          <cell r="A593" t="str">
            <v>UIAL</v>
          </cell>
          <cell r="B593">
            <v>322227</v>
          </cell>
          <cell r="C593" t="str">
            <v>Ф-я"СТАРОКИЄВ.ВІД.ПІБ КИЇВ"</v>
          </cell>
        </row>
        <row r="594">
          <cell r="A594" t="str">
            <v>UIAM</v>
          </cell>
          <cell r="B594">
            <v>322197</v>
          </cell>
          <cell r="C594" t="str">
            <v>Ф.ПОДІЛЬСЬКЕ ВІД.ПІБ,М.КИЇВ</v>
          </cell>
        </row>
        <row r="595">
          <cell r="A595" t="str">
            <v>UIAN</v>
          </cell>
          <cell r="B595">
            <v>322067</v>
          </cell>
          <cell r="C595" t="str">
            <v>Ф.ЖОВТНЕВЕ ВІД.ПІБ В М.КИЇВ</v>
          </cell>
        </row>
        <row r="596">
          <cell r="A596" t="str">
            <v>UIAO</v>
          </cell>
          <cell r="B596">
            <v>322205</v>
          </cell>
          <cell r="C596" t="str">
            <v>Ф.ХАРКІВСЬКЕ ВІД.ПІБ,М.КИЇВ</v>
          </cell>
        </row>
        <row r="597">
          <cell r="A597" t="str">
            <v>UIAP</v>
          </cell>
          <cell r="B597">
            <v>322283</v>
          </cell>
          <cell r="C597" t="str">
            <v>Ф-Я ВАТУТІН.ВІД.ПІБ, М.КИЇВ</v>
          </cell>
        </row>
        <row r="598">
          <cell r="A598" t="str">
            <v>UICA</v>
          </cell>
          <cell r="B598">
            <v>322012</v>
          </cell>
          <cell r="C598" t="str">
            <v>КМФ АКБ "УСБ"</v>
          </cell>
        </row>
        <row r="599">
          <cell r="A599" t="str">
            <v>UICK</v>
          </cell>
          <cell r="B599">
            <v>300023</v>
          </cell>
          <cell r="C599" t="str">
            <v>АКБ "УКРСОЦБАНК"</v>
          </cell>
        </row>
        <row r="600">
          <cell r="A600" t="str">
            <v>UICR</v>
          </cell>
          <cell r="B600">
            <v>380753</v>
          </cell>
          <cell r="C600" t="str">
            <v>АКБ "Укрсоцбанк"</v>
          </cell>
        </row>
        <row r="601">
          <cell r="A601" t="str">
            <v>UIE0</v>
          </cell>
          <cell r="B601">
            <v>320780</v>
          </cell>
          <cell r="C601" t="str">
            <v>Рег.уповн.ліквід.,Київ і об</v>
          </cell>
        </row>
        <row r="602">
          <cell r="A602" t="str">
            <v>UIED</v>
          </cell>
          <cell r="B602">
            <v>300603</v>
          </cell>
          <cell r="C602" t="str">
            <v>Ліквідатор ГОУ банку"УКРАЇН</v>
          </cell>
        </row>
        <row r="603">
          <cell r="A603" t="str">
            <v>UIEG</v>
          </cell>
          <cell r="B603">
            <v>300410</v>
          </cell>
          <cell r="C603" t="str">
            <v>ЛІКВІДАТОР БАНКУ "УКРАЇНА"</v>
          </cell>
        </row>
        <row r="604">
          <cell r="A604" t="str">
            <v>UIFA</v>
          </cell>
          <cell r="B604">
            <v>300108</v>
          </cell>
          <cell r="C604" t="str">
            <v>Київська ф-я АБКиївськаРусь</v>
          </cell>
        </row>
        <row r="605">
          <cell r="A605" t="str">
            <v>UIFB</v>
          </cell>
          <cell r="B605">
            <v>380292</v>
          </cell>
          <cell r="C605" t="str">
            <v>ЗАТ "ЄБРФ"</v>
          </cell>
        </row>
        <row r="606">
          <cell r="A606" t="str">
            <v>UIFD</v>
          </cell>
          <cell r="B606">
            <v>380913</v>
          </cell>
          <cell r="C606" t="str">
            <v>ВАТ "БМ Банк"</v>
          </cell>
        </row>
        <row r="607">
          <cell r="A607" t="str">
            <v>UIFE</v>
          </cell>
          <cell r="B607">
            <v>380009</v>
          </cell>
          <cell r="C607" t="str">
            <v>ВАТ "Ерсте Банк"</v>
          </cell>
        </row>
        <row r="608">
          <cell r="A608" t="str">
            <v>UIFF</v>
          </cell>
          <cell r="B608">
            <v>380236</v>
          </cell>
          <cell r="C608" t="str">
            <v>ТОВ КБ "Дельта"</v>
          </cell>
        </row>
        <row r="609">
          <cell r="A609" t="str">
            <v>UIFG</v>
          </cell>
          <cell r="B609">
            <v>380418</v>
          </cell>
          <cell r="C609" t="str">
            <v>ВАТ "Банк Руский Стандарт"</v>
          </cell>
        </row>
        <row r="610">
          <cell r="A610" t="str">
            <v>UIFH</v>
          </cell>
          <cell r="B610">
            <v>380214</v>
          </cell>
          <cell r="C610" t="str">
            <v>Под.ф.м.КиєваТОВКБ"Столиця"</v>
          </cell>
        </row>
        <row r="611">
          <cell r="A611" t="str">
            <v>UIFI</v>
          </cell>
          <cell r="B611">
            <v>339339</v>
          </cell>
          <cell r="C611" t="str">
            <v>ТОВ "ПАРТНЕР-БАНК"</v>
          </cell>
        </row>
        <row r="612">
          <cell r="A612" t="str">
            <v>UIFJ</v>
          </cell>
          <cell r="B612">
            <v>380485</v>
          </cell>
          <cell r="C612" t="str">
            <v>Куренів.ф.ВАТ"КБ"Експобанк"</v>
          </cell>
        </row>
        <row r="613">
          <cell r="A613" t="str">
            <v>UIFK</v>
          </cell>
          <cell r="B613">
            <v>380269</v>
          </cell>
          <cell r="C613" t="str">
            <v>Столична філія ПриватБанку</v>
          </cell>
        </row>
        <row r="614">
          <cell r="A614" t="str">
            <v>UIFL</v>
          </cell>
          <cell r="B614">
            <v>380270</v>
          </cell>
          <cell r="C614" t="str">
            <v>ВАТ КБ "Іпобанк"</v>
          </cell>
        </row>
        <row r="615">
          <cell r="A615" t="str">
            <v>UIFM</v>
          </cell>
          <cell r="B615">
            <v>380322</v>
          </cell>
          <cell r="C615" t="str">
            <v>ТОВ "БАНК БОГУСЛАВ"</v>
          </cell>
        </row>
        <row r="616">
          <cell r="A616" t="str">
            <v>UIFN</v>
          </cell>
          <cell r="B616">
            <v>380344</v>
          </cell>
          <cell r="C616" t="str">
            <v>Перша КФАКБ "Інтеграл-банк"</v>
          </cell>
        </row>
        <row r="617">
          <cell r="A617" t="str">
            <v>UIFO</v>
          </cell>
          <cell r="B617">
            <v>380366</v>
          </cell>
          <cell r="C617" t="str">
            <v>ЗАТ "КРЕДИТ ЄВРОПА БАНК"</v>
          </cell>
        </row>
        <row r="618">
          <cell r="A618" t="str">
            <v>UIFP</v>
          </cell>
          <cell r="B618">
            <v>380429</v>
          </cell>
          <cell r="C618" t="str">
            <v>Київська філія ЗАТ "ФСБанк"</v>
          </cell>
        </row>
        <row r="619">
          <cell r="A619" t="str">
            <v>UIFR</v>
          </cell>
          <cell r="B619">
            <v>380430</v>
          </cell>
          <cell r="C619" t="str">
            <v>ВАТ "ЄВРОГАЗБАНК"</v>
          </cell>
        </row>
        <row r="620">
          <cell r="A620" t="str">
            <v>UIFS</v>
          </cell>
          <cell r="B620">
            <v>380441</v>
          </cell>
          <cell r="C620" t="str">
            <v>ЗАТ "КРЕДИТВЕСТ БАНК"</v>
          </cell>
        </row>
        <row r="621">
          <cell r="A621" t="str">
            <v>UIFT</v>
          </cell>
          <cell r="B621">
            <v>380667</v>
          </cell>
          <cell r="C621" t="str">
            <v>ВАТ "ЕРДЕ БАНК"</v>
          </cell>
        </row>
        <row r="622">
          <cell r="A622" t="str">
            <v>UIFU</v>
          </cell>
          <cell r="B622">
            <v>380560</v>
          </cell>
          <cell r="C622" t="str">
            <v>Друга Київ.ф.ВАТ"КРЕДОБАНК"</v>
          </cell>
        </row>
        <row r="623">
          <cell r="A623" t="str">
            <v>UIFV</v>
          </cell>
          <cell r="B623">
            <v>380571</v>
          </cell>
          <cell r="C623" t="str">
            <v>ВАТ "КБ "КРЕДИТ-ОПТИМА"</v>
          </cell>
        </row>
        <row r="624">
          <cell r="A624" t="str">
            <v>UIFW</v>
          </cell>
          <cell r="B624">
            <v>380504</v>
          </cell>
          <cell r="C624" t="str">
            <v>КФ ВАТ "КБ "Причорномор"я"</v>
          </cell>
        </row>
        <row r="625">
          <cell r="A625" t="str">
            <v>UIFX</v>
          </cell>
          <cell r="B625">
            <v>380656</v>
          </cell>
          <cell r="C625" t="str">
            <v>ДК ФКБ "Західінкомбанк"ТзОВ</v>
          </cell>
        </row>
        <row r="626">
          <cell r="A626" t="str">
            <v>UIFZ</v>
          </cell>
          <cell r="B626">
            <v>322001</v>
          </cell>
          <cell r="C626" t="str">
            <v>ВАТ "УНІВЕРСАЛ БАНК"</v>
          </cell>
        </row>
        <row r="627">
          <cell r="A627" t="str">
            <v>UIG0</v>
          </cell>
          <cell r="B627">
            <v>322313</v>
          </cell>
          <cell r="C627" t="str">
            <v>ВАТ "УКРЕКСІМБАНК"</v>
          </cell>
        </row>
        <row r="628">
          <cell r="A628" t="str">
            <v>UIGC</v>
          </cell>
          <cell r="B628">
            <v>380333</v>
          </cell>
          <cell r="C628" t="str">
            <v>Ф-я Укрексімбанк, Київ</v>
          </cell>
        </row>
        <row r="629">
          <cell r="A629" t="str">
            <v>UIHA</v>
          </cell>
          <cell r="B629">
            <v>321024</v>
          </cell>
          <cell r="C629" t="str">
            <v>ГУ НБУ по м.Києву і області</v>
          </cell>
        </row>
        <row r="630">
          <cell r="A630" t="str">
            <v>UIIA</v>
          </cell>
          <cell r="B630">
            <v>300164</v>
          </cell>
          <cell r="C630" t="str">
            <v>ВАТ "СВЕДБАНК"</v>
          </cell>
        </row>
        <row r="631">
          <cell r="A631" t="str">
            <v>UIIC</v>
          </cell>
          <cell r="B631">
            <v>300056</v>
          </cell>
          <cell r="C631" t="str">
            <v>АКБ "ЛЕГБАНК"</v>
          </cell>
        </row>
        <row r="632">
          <cell r="A632" t="str">
            <v>UIIE</v>
          </cell>
          <cell r="B632">
            <v>300078</v>
          </cell>
          <cell r="C632" t="str">
            <v>"ГРАДОБАНК"</v>
          </cell>
        </row>
        <row r="633">
          <cell r="A633" t="str">
            <v>UIIH</v>
          </cell>
          <cell r="B633">
            <v>300131</v>
          </cell>
          <cell r="C633" t="str">
            <v>ВАТ"Банк"Фінанси та Кредит"</v>
          </cell>
        </row>
        <row r="634">
          <cell r="A634" t="str">
            <v>UIII</v>
          </cell>
          <cell r="B634">
            <v>300142</v>
          </cell>
          <cell r="C634" t="str">
            <v>АТ "УКРІНБАНК"</v>
          </cell>
        </row>
        <row r="635">
          <cell r="A635" t="str">
            <v>UIIJ</v>
          </cell>
          <cell r="B635">
            <v>300250</v>
          </cell>
          <cell r="C635" t="str">
            <v>Київська ФАТ"Укрінбанк"</v>
          </cell>
        </row>
        <row r="636">
          <cell r="A636" t="str">
            <v>UIIM</v>
          </cell>
          <cell r="B636">
            <v>321712</v>
          </cell>
          <cell r="C636" t="str">
            <v>ВАТ "РОДОВІД БАНК"</v>
          </cell>
        </row>
        <row r="637">
          <cell r="A637" t="str">
            <v>UIIN</v>
          </cell>
          <cell r="B637">
            <v>300089</v>
          </cell>
          <cell r="C637" t="str">
            <v>АКБ  "ТРАНСБАНК"</v>
          </cell>
        </row>
        <row r="638">
          <cell r="A638" t="str">
            <v>UIIO</v>
          </cell>
          <cell r="B638">
            <v>300175</v>
          </cell>
          <cell r="C638" t="str">
            <v>ВАТ "СЕБ Банк"</v>
          </cell>
        </row>
        <row r="639">
          <cell r="A639" t="str">
            <v>UIIR</v>
          </cell>
          <cell r="B639">
            <v>300249</v>
          </cell>
          <cell r="C639" t="str">
            <v>АБ "БРОКБІЗНЕСБАНК"</v>
          </cell>
        </row>
        <row r="640">
          <cell r="A640" t="str">
            <v>UIIT</v>
          </cell>
          <cell r="B640">
            <v>300272</v>
          </cell>
          <cell r="C640" t="str">
            <v>АБ "ЕНЕРГОБАНК"</v>
          </cell>
        </row>
        <row r="641">
          <cell r="A641" t="str">
            <v>UIIV</v>
          </cell>
          <cell r="B641">
            <v>300120</v>
          </cell>
          <cell r="C641" t="str">
            <v>"БАНК ПЕТРОКОММЕРЦ-УКРАЇНА"</v>
          </cell>
        </row>
        <row r="642">
          <cell r="A642" t="str">
            <v>UIIX</v>
          </cell>
          <cell r="B642">
            <v>322294</v>
          </cell>
          <cell r="C642" t="str">
            <v>ВАТ "КБ "ЕКСПОБАНК"</v>
          </cell>
        </row>
        <row r="643">
          <cell r="A643" t="str">
            <v>UIIY</v>
          </cell>
          <cell r="B643">
            <v>300119</v>
          </cell>
          <cell r="C643" t="str">
            <v>АКБ "АЛЬЯНС"</v>
          </cell>
        </row>
        <row r="644">
          <cell r="A644" t="str">
            <v>UIJB</v>
          </cell>
          <cell r="B644">
            <v>300335</v>
          </cell>
          <cell r="C644" t="str">
            <v>"Райффайзен Банк Аваль"</v>
          </cell>
        </row>
        <row r="645">
          <cell r="A645" t="str">
            <v>UIJC</v>
          </cell>
          <cell r="B645">
            <v>300205</v>
          </cell>
          <cell r="C645" t="str">
            <v>ВАТ "УПБ"</v>
          </cell>
        </row>
        <row r="646">
          <cell r="A646" t="str">
            <v>UIJD</v>
          </cell>
          <cell r="B646">
            <v>300216</v>
          </cell>
          <cell r="C646" t="str">
            <v>ВАТ КБ "ІНТЕРБАНК"</v>
          </cell>
        </row>
        <row r="647">
          <cell r="A647" t="str">
            <v>UIJF</v>
          </cell>
          <cell r="B647">
            <v>300421</v>
          </cell>
          <cell r="C647" t="str">
            <v>"ВІДРОДЖЕННЯ"</v>
          </cell>
        </row>
        <row r="648">
          <cell r="A648" t="str">
            <v>UIJG</v>
          </cell>
          <cell r="B648">
            <v>380021</v>
          </cell>
          <cell r="C648" t="str">
            <v>Київська філ. Приватінвест</v>
          </cell>
        </row>
        <row r="649">
          <cell r="A649" t="str">
            <v>UIJH</v>
          </cell>
          <cell r="B649">
            <v>300313</v>
          </cell>
          <cell r="C649" t="str">
            <v>АКБ "ІНТЕРКОНТИНЕНТБАНК"</v>
          </cell>
        </row>
        <row r="650">
          <cell r="A650" t="str">
            <v>UIJI</v>
          </cell>
          <cell r="B650">
            <v>321477</v>
          </cell>
          <cell r="C650" t="str">
            <v>АБ "Старокиївський банк"</v>
          </cell>
        </row>
        <row r="651">
          <cell r="A651" t="str">
            <v>UIJJ</v>
          </cell>
          <cell r="B651">
            <v>321637</v>
          </cell>
          <cell r="C651" t="str">
            <v>Перша Київ.ФВАТ"ВіЕйБіБанк"</v>
          </cell>
        </row>
        <row r="652">
          <cell r="A652" t="str">
            <v>UIJN</v>
          </cell>
          <cell r="B652">
            <v>321842</v>
          </cell>
          <cell r="C652" t="str">
            <v>КИЇВСЬКЕ ГРУ ПРИВАТБАНКУ</v>
          </cell>
        </row>
        <row r="653">
          <cell r="A653" t="str">
            <v>UIJR</v>
          </cell>
          <cell r="B653">
            <v>321767</v>
          </cell>
          <cell r="C653" t="str">
            <v>ВАТ ВТБ БАНК</v>
          </cell>
        </row>
        <row r="654">
          <cell r="A654" t="str">
            <v>UIJT</v>
          </cell>
          <cell r="B654">
            <v>321756</v>
          </cell>
          <cell r="C654" t="str">
            <v>Святошинська ФАТ"Укрінбанк"</v>
          </cell>
        </row>
        <row r="655">
          <cell r="A655" t="str">
            <v>UIJU</v>
          </cell>
          <cell r="B655">
            <v>321723</v>
          </cell>
          <cell r="C655" t="str">
            <v>ВАТ "БТА Банк"</v>
          </cell>
        </row>
        <row r="656">
          <cell r="A656" t="str">
            <v>UIJZ</v>
          </cell>
          <cell r="B656">
            <v>321659</v>
          </cell>
          <cell r="C656" t="str">
            <v>АБ "АЛЛОНЖ"</v>
          </cell>
        </row>
        <row r="657">
          <cell r="A657" t="str">
            <v>UIKB</v>
          </cell>
          <cell r="B657">
            <v>321897</v>
          </cell>
          <cell r="C657" t="str">
            <v>Київська Ф-я ВАТ"КРЕДОБАНК"</v>
          </cell>
        </row>
        <row r="658">
          <cell r="A658" t="str">
            <v>UIKI</v>
          </cell>
          <cell r="B658">
            <v>322421</v>
          </cell>
          <cell r="C658" t="str">
            <v>Станкоб.ф.ВАТ"КБ"Експобанк"</v>
          </cell>
        </row>
        <row r="659">
          <cell r="A659" t="str">
            <v>UIKO</v>
          </cell>
          <cell r="B659">
            <v>322335</v>
          </cell>
          <cell r="C659" t="str">
            <v>АКБ "АРКАДА"</v>
          </cell>
        </row>
        <row r="660">
          <cell r="A660" t="str">
            <v>UIKR</v>
          </cell>
          <cell r="B660">
            <v>322465</v>
          </cell>
          <cell r="C660" t="str">
            <v>ВАТ ТФБ "Контракт"</v>
          </cell>
        </row>
        <row r="661">
          <cell r="A661" t="str">
            <v>UIKS</v>
          </cell>
          <cell r="B661">
            <v>322595</v>
          </cell>
          <cell r="C661" t="str">
            <v>ЗАЛІЗНИЧНА ФВАТ КБ"ХРЕЩАТИК</v>
          </cell>
        </row>
        <row r="662">
          <cell r="A662" t="str">
            <v>UIKT</v>
          </cell>
          <cell r="B662">
            <v>322324</v>
          </cell>
          <cell r="C662" t="str">
            <v>ВАТБанк"Олімпійська Україна</v>
          </cell>
        </row>
        <row r="663">
          <cell r="A663" t="str">
            <v>UIKU</v>
          </cell>
          <cell r="B663">
            <v>322498</v>
          </cell>
          <cell r="C663" t="str">
            <v>АКБ "КИЇВ"</v>
          </cell>
        </row>
        <row r="664">
          <cell r="A664" t="str">
            <v>UIKW</v>
          </cell>
          <cell r="B664">
            <v>380010</v>
          </cell>
          <cell r="C664" t="str">
            <v>ТОВ "Банк Ренесанс Капітал"</v>
          </cell>
        </row>
        <row r="665">
          <cell r="A665" t="str">
            <v>UIKY</v>
          </cell>
          <cell r="B665">
            <v>322357</v>
          </cell>
          <cell r="C665" t="str">
            <v>КФ АБ "УКРКОМУНБАНК"</v>
          </cell>
        </row>
        <row r="666">
          <cell r="A666" t="str">
            <v>UILA</v>
          </cell>
          <cell r="B666">
            <v>322669</v>
          </cell>
          <cell r="C666" t="str">
            <v>ФГоловне управління ВАТОщад</v>
          </cell>
        </row>
        <row r="667">
          <cell r="A667" t="str">
            <v>UILC</v>
          </cell>
          <cell r="B667">
            <v>320241</v>
          </cell>
          <cell r="C667" t="str">
            <v>ФПечерське відділеннВАТОщад</v>
          </cell>
        </row>
        <row r="668">
          <cell r="A668" t="str">
            <v>UILD</v>
          </cell>
          <cell r="B668">
            <v>320382</v>
          </cell>
          <cell r="C668" t="str">
            <v>ФПодільське відділенВАТОщад</v>
          </cell>
        </row>
        <row r="669">
          <cell r="A669" t="str">
            <v>UILH</v>
          </cell>
          <cell r="B669">
            <v>320553</v>
          </cell>
          <cell r="C669" t="str">
            <v>ФДарницьке відділеннВАТОщад</v>
          </cell>
        </row>
        <row r="670">
          <cell r="A670" t="str">
            <v>UILI</v>
          </cell>
          <cell r="B670">
            <v>320304</v>
          </cell>
          <cell r="C670" t="str">
            <v>ФГолосіївське відділВАТОщад</v>
          </cell>
        </row>
        <row r="671">
          <cell r="A671" t="str">
            <v>UILJ</v>
          </cell>
          <cell r="B671">
            <v>320445</v>
          </cell>
          <cell r="C671" t="str">
            <v>ФШевченківське віддіВАТОщад</v>
          </cell>
        </row>
        <row r="672">
          <cell r="A672" t="str">
            <v>UILK</v>
          </cell>
          <cell r="B672">
            <v>320326</v>
          </cell>
          <cell r="C672" t="str">
            <v>ФСолом`янське відділВАТОщад</v>
          </cell>
        </row>
        <row r="673">
          <cell r="A673" t="str">
            <v>UILL</v>
          </cell>
          <cell r="B673">
            <v>320337</v>
          </cell>
          <cell r="C673" t="str">
            <v>ФДніпровське відділеВАТОщад</v>
          </cell>
        </row>
        <row r="674">
          <cell r="A674" t="str">
            <v>UILM</v>
          </cell>
          <cell r="B674">
            <v>320218</v>
          </cell>
          <cell r="C674" t="str">
            <v>ФСвятошинське відділВАТОщад</v>
          </cell>
        </row>
        <row r="675">
          <cell r="A675" t="str">
            <v>UILN</v>
          </cell>
          <cell r="B675">
            <v>320229</v>
          </cell>
          <cell r="C675" t="str">
            <v>ФОболонське відділенВАТОщад</v>
          </cell>
        </row>
        <row r="676">
          <cell r="A676" t="str">
            <v>UILO</v>
          </cell>
          <cell r="B676">
            <v>320230</v>
          </cell>
          <cell r="C676" t="str">
            <v>ФДеснянське відділенВАТОщад</v>
          </cell>
        </row>
        <row r="677">
          <cell r="A677" t="str">
            <v>UILP</v>
          </cell>
          <cell r="B677">
            <v>300465</v>
          </cell>
          <cell r="C677" t="str">
            <v>ВАТ "ОЩАДБАНК"</v>
          </cell>
        </row>
        <row r="678">
          <cell r="A678" t="str">
            <v>UIN0</v>
          </cell>
          <cell r="B678">
            <v>300744</v>
          </cell>
          <cell r="C678" t="str">
            <v>Ф.УніКредит Банку, м.Київ</v>
          </cell>
        </row>
        <row r="679">
          <cell r="A679" t="str">
            <v>UINA</v>
          </cell>
          <cell r="B679">
            <v>320810</v>
          </cell>
          <cell r="C679" t="str">
            <v>ХАРКІВСЬКА ФАКБ "КИЇВ"</v>
          </cell>
        </row>
        <row r="680">
          <cell r="A680" t="str">
            <v>UINB</v>
          </cell>
          <cell r="B680">
            <v>320854</v>
          </cell>
          <cell r="C680" t="str">
            <v>"ДІАМАНТБАНК"</v>
          </cell>
        </row>
        <row r="681">
          <cell r="A681" t="str">
            <v>UINC</v>
          </cell>
          <cell r="B681">
            <v>320940</v>
          </cell>
          <cell r="C681" t="str">
            <v>АБ"АВТОЗАЗБАНК"</v>
          </cell>
        </row>
        <row r="682">
          <cell r="A682" t="str">
            <v>UIND</v>
          </cell>
          <cell r="B682">
            <v>320951</v>
          </cell>
          <cell r="C682" t="str">
            <v>КФ КБ "Західінкомбанк" ТзОВ</v>
          </cell>
        </row>
        <row r="683">
          <cell r="A683" t="str">
            <v>UINE</v>
          </cell>
          <cell r="B683">
            <v>300647</v>
          </cell>
          <cell r="C683" t="str">
            <v>АБ "КЛІРИНГОВИЙ ДІМ"</v>
          </cell>
        </row>
        <row r="684">
          <cell r="A684" t="str">
            <v>UINF</v>
          </cell>
          <cell r="B684">
            <v>320984</v>
          </cell>
          <cell r="C684" t="str">
            <v>ЗАТ "ПроКредит БАНК"</v>
          </cell>
        </row>
        <row r="685">
          <cell r="A685" t="str">
            <v>UING</v>
          </cell>
          <cell r="B685">
            <v>320973</v>
          </cell>
          <cell r="C685" t="str">
            <v>ШФ ВАТ КБ "Надра"</v>
          </cell>
        </row>
        <row r="686">
          <cell r="A686" t="str">
            <v>UINH</v>
          </cell>
          <cell r="B686">
            <v>320003</v>
          </cell>
          <cell r="C686" t="str">
            <v>ВАТ КБ "НАДРА"</v>
          </cell>
        </row>
        <row r="687">
          <cell r="A687" t="str">
            <v>UINI</v>
          </cell>
          <cell r="B687">
            <v>320627</v>
          </cell>
          <cell r="C687" t="str">
            <v>ЗАТ "СБЕРБАНК РОСІЇ"</v>
          </cell>
        </row>
        <row r="688">
          <cell r="A688" t="str">
            <v>UINJ</v>
          </cell>
          <cell r="B688">
            <v>320995</v>
          </cell>
          <cell r="C688" t="str">
            <v>ВАТ"УН.БАНК РОЗ.ТА ПАР"</v>
          </cell>
        </row>
        <row r="689">
          <cell r="A689" t="str">
            <v>UINK</v>
          </cell>
          <cell r="B689">
            <v>300238</v>
          </cell>
          <cell r="C689" t="str">
            <v>ФАКБ "ЗОЛОТІ ВОРОТА" М.КИЇВ</v>
          </cell>
        </row>
        <row r="690">
          <cell r="A690" t="str">
            <v>UINL</v>
          </cell>
          <cell r="B690">
            <v>300669</v>
          </cell>
          <cell r="C690" t="str">
            <v>ЗАТ "ПРАЙМ-БАНК"</v>
          </cell>
        </row>
        <row r="691">
          <cell r="A691" t="str">
            <v>UINM</v>
          </cell>
          <cell r="B691">
            <v>300896</v>
          </cell>
          <cell r="C691" t="str">
            <v>ВАТ "ТММ-БАНК"</v>
          </cell>
        </row>
        <row r="692">
          <cell r="A692" t="str">
            <v>UINN</v>
          </cell>
          <cell r="B692">
            <v>300799</v>
          </cell>
          <cell r="C692" t="str">
            <v>Шевченківська ф-я АКБ"КИЇВ"</v>
          </cell>
        </row>
        <row r="693">
          <cell r="A693" t="str">
            <v>UINO</v>
          </cell>
          <cell r="B693">
            <v>300744</v>
          </cell>
          <cell r="C693" t="str">
            <v>Ф.УніКредит Банку, м.Київ</v>
          </cell>
        </row>
        <row r="694">
          <cell r="A694" t="str">
            <v>UINP</v>
          </cell>
          <cell r="B694">
            <v>300788</v>
          </cell>
          <cell r="C694" t="str">
            <v>АБ "Таврика"</v>
          </cell>
        </row>
        <row r="695">
          <cell r="A695" t="str">
            <v>UINS</v>
          </cell>
          <cell r="B695">
            <v>300829</v>
          </cell>
          <cell r="C695" t="str">
            <v>ФІЛІЯ ВАТ "МТБ" У М.КИЄВІ</v>
          </cell>
        </row>
        <row r="696">
          <cell r="A696" t="str">
            <v>UINT</v>
          </cell>
          <cell r="B696">
            <v>300830</v>
          </cell>
          <cell r="C696" t="str">
            <v>Київ.рег.ф.ВАТ КБ"ХРЕЩАТИК"</v>
          </cell>
        </row>
        <row r="697">
          <cell r="A697" t="str">
            <v>UINV</v>
          </cell>
          <cell r="B697">
            <v>300948</v>
          </cell>
          <cell r="C697" t="str">
            <v>Перша КФ АКБ "ФОРУМ"</v>
          </cell>
        </row>
        <row r="698">
          <cell r="A698" t="str">
            <v>UINW</v>
          </cell>
          <cell r="B698">
            <v>300852</v>
          </cell>
          <cell r="C698" t="str">
            <v>ВАТ "КБ "АКТИВ-БАНК"</v>
          </cell>
        </row>
        <row r="699">
          <cell r="A699" t="str">
            <v>UINX</v>
          </cell>
          <cell r="B699">
            <v>300885</v>
          </cell>
          <cell r="C699" t="str">
            <v>ТОВ "АРТЕМ-БАНК"</v>
          </cell>
        </row>
        <row r="700">
          <cell r="A700" t="str">
            <v>UINY</v>
          </cell>
          <cell r="B700">
            <v>300904</v>
          </cell>
          <cell r="C700" t="str">
            <v>ТОВ "ФОРТУНА-БАНК"</v>
          </cell>
        </row>
        <row r="701">
          <cell r="A701" t="str">
            <v>UINZ</v>
          </cell>
          <cell r="B701">
            <v>300915</v>
          </cell>
          <cell r="C701" t="str">
            <v>Голосіївська філіяАКБ"Київ"</v>
          </cell>
        </row>
        <row r="702">
          <cell r="A702" t="str">
            <v>UIOJ</v>
          </cell>
          <cell r="B702">
            <v>380452</v>
          </cell>
          <cell r="C702" t="str">
            <v>Київ. ф.АБ"УкрБізнесБанк"</v>
          </cell>
        </row>
        <row r="703">
          <cell r="A703" t="str">
            <v>UIOK</v>
          </cell>
          <cell r="B703">
            <v>380474</v>
          </cell>
          <cell r="C703" t="str">
            <v>ВАТ Банк "ТРАСТ"</v>
          </cell>
        </row>
        <row r="704">
          <cell r="A704" t="str">
            <v>UIOO</v>
          </cell>
          <cell r="B704">
            <v>339555</v>
          </cell>
          <cell r="C704" t="str">
            <v>ВАТ "КБ "Преміум"</v>
          </cell>
        </row>
        <row r="705">
          <cell r="A705" t="str">
            <v>UIOS</v>
          </cell>
          <cell r="B705">
            <v>380515</v>
          </cell>
          <cell r="C705" t="str">
            <v>ВАТ "КБ"СОЮЗ"</v>
          </cell>
        </row>
        <row r="706">
          <cell r="A706" t="str">
            <v>UIOT</v>
          </cell>
          <cell r="B706">
            <v>380526</v>
          </cell>
          <cell r="C706" t="str">
            <v>ВАТ "КБ"ГЛОБУС"</v>
          </cell>
        </row>
        <row r="707">
          <cell r="A707" t="str">
            <v>UIOU</v>
          </cell>
          <cell r="B707">
            <v>339500</v>
          </cell>
          <cell r="C707" t="str">
            <v>ВАТ "АБ "Бізнес Стандарт"</v>
          </cell>
        </row>
        <row r="708">
          <cell r="A708" t="str">
            <v>UIOV</v>
          </cell>
          <cell r="B708">
            <v>380548</v>
          </cell>
          <cell r="C708" t="str">
            <v>ВАТ АСТРА БАНК</v>
          </cell>
        </row>
        <row r="709">
          <cell r="A709" t="str">
            <v>UIQK</v>
          </cell>
          <cell r="B709">
            <v>820019</v>
          </cell>
          <cell r="C709" t="str">
            <v>ГУДК України у м.Києві</v>
          </cell>
        </row>
        <row r="710">
          <cell r="A710" t="str">
            <v>UISA</v>
          </cell>
          <cell r="B710">
            <v>320702</v>
          </cell>
          <cell r="C710" t="str">
            <v>АКБ "НАЦІОНАЛЬНИЙ КРЕДИТ"</v>
          </cell>
        </row>
        <row r="711">
          <cell r="A711" t="str">
            <v>UISE</v>
          </cell>
          <cell r="B711">
            <v>320843</v>
          </cell>
          <cell r="C711" t="str">
            <v>ВАТ АБ "УКРГАЗПРОМБАНК"</v>
          </cell>
        </row>
        <row r="712">
          <cell r="A712" t="str">
            <v>UISG</v>
          </cell>
          <cell r="B712">
            <v>300379</v>
          </cell>
          <cell r="C712" t="str">
            <v>АТ "Каліон Банк Україна"</v>
          </cell>
        </row>
        <row r="713">
          <cell r="A713" t="str">
            <v>UISI</v>
          </cell>
          <cell r="B713">
            <v>320917</v>
          </cell>
          <cell r="C713" t="str">
            <v>ФАБ "ПІВДЕННИЙ" В М. Києві</v>
          </cell>
        </row>
        <row r="714">
          <cell r="A714" t="str">
            <v>UISK</v>
          </cell>
          <cell r="B714">
            <v>320650</v>
          </cell>
          <cell r="C714" t="str">
            <v>ЗАТ "СВЕДБАНК ІНВЕСТ"</v>
          </cell>
        </row>
        <row r="715">
          <cell r="A715" t="str">
            <v>UISL</v>
          </cell>
          <cell r="B715">
            <v>320898</v>
          </cell>
          <cell r="C715" t="str">
            <v>Київська Ф.Б"Кредит-Дніпро"</v>
          </cell>
        </row>
        <row r="716">
          <cell r="A716" t="str">
            <v>UISN</v>
          </cell>
          <cell r="B716">
            <v>320779</v>
          </cell>
          <cell r="C716" t="str">
            <v>Київська філія ВАТ "ЄБРЗ"</v>
          </cell>
        </row>
        <row r="717">
          <cell r="A717" t="str">
            <v>UISP</v>
          </cell>
          <cell r="B717">
            <v>320962</v>
          </cell>
          <cell r="C717" t="str">
            <v>КФ АКБ "ІНДУСТРІАЛБАНК"</v>
          </cell>
        </row>
        <row r="718">
          <cell r="A718" t="str">
            <v>UISR</v>
          </cell>
          <cell r="B718">
            <v>300863</v>
          </cell>
          <cell r="C718" t="str">
            <v>ВАТ "КРЕДИТПРОМБАНК"</v>
          </cell>
        </row>
        <row r="719">
          <cell r="A719" t="str">
            <v>UISS</v>
          </cell>
          <cell r="B719">
            <v>320876</v>
          </cell>
          <cell r="C719" t="str">
            <v>КФ ВАТКБ"ПІВДЕНКОМБАНК"</v>
          </cell>
        </row>
        <row r="720">
          <cell r="A720" t="str">
            <v>UIST</v>
          </cell>
          <cell r="B720">
            <v>300506</v>
          </cell>
          <cell r="C720" t="str">
            <v>"ПЕРШИЙ ІНВЕСТИЦІЙНИЙ БАНК"</v>
          </cell>
        </row>
        <row r="721">
          <cell r="A721" t="str">
            <v>UISX</v>
          </cell>
          <cell r="B721">
            <v>320906</v>
          </cell>
          <cell r="C721" t="str">
            <v>Київська філія АК"ПФБ"</v>
          </cell>
        </row>
        <row r="722">
          <cell r="A722" t="str">
            <v>UISY</v>
          </cell>
          <cell r="B722">
            <v>380582</v>
          </cell>
          <cell r="C722" t="str">
            <v>Міжнародний Інвестиційний</v>
          </cell>
        </row>
        <row r="723">
          <cell r="A723" t="str">
            <v>UISZ</v>
          </cell>
          <cell r="B723">
            <v>300777</v>
          </cell>
          <cell r="C723" t="str">
            <v>Подільська Ф ВАТ ВТБ Банк</v>
          </cell>
        </row>
        <row r="724">
          <cell r="A724" t="str">
            <v>UIUA</v>
          </cell>
          <cell r="B724">
            <v>380805</v>
          </cell>
          <cell r="C724" t="str">
            <v>"Райффайзен Банк Аваль"</v>
          </cell>
        </row>
        <row r="725">
          <cell r="A725" t="str">
            <v>UIUC</v>
          </cell>
          <cell r="B725">
            <v>380203</v>
          </cell>
          <cell r="C725" t="str">
            <v>Київська філія АКБ "ЧБРР"</v>
          </cell>
        </row>
        <row r="726">
          <cell r="A726" t="str">
            <v>UIUD</v>
          </cell>
          <cell r="B726">
            <v>380463</v>
          </cell>
          <cell r="C726" t="str">
            <v>Філія "Відрадне" АКБ "Київ"</v>
          </cell>
        </row>
        <row r="727">
          <cell r="A727" t="str">
            <v>UIUF</v>
          </cell>
          <cell r="B727">
            <v>380593</v>
          </cell>
          <cell r="C727" t="str">
            <v>КФ КБ ТОВ "МІСТО БАНК"</v>
          </cell>
        </row>
        <row r="728">
          <cell r="A728" t="str">
            <v>UIUG</v>
          </cell>
          <cell r="B728">
            <v>380300</v>
          </cell>
          <cell r="C728" t="str">
            <v>ТОВ КБ "АРМА"</v>
          </cell>
        </row>
        <row r="729">
          <cell r="A729" t="str">
            <v>UIUH</v>
          </cell>
          <cell r="B729">
            <v>380980</v>
          </cell>
          <cell r="C729" t="str">
            <v>ТОВ КБ "Даніель"</v>
          </cell>
        </row>
        <row r="730">
          <cell r="A730" t="str">
            <v>UIUI</v>
          </cell>
          <cell r="B730">
            <v>380076</v>
          </cell>
          <cell r="C730" t="str">
            <v>КРУ ТОВ "Укрпромбанк"</v>
          </cell>
        </row>
        <row r="731">
          <cell r="A731" t="str">
            <v>UIUJ</v>
          </cell>
          <cell r="B731">
            <v>380087</v>
          </cell>
          <cell r="C731" t="str">
            <v>Київський універсал.банк</v>
          </cell>
        </row>
        <row r="732">
          <cell r="A732" t="str">
            <v>UIUK</v>
          </cell>
          <cell r="B732">
            <v>380117</v>
          </cell>
          <cell r="C732" t="str">
            <v>Київська ф-я ВАТ "Мегабанк"</v>
          </cell>
        </row>
        <row r="733">
          <cell r="A733" t="str">
            <v>UIUM</v>
          </cell>
          <cell r="B733">
            <v>380106</v>
          </cell>
          <cell r="C733" t="str">
            <v>ЗАТ "АКБ "Траст-капітал"</v>
          </cell>
        </row>
        <row r="734">
          <cell r="A734" t="str">
            <v>UIUN</v>
          </cell>
          <cell r="B734">
            <v>380623</v>
          </cell>
          <cell r="C734" t="str">
            <v>ТОВ КБ "Столиця"</v>
          </cell>
        </row>
        <row r="735">
          <cell r="A735" t="str">
            <v>UIUO</v>
          </cell>
          <cell r="B735">
            <v>380883</v>
          </cell>
          <cell r="C735" t="str">
            <v>Укр.банк реконстр.та розв.</v>
          </cell>
        </row>
        <row r="736">
          <cell r="A736" t="str">
            <v>UIUP</v>
          </cell>
          <cell r="B736">
            <v>300959</v>
          </cell>
          <cell r="C736" t="str">
            <v>КИЇВС.Ф АБ "БРОКБІЗHЕСБАHК"</v>
          </cell>
        </row>
        <row r="737">
          <cell r="A737" t="str">
            <v>UIUQ</v>
          </cell>
          <cell r="B737">
            <v>380377</v>
          </cell>
          <cell r="C737" t="str">
            <v>ЗАТ "Укрбудінвестбанк"</v>
          </cell>
        </row>
        <row r="738">
          <cell r="A738" t="str">
            <v>UIUR</v>
          </cell>
          <cell r="B738">
            <v>380128</v>
          </cell>
          <cell r="C738" t="str">
            <v>КБ "УФГ" - ТОВ</v>
          </cell>
        </row>
        <row r="739">
          <cell r="A739" t="str">
            <v>UIUS</v>
          </cell>
          <cell r="B739">
            <v>380399</v>
          </cell>
          <cell r="C739" t="str">
            <v>ТОВ УКБ "Камбіо"</v>
          </cell>
        </row>
        <row r="740">
          <cell r="A740" t="str">
            <v>UIUT</v>
          </cell>
          <cell r="B740">
            <v>380139</v>
          </cell>
          <cell r="C740" t="str">
            <v>Подільська ФВАТКБ"Хрещатик"</v>
          </cell>
        </row>
        <row r="741">
          <cell r="A741" t="str">
            <v>UIUU</v>
          </cell>
          <cell r="B741">
            <v>380247</v>
          </cell>
          <cell r="C741" t="str">
            <v>Київська філія АКБ "Базис"</v>
          </cell>
        </row>
        <row r="742">
          <cell r="A742" t="str">
            <v>UIUV</v>
          </cell>
          <cell r="B742">
            <v>380151</v>
          </cell>
          <cell r="C742" t="str">
            <v>ФілВАТ"ПІРЕУС БАНК МКБ"КД"</v>
          </cell>
        </row>
        <row r="743">
          <cell r="A743" t="str">
            <v>UIVE</v>
          </cell>
          <cell r="B743">
            <v>380388</v>
          </cell>
          <cell r="C743" t="str">
            <v>ЗАТ "МІБ"</v>
          </cell>
        </row>
        <row r="744">
          <cell r="A744" t="str">
            <v>UIVF</v>
          </cell>
          <cell r="B744">
            <v>380054</v>
          </cell>
          <cell r="C744" t="str">
            <v>КБ "ФІНАНСОВА ІНІЦІАТИВА"</v>
          </cell>
        </row>
        <row r="745">
          <cell r="A745" t="str">
            <v>UIVH</v>
          </cell>
          <cell r="B745">
            <v>380355</v>
          </cell>
          <cell r="C745" t="str">
            <v>ТОВ КБ "ЄВРОБАНК"</v>
          </cell>
        </row>
        <row r="746">
          <cell r="A746" t="str">
            <v>UIVI</v>
          </cell>
          <cell r="B746">
            <v>380195</v>
          </cell>
          <cell r="C746" t="str">
            <v>Ф"Київ.рег.дир."ВАТВТББанк</v>
          </cell>
        </row>
        <row r="747">
          <cell r="A747" t="str">
            <v>UIVJ</v>
          </cell>
          <cell r="B747">
            <v>380407</v>
          </cell>
          <cell r="C747" t="str">
            <v>Ф-я N3 АКБ"Капітал", Київ</v>
          </cell>
        </row>
        <row r="748">
          <cell r="A748" t="str">
            <v>UIVT</v>
          </cell>
          <cell r="B748">
            <v>380184</v>
          </cell>
          <cell r="C748" t="str">
            <v>АКБ "ЄВРОПЕЙСЬКИЙ"</v>
          </cell>
        </row>
        <row r="749">
          <cell r="A749" t="str">
            <v>UIVV</v>
          </cell>
          <cell r="B749">
            <v>380537</v>
          </cell>
          <cell r="C749" t="str">
            <v>ВАТ "ВіЕйБі Банк"</v>
          </cell>
        </row>
        <row r="750">
          <cell r="A750" t="str">
            <v>UIVX</v>
          </cell>
          <cell r="B750">
            <v>380281</v>
          </cell>
          <cell r="C750" t="str">
            <v>Банк інвестицій,заощаджень</v>
          </cell>
        </row>
        <row r="751">
          <cell r="A751" t="str">
            <v>UIVY</v>
          </cell>
          <cell r="B751">
            <v>380311</v>
          </cell>
          <cell r="C751" t="str">
            <v>ВАТ "ФІНЕКСБАНК"</v>
          </cell>
        </row>
        <row r="752">
          <cell r="A752" t="str">
            <v>UIVZ</v>
          </cell>
          <cell r="B752">
            <v>380775</v>
          </cell>
          <cell r="C752" t="str">
            <v>Філія "КиївСіті ПриватБанку</v>
          </cell>
        </row>
        <row r="753">
          <cell r="A753" t="str">
            <v>UIWA</v>
          </cell>
          <cell r="B753">
            <v>300498</v>
          </cell>
          <cell r="C753" t="str">
            <v>АБ "НАЦІОНАЛЬНІ ІНВЕСТИЦІЇ"</v>
          </cell>
        </row>
        <row r="754">
          <cell r="A754" t="str">
            <v>UIWB</v>
          </cell>
          <cell r="B754">
            <v>380032</v>
          </cell>
          <cell r="C754" t="str">
            <v>КФ ВАТ КБ "ПРОМЕКОНОМБАНКУ"</v>
          </cell>
        </row>
        <row r="755">
          <cell r="A755" t="str">
            <v>UIWC</v>
          </cell>
          <cell r="B755">
            <v>321228</v>
          </cell>
          <cell r="C755" t="str">
            <v>TОB "УКРПРОМБАНК"</v>
          </cell>
        </row>
        <row r="756">
          <cell r="A756" t="str">
            <v>UIWD</v>
          </cell>
          <cell r="B756">
            <v>321466</v>
          </cell>
          <cell r="C756" t="str">
            <v>ВАТКБ"Національний стандарт</v>
          </cell>
        </row>
        <row r="757">
          <cell r="A757" t="str">
            <v>UIWE</v>
          </cell>
          <cell r="B757">
            <v>321983</v>
          </cell>
          <cell r="C757" t="str">
            <v>АКБ "ПРАВЕКС-БАНК"</v>
          </cell>
        </row>
        <row r="758">
          <cell r="A758" t="str">
            <v>UIWF</v>
          </cell>
          <cell r="B758">
            <v>319092</v>
          </cell>
          <cell r="C758" t="str">
            <v>АБ "КИЇВСЬКА РУСЬ"</v>
          </cell>
        </row>
        <row r="759">
          <cell r="A759" t="str">
            <v>UIWG</v>
          </cell>
          <cell r="B759">
            <v>300539</v>
          </cell>
          <cell r="C759" t="str">
            <v>АБ "ІНГ БАНК УКРАЇНА"</v>
          </cell>
        </row>
        <row r="760">
          <cell r="A760" t="str">
            <v>UIWH</v>
          </cell>
          <cell r="B760">
            <v>300540</v>
          </cell>
          <cell r="C760" t="str">
            <v>АБ "БРР"</v>
          </cell>
        </row>
        <row r="761">
          <cell r="A761" t="str">
            <v>UIWI</v>
          </cell>
          <cell r="B761">
            <v>300584</v>
          </cell>
          <cell r="C761" t="str">
            <v>АКБ "СІТІБАНК" (УКРАЇНА)</v>
          </cell>
        </row>
        <row r="762">
          <cell r="A762" t="str">
            <v>UIWJ</v>
          </cell>
          <cell r="B762">
            <v>300528</v>
          </cell>
          <cell r="C762" t="str">
            <v>ЗАТ "ОТП Банк"</v>
          </cell>
        </row>
        <row r="763">
          <cell r="A763" t="str">
            <v>UIWL</v>
          </cell>
          <cell r="B763">
            <v>300670</v>
          </cell>
          <cell r="C763" t="str">
            <v>ВАТ КБ "ХРЕЩАТИК"</v>
          </cell>
        </row>
        <row r="764">
          <cell r="A764" t="str">
            <v>UIWM</v>
          </cell>
          <cell r="B764">
            <v>300681</v>
          </cell>
          <cell r="C764" t="str">
            <v>Солом`янська ФАКБ "Київ"</v>
          </cell>
        </row>
        <row r="765">
          <cell r="A765" t="str">
            <v>UIWN</v>
          </cell>
          <cell r="B765">
            <v>300722</v>
          </cell>
          <cell r="C765" t="str">
            <v>Київс.ф-я ВАТ СКБ "Дністер"</v>
          </cell>
        </row>
        <row r="766">
          <cell r="A766" t="str">
            <v>UIWO</v>
          </cell>
          <cell r="B766">
            <v>300636</v>
          </cell>
          <cell r="C766" t="str">
            <v>АКБ"НАЦІОНАЛЬНИЙ КРЕДИТ",РП</v>
          </cell>
        </row>
        <row r="767">
          <cell r="A767" t="str">
            <v>UIWP</v>
          </cell>
          <cell r="B767">
            <v>300807</v>
          </cell>
          <cell r="C767" t="str">
            <v>АКБ "ГАРАНТ"</v>
          </cell>
        </row>
        <row r="768">
          <cell r="A768" t="str">
            <v>UIWQ</v>
          </cell>
          <cell r="B768">
            <v>300625</v>
          </cell>
          <cell r="C768" t="str">
            <v>КФ ТОВ "Банк Фамільний"</v>
          </cell>
        </row>
        <row r="769">
          <cell r="A769" t="str">
            <v>UIWR</v>
          </cell>
          <cell r="B769">
            <v>300766</v>
          </cell>
          <cell r="C769" t="str">
            <v>КИЇВСЬКАФ АКБ "ІМЕКСБАНК"</v>
          </cell>
        </row>
        <row r="770">
          <cell r="A770" t="str">
            <v>UIWT</v>
          </cell>
          <cell r="B770">
            <v>300937</v>
          </cell>
          <cell r="C770" t="str">
            <v>Ф "ЦРУ" ВАТ"Б" ФІН ТА КРЕД"</v>
          </cell>
        </row>
        <row r="771">
          <cell r="A771" t="str">
            <v>UIWU</v>
          </cell>
          <cell r="B771">
            <v>300658</v>
          </cell>
          <cell r="C771" t="str">
            <v>ВАТ "ПІРЕУС БАНК МКБ"</v>
          </cell>
        </row>
        <row r="772">
          <cell r="A772" t="str">
            <v>UIWV</v>
          </cell>
          <cell r="B772">
            <v>320939</v>
          </cell>
          <cell r="C772" t="str">
            <v>Святошинська філіяАКБ"Київ"</v>
          </cell>
        </row>
        <row r="773">
          <cell r="A773" t="str">
            <v>UIWW</v>
          </cell>
          <cell r="B773">
            <v>300700</v>
          </cell>
          <cell r="C773" t="str">
            <v>ФАКБ "НК" в м.Бориспіль</v>
          </cell>
        </row>
        <row r="774">
          <cell r="A774" t="str">
            <v>UIWX</v>
          </cell>
          <cell r="B774">
            <v>300711</v>
          </cell>
          <cell r="C774" t="str">
            <v>Печерська ф-я ПриватБанку</v>
          </cell>
        </row>
        <row r="775">
          <cell r="A775" t="str">
            <v>UIWZ</v>
          </cell>
          <cell r="B775">
            <v>300614</v>
          </cell>
          <cell r="C775" t="str">
            <v>"ІНДЕКС-БАНК"</v>
          </cell>
        </row>
        <row r="776">
          <cell r="A776" t="str">
            <v>UIXC</v>
          </cell>
          <cell r="B776">
            <v>322658</v>
          </cell>
          <cell r="C776" t="str">
            <v>АКБ "СЄБ"</v>
          </cell>
        </row>
        <row r="777">
          <cell r="A777" t="str">
            <v>UIXD</v>
          </cell>
          <cell r="B777">
            <v>322788</v>
          </cell>
          <cell r="C777" t="str">
            <v>Ф."Київ-Грант" Банку"Грант"</v>
          </cell>
        </row>
        <row r="778">
          <cell r="A778" t="str">
            <v>UIXF</v>
          </cell>
          <cell r="B778">
            <v>322432</v>
          </cell>
          <cell r="C778" t="str">
            <v>ВАТ "БАНК НАРОДНИЙ КАПІТАЛ"</v>
          </cell>
        </row>
        <row r="779">
          <cell r="A779" t="str">
            <v>UIXG</v>
          </cell>
          <cell r="B779">
            <v>322603</v>
          </cell>
          <cell r="C779" t="str">
            <v>ВАТ БАНК "БІГ ЕНЕРГІЯ"</v>
          </cell>
        </row>
        <row r="780">
          <cell r="A780" t="str">
            <v>UIXH</v>
          </cell>
          <cell r="B780">
            <v>322625</v>
          </cell>
          <cell r="C780" t="str">
            <v>АБ "УКООПСПІЛКА"</v>
          </cell>
        </row>
        <row r="781">
          <cell r="A781" t="str">
            <v>UIXL</v>
          </cell>
          <cell r="B781">
            <v>322755</v>
          </cell>
          <cell r="C781" t="str">
            <v>Філія ЗАТ "ПУМБ" в м.Києві</v>
          </cell>
        </row>
        <row r="782">
          <cell r="A782" t="str">
            <v>UIXN</v>
          </cell>
          <cell r="B782">
            <v>322539</v>
          </cell>
          <cell r="C782" t="str">
            <v>АКБ "ЮНЕКС"</v>
          </cell>
        </row>
        <row r="783">
          <cell r="A783" t="str">
            <v>UIXO</v>
          </cell>
          <cell r="B783">
            <v>322540</v>
          </cell>
          <cell r="C783" t="str">
            <v>ТОВ "КІБ"</v>
          </cell>
        </row>
        <row r="784">
          <cell r="A784" t="str">
            <v>UIXP</v>
          </cell>
          <cell r="B784">
            <v>322711</v>
          </cell>
          <cell r="C784" t="str">
            <v>АБ "СИНТЕЗ"</v>
          </cell>
        </row>
        <row r="785">
          <cell r="A785" t="str">
            <v>UIXQ</v>
          </cell>
          <cell r="B785">
            <v>322302</v>
          </cell>
          <cell r="C785" t="str">
            <v>ВАТ "АГРОКОМБАНК"</v>
          </cell>
        </row>
        <row r="786">
          <cell r="A786" t="str">
            <v>UIXT</v>
          </cell>
          <cell r="B786">
            <v>322562</v>
          </cell>
          <cell r="C786" t="str">
            <v>Ф-я АБ Полтава-банк ум.Київ</v>
          </cell>
        </row>
        <row r="787">
          <cell r="A787" t="str">
            <v>UIXY</v>
          </cell>
          <cell r="B787">
            <v>322948</v>
          </cell>
          <cell r="C787" t="str">
            <v>АКБ "ФОРУМ"</v>
          </cell>
        </row>
        <row r="788">
          <cell r="A788" t="str">
            <v>UIXZ</v>
          </cell>
          <cell r="B788">
            <v>322700</v>
          </cell>
          <cell r="C788" t="str">
            <v>Київська фВАТ"КБ"Експобанк"</v>
          </cell>
        </row>
        <row r="789">
          <cell r="A789" t="str">
            <v>UIYA</v>
          </cell>
          <cell r="B789">
            <v>322647</v>
          </cell>
          <cell r="C789" t="str">
            <v>Філ"Нивки"ВАТ"КБ"Експобанк"</v>
          </cell>
        </row>
        <row r="790">
          <cell r="A790" t="str">
            <v>UIYE</v>
          </cell>
          <cell r="B790">
            <v>322799</v>
          </cell>
          <cell r="C790" t="str">
            <v>АТ "БАНК ВЕЛЕС"</v>
          </cell>
        </row>
        <row r="791">
          <cell r="A791" t="str">
            <v>UIYF</v>
          </cell>
          <cell r="B791">
            <v>322852</v>
          </cell>
          <cell r="C791" t="str">
            <v>Перша Київ. Ф  ВАТ ВТБ БАНК</v>
          </cell>
        </row>
        <row r="792">
          <cell r="A792" t="str">
            <v>UIYG</v>
          </cell>
          <cell r="B792">
            <v>322863</v>
          </cell>
          <cell r="C792" t="str">
            <v>ФКД ВАТ "ІНПРОМБАНК"</v>
          </cell>
        </row>
        <row r="793">
          <cell r="A793" t="str">
            <v>UIYL</v>
          </cell>
          <cell r="B793">
            <v>300755</v>
          </cell>
          <cell r="C793" t="str">
            <v>ФАКБ "МЕРКУРІЙ" в м.Києві</v>
          </cell>
        </row>
        <row r="794">
          <cell r="A794" t="str">
            <v>UIYN</v>
          </cell>
          <cell r="B794">
            <v>322959</v>
          </cell>
          <cell r="C794" t="str">
            <v>АБ "ЕКСПРЕС-БАНК"</v>
          </cell>
        </row>
        <row r="795">
          <cell r="A795" t="str">
            <v>UIYO</v>
          </cell>
          <cell r="B795">
            <v>322830</v>
          </cell>
          <cell r="C795" t="str">
            <v>АКБ "ТК КРЕДИТ"</v>
          </cell>
        </row>
        <row r="796">
          <cell r="A796" t="str">
            <v>UIYP</v>
          </cell>
          <cell r="B796">
            <v>322904</v>
          </cell>
          <cell r="C796" t="str">
            <v>К.РД"Райффайзен Банк Аваль"</v>
          </cell>
        </row>
        <row r="797">
          <cell r="A797" t="str">
            <v>UIYT</v>
          </cell>
          <cell r="B797">
            <v>322993</v>
          </cell>
          <cell r="C797" t="str">
            <v>Оболонська ФАТ"Укрінбанк"</v>
          </cell>
        </row>
        <row r="798">
          <cell r="A798" t="str">
            <v>UIYV</v>
          </cell>
          <cell r="B798">
            <v>320371</v>
          </cell>
          <cell r="C798" t="str">
            <v>ВАТ"БАНК "УКРАЇН.КАПІТАЛ"</v>
          </cell>
        </row>
        <row r="799">
          <cell r="A799" t="str">
            <v>UIYZ</v>
          </cell>
          <cell r="B799">
            <v>320401</v>
          </cell>
          <cell r="C799" t="str">
            <v>Подільська ФАКБ "Київ"</v>
          </cell>
        </row>
        <row r="800">
          <cell r="A800" t="str">
            <v>UIZA</v>
          </cell>
          <cell r="B800">
            <v>320456</v>
          </cell>
          <cell r="C800" t="str">
            <v>ДФ ВАТ "ПІРЕУС БАНК МКБ"</v>
          </cell>
        </row>
        <row r="801">
          <cell r="A801" t="str">
            <v>UIZB</v>
          </cell>
          <cell r="B801">
            <v>320564</v>
          </cell>
          <cell r="C801" t="str">
            <v>ФАКБ "НАДРА" Київське РУ</v>
          </cell>
        </row>
        <row r="802">
          <cell r="A802" t="str">
            <v>UIZE</v>
          </cell>
          <cell r="B802">
            <v>320467</v>
          </cell>
          <cell r="C802" t="str">
            <v>Борщагів.фВАТ"КБ"Експобанк"</v>
          </cell>
        </row>
        <row r="803">
          <cell r="A803" t="str">
            <v>UIZF</v>
          </cell>
          <cell r="B803">
            <v>320478</v>
          </cell>
          <cell r="C803" t="str">
            <v>ВАТ АБ "УКРГАЗБАНК"</v>
          </cell>
        </row>
        <row r="804">
          <cell r="A804" t="str">
            <v>UIZH</v>
          </cell>
          <cell r="B804">
            <v>320605</v>
          </cell>
          <cell r="C804" t="str">
            <v>Оболонська філія АКБ "Київ"</v>
          </cell>
        </row>
        <row r="805">
          <cell r="A805" t="str">
            <v>UIZM</v>
          </cell>
          <cell r="B805">
            <v>320597</v>
          </cell>
          <cell r="C805" t="str">
            <v>Подільс.ф.ВАТ"КБ"Експобанк"</v>
          </cell>
        </row>
        <row r="806">
          <cell r="A806" t="str">
            <v>UIZN</v>
          </cell>
          <cell r="B806">
            <v>320735</v>
          </cell>
          <cell r="C806" t="str">
            <v>АКБ "ІНТЕГРАЛ"</v>
          </cell>
        </row>
        <row r="807">
          <cell r="A807" t="str">
            <v>UIZO</v>
          </cell>
          <cell r="B807">
            <v>320519</v>
          </cell>
          <cell r="C807" t="str">
            <v>Друга Київ.Ф ВАТ"ВіЕйБіБанк</v>
          </cell>
        </row>
        <row r="808">
          <cell r="A808" t="str">
            <v>UIZT</v>
          </cell>
          <cell r="B808">
            <v>300346</v>
          </cell>
          <cell r="C808" t="str">
            <v>ЗАТ "АЛЬФА-БАНК"</v>
          </cell>
        </row>
        <row r="809">
          <cell r="A809" t="str">
            <v>UIZX</v>
          </cell>
          <cell r="B809">
            <v>320649</v>
          </cell>
          <cell r="C809" t="str">
            <v>Ф-Я РОЗРАХ.ЦЕНТР ПРИВАТБАНК</v>
          </cell>
        </row>
        <row r="810">
          <cell r="A810" t="str">
            <v>UJAB</v>
          </cell>
          <cell r="B810">
            <v>321262</v>
          </cell>
          <cell r="C810" t="str">
            <v>Ф-Я ВІД.ПІБ В М.УКРАЇНКА</v>
          </cell>
        </row>
        <row r="811">
          <cell r="A811" t="str">
            <v>UJAC</v>
          </cell>
          <cell r="B811">
            <v>321433</v>
          </cell>
          <cell r="C811" t="str">
            <v>Ф. ВІД.ПІБ в м.Бровари</v>
          </cell>
        </row>
        <row r="812">
          <cell r="A812" t="str">
            <v>UJAD</v>
          </cell>
          <cell r="B812">
            <v>321057</v>
          </cell>
          <cell r="C812" t="str">
            <v>Ф-Я ВІД.ПІБ В М.Б.ЦЕРКВА</v>
          </cell>
        </row>
        <row r="813">
          <cell r="A813" t="str">
            <v>UJAF</v>
          </cell>
          <cell r="B813">
            <v>321422</v>
          </cell>
          <cell r="C813" t="str">
            <v>Ф.ВІД.ПІБ В М.ФАСТІВ,КИЇВ</v>
          </cell>
        </row>
        <row r="814">
          <cell r="A814" t="str">
            <v>UJAG</v>
          </cell>
          <cell r="B814">
            <v>321154</v>
          </cell>
          <cell r="C814" t="str">
            <v>Ф-я "ВІД.ПІБ В М.СЛАВУТИЧ"</v>
          </cell>
        </row>
        <row r="815">
          <cell r="A815" t="str">
            <v>UJAI</v>
          </cell>
          <cell r="B815">
            <v>321143</v>
          </cell>
          <cell r="C815" t="str">
            <v>Ф.ВІД.ПІБ В М.ВИШГОРОД КИЇВ</v>
          </cell>
        </row>
        <row r="816">
          <cell r="A816" t="str">
            <v>UJCA</v>
          </cell>
          <cell r="B816">
            <v>321013</v>
          </cell>
          <cell r="C816" t="str">
            <v>Київ ОФ АКБ "УСБ"</v>
          </cell>
        </row>
        <row r="817">
          <cell r="A817" t="str">
            <v>UJIE</v>
          </cell>
          <cell r="B817">
            <v>321284</v>
          </cell>
          <cell r="C817" t="str">
            <v>ФАТ  "ГРАДОБАНК"  Славутич</v>
          </cell>
        </row>
        <row r="818">
          <cell r="A818" t="str">
            <v>UJIF</v>
          </cell>
          <cell r="B818">
            <v>319081</v>
          </cell>
          <cell r="C818" t="str">
            <v>Київська філія ХАК"Зембанк"</v>
          </cell>
        </row>
        <row r="819">
          <cell r="A819" t="str">
            <v>UJIG</v>
          </cell>
          <cell r="B819">
            <v>321325</v>
          </cell>
          <cell r="C819" t="str">
            <v>Білоцерк. Ф ВАТ ВТБ Банк</v>
          </cell>
        </row>
        <row r="820">
          <cell r="A820" t="str">
            <v>UJIK</v>
          </cell>
          <cell r="B820">
            <v>321916</v>
          </cell>
          <cell r="C820" t="str">
            <v>БФ "ВАТ АКБ АВТОКРАЗБАНК"</v>
          </cell>
        </row>
        <row r="821">
          <cell r="A821" t="str">
            <v>UJIO</v>
          </cell>
          <cell r="B821">
            <v>319058</v>
          </cell>
          <cell r="C821" t="str">
            <v>Білоцер.ФАБ"БРОКБІЗНЕСБАНК"</v>
          </cell>
        </row>
        <row r="822">
          <cell r="A822" t="str">
            <v>UJIR</v>
          </cell>
          <cell r="B822">
            <v>321808</v>
          </cell>
          <cell r="C822" t="str">
            <v>Броварська ФАТ"Укрінбанк"</v>
          </cell>
        </row>
        <row r="823">
          <cell r="A823" t="str">
            <v>UJIT</v>
          </cell>
          <cell r="B823">
            <v>321121</v>
          </cell>
          <cell r="C823" t="str">
            <v>БЦФ "РАЙФФАЙЗЕН БАНК АВАЛЬ"</v>
          </cell>
        </row>
        <row r="824">
          <cell r="A824" t="str">
            <v>UJJH</v>
          </cell>
          <cell r="B824">
            <v>319014</v>
          </cell>
          <cell r="C824" t="str">
            <v>Білоцерківська ФАКБ "СЄБ"</v>
          </cell>
        </row>
        <row r="825">
          <cell r="A825" t="str">
            <v>UJJJ</v>
          </cell>
          <cell r="B825">
            <v>319036</v>
          </cell>
          <cell r="C825" t="str">
            <v>ФАБ"Київська Русь",Богуслав</v>
          </cell>
        </row>
        <row r="826">
          <cell r="A826" t="str">
            <v>UJLA</v>
          </cell>
          <cell r="B826">
            <v>320315</v>
          </cell>
          <cell r="C826" t="str">
            <v>ФЯготинське відділенВАТОщад</v>
          </cell>
        </row>
        <row r="827">
          <cell r="A827" t="str">
            <v>UJLD</v>
          </cell>
          <cell r="B827">
            <v>320047</v>
          </cell>
          <cell r="C827" t="str">
            <v>ФБілоцерківське віддВАТОщад</v>
          </cell>
        </row>
        <row r="828">
          <cell r="A828" t="str">
            <v>UJLE</v>
          </cell>
          <cell r="B828">
            <v>320092</v>
          </cell>
          <cell r="C828" t="str">
            <v>ФБогуславське відділВАТОщад</v>
          </cell>
        </row>
        <row r="829">
          <cell r="A829" t="str">
            <v>UJLF</v>
          </cell>
          <cell r="B829">
            <v>320133</v>
          </cell>
          <cell r="C829" t="str">
            <v>ФБориспільське віддіВАТОщад</v>
          </cell>
        </row>
        <row r="830">
          <cell r="A830" t="str">
            <v>UJLG</v>
          </cell>
          <cell r="B830">
            <v>320081</v>
          </cell>
          <cell r="C830" t="str">
            <v>ФБородянське відділеВАТОщад</v>
          </cell>
        </row>
        <row r="831">
          <cell r="A831" t="str">
            <v>UJLH</v>
          </cell>
          <cell r="B831">
            <v>320122</v>
          </cell>
          <cell r="C831" t="str">
            <v>ФБроварське відділенВАТОщад</v>
          </cell>
        </row>
        <row r="832">
          <cell r="A832" t="str">
            <v>UJLI</v>
          </cell>
          <cell r="B832">
            <v>320263</v>
          </cell>
          <cell r="C832" t="str">
            <v>ФВасильківське віддіВАТОщад</v>
          </cell>
        </row>
        <row r="833">
          <cell r="A833" t="str">
            <v>UJLK</v>
          </cell>
          <cell r="B833">
            <v>320155</v>
          </cell>
          <cell r="C833" t="str">
            <v>ФВишгородське відділВАТОщад</v>
          </cell>
        </row>
        <row r="834">
          <cell r="A834" t="str">
            <v>UJLL</v>
          </cell>
          <cell r="B834">
            <v>320036</v>
          </cell>
          <cell r="C834" t="str">
            <v>ФІванківське відділеВАТОщад</v>
          </cell>
        </row>
        <row r="835">
          <cell r="A835" t="str">
            <v>UJLM</v>
          </cell>
          <cell r="B835">
            <v>320177</v>
          </cell>
          <cell r="C835" t="str">
            <v>ФІрпінське відділеннВАТОщад</v>
          </cell>
        </row>
        <row r="836">
          <cell r="A836" t="str">
            <v>UJLN</v>
          </cell>
          <cell r="B836">
            <v>320058</v>
          </cell>
          <cell r="C836" t="str">
            <v>ФКагарлицьке відділеВАТОщад</v>
          </cell>
        </row>
        <row r="837">
          <cell r="A837" t="str">
            <v>UJLO</v>
          </cell>
          <cell r="B837">
            <v>320069</v>
          </cell>
          <cell r="C837" t="str">
            <v>ФКиєво-Святошинське ВАТОщад</v>
          </cell>
        </row>
        <row r="838">
          <cell r="A838" t="str">
            <v>UJLP</v>
          </cell>
          <cell r="B838">
            <v>320070</v>
          </cell>
          <cell r="C838" t="str">
            <v>ФМакарівське відділеВАТОщад</v>
          </cell>
        </row>
        <row r="839">
          <cell r="A839" t="str">
            <v>UJLQ</v>
          </cell>
          <cell r="B839">
            <v>320188</v>
          </cell>
          <cell r="C839" t="str">
            <v>ФМиронівське відділеВАТОщад</v>
          </cell>
        </row>
        <row r="840">
          <cell r="A840" t="str">
            <v>UJLR</v>
          </cell>
          <cell r="B840">
            <v>320199</v>
          </cell>
          <cell r="C840" t="str">
            <v>ФОбухівське відділенВАТОщад</v>
          </cell>
        </row>
        <row r="841">
          <cell r="A841" t="str">
            <v>UJLS</v>
          </cell>
          <cell r="B841">
            <v>320100</v>
          </cell>
          <cell r="C841" t="str">
            <v>ФПереяслав-ХмельницьВАТОщад</v>
          </cell>
        </row>
        <row r="842">
          <cell r="A842" t="str">
            <v>UJLU</v>
          </cell>
          <cell r="B842">
            <v>320252</v>
          </cell>
          <cell r="C842" t="str">
            <v>ФРокитнянське відділВАТОщад</v>
          </cell>
        </row>
        <row r="843">
          <cell r="A843" t="str">
            <v>UJLY</v>
          </cell>
          <cell r="B843">
            <v>320166</v>
          </cell>
          <cell r="C843" t="str">
            <v>ФТетіївське відділенВАТОщад</v>
          </cell>
        </row>
        <row r="844">
          <cell r="A844" t="str">
            <v>UJLZ</v>
          </cell>
          <cell r="B844">
            <v>320207</v>
          </cell>
          <cell r="C844" t="str">
            <v>ФФастівське відділенВАТОщад</v>
          </cell>
        </row>
        <row r="845">
          <cell r="A845" t="str">
            <v>UJQK</v>
          </cell>
          <cell r="B845">
            <v>821018</v>
          </cell>
          <cell r="C845" t="str">
            <v>ГУ ДКУ у Київській області</v>
          </cell>
        </row>
        <row r="846">
          <cell r="A846" t="str">
            <v>UKAA</v>
          </cell>
          <cell r="B846">
            <v>323301</v>
          </cell>
          <cell r="C846" t="str">
            <v>Ф."Відділ.ПІБ,м.Кіровоград"</v>
          </cell>
        </row>
        <row r="847">
          <cell r="A847" t="str">
            <v>UKAD</v>
          </cell>
          <cell r="B847">
            <v>323077</v>
          </cell>
          <cell r="C847" t="str">
            <v>Ф-Я ВIД.ПIБ В М.ДОЛИНСЬКА</v>
          </cell>
        </row>
        <row r="848">
          <cell r="A848" t="str">
            <v>UKCA</v>
          </cell>
          <cell r="B848">
            <v>323293</v>
          </cell>
          <cell r="C848" t="str">
            <v>Кіровоград обл.ф-я АКБ УСБ</v>
          </cell>
        </row>
        <row r="849">
          <cell r="A849" t="str">
            <v>UKFA</v>
          </cell>
          <cell r="B849">
            <v>383460</v>
          </cell>
          <cell r="C849" t="str">
            <v>Кіров.ф. ВАТ КБ "Хрещатик"</v>
          </cell>
        </row>
        <row r="850">
          <cell r="A850" t="str">
            <v>UKFB</v>
          </cell>
          <cell r="B850">
            <v>383471</v>
          </cell>
          <cell r="C850" t="str">
            <v>Кіровог.ф.ВАТ "КРЕДОБАНК"</v>
          </cell>
        </row>
        <row r="851">
          <cell r="A851" t="str">
            <v>UKGA</v>
          </cell>
          <cell r="B851">
            <v>323389</v>
          </cell>
          <cell r="C851" t="str">
            <v>Ф-я Укрексімбанк, Кіровогр</v>
          </cell>
        </row>
        <row r="852">
          <cell r="A852" t="str">
            <v>UKHA</v>
          </cell>
          <cell r="B852">
            <v>323378</v>
          </cell>
          <cell r="C852" t="str">
            <v>Упр. НБУ в Кіровоград. обл.</v>
          </cell>
        </row>
        <row r="853">
          <cell r="A853" t="str">
            <v>UKIC</v>
          </cell>
          <cell r="B853">
            <v>323538</v>
          </cell>
          <cell r="C853" t="str">
            <v>ОД "Райффайзен Банк Аваль"</v>
          </cell>
        </row>
        <row r="854">
          <cell r="A854" t="str">
            <v>UKIH</v>
          </cell>
          <cell r="B854">
            <v>323754</v>
          </cell>
          <cell r="C854" t="str">
            <v>Кіровогр.ФВАТ "УКРПРОМБАНК"</v>
          </cell>
        </row>
        <row r="855">
          <cell r="A855" t="str">
            <v>UKIJ</v>
          </cell>
          <cell r="B855">
            <v>323505</v>
          </cell>
          <cell r="C855" t="str">
            <v>Світловод. ФАТ"Укрінбанк"</v>
          </cell>
        </row>
        <row r="856">
          <cell r="A856" t="str">
            <v>UKIZ</v>
          </cell>
          <cell r="B856">
            <v>323583</v>
          </cell>
          <cell r="C856" t="str">
            <v>Кіровогр.філ.ПриватБанку</v>
          </cell>
        </row>
        <row r="857">
          <cell r="A857" t="str">
            <v>UKJB</v>
          </cell>
          <cell r="B857">
            <v>383136</v>
          </cell>
          <cell r="C857" t="str">
            <v>ФАКБ "НК" в м.Світлов.</v>
          </cell>
        </row>
        <row r="858">
          <cell r="A858" t="str">
            <v>UKJC</v>
          </cell>
          <cell r="B858">
            <v>323624</v>
          </cell>
          <cell r="C858" t="str">
            <v>ВАТКБ"НАДРА"Кіровоград. РУ</v>
          </cell>
        </row>
        <row r="859">
          <cell r="A859" t="str">
            <v>UKJD</v>
          </cell>
          <cell r="B859">
            <v>323679</v>
          </cell>
          <cell r="C859" t="str">
            <v>ОФ ВАТ АКБ "АВТОКРАЗБАНК"</v>
          </cell>
        </row>
        <row r="860">
          <cell r="A860" t="str">
            <v>UKJE</v>
          </cell>
          <cell r="B860">
            <v>323680</v>
          </cell>
          <cell r="C860" t="str">
            <v>Кіровоградс. ФАКБ "ЛЕГБАНК"</v>
          </cell>
        </row>
        <row r="861">
          <cell r="A861" t="str">
            <v>UKJJ</v>
          </cell>
          <cell r="B861">
            <v>323765</v>
          </cell>
          <cell r="C861" t="str">
            <v>Ф."КД"АТ"ІНДЕКСБАНК"М.КІР.</v>
          </cell>
        </row>
        <row r="862">
          <cell r="A862" t="str">
            <v>UKJO</v>
          </cell>
          <cell r="B862">
            <v>323798</v>
          </cell>
          <cell r="C862" t="str">
            <v>КІРОВОГРАДФ АКБ "ІМЕКСБАНК"</v>
          </cell>
        </row>
        <row r="863">
          <cell r="A863" t="str">
            <v>UKJV</v>
          </cell>
          <cell r="B863">
            <v>383040</v>
          </cell>
          <cell r="C863" t="str">
            <v>Кір.ФКБ"Західінкомбанк"ТзОВ</v>
          </cell>
        </row>
        <row r="864">
          <cell r="A864" t="str">
            <v>UKJZ</v>
          </cell>
          <cell r="B864">
            <v>383073</v>
          </cell>
          <cell r="C864" t="str">
            <v>Кіровоград.ФАБ "Укргазбанк"</v>
          </cell>
        </row>
        <row r="865">
          <cell r="A865" t="str">
            <v>UKKA</v>
          </cell>
          <cell r="B865">
            <v>323000</v>
          </cell>
          <cell r="C865" t="str">
            <v>Кіровоград. Ф ВАТ ВТБ Банк</v>
          </cell>
        </row>
        <row r="866">
          <cell r="A866" t="str">
            <v>UKKB</v>
          </cell>
          <cell r="B866">
            <v>383147</v>
          </cell>
          <cell r="C866" t="str">
            <v>Кіровогр.ФВАТ "ВіЕйБі Банк"</v>
          </cell>
        </row>
        <row r="867">
          <cell r="A867" t="str">
            <v>UKKC</v>
          </cell>
          <cell r="B867">
            <v>383006</v>
          </cell>
          <cell r="C867" t="str">
            <v>Кіровоградська ФАКБ "СЄБ"</v>
          </cell>
        </row>
        <row r="868">
          <cell r="A868" t="str">
            <v>UKKD</v>
          </cell>
          <cell r="B868">
            <v>383170</v>
          </cell>
          <cell r="C868" t="str">
            <v>Філія  АБ "Південний"</v>
          </cell>
        </row>
        <row r="869">
          <cell r="A869" t="str">
            <v>UKKE</v>
          </cell>
          <cell r="B869">
            <v>383051</v>
          </cell>
          <cell r="C869" t="str">
            <v>Кіровоградська ф АКБ"Форум"</v>
          </cell>
        </row>
        <row r="870">
          <cell r="A870" t="str">
            <v>UKLA</v>
          </cell>
          <cell r="B870">
            <v>323475</v>
          </cell>
          <cell r="C870" t="str">
            <v>ФКіровоградське ОУ ВАТОщад</v>
          </cell>
        </row>
        <row r="871">
          <cell r="A871" t="str">
            <v>UKLE</v>
          </cell>
          <cell r="B871">
            <v>323806</v>
          </cell>
          <cell r="C871" t="str">
            <v>ФОлександрійське відВАТОщад</v>
          </cell>
        </row>
        <row r="872">
          <cell r="A872" t="str">
            <v>UKLF</v>
          </cell>
          <cell r="B872">
            <v>323817</v>
          </cell>
          <cell r="C872" t="str">
            <v>ФОлександрівське відВАТОщад</v>
          </cell>
        </row>
        <row r="873">
          <cell r="A873" t="str">
            <v>UKLH</v>
          </cell>
          <cell r="B873">
            <v>323839</v>
          </cell>
          <cell r="C873" t="str">
            <v>ФДобровеличківськевіВАТОщад</v>
          </cell>
        </row>
        <row r="874">
          <cell r="A874" t="str">
            <v>UKLI</v>
          </cell>
          <cell r="B874">
            <v>323840</v>
          </cell>
          <cell r="C874" t="str">
            <v>ФДолинське відділеннВАТОщад</v>
          </cell>
        </row>
        <row r="875">
          <cell r="A875" t="str">
            <v>UKLJ</v>
          </cell>
          <cell r="B875">
            <v>323851</v>
          </cell>
          <cell r="C875" t="str">
            <v>ФЗнам`янське відділеВАТОщад</v>
          </cell>
        </row>
        <row r="876">
          <cell r="A876" t="str">
            <v>UKLK</v>
          </cell>
          <cell r="B876">
            <v>323862</v>
          </cell>
          <cell r="C876" t="str">
            <v>ФМаловисківське віддВАТОщад</v>
          </cell>
        </row>
        <row r="877">
          <cell r="A877" t="str">
            <v>UKLM</v>
          </cell>
          <cell r="B877">
            <v>323884</v>
          </cell>
          <cell r="C877" t="str">
            <v>ФНовоархангельське вВАТОщад</v>
          </cell>
        </row>
        <row r="878">
          <cell r="A878" t="str">
            <v>UKLN</v>
          </cell>
          <cell r="B878">
            <v>323895</v>
          </cell>
          <cell r="C878" t="str">
            <v>ФСвітловодське віддіВАТОщад</v>
          </cell>
        </row>
        <row r="879">
          <cell r="A879" t="str">
            <v>UKLP</v>
          </cell>
          <cell r="B879">
            <v>323914</v>
          </cell>
          <cell r="C879" t="str">
            <v>ФНовоукраїнське віддВАТОщад</v>
          </cell>
        </row>
        <row r="880">
          <cell r="A880" t="str">
            <v>UKLR</v>
          </cell>
          <cell r="B880">
            <v>323936</v>
          </cell>
          <cell r="C880" t="str">
            <v>ФПетрівське відділенВАТОщад</v>
          </cell>
        </row>
        <row r="881">
          <cell r="A881" t="str">
            <v>UKLS</v>
          </cell>
          <cell r="B881">
            <v>323947</v>
          </cell>
          <cell r="C881" t="str">
            <v>ФУстинівське відділеВАТОщад</v>
          </cell>
        </row>
        <row r="882">
          <cell r="A882" t="str">
            <v>UKLW</v>
          </cell>
          <cell r="B882">
            <v>323981</v>
          </cell>
          <cell r="C882" t="str">
            <v>ФГайворонське відділВАТОщад</v>
          </cell>
        </row>
        <row r="883">
          <cell r="A883" t="str">
            <v>UKLX</v>
          </cell>
          <cell r="B883">
            <v>323992</v>
          </cell>
          <cell r="C883" t="str">
            <v>ФГолованівське віддіВАТОщад</v>
          </cell>
        </row>
        <row r="884">
          <cell r="A884" t="str">
            <v>UKQK</v>
          </cell>
          <cell r="B884">
            <v>823016</v>
          </cell>
          <cell r="C884" t="str">
            <v>ГУДКУ у Кіровоградській обл</v>
          </cell>
        </row>
        <row r="885">
          <cell r="A885" t="str">
            <v>UKW1</v>
          </cell>
          <cell r="B885">
            <v>323613</v>
          </cell>
          <cell r="C885" t="str">
            <v>ФАТ "УФГ", м.Кіровоград</v>
          </cell>
        </row>
        <row r="886">
          <cell r="A886" t="str">
            <v>UKW2</v>
          </cell>
          <cell r="B886">
            <v>383017</v>
          </cell>
          <cell r="C886" t="str">
            <v>Перша ФАТ"УФГ",м.Кіровоград</v>
          </cell>
        </row>
        <row r="887">
          <cell r="A887" t="str">
            <v>UKW3</v>
          </cell>
          <cell r="B887">
            <v>383028</v>
          </cell>
          <cell r="C887" t="str">
            <v>ФАТ "УФГ" у м.Світловодськ</v>
          </cell>
        </row>
        <row r="888">
          <cell r="A888" t="str">
            <v>UKW4</v>
          </cell>
          <cell r="B888">
            <v>383039</v>
          </cell>
          <cell r="C888" t="str">
            <v>Кіровоградс. обл. ФАТ "УФГ"</v>
          </cell>
        </row>
        <row r="889">
          <cell r="A889" t="str">
            <v>ULAA</v>
          </cell>
          <cell r="B889">
            <v>324430</v>
          </cell>
          <cell r="C889" t="str">
            <v>Філія"Кримс.Центр.від.ПІБ"</v>
          </cell>
        </row>
        <row r="890">
          <cell r="A890" t="str">
            <v>ULAC</v>
          </cell>
          <cell r="B890">
            <v>324388</v>
          </cell>
          <cell r="C890" t="str">
            <v>Філія"Від.ПІБ м.ФЕОДОСІЯ"</v>
          </cell>
        </row>
        <row r="891">
          <cell r="A891" t="str">
            <v>ULAE</v>
          </cell>
          <cell r="B891">
            <v>324418</v>
          </cell>
          <cell r="C891" t="str">
            <v>Філія"Від.ПІБ,КРАСНОПЕРЕК."</v>
          </cell>
        </row>
        <row r="892">
          <cell r="A892" t="str">
            <v>ULAG</v>
          </cell>
          <cell r="B892">
            <v>324515</v>
          </cell>
          <cell r="C892" t="str">
            <v>Філія"Від.ПІБ М.СЕВАСТОП."</v>
          </cell>
        </row>
        <row r="893">
          <cell r="A893" t="str">
            <v>ULAH</v>
          </cell>
          <cell r="B893">
            <v>324548</v>
          </cell>
          <cell r="C893" t="str">
            <v>Ф-я "Від.ПІБ В М.КЕРЧ АРК"</v>
          </cell>
        </row>
        <row r="894">
          <cell r="A894" t="str">
            <v>ULAJ</v>
          </cell>
          <cell r="B894">
            <v>324407</v>
          </cell>
          <cell r="C894" t="str">
            <v>Ф-я"В.ПІБ В М.АРМЯНСЬК АРК"</v>
          </cell>
        </row>
        <row r="895">
          <cell r="A895" t="str">
            <v>ULCA</v>
          </cell>
          <cell r="B895">
            <v>324010</v>
          </cell>
          <cell r="C895" t="str">
            <v>Крим.рес.фАКБ"Укрсоцбанк"</v>
          </cell>
        </row>
        <row r="896">
          <cell r="A896" t="str">
            <v>ULCF</v>
          </cell>
          <cell r="B896">
            <v>324195</v>
          </cell>
          <cell r="C896" t="str">
            <v>Севаст.ф.АКБ"Укрсоцбанк"</v>
          </cell>
        </row>
        <row r="897">
          <cell r="A897" t="str">
            <v>ULFA</v>
          </cell>
          <cell r="B897">
            <v>308070</v>
          </cell>
          <cell r="C897" t="str">
            <v>Сімф.ф-я ВАТ СКБ "Дністер"</v>
          </cell>
        </row>
        <row r="898">
          <cell r="A898" t="str">
            <v>ULGA</v>
          </cell>
          <cell r="B898">
            <v>324786</v>
          </cell>
          <cell r="C898" t="str">
            <v>Ф-я Укрексімбанк,АР Крим</v>
          </cell>
        </row>
        <row r="899">
          <cell r="A899" t="str">
            <v>ULGB</v>
          </cell>
          <cell r="B899">
            <v>384986</v>
          </cell>
          <cell r="C899" t="str">
            <v>Ф-я Укрексімбанк, Севастоп</v>
          </cell>
        </row>
        <row r="900">
          <cell r="A900" t="str">
            <v>ULGC</v>
          </cell>
          <cell r="B900">
            <v>384878</v>
          </cell>
          <cell r="C900" t="str">
            <v>Ф-я Укрексімбанк, Армянськ</v>
          </cell>
        </row>
        <row r="901">
          <cell r="A901" t="str">
            <v>ULHA</v>
          </cell>
          <cell r="B901">
            <v>324333</v>
          </cell>
          <cell r="C901" t="str">
            <v>ГУ НБУ в  АРК</v>
          </cell>
        </row>
        <row r="902">
          <cell r="A902" t="str">
            <v>ULIC</v>
          </cell>
          <cell r="B902">
            <v>324399</v>
          </cell>
          <cell r="C902" t="str">
            <v>СЕФ ВАТ "ЄБРЗ" СЕВАСТОП.</v>
          </cell>
        </row>
        <row r="903">
          <cell r="A903" t="str">
            <v>ULIF</v>
          </cell>
          <cell r="B903">
            <v>324377</v>
          </cell>
          <cell r="C903" t="str">
            <v>СФ АБ "ТАВРИКА"</v>
          </cell>
        </row>
        <row r="904">
          <cell r="A904" t="str">
            <v>ULIH</v>
          </cell>
          <cell r="B904">
            <v>324366</v>
          </cell>
          <cell r="C904" t="str">
            <v>ФФ ВАТ "ПІРЕУС БАНК МКБ"</v>
          </cell>
        </row>
        <row r="905">
          <cell r="A905" t="str">
            <v>ULIJ</v>
          </cell>
          <cell r="B905">
            <v>384674</v>
          </cell>
          <cell r="C905" t="str">
            <v>Кримська філія АБ "Експр-Б"</v>
          </cell>
        </row>
        <row r="906">
          <cell r="A906" t="str">
            <v>ULIW</v>
          </cell>
          <cell r="B906">
            <v>324021</v>
          </cell>
          <cell r="C906" t="str">
            <v>КРД "РАЙФФАЙЗЕН БАНК АВАЛЬ"</v>
          </cell>
        </row>
        <row r="907">
          <cell r="A907" t="str">
            <v>ULJD</v>
          </cell>
          <cell r="B907">
            <v>324883</v>
          </cell>
          <cell r="C907" t="str">
            <v>СФ ВАТ "ПІРЕУС БАНК МКБ"</v>
          </cell>
        </row>
        <row r="908">
          <cell r="A908" t="str">
            <v>ULJE</v>
          </cell>
          <cell r="B908">
            <v>324485</v>
          </cell>
          <cell r="C908" t="str">
            <v>ВАТ "ЄБРЗ"</v>
          </cell>
        </row>
        <row r="909">
          <cell r="A909" t="str">
            <v>ULJF</v>
          </cell>
          <cell r="B909">
            <v>324742</v>
          </cell>
          <cell r="C909" t="str">
            <v>ВАТБАНК"МОРСЬКИЙ"</v>
          </cell>
        </row>
        <row r="910">
          <cell r="A910" t="str">
            <v>ULJI</v>
          </cell>
          <cell r="B910">
            <v>324979</v>
          </cell>
          <cell r="C910" t="str">
            <v>СЕВ. ФАКБ "ПРАВЕКС-БАНК"</v>
          </cell>
        </row>
        <row r="911">
          <cell r="A911" t="str">
            <v>ULJJ</v>
          </cell>
          <cell r="B911">
            <v>324690</v>
          </cell>
          <cell r="C911" t="str">
            <v>ФАСУБ"ЄВПАТОРІЯ-ГРАНТ",Євп.</v>
          </cell>
        </row>
        <row r="912">
          <cell r="A912" t="str">
            <v>ULJQ</v>
          </cell>
          <cell r="B912">
            <v>324753</v>
          </cell>
          <cell r="C912" t="str">
            <v>ФФ ВАТ "ЄБРЗ" ФЕОДОСИЯ</v>
          </cell>
        </row>
        <row r="913">
          <cell r="A913" t="str">
            <v>ULJU</v>
          </cell>
          <cell r="B913">
            <v>324913</v>
          </cell>
          <cell r="C913" t="str">
            <v>Крим.Рег.Ф.ВАТ "КРЕДОБАНК"</v>
          </cell>
        </row>
        <row r="914">
          <cell r="A914" t="str">
            <v>ULKA</v>
          </cell>
          <cell r="B914">
            <v>324797</v>
          </cell>
          <cell r="C914" t="str">
            <v>Сімфер.ФВАТ АБ "Укргазбанк"</v>
          </cell>
        </row>
        <row r="915">
          <cell r="A915" t="str">
            <v>ULKC</v>
          </cell>
          <cell r="B915">
            <v>324935</v>
          </cell>
          <cell r="C915" t="str">
            <v>Севастоп.ф-я ПриватБанку</v>
          </cell>
        </row>
        <row r="916">
          <cell r="A916" t="str">
            <v>ULKD</v>
          </cell>
          <cell r="B916">
            <v>324894</v>
          </cell>
          <cell r="C916" t="str">
            <v>"КРД" ВАТ "ЄБРЗ"</v>
          </cell>
        </row>
        <row r="917">
          <cell r="A917" t="str">
            <v>ULKF</v>
          </cell>
          <cell r="B917">
            <v>384436</v>
          </cell>
          <cell r="C917" t="str">
            <v>Ф-я Крим.РУ ПриватБанку</v>
          </cell>
        </row>
        <row r="918">
          <cell r="A918" t="str">
            <v>ULKQ</v>
          </cell>
          <cell r="B918">
            <v>384685</v>
          </cell>
          <cell r="C918" t="str">
            <v>ФВАТ"ПІРЕУС БАНК МКБ""КРД"</v>
          </cell>
        </row>
        <row r="919">
          <cell r="A919" t="str">
            <v>ULKZ</v>
          </cell>
          <cell r="B919">
            <v>384577</v>
          </cell>
          <cell r="C919" t="str">
            <v>АКБ ЧБРР М.СІМФЕРОПОЛЬ</v>
          </cell>
        </row>
        <row r="920">
          <cell r="A920" t="str">
            <v>ULLA</v>
          </cell>
          <cell r="B920">
            <v>324805</v>
          </cell>
          <cell r="C920" t="str">
            <v>ФКримське  республікВАТОщад</v>
          </cell>
        </row>
        <row r="921">
          <cell r="A921" t="str">
            <v>ULLB</v>
          </cell>
          <cell r="B921">
            <v>384016</v>
          </cell>
          <cell r="C921" t="str">
            <v>ФСімферопольське місВАТОщад</v>
          </cell>
        </row>
        <row r="922">
          <cell r="A922" t="str">
            <v>ULLC</v>
          </cell>
          <cell r="B922">
            <v>384027</v>
          </cell>
          <cell r="C922" t="str">
            <v>ФСевастопольське місВАТОщад</v>
          </cell>
        </row>
        <row r="923">
          <cell r="A923" t="str">
            <v>ULLD</v>
          </cell>
          <cell r="B923">
            <v>384038</v>
          </cell>
          <cell r="C923" t="str">
            <v>ФЯлтинське відділеннВАТОщад</v>
          </cell>
        </row>
        <row r="924">
          <cell r="A924" t="str">
            <v>ULLE</v>
          </cell>
          <cell r="B924">
            <v>384049</v>
          </cell>
          <cell r="C924" t="str">
            <v>ФФеодосійське відділВАТОщад</v>
          </cell>
        </row>
        <row r="925">
          <cell r="A925" t="str">
            <v>ULLF</v>
          </cell>
          <cell r="B925">
            <v>384050</v>
          </cell>
          <cell r="C925" t="str">
            <v>ФЄвпаторійське віддіВАТОщад</v>
          </cell>
        </row>
        <row r="926">
          <cell r="A926" t="str">
            <v>ULLG</v>
          </cell>
          <cell r="B926">
            <v>384061</v>
          </cell>
          <cell r="C926" t="str">
            <v>ФКерченське відділенВАТОщад</v>
          </cell>
        </row>
        <row r="927">
          <cell r="A927" t="str">
            <v>ULLH</v>
          </cell>
          <cell r="B927">
            <v>384072</v>
          </cell>
          <cell r="C927" t="str">
            <v>ФДжанкойське відділеВАТОщад</v>
          </cell>
        </row>
        <row r="928">
          <cell r="A928" t="str">
            <v>ULLI</v>
          </cell>
          <cell r="B928">
            <v>384083</v>
          </cell>
          <cell r="C928" t="str">
            <v>ФБахчисарайське віддВАТОщад</v>
          </cell>
        </row>
        <row r="929">
          <cell r="A929" t="str">
            <v>ULLJ</v>
          </cell>
          <cell r="B929">
            <v>384191</v>
          </cell>
          <cell r="C929" t="str">
            <v>ФБілогірське відділеВАТОщад</v>
          </cell>
        </row>
        <row r="930">
          <cell r="A930" t="str">
            <v>ULLK</v>
          </cell>
          <cell r="B930">
            <v>384102</v>
          </cell>
          <cell r="C930" t="str">
            <v>ФНижньогірське віддіВАТОщад</v>
          </cell>
        </row>
        <row r="931">
          <cell r="A931" t="str">
            <v>ULLM</v>
          </cell>
          <cell r="B931">
            <v>384094</v>
          </cell>
          <cell r="C931" t="str">
            <v>ФЧорноморське відділВАТОщад</v>
          </cell>
        </row>
        <row r="932">
          <cell r="A932" t="str">
            <v>ULLN</v>
          </cell>
          <cell r="B932">
            <v>384135</v>
          </cell>
          <cell r="C932" t="str">
            <v>ФКрасноперекопське вВАТОщад</v>
          </cell>
        </row>
        <row r="933">
          <cell r="A933" t="str">
            <v>ULLO</v>
          </cell>
          <cell r="B933">
            <v>384146</v>
          </cell>
          <cell r="C933" t="str">
            <v>ФЛенінське відділеннВАТОщад</v>
          </cell>
        </row>
        <row r="934">
          <cell r="A934" t="str">
            <v>ULLP</v>
          </cell>
          <cell r="B934">
            <v>384157</v>
          </cell>
          <cell r="C934" t="str">
            <v>ФКрасногвардійське вВАТОщад</v>
          </cell>
        </row>
        <row r="935">
          <cell r="A935" t="str">
            <v>ULLQ</v>
          </cell>
          <cell r="B935">
            <v>384168</v>
          </cell>
          <cell r="C935" t="str">
            <v>ФРоздольненське віддВАТОщад</v>
          </cell>
        </row>
        <row r="936">
          <cell r="A936" t="str">
            <v>ULLR</v>
          </cell>
          <cell r="B936">
            <v>384179</v>
          </cell>
          <cell r="C936" t="str">
            <v>ФПервомайське відділВАТОщад</v>
          </cell>
        </row>
        <row r="937">
          <cell r="A937" t="str">
            <v>ULLS</v>
          </cell>
          <cell r="B937">
            <v>384180</v>
          </cell>
          <cell r="C937" t="str">
            <v>ФСакське відділення ВАТОщад</v>
          </cell>
        </row>
        <row r="938">
          <cell r="A938" t="str">
            <v>ULLT</v>
          </cell>
          <cell r="B938">
            <v>384298</v>
          </cell>
          <cell r="C938" t="str">
            <v>ФКіровське відділеннВАТОщад</v>
          </cell>
        </row>
        <row r="939">
          <cell r="A939" t="str">
            <v>ULLU</v>
          </cell>
          <cell r="B939">
            <v>384209</v>
          </cell>
          <cell r="C939" t="str">
            <v>ФСовєтське відділеннВАТОщад</v>
          </cell>
        </row>
        <row r="940">
          <cell r="A940" t="str">
            <v>ULNC</v>
          </cell>
          <cell r="B940">
            <v>384793</v>
          </cell>
          <cell r="C940" t="str">
            <v>Сімфероп.ФАБ"КИЇВСЬКА РУСЬ"</v>
          </cell>
        </row>
        <row r="941">
          <cell r="A941" t="str">
            <v>ULNE</v>
          </cell>
          <cell r="B941">
            <v>384812</v>
          </cell>
          <cell r="C941" t="str">
            <v>Севаст.Ф. ВАТ "Б."Ф.та Кр."</v>
          </cell>
        </row>
        <row r="942">
          <cell r="A942" t="str">
            <v>ULNF</v>
          </cell>
          <cell r="B942">
            <v>384823</v>
          </cell>
          <cell r="C942" t="str">
            <v>ВАТКБ"Надра"Кримське РУ</v>
          </cell>
        </row>
        <row r="943">
          <cell r="A943" t="str">
            <v>ULNI</v>
          </cell>
          <cell r="B943">
            <v>384889</v>
          </cell>
          <cell r="C943" t="str">
            <v>Ф"КРУ"ВАТ"Б"Фінанси та Кред</v>
          </cell>
        </row>
        <row r="944">
          <cell r="A944" t="str">
            <v>ULNK</v>
          </cell>
          <cell r="B944">
            <v>384834</v>
          </cell>
          <cell r="C944" t="str">
            <v>КримРДТОВ "Укрпромбанк"</v>
          </cell>
        </row>
        <row r="945">
          <cell r="A945" t="str">
            <v>ULNL</v>
          </cell>
          <cell r="B945">
            <v>384845</v>
          </cell>
          <cell r="C945" t="str">
            <v>ФКД.ІНДЕКС-БАНКм.Сімферопол</v>
          </cell>
        </row>
        <row r="946">
          <cell r="A946" t="str">
            <v>ULNV</v>
          </cell>
          <cell r="B946">
            <v>384867</v>
          </cell>
          <cell r="C946" t="str">
            <v>Сімфероп.ФТОВ"Укрпромбанк"</v>
          </cell>
        </row>
        <row r="947">
          <cell r="A947" t="str">
            <v>ULOA</v>
          </cell>
          <cell r="B947">
            <v>308092</v>
          </cell>
          <cell r="C947" t="str">
            <v>Філія ПУМБ в м.Севастополі</v>
          </cell>
        </row>
        <row r="948">
          <cell r="A948" t="str">
            <v>ULQK</v>
          </cell>
          <cell r="B948">
            <v>824026</v>
          </cell>
          <cell r="C948" t="str">
            <v>ГУ ДКУ В АРК</v>
          </cell>
        </row>
        <row r="949">
          <cell r="A949" t="str">
            <v>ULSD</v>
          </cell>
          <cell r="B949">
            <v>384997</v>
          </cell>
          <cell r="C949" t="str">
            <v>Севастоп. Ф ВАТ ВТБ БАНК</v>
          </cell>
        </row>
        <row r="950">
          <cell r="A950" t="str">
            <v>ULUD</v>
          </cell>
          <cell r="B950">
            <v>384890</v>
          </cell>
          <cell r="C950" t="str">
            <v>СімферопольськаФАКБ"Форум"</v>
          </cell>
        </row>
        <row r="951">
          <cell r="A951" t="str">
            <v>ULUM</v>
          </cell>
          <cell r="B951">
            <v>384919</v>
          </cell>
          <cell r="C951" t="str">
            <v>ФАБ "ПІВДЕННИЙ" В М.СЕВАСТ.</v>
          </cell>
        </row>
        <row r="952">
          <cell r="A952" t="str">
            <v>ULUN</v>
          </cell>
          <cell r="B952">
            <v>384920</v>
          </cell>
          <cell r="C952" t="str">
            <v>Ф"КР.Д" АБ"КЛІРИНГОВИЙ ДІМ"</v>
          </cell>
        </row>
        <row r="953">
          <cell r="A953" t="str">
            <v>ULUP</v>
          </cell>
          <cell r="B953">
            <v>384005</v>
          </cell>
          <cell r="C953" t="str">
            <v>Філія ЗАТ "ОТП Банк"</v>
          </cell>
        </row>
        <row r="954">
          <cell r="A954" t="str">
            <v>ULUQ</v>
          </cell>
          <cell r="B954">
            <v>308047</v>
          </cell>
          <cell r="C954" t="str">
            <v>Крим.Ф.ВАТ"ВІЕЙБІБАНК"</v>
          </cell>
        </row>
        <row r="955">
          <cell r="A955" t="str">
            <v>ULUR</v>
          </cell>
          <cell r="B955">
            <v>384942</v>
          </cell>
          <cell r="C955" t="str">
            <v>КРИМСЬКА ФВАТ КБ "ХРЕЩАТИК"</v>
          </cell>
        </row>
        <row r="956">
          <cell r="A956" t="str">
            <v>ULUX</v>
          </cell>
          <cell r="B956">
            <v>308304</v>
          </cell>
          <cell r="C956" t="str">
            <v>Ф АКБ "ІМЕКСБАНК" В АРК</v>
          </cell>
        </row>
        <row r="957">
          <cell r="A957" t="str">
            <v>ULUY</v>
          </cell>
          <cell r="B957">
            <v>384975</v>
          </cell>
          <cell r="C957" t="str">
            <v>Сімфероп. Філія АБ "СИНТЕЗ"</v>
          </cell>
        </row>
        <row r="958">
          <cell r="A958" t="str">
            <v>ULVB</v>
          </cell>
          <cell r="B958">
            <v>384931</v>
          </cell>
          <cell r="C958" t="str">
            <v>Севастопольська ФАКБ"Форум"</v>
          </cell>
        </row>
        <row r="959">
          <cell r="A959" t="str">
            <v>ULVV</v>
          </cell>
          <cell r="B959">
            <v>308100</v>
          </cell>
          <cell r="C959" t="str">
            <v>Севастоп. філ. ВАТ РЕАЛБАНК</v>
          </cell>
        </row>
        <row r="960">
          <cell r="A960" t="str">
            <v>ULW2</v>
          </cell>
          <cell r="B960">
            <v>384492</v>
          </cell>
          <cell r="C960" t="str">
            <v>Друга Севастопол. ФАТ "УФГ"</v>
          </cell>
        </row>
        <row r="961">
          <cell r="A961" t="str">
            <v>ULW4</v>
          </cell>
          <cell r="B961">
            <v>384760</v>
          </cell>
          <cell r="C961" t="str">
            <v>КРИМСЬКА ФІЛІЯ АТ "УФГ"</v>
          </cell>
        </row>
        <row r="962">
          <cell r="A962" t="str">
            <v>ULXC</v>
          </cell>
          <cell r="B962">
            <v>384618</v>
          </cell>
          <cell r="C962" t="str">
            <v>Кримська філія ВАТ ВТБ Банк</v>
          </cell>
        </row>
        <row r="963">
          <cell r="A963" t="str">
            <v>ULXE</v>
          </cell>
          <cell r="B963">
            <v>384414</v>
          </cell>
          <cell r="C963" t="str">
            <v>Керчен ФВАТ Банк "Морський"</v>
          </cell>
        </row>
        <row r="964">
          <cell r="A964" t="str">
            <v>ULXF</v>
          </cell>
          <cell r="B964">
            <v>384555</v>
          </cell>
          <cell r="C964" t="str">
            <v>СФ ВАТ "ЄБРЗ" СІМФЕРОПОЛЬ</v>
          </cell>
        </row>
        <row r="965">
          <cell r="A965" t="str">
            <v>ULXG</v>
          </cell>
          <cell r="B965">
            <v>384715</v>
          </cell>
          <cell r="C965" t="str">
            <v>ФАКБ "НК" в м.Ялта</v>
          </cell>
        </row>
        <row r="966">
          <cell r="A966" t="str">
            <v>ULXI</v>
          </cell>
          <cell r="B966">
            <v>384748</v>
          </cell>
          <cell r="C966" t="str">
            <v>ФВАТ "МТБ", СІМФЕРОПОЛЬ</v>
          </cell>
        </row>
        <row r="967">
          <cell r="A967" t="str">
            <v>ULXJ</v>
          </cell>
          <cell r="B967">
            <v>384481</v>
          </cell>
          <cell r="C967" t="str">
            <v>КФ ВАТ"Інпромбанк",Феодосія</v>
          </cell>
        </row>
        <row r="968">
          <cell r="A968" t="str">
            <v>ULXK</v>
          </cell>
          <cell r="B968">
            <v>384522</v>
          </cell>
          <cell r="C968" t="str">
            <v>ФАБ "ПІВДЕННИЙ" в м. Ялта</v>
          </cell>
        </row>
        <row r="969">
          <cell r="A969" t="str">
            <v>ULXO</v>
          </cell>
          <cell r="B969">
            <v>384544</v>
          </cell>
          <cell r="C969" t="str">
            <v>СФ"БАНК ПЕТРОКОММЕРЦ-УКРАЇН</v>
          </cell>
        </row>
        <row r="970">
          <cell r="A970" t="str">
            <v>ULXP</v>
          </cell>
          <cell r="B970">
            <v>384652</v>
          </cell>
          <cell r="C970" t="str">
            <v>ФАБ "ПІВДЕННИЙ",Сімферополь</v>
          </cell>
        </row>
        <row r="971">
          <cell r="A971" t="str">
            <v>ULXR</v>
          </cell>
          <cell r="B971">
            <v>384704</v>
          </cell>
          <cell r="C971" t="str">
            <v>Кримська філ.Приватінвест</v>
          </cell>
        </row>
        <row r="972">
          <cell r="A972" t="str">
            <v>ULXS</v>
          </cell>
          <cell r="B972">
            <v>384737</v>
          </cell>
          <cell r="C972" t="str">
            <v>Сімфероп.Ф АБ "АвтоЗАЗбанк"</v>
          </cell>
        </row>
        <row r="973">
          <cell r="A973" t="str">
            <v>ULXV</v>
          </cell>
          <cell r="B973">
            <v>384782</v>
          </cell>
          <cell r="C973" t="str">
            <v>Сімфероп. ФАТ"Укрінбанк"</v>
          </cell>
        </row>
        <row r="974">
          <cell r="A974" t="str">
            <v>UMAA</v>
          </cell>
          <cell r="B974">
            <v>304308</v>
          </cell>
          <cell r="C974" t="str">
            <v>Ф."ВІДДІЛ. ПІБ, М.ЛУГАНСЬК"</v>
          </cell>
        </row>
        <row r="975">
          <cell r="A975" t="str">
            <v>UMAC</v>
          </cell>
          <cell r="B975">
            <v>304234</v>
          </cell>
          <cell r="C975" t="str">
            <v>Ф.ВІД.ПІБ В М.КРАСНОДОН ЛУГ</v>
          </cell>
        </row>
        <row r="976">
          <cell r="A976" t="str">
            <v>UMAD</v>
          </cell>
          <cell r="B976">
            <v>304331</v>
          </cell>
          <cell r="C976" t="str">
            <v>Ф.ВІД.ПІБ В М.АНТРАЦИТ ЛУГ.</v>
          </cell>
        </row>
        <row r="977">
          <cell r="A977" t="str">
            <v>UMAE</v>
          </cell>
          <cell r="B977">
            <v>304342</v>
          </cell>
          <cell r="C977" t="str">
            <v>Ф.ВІД.ПІБ В М.АЛЧЕВСЬК ЛУГ.</v>
          </cell>
        </row>
        <row r="978">
          <cell r="A978" t="str">
            <v>UMAF</v>
          </cell>
          <cell r="B978">
            <v>304353</v>
          </cell>
          <cell r="C978" t="str">
            <v>Ф.ВІД.ПІБ В М.СТАХАНОВ ЛУГ.</v>
          </cell>
        </row>
        <row r="979">
          <cell r="A979" t="str">
            <v>UMAG</v>
          </cell>
          <cell r="B979">
            <v>304375</v>
          </cell>
          <cell r="C979" t="str">
            <v>Ф.ВІД.ПІБ В М.КР.ЛУЧ ЛУГ.</v>
          </cell>
        </row>
        <row r="980">
          <cell r="A980" t="str">
            <v>UMAI</v>
          </cell>
          <cell r="B980">
            <v>304416</v>
          </cell>
          <cell r="C980" t="str">
            <v>Ф.ВІД.ПІБ В ЛИСИЧАНСЬК ЛУГ.</v>
          </cell>
        </row>
        <row r="981">
          <cell r="A981" t="str">
            <v>UMAJ</v>
          </cell>
          <cell r="B981">
            <v>304472</v>
          </cell>
          <cell r="C981" t="str">
            <v>Ф.ВІД.ПІБ В М.СВЕРДЛОВ.ЛУГ.</v>
          </cell>
        </row>
        <row r="982">
          <cell r="A982" t="str">
            <v>UMAM</v>
          </cell>
          <cell r="B982">
            <v>304502</v>
          </cell>
          <cell r="C982" t="str">
            <v>Ф.ВІД.ПІБ В М.РОВЕНЬКИ ЛУГ.</v>
          </cell>
        </row>
        <row r="983">
          <cell r="A983" t="str">
            <v>UMAO</v>
          </cell>
          <cell r="B983">
            <v>304535</v>
          </cell>
          <cell r="C983" t="str">
            <v>Ф.ВІД.ПІБ В М.СЕВЕРОДОН.ЛУГ</v>
          </cell>
        </row>
        <row r="984">
          <cell r="A984" t="str">
            <v>UMAP</v>
          </cell>
          <cell r="B984">
            <v>304643</v>
          </cell>
          <cell r="C984" t="str">
            <v>Ф.ВІД.ПІБ В М.РУБІЖНЕ ЛУГ.</v>
          </cell>
        </row>
        <row r="985">
          <cell r="A985" t="str">
            <v>UMCA</v>
          </cell>
          <cell r="B985">
            <v>304018</v>
          </cell>
          <cell r="C985" t="str">
            <v>Луганська обласна ФАКБ УСБ</v>
          </cell>
        </row>
        <row r="986">
          <cell r="A986" t="str">
            <v>UMFA</v>
          </cell>
          <cell r="B986">
            <v>364003</v>
          </cell>
          <cell r="C986" t="str">
            <v>ЛФ АКБ "ІМЕКСБАНК"</v>
          </cell>
        </row>
        <row r="987">
          <cell r="A987" t="str">
            <v>UMGA</v>
          </cell>
          <cell r="B987">
            <v>304289</v>
          </cell>
          <cell r="C987" t="str">
            <v>Ф-я Укрексімбанк, Луганськ</v>
          </cell>
        </row>
        <row r="988">
          <cell r="A988" t="str">
            <v>UMHA</v>
          </cell>
          <cell r="B988">
            <v>304030</v>
          </cell>
          <cell r="C988" t="str">
            <v>Упр. НБУ в Луганській обл.</v>
          </cell>
        </row>
        <row r="989">
          <cell r="A989" t="str">
            <v>UMIA</v>
          </cell>
          <cell r="B989">
            <v>304193</v>
          </cell>
          <cell r="C989" t="str">
            <v>Ф ВАТ КБ"Надра"ЛуганськеРУ</v>
          </cell>
        </row>
        <row r="990">
          <cell r="A990" t="str">
            <v>UMIE</v>
          </cell>
          <cell r="B990">
            <v>304524</v>
          </cell>
          <cell r="C990" t="str">
            <v>ЛФ ВАТ РЕАЛ БАНК</v>
          </cell>
        </row>
        <row r="991">
          <cell r="A991" t="str">
            <v>UMIG</v>
          </cell>
          <cell r="B991">
            <v>304632</v>
          </cell>
          <cell r="C991" t="str">
            <v>Луган.Ф.АБ "БРОКБІЗНЕСБАНК"</v>
          </cell>
        </row>
        <row r="992">
          <cell r="A992" t="str">
            <v>UMIN</v>
          </cell>
          <cell r="B992">
            <v>304676</v>
          </cell>
          <cell r="C992" t="str">
            <v>Луганська ФАТ "ГРАДОБАНК"</v>
          </cell>
        </row>
        <row r="993">
          <cell r="A993" t="str">
            <v>UMIO</v>
          </cell>
          <cell r="B993">
            <v>304007</v>
          </cell>
          <cell r="C993" t="str">
            <v>ОД "Райффайзен Банк Аваль"</v>
          </cell>
        </row>
        <row r="994">
          <cell r="A994" t="str">
            <v>UMIP</v>
          </cell>
          <cell r="B994">
            <v>304795</v>
          </cell>
          <cell r="C994" t="str">
            <v>Луганська філія ПриватБанку</v>
          </cell>
        </row>
        <row r="995">
          <cell r="A995" t="str">
            <v>UMIW</v>
          </cell>
          <cell r="B995">
            <v>304621</v>
          </cell>
          <cell r="C995" t="str">
            <v>ЛФ ВАТ АБ "УКРГАЗБАНК"</v>
          </cell>
        </row>
        <row r="996">
          <cell r="A996" t="str">
            <v>UMJB</v>
          </cell>
          <cell r="B996">
            <v>304706</v>
          </cell>
          <cell r="C996" t="str">
            <v>"СХІДНО-ПРОМИС.БАНК"</v>
          </cell>
        </row>
        <row r="997">
          <cell r="A997" t="str">
            <v>UMJD</v>
          </cell>
          <cell r="B997">
            <v>304836</v>
          </cell>
          <cell r="C997" t="str">
            <v>Луганська ФАТ"Укрінбанк"</v>
          </cell>
        </row>
        <row r="998">
          <cell r="A998" t="str">
            <v>UMJF</v>
          </cell>
          <cell r="B998">
            <v>304988</v>
          </cell>
          <cell r="C998" t="str">
            <v>"УКРКОМУНБАНК"</v>
          </cell>
        </row>
        <row r="999">
          <cell r="A999" t="str">
            <v>UMJG</v>
          </cell>
          <cell r="B999">
            <v>304610</v>
          </cell>
          <cell r="C999" t="str">
            <v>АЛЧЕВ Ф КБ ТОВ "МІСТО БАНК"</v>
          </cell>
        </row>
        <row r="1000">
          <cell r="A1000" t="str">
            <v>UMJH</v>
          </cell>
          <cell r="B1000">
            <v>304751</v>
          </cell>
          <cell r="C1000" t="str">
            <v>ЛФ АКБ "ІНДУСТРІАЛБАНК"</v>
          </cell>
        </row>
        <row r="1001">
          <cell r="A1001" t="str">
            <v>UMJI</v>
          </cell>
          <cell r="B1001">
            <v>304881</v>
          </cell>
          <cell r="C1001" t="str">
            <v>Ф1 ВАТ"АКБ"КАПІТАЛ",м.Луг.</v>
          </cell>
        </row>
        <row r="1002">
          <cell r="A1002" t="str">
            <v>UMJJ</v>
          </cell>
          <cell r="B1002">
            <v>304803</v>
          </cell>
          <cell r="C1002" t="str">
            <v>ФАБ"Енергобанк"в м.Луганськ</v>
          </cell>
        </row>
        <row r="1003">
          <cell r="A1003" t="str">
            <v>UMJL</v>
          </cell>
          <cell r="B1003">
            <v>304966</v>
          </cell>
          <cell r="C1003" t="str">
            <v>Філія ЗАТ"ПУМБ", м.Луганськ</v>
          </cell>
        </row>
        <row r="1004">
          <cell r="A1004" t="str">
            <v>UMJM</v>
          </cell>
          <cell r="B1004">
            <v>304717</v>
          </cell>
          <cell r="C1004" t="str">
            <v>ЛуганськаФ ВАТ"Б"Фін та Кр"</v>
          </cell>
        </row>
        <row r="1005">
          <cell r="A1005" t="str">
            <v>UMJN</v>
          </cell>
          <cell r="B1005">
            <v>304847</v>
          </cell>
          <cell r="C1005" t="str">
            <v>ФАКБ "НК"м.Поп.</v>
          </cell>
        </row>
        <row r="1006">
          <cell r="A1006" t="str">
            <v>UMJQ</v>
          </cell>
          <cell r="B1006">
            <v>304977</v>
          </cell>
          <cell r="C1006" t="str">
            <v>Алчевська філія АКБ "ФОРУМ"</v>
          </cell>
        </row>
        <row r="1007">
          <cell r="A1007" t="str">
            <v>UMJS</v>
          </cell>
          <cell r="B1007">
            <v>304740</v>
          </cell>
          <cell r="C1007" t="str">
            <v>СФ АБ "УКРКОМУНБАНК"</v>
          </cell>
        </row>
        <row r="1008">
          <cell r="A1008" t="str">
            <v>UMJU</v>
          </cell>
          <cell r="B1008">
            <v>304870</v>
          </cell>
          <cell r="C1008" t="str">
            <v>Луганська філія АКБ "Форум"</v>
          </cell>
        </row>
        <row r="1009">
          <cell r="A1009" t="str">
            <v>UMJW</v>
          </cell>
          <cell r="B1009">
            <v>304933</v>
          </cell>
          <cell r="C1009" t="str">
            <v>Луган.ф-яТОВ"Укрпромбанк"</v>
          </cell>
        </row>
        <row r="1010">
          <cell r="A1010" t="str">
            <v>UMJX</v>
          </cell>
          <cell r="B1010">
            <v>304900</v>
          </cell>
          <cell r="C1010" t="str">
            <v>ФАБ"Київська Русь",Луганськ</v>
          </cell>
        </row>
        <row r="1011">
          <cell r="A1011" t="str">
            <v>UMJY</v>
          </cell>
          <cell r="B1011">
            <v>304944</v>
          </cell>
          <cell r="C1011" t="str">
            <v>ФЛД АТ "ІНДЕКС-БАНК"</v>
          </cell>
        </row>
        <row r="1012">
          <cell r="A1012" t="str">
            <v>UMKE</v>
          </cell>
          <cell r="B1012">
            <v>304999</v>
          </cell>
          <cell r="C1012" t="str">
            <v>ФАБ"Південний"в м.Луганську</v>
          </cell>
        </row>
        <row r="1013">
          <cell r="A1013" t="str">
            <v>UMKO</v>
          </cell>
          <cell r="B1013">
            <v>364445</v>
          </cell>
          <cell r="C1013" t="str">
            <v>Філія ЗАТ "ОТП Банк"</v>
          </cell>
        </row>
        <row r="1014">
          <cell r="A1014" t="str">
            <v>UMKP</v>
          </cell>
          <cell r="B1014">
            <v>364382</v>
          </cell>
          <cell r="C1014" t="str">
            <v>Луганс.ФВАТ"Кредитпромбанк"</v>
          </cell>
        </row>
        <row r="1015">
          <cell r="A1015" t="str">
            <v>UMKQ</v>
          </cell>
          <cell r="B1015">
            <v>364274</v>
          </cell>
          <cell r="C1015" t="str">
            <v>Ф"ЛУГАН.ДИР.ТОВ УКБ"КАМБІО"</v>
          </cell>
        </row>
        <row r="1016">
          <cell r="A1016" t="str">
            <v>UMKR</v>
          </cell>
          <cell r="B1016">
            <v>364467</v>
          </cell>
          <cell r="C1016" t="str">
            <v>Луган.Ф.ВАТ"ВІЕЙБІБАНК"</v>
          </cell>
        </row>
        <row r="1017">
          <cell r="A1017" t="str">
            <v>UMKS</v>
          </cell>
          <cell r="B1017">
            <v>364304</v>
          </cell>
          <cell r="C1017" t="str">
            <v>Луган.ф-я ВАТ КБ "Хрещатик"</v>
          </cell>
        </row>
        <row r="1018">
          <cell r="A1018" t="str">
            <v>UMKT</v>
          </cell>
          <cell r="B1018">
            <v>364315</v>
          </cell>
          <cell r="C1018" t="str">
            <v>Сєверодонецька ФАКБ "СЄБ"</v>
          </cell>
        </row>
        <row r="1019">
          <cell r="A1019" t="str">
            <v>UMLA</v>
          </cell>
          <cell r="B1019">
            <v>304665</v>
          </cell>
          <cell r="C1019" t="str">
            <v>ФЛуганське обласне уВАТОщад</v>
          </cell>
        </row>
        <row r="1020">
          <cell r="A1020" t="str">
            <v>UMLC</v>
          </cell>
          <cell r="B1020">
            <v>364058</v>
          </cell>
          <cell r="C1020" t="str">
            <v>ФСтаробільське віддіВАТОщад</v>
          </cell>
        </row>
        <row r="1021">
          <cell r="A1021" t="str">
            <v>UMLD</v>
          </cell>
          <cell r="B1021">
            <v>364069</v>
          </cell>
          <cell r="C1021" t="str">
            <v>ФСватiвське відділенВАТОщад</v>
          </cell>
        </row>
        <row r="1022">
          <cell r="A1022" t="str">
            <v>UMLE</v>
          </cell>
          <cell r="B1022">
            <v>364070</v>
          </cell>
          <cell r="C1022" t="str">
            <v>ФЛисичанське відділеВАТОщад</v>
          </cell>
        </row>
        <row r="1023">
          <cell r="A1023" t="str">
            <v>UMLF</v>
          </cell>
          <cell r="B1023">
            <v>364081</v>
          </cell>
          <cell r="C1023" t="str">
            <v>ФАлчевське відділеннВАТОщад</v>
          </cell>
        </row>
        <row r="1024">
          <cell r="A1024" t="str">
            <v>UMLG</v>
          </cell>
          <cell r="B1024">
            <v>364092</v>
          </cell>
          <cell r="C1024" t="str">
            <v>ФСтахановське відділВАТОщад</v>
          </cell>
        </row>
        <row r="1025">
          <cell r="A1025" t="str">
            <v>UMLH</v>
          </cell>
          <cell r="B1025">
            <v>364133</v>
          </cell>
          <cell r="C1025" t="str">
            <v>ФКраснолуцьке відділВАТОщад</v>
          </cell>
        </row>
        <row r="1026">
          <cell r="A1026" t="str">
            <v>UMLI</v>
          </cell>
          <cell r="B1026">
            <v>364111</v>
          </cell>
          <cell r="C1026" t="str">
            <v>ФРовеньківське віддіВАТОщад</v>
          </cell>
        </row>
        <row r="1027">
          <cell r="A1027" t="str">
            <v>UMLJ</v>
          </cell>
          <cell r="B1027">
            <v>364122</v>
          </cell>
          <cell r="C1027" t="str">
            <v>ФСтанично-Луганське ВАТОщад</v>
          </cell>
        </row>
        <row r="1028">
          <cell r="A1028" t="str">
            <v>UMLK</v>
          </cell>
          <cell r="B1028">
            <v>364263</v>
          </cell>
          <cell r="C1028" t="str">
            <v>ФРубіжанське відділеВАТОщад</v>
          </cell>
        </row>
        <row r="1029">
          <cell r="A1029" t="str">
            <v>UMLL</v>
          </cell>
          <cell r="B1029">
            <v>364014</v>
          </cell>
          <cell r="C1029" t="str">
            <v>ФКраснодонське віддіВАТОщад</v>
          </cell>
        </row>
        <row r="1030">
          <cell r="A1030" t="str">
            <v>UMLM</v>
          </cell>
          <cell r="B1030">
            <v>364025</v>
          </cell>
          <cell r="C1030" t="str">
            <v>ФБіловодське відділеВАТОщад</v>
          </cell>
        </row>
        <row r="1031">
          <cell r="A1031" t="str">
            <v>UMLN</v>
          </cell>
          <cell r="B1031">
            <v>364036</v>
          </cell>
          <cell r="C1031" t="str">
            <v>ФНовопсковське віддіВАТОщад</v>
          </cell>
        </row>
        <row r="1032">
          <cell r="A1032" t="str">
            <v>UMLQ</v>
          </cell>
          <cell r="B1032">
            <v>364199</v>
          </cell>
          <cell r="C1032" t="str">
            <v>ФНовоайдарське віддіВАТОщад</v>
          </cell>
        </row>
        <row r="1033">
          <cell r="A1033" t="str">
            <v>UMLR</v>
          </cell>
          <cell r="B1033">
            <v>364100</v>
          </cell>
          <cell r="C1033" t="str">
            <v>ФБілокуракинське відВАТОщад</v>
          </cell>
        </row>
        <row r="1034">
          <cell r="A1034" t="str">
            <v>UMLT</v>
          </cell>
          <cell r="B1034">
            <v>364229</v>
          </cell>
          <cell r="C1034" t="str">
            <v>ФАнтрацитівське віддВАТОщад</v>
          </cell>
        </row>
        <row r="1035">
          <cell r="A1035" t="str">
            <v>UMLU</v>
          </cell>
          <cell r="B1035">
            <v>364230</v>
          </cell>
          <cell r="C1035" t="str">
            <v>ФСлов`яносербське віВАТОщад</v>
          </cell>
        </row>
        <row r="1036">
          <cell r="A1036" t="str">
            <v>UMLV</v>
          </cell>
          <cell r="B1036">
            <v>364241</v>
          </cell>
          <cell r="C1036" t="str">
            <v>ФСвердловське відділВАТОщад</v>
          </cell>
        </row>
        <row r="1037">
          <cell r="A1037" t="str">
            <v>UMLW</v>
          </cell>
          <cell r="B1037">
            <v>364252</v>
          </cell>
          <cell r="C1037" t="str">
            <v>ФКремінське відділенВАТОщад</v>
          </cell>
        </row>
        <row r="1038">
          <cell r="A1038" t="str">
            <v>UMLX</v>
          </cell>
          <cell r="B1038">
            <v>364393</v>
          </cell>
          <cell r="C1038" t="str">
            <v>ФЛуганське міське віВАТОщад</v>
          </cell>
        </row>
        <row r="1039">
          <cell r="A1039" t="str">
            <v>UMLY</v>
          </cell>
          <cell r="B1039">
            <v>364144</v>
          </cell>
          <cell r="C1039" t="str">
            <v>ФБрянківське відділеВАТОщад</v>
          </cell>
        </row>
        <row r="1040">
          <cell r="A1040" t="str">
            <v>UMMA</v>
          </cell>
          <cell r="B1040">
            <v>364166</v>
          </cell>
          <cell r="C1040" t="str">
            <v>ФСєверодонецьке віддВАТОщад</v>
          </cell>
        </row>
        <row r="1041">
          <cell r="A1041" t="str">
            <v>UMMB</v>
          </cell>
          <cell r="B1041">
            <v>364207</v>
          </cell>
          <cell r="C1041" t="str">
            <v>ФПервомайське відділВАТОщад</v>
          </cell>
        </row>
        <row r="1042">
          <cell r="A1042" t="str">
            <v>UMMD</v>
          </cell>
          <cell r="B1042">
            <v>364296</v>
          </cell>
          <cell r="C1042" t="str">
            <v>ФЛутугинське відділеВАТОщад</v>
          </cell>
        </row>
        <row r="1043">
          <cell r="A1043" t="str">
            <v>UMQK</v>
          </cell>
          <cell r="B1043">
            <v>804013</v>
          </cell>
          <cell r="C1043" t="str">
            <v>ГУДКУ у Луганській області</v>
          </cell>
        </row>
        <row r="1044">
          <cell r="A1044" t="str">
            <v>UNAA</v>
          </cell>
          <cell r="B1044">
            <v>325633</v>
          </cell>
          <cell r="C1044" t="str">
            <v>Ф."Відділення ПІБ, м.Львів"</v>
          </cell>
        </row>
        <row r="1045">
          <cell r="A1045" t="str">
            <v>UNAD</v>
          </cell>
          <cell r="B1045">
            <v>325406</v>
          </cell>
          <cell r="C1045" t="str">
            <v>Ф-я "Від.ПІБ в м.Борислав"</v>
          </cell>
        </row>
        <row r="1046">
          <cell r="A1046" t="str">
            <v>UNAE</v>
          </cell>
          <cell r="B1046">
            <v>325376</v>
          </cell>
          <cell r="C1046" t="str">
            <v>Ф-я "Від.ПІБ м.Червоноград"</v>
          </cell>
        </row>
        <row r="1047">
          <cell r="A1047" t="str">
            <v>UNAF</v>
          </cell>
          <cell r="B1047">
            <v>325451</v>
          </cell>
          <cell r="C1047" t="str">
            <v>Ф-я "Від.ПІБ м.Миколаїв"</v>
          </cell>
        </row>
        <row r="1048">
          <cell r="A1048" t="str">
            <v>UNAG</v>
          </cell>
          <cell r="B1048">
            <v>325503</v>
          </cell>
          <cell r="C1048" t="str">
            <v>Ф-я "Від.ПІБ м.Стрий"</v>
          </cell>
        </row>
        <row r="1049">
          <cell r="A1049" t="str">
            <v>UNAL</v>
          </cell>
          <cell r="B1049">
            <v>325387</v>
          </cell>
          <cell r="C1049" t="str">
            <v>Ф-я "Від.ПІБ м.Моршин"</v>
          </cell>
        </row>
        <row r="1050">
          <cell r="A1050" t="str">
            <v>UNCA</v>
          </cell>
          <cell r="B1050">
            <v>325019</v>
          </cell>
          <cell r="C1050" t="str">
            <v>Львів.обл.філія АКБ "УСБ"</v>
          </cell>
        </row>
        <row r="1051">
          <cell r="A1051" t="str">
            <v>UNFA</v>
          </cell>
          <cell r="B1051">
            <v>385543</v>
          </cell>
          <cell r="C1051" t="str">
            <v>Лвівська ФАБ "Київська Русь</v>
          </cell>
        </row>
        <row r="1052">
          <cell r="A1052" t="str">
            <v>UNFB</v>
          </cell>
          <cell r="B1052">
            <v>385554</v>
          </cell>
          <cell r="C1052" t="str">
            <v>Філ.АБ"Енергобанк"в м.Львів</v>
          </cell>
        </row>
        <row r="1053">
          <cell r="A1053" t="str">
            <v>UNFM</v>
          </cell>
          <cell r="B1053">
            <v>385565</v>
          </cell>
          <cell r="C1053" t="str">
            <v>Ф.А,"АвтоЗАЗбанк"в м.Львів</v>
          </cell>
        </row>
        <row r="1054">
          <cell r="A1054" t="str">
            <v>UNGA</v>
          </cell>
          <cell r="B1054">
            <v>325718</v>
          </cell>
          <cell r="C1054" t="str">
            <v>Ф-я.Укрексімбанк,Львів</v>
          </cell>
        </row>
        <row r="1055">
          <cell r="A1055" t="str">
            <v>UNHA</v>
          </cell>
          <cell r="B1055">
            <v>325622</v>
          </cell>
          <cell r="C1055" t="str">
            <v>Упр. НБУ у Львівській обл.</v>
          </cell>
        </row>
        <row r="1056">
          <cell r="A1056" t="str">
            <v>UNI0</v>
          </cell>
          <cell r="B1056">
            <v>625225</v>
          </cell>
          <cell r="C1056" t="str">
            <v>ФАТ"УФГ" у м. Червоноград</v>
          </cell>
        </row>
        <row r="1057">
          <cell r="A1057" t="str">
            <v>UNIA</v>
          </cell>
          <cell r="B1057">
            <v>325224</v>
          </cell>
          <cell r="C1057" t="str">
            <v>Львів філія АБ "БРР"</v>
          </cell>
        </row>
        <row r="1058">
          <cell r="A1058" t="str">
            <v>UNIB</v>
          </cell>
          <cell r="B1058">
            <v>325365</v>
          </cell>
          <cell r="C1058" t="str">
            <v>Перша Льв.Ф.ВАТ "КРЕДОБАНК"</v>
          </cell>
        </row>
        <row r="1059">
          <cell r="A1059" t="str">
            <v>UNIE</v>
          </cell>
          <cell r="B1059">
            <v>325268</v>
          </cell>
          <cell r="C1059" t="str">
            <v>ВАТ АКБ "ЛЬВІВ"</v>
          </cell>
        </row>
        <row r="1060">
          <cell r="A1060" t="str">
            <v>UNIJ</v>
          </cell>
          <cell r="B1060">
            <v>325990</v>
          </cell>
          <cell r="C1060" t="str">
            <v>КБ "ГАЛС"</v>
          </cell>
        </row>
        <row r="1061">
          <cell r="A1061" t="str">
            <v>UNIK</v>
          </cell>
          <cell r="B1061">
            <v>325202</v>
          </cell>
          <cell r="C1061" t="str">
            <v>Дрогоб.ф-я ВАТ "КРЕДОБАНК"</v>
          </cell>
        </row>
        <row r="1062">
          <cell r="A1062" t="str">
            <v>UNIL</v>
          </cell>
          <cell r="B1062">
            <v>325213</v>
          </cell>
          <cell r="C1062" t="str">
            <v>ВАТ "ФОЛЬКСБАНК"</v>
          </cell>
        </row>
        <row r="1063">
          <cell r="A1063" t="str">
            <v>UNIN</v>
          </cell>
          <cell r="B1063">
            <v>325785</v>
          </cell>
          <cell r="C1063" t="str">
            <v>Дрогобицька ФАТ"Укрінбанк"</v>
          </cell>
        </row>
        <row r="1064">
          <cell r="A1064" t="str">
            <v>UNIQ</v>
          </cell>
          <cell r="B1064">
            <v>325279</v>
          </cell>
          <cell r="C1064" t="str">
            <v>ЛРУ АТ "ІНДЕКС-БАНК" Львів</v>
          </cell>
        </row>
        <row r="1065">
          <cell r="A1065" t="str">
            <v>UNIW</v>
          </cell>
          <cell r="B1065">
            <v>325321</v>
          </cell>
          <cell r="C1065" t="str">
            <v>ЗГРУ ПРИВАТБАНКУ м.Львів</v>
          </cell>
        </row>
        <row r="1066">
          <cell r="A1066" t="str">
            <v>UNIX</v>
          </cell>
          <cell r="B1066">
            <v>325332</v>
          </cell>
          <cell r="C1066" t="str">
            <v>Самбірська ф.ВАТ"КРЕДОБАНК"</v>
          </cell>
        </row>
        <row r="1067">
          <cell r="A1067" t="str">
            <v>UNIZ</v>
          </cell>
          <cell r="B1067">
            <v>325815</v>
          </cell>
          <cell r="C1067" t="str">
            <v>ЛФ АБ "Укоопспілка"</v>
          </cell>
        </row>
        <row r="1068">
          <cell r="A1068" t="str">
            <v>UNJA</v>
          </cell>
          <cell r="B1068">
            <v>325826</v>
          </cell>
          <cell r="C1068" t="str">
            <v>Львівська ф. АТ"Укрінбанк"</v>
          </cell>
        </row>
        <row r="1069">
          <cell r="A1069" t="str">
            <v>UNJC</v>
          </cell>
          <cell r="B1069">
            <v>325774</v>
          </cell>
          <cell r="C1069" t="str">
            <v>Льв. ФАБ "БРОКБІЗНЕСБАНК"</v>
          </cell>
        </row>
        <row r="1070">
          <cell r="A1070" t="str">
            <v>UNJD</v>
          </cell>
          <cell r="B1070">
            <v>325956</v>
          </cell>
          <cell r="C1070" t="str">
            <v>Льв. ФАБ "ЕКСПРЕС-БАНК"</v>
          </cell>
        </row>
        <row r="1071">
          <cell r="A1071" t="str">
            <v>UNJF</v>
          </cell>
          <cell r="B1071">
            <v>325569</v>
          </cell>
          <cell r="C1071" t="str">
            <v>ВАТ СКБ "ДНІСТЕР"</v>
          </cell>
        </row>
        <row r="1072">
          <cell r="A1072" t="str">
            <v>UNJG</v>
          </cell>
          <cell r="B1072">
            <v>325570</v>
          </cell>
          <cell r="C1072" t="str">
            <v>Л.ОД"Райффайзен Банк Аваль"</v>
          </cell>
        </row>
        <row r="1073">
          <cell r="A1073" t="str">
            <v>UNJI</v>
          </cell>
          <cell r="B1073">
            <v>325763</v>
          </cell>
          <cell r="C1073" t="str">
            <v>Львівська Ф.ВАТ"ВіЕйБіБанк"</v>
          </cell>
        </row>
        <row r="1074">
          <cell r="A1074" t="str">
            <v>UNJK</v>
          </cell>
          <cell r="B1074">
            <v>325882</v>
          </cell>
          <cell r="C1074" t="str">
            <v>Червоноградська ф.ПривБанку</v>
          </cell>
        </row>
        <row r="1075">
          <cell r="A1075" t="str">
            <v>UNJM</v>
          </cell>
          <cell r="B1075">
            <v>325804</v>
          </cell>
          <cell r="C1075" t="str">
            <v>Львів.фАБ"Синтез"</v>
          </cell>
        </row>
        <row r="1076">
          <cell r="A1076" t="str">
            <v>UNJP</v>
          </cell>
          <cell r="B1076">
            <v>325978</v>
          </cell>
          <cell r="C1076" t="str">
            <v>ВАТКБ"Надра"Львівське РУ</v>
          </cell>
        </row>
        <row r="1077">
          <cell r="A1077" t="str">
            <v>UNJU</v>
          </cell>
          <cell r="B1077">
            <v>325912</v>
          </cell>
          <cell r="C1077" t="str">
            <v>ВАТ "Кредобанк"</v>
          </cell>
        </row>
        <row r="1078">
          <cell r="A1078" t="str">
            <v>UNJV</v>
          </cell>
          <cell r="B1078">
            <v>325923</v>
          </cell>
          <cell r="C1078" t="str">
            <v>Ф"ЗРУ ВАТ"Б"Фін та Кред"</v>
          </cell>
        </row>
        <row r="1079">
          <cell r="A1079" t="str">
            <v>UNJX</v>
          </cell>
          <cell r="B1079">
            <v>325967</v>
          </cell>
          <cell r="C1079" t="str">
            <v>ЛФ ВАТ АБ "УКРГАЗБАНК"</v>
          </cell>
        </row>
        <row r="1080">
          <cell r="A1080" t="str">
            <v>UNJY</v>
          </cell>
          <cell r="B1080">
            <v>385361</v>
          </cell>
          <cell r="C1080" t="str">
            <v>ФАКБ "НК" м.Дрогобич</v>
          </cell>
        </row>
        <row r="1081">
          <cell r="A1081" t="str">
            <v>UNJZ</v>
          </cell>
          <cell r="B1081">
            <v>385305</v>
          </cell>
          <cell r="C1081" t="str">
            <v>ЛФ ВАТ "КРЕДИТПРОМБАНК"</v>
          </cell>
        </row>
        <row r="1082">
          <cell r="A1082" t="str">
            <v>UNKA</v>
          </cell>
          <cell r="B1082">
            <v>385435</v>
          </cell>
          <cell r="C1082" t="str">
            <v>ЗРФАКБ"Трансбанк"м.Львів</v>
          </cell>
        </row>
        <row r="1083">
          <cell r="A1083" t="str">
            <v>UNKB</v>
          </cell>
          <cell r="B1083">
            <v>385316</v>
          </cell>
          <cell r="C1083" t="str">
            <v>Львівська Ф ВАТ ВТБ Банк</v>
          </cell>
        </row>
        <row r="1084">
          <cell r="A1084" t="str">
            <v>UNKE</v>
          </cell>
          <cell r="B1084">
            <v>325008</v>
          </cell>
          <cell r="C1084" t="str">
            <v>ЛФ ВАТ Банку "БІГ Енергія"</v>
          </cell>
        </row>
        <row r="1085">
          <cell r="A1085" t="str">
            <v>UNKF</v>
          </cell>
          <cell r="B1085">
            <v>385350</v>
          </cell>
          <cell r="C1085" t="str">
            <v>Філія ЗАТ "ПУМБ" в м.Львові</v>
          </cell>
        </row>
        <row r="1086">
          <cell r="A1086" t="str">
            <v>UNKH</v>
          </cell>
          <cell r="B1086">
            <v>385372</v>
          </cell>
          <cell r="C1086" t="str">
            <v>Друга Льв.ф.ВАТ "КРЕДОБАНК"</v>
          </cell>
        </row>
        <row r="1087">
          <cell r="A1087" t="str">
            <v>UNKI</v>
          </cell>
          <cell r="B1087">
            <v>385394</v>
          </cell>
          <cell r="C1087" t="str">
            <v>ЛФ ВАТ "ПІРЕУС БАНК МКБ"</v>
          </cell>
        </row>
        <row r="1088">
          <cell r="A1088" t="str">
            <v>UNKK</v>
          </cell>
          <cell r="B1088">
            <v>385402</v>
          </cell>
          <cell r="C1088" t="str">
            <v>ФіліяЗАТ"ОТП Банк"у м.Львів</v>
          </cell>
        </row>
        <row r="1089">
          <cell r="A1089" t="str">
            <v>UNKL</v>
          </cell>
          <cell r="B1089">
            <v>385413</v>
          </cell>
          <cell r="C1089" t="str">
            <v>ЛЬВІВСЬКА Ф-Я ВАТ"МЕГАБАНК"</v>
          </cell>
        </row>
        <row r="1090">
          <cell r="A1090" t="str">
            <v>UNKN</v>
          </cell>
          <cell r="B1090">
            <v>385424</v>
          </cell>
          <cell r="C1090" t="str">
            <v>ЛФ АКБ "Індустріалбанк"</v>
          </cell>
        </row>
        <row r="1091">
          <cell r="A1091" t="str">
            <v>UNKO</v>
          </cell>
          <cell r="B1091">
            <v>385446</v>
          </cell>
          <cell r="C1091" t="str">
            <v>Львівська філія ВАТ "УБРП"</v>
          </cell>
        </row>
        <row r="1092">
          <cell r="A1092" t="str">
            <v>UNKP</v>
          </cell>
          <cell r="B1092">
            <v>385457</v>
          </cell>
          <cell r="C1092" t="str">
            <v>Львів.ФТОВ"Укрпромбанк"</v>
          </cell>
        </row>
        <row r="1093">
          <cell r="A1093" t="str">
            <v>UNKS</v>
          </cell>
          <cell r="B1093">
            <v>385468</v>
          </cell>
          <cell r="C1093" t="str">
            <v>Львівська ФВАТ КБ"Хрещатик"</v>
          </cell>
        </row>
        <row r="1094">
          <cell r="A1094" t="str">
            <v>UNKU</v>
          </cell>
          <cell r="B1094">
            <v>385480</v>
          </cell>
          <cell r="C1094" t="str">
            <v>ЛФ КБ "Західінкомбанк" ТзОВ</v>
          </cell>
        </row>
        <row r="1095">
          <cell r="A1095" t="str">
            <v>UNKX</v>
          </cell>
          <cell r="B1095">
            <v>385491</v>
          </cell>
          <cell r="C1095" t="str">
            <v>ЛЬВІВСЬКАФ АКБ "ІМЕКСБАНК"</v>
          </cell>
        </row>
        <row r="1096">
          <cell r="A1096" t="str">
            <v>UNLA</v>
          </cell>
          <cell r="B1096">
            <v>325796</v>
          </cell>
          <cell r="C1096" t="str">
            <v>ФЛьвівське обласне уВАТОщад</v>
          </cell>
        </row>
        <row r="1097">
          <cell r="A1097" t="str">
            <v>UNLC</v>
          </cell>
          <cell r="B1097">
            <v>385048</v>
          </cell>
          <cell r="C1097" t="str">
            <v>ФЛьвівське міське віВАТОщад</v>
          </cell>
        </row>
        <row r="1098">
          <cell r="A1098" t="str">
            <v>UNLG</v>
          </cell>
          <cell r="B1098">
            <v>385082</v>
          </cell>
          <cell r="C1098" t="str">
            <v>ФБориславське відділВАТОщад</v>
          </cell>
        </row>
        <row r="1099">
          <cell r="A1099" t="str">
            <v>UNLH</v>
          </cell>
          <cell r="B1099">
            <v>385093</v>
          </cell>
          <cell r="C1099" t="str">
            <v>ФДрогобицьке відділеВАТОщад</v>
          </cell>
        </row>
        <row r="1100">
          <cell r="A1100" t="str">
            <v>UNLI</v>
          </cell>
          <cell r="B1100">
            <v>385101</v>
          </cell>
          <cell r="C1100" t="str">
            <v>ФТрускавецьке відділВАТОщад</v>
          </cell>
        </row>
        <row r="1101">
          <cell r="A1101" t="str">
            <v>UNLJ</v>
          </cell>
          <cell r="B1101">
            <v>385112</v>
          </cell>
          <cell r="C1101" t="str">
            <v>ФЧервоноградське відВАТОщад</v>
          </cell>
        </row>
        <row r="1102">
          <cell r="A1102" t="str">
            <v>UNLK</v>
          </cell>
          <cell r="B1102">
            <v>385123</v>
          </cell>
          <cell r="C1102" t="str">
            <v>ФБродівське відділенВАТОщад</v>
          </cell>
        </row>
        <row r="1103">
          <cell r="A1103" t="str">
            <v>UNLL</v>
          </cell>
          <cell r="B1103">
            <v>385134</v>
          </cell>
          <cell r="C1103" t="str">
            <v>ФБуське відділення №ВАТОщад</v>
          </cell>
        </row>
        <row r="1104">
          <cell r="A1104" t="str">
            <v>UNLM</v>
          </cell>
          <cell r="B1104">
            <v>385015</v>
          </cell>
          <cell r="C1104" t="str">
            <v>ФГородоцьке відділенВАТОщад</v>
          </cell>
        </row>
        <row r="1105">
          <cell r="A1105" t="str">
            <v>UNLO</v>
          </cell>
          <cell r="B1105">
            <v>385167</v>
          </cell>
          <cell r="C1105" t="str">
            <v>ФЖидачівське відділеВАТОщад</v>
          </cell>
        </row>
        <row r="1106">
          <cell r="A1106" t="str">
            <v>UNLP</v>
          </cell>
          <cell r="B1106">
            <v>385178</v>
          </cell>
          <cell r="C1106" t="str">
            <v>ФЗолочівське відділеВАТОщад</v>
          </cell>
        </row>
        <row r="1107">
          <cell r="A1107" t="str">
            <v>UNLQ</v>
          </cell>
          <cell r="B1107">
            <v>385189</v>
          </cell>
          <cell r="C1107" t="str">
            <v>ФКам`янка-Бузьке відВАТОщад</v>
          </cell>
        </row>
        <row r="1108">
          <cell r="A1108" t="str">
            <v>UNLR</v>
          </cell>
          <cell r="B1108">
            <v>385190</v>
          </cell>
          <cell r="C1108" t="str">
            <v>ФМиколаївське відділВАТОщад</v>
          </cell>
        </row>
        <row r="1109">
          <cell r="A1109" t="str">
            <v>UNLS</v>
          </cell>
          <cell r="B1109">
            <v>385208</v>
          </cell>
          <cell r="C1109" t="str">
            <v>ФМостиське відділеннВАТОщад</v>
          </cell>
        </row>
        <row r="1110">
          <cell r="A1110" t="str">
            <v>UNLT</v>
          </cell>
          <cell r="B1110">
            <v>385219</v>
          </cell>
          <cell r="C1110" t="str">
            <v>ФЖовківське відділенВАТОщад</v>
          </cell>
        </row>
        <row r="1111">
          <cell r="A1111" t="str">
            <v>UNLU</v>
          </cell>
          <cell r="B1111">
            <v>385220</v>
          </cell>
          <cell r="C1111" t="str">
            <v>ФПеремишлянське віддВАТОщад</v>
          </cell>
        </row>
        <row r="1112">
          <cell r="A1112" t="str">
            <v>UNLV</v>
          </cell>
          <cell r="B1112">
            <v>385231</v>
          </cell>
          <cell r="C1112" t="str">
            <v>ФПустомитівське віддВАТОщад</v>
          </cell>
        </row>
        <row r="1113">
          <cell r="A1113" t="str">
            <v>UNLW</v>
          </cell>
          <cell r="B1113">
            <v>385242</v>
          </cell>
          <cell r="C1113" t="str">
            <v>ФРадехівське відділеВАТОщад</v>
          </cell>
        </row>
        <row r="1114">
          <cell r="A1114" t="str">
            <v>UNLX</v>
          </cell>
          <cell r="B1114">
            <v>385253</v>
          </cell>
          <cell r="C1114" t="str">
            <v>ФСамбірське відділенВАТОщад</v>
          </cell>
        </row>
        <row r="1115">
          <cell r="A1115" t="str">
            <v>UNLY</v>
          </cell>
          <cell r="B1115">
            <v>385264</v>
          </cell>
          <cell r="C1115" t="str">
            <v>ФСколівське відділенВАТОщад</v>
          </cell>
        </row>
        <row r="1116">
          <cell r="A1116" t="str">
            <v>UNLZ</v>
          </cell>
          <cell r="B1116">
            <v>385145</v>
          </cell>
          <cell r="C1116" t="str">
            <v>ФСокальське відділенВАТОщад</v>
          </cell>
        </row>
        <row r="1117">
          <cell r="A1117" t="str">
            <v>UNMA</v>
          </cell>
          <cell r="B1117">
            <v>385156</v>
          </cell>
          <cell r="C1117" t="str">
            <v>ФСтаросамбірське відВАТОщад</v>
          </cell>
        </row>
        <row r="1118">
          <cell r="A1118" t="str">
            <v>UNMB</v>
          </cell>
          <cell r="B1118">
            <v>385297</v>
          </cell>
          <cell r="C1118" t="str">
            <v>ФСтрийське відділеннВАТОщад</v>
          </cell>
        </row>
        <row r="1119">
          <cell r="A1119" t="str">
            <v>UNMC</v>
          </cell>
          <cell r="B1119">
            <v>385275</v>
          </cell>
          <cell r="C1119" t="str">
            <v>ФТурківське відділенВАТОщад</v>
          </cell>
        </row>
        <row r="1120">
          <cell r="A1120" t="str">
            <v>UNMD</v>
          </cell>
          <cell r="B1120">
            <v>385286</v>
          </cell>
          <cell r="C1120" t="str">
            <v>ФЯворівське відділенВАТОщад</v>
          </cell>
        </row>
        <row r="1121">
          <cell r="A1121" t="str">
            <v>UNNE</v>
          </cell>
          <cell r="B1121">
            <v>385509</v>
          </cell>
          <cell r="C1121" t="str">
            <v>Львiвська фiлiя АКБ "Форум"</v>
          </cell>
        </row>
        <row r="1122">
          <cell r="A1122" t="str">
            <v>UNNL</v>
          </cell>
          <cell r="B1122">
            <v>385521</v>
          </cell>
          <cell r="C1122" t="str">
            <v>ФВАТ"КБ"Актив-банк" Львів</v>
          </cell>
        </row>
        <row r="1123">
          <cell r="A1123" t="str">
            <v>UNNM</v>
          </cell>
          <cell r="B1123">
            <v>385532</v>
          </cell>
          <cell r="C1123" t="str">
            <v>ФАБ "Південний" у м.Львів</v>
          </cell>
        </row>
        <row r="1124">
          <cell r="A1124" t="str">
            <v>UNQK</v>
          </cell>
          <cell r="B1124">
            <v>825014</v>
          </cell>
          <cell r="C1124" t="str">
            <v>ГУДКУ у Львівській області</v>
          </cell>
        </row>
        <row r="1125">
          <cell r="A1125" t="str">
            <v>UNTS</v>
          </cell>
          <cell r="B1125">
            <v>399067</v>
          </cell>
          <cell r="C1125" t="str">
            <v>Львів.інстит.БС УБС(м.Київ)</v>
          </cell>
        </row>
        <row r="1126">
          <cell r="A1126" t="str">
            <v>UNW3</v>
          </cell>
          <cell r="B1126">
            <v>385338</v>
          </cell>
          <cell r="C1126" t="str">
            <v>Перша ФАТ "УФГ" в м.Львів</v>
          </cell>
        </row>
        <row r="1127">
          <cell r="A1127" t="str">
            <v>UNW4</v>
          </cell>
          <cell r="B1127">
            <v>385349</v>
          </cell>
          <cell r="C1127" t="str">
            <v>Друга ф-я АТ "УФГ"в м.Львів</v>
          </cell>
        </row>
        <row r="1128">
          <cell r="A1128" t="str">
            <v>UNW5</v>
          </cell>
          <cell r="B1128">
            <v>385918</v>
          </cell>
          <cell r="C1128" t="str">
            <v>Філія АТ "УФГ" у м.Дрогобич</v>
          </cell>
        </row>
        <row r="1129">
          <cell r="A1129" t="str">
            <v>UOAA</v>
          </cell>
          <cell r="B1129">
            <v>326438</v>
          </cell>
          <cell r="C1129" t="str">
            <v>Ф."ВІДДІЛ. ПІБ, М.МИКОЛАЇВ"</v>
          </cell>
        </row>
        <row r="1130">
          <cell r="A1130" t="str">
            <v>UOAD</v>
          </cell>
          <cell r="B1130">
            <v>326289</v>
          </cell>
          <cell r="C1130" t="str">
            <v>Ф-Я ВІД.ПІБ В М.ВОЗНЕСЕНСЬК</v>
          </cell>
        </row>
        <row r="1131">
          <cell r="A1131" t="str">
            <v>UOAH</v>
          </cell>
          <cell r="B1131">
            <v>326427</v>
          </cell>
          <cell r="C1131" t="str">
            <v>Ф-Я ВІД.ПІБ М.ЮЖНОУКРАЇНСЬК</v>
          </cell>
        </row>
        <row r="1132">
          <cell r="A1132" t="str">
            <v>UOAI</v>
          </cell>
          <cell r="B1132">
            <v>326449</v>
          </cell>
          <cell r="C1132" t="str">
            <v>Ф-Я ВІД.ПІБ В М.ПЕРВОМАЙСЬК</v>
          </cell>
        </row>
        <row r="1133">
          <cell r="A1133" t="str">
            <v>UOCA</v>
          </cell>
          <cell r="B1133">
            <v>326018</v>
          </cell>
          <cell r="C1133" t="str">
            <v>Миколаїв.обл.філіяАКБ"УСБ"</v>
          </cell>
        </row>
        <row r="1134">
          <cell r="A1134" t="str">
            <v>UOFA</v>
          </cell>
          <cell r="B1134">
            <v>386003</v>
          </cell>
          <cell r="C1134" t="str">
            <v>Ф"МРУ"ВАТ"КБ"Експобанк"</v>
          </cell>
        </row>
        <row r="1135">
          <cell r="A1135" t="str">
            <v>UOGA</v>
          </cell>
          <cell r="B1135">
            <v>326739</v>
          </cell>
          <cell r="C1135" t="str">
            <v>Ф-я Укрексімбанк, Миколаїв</v>
          </cell>
        </row>
        <row r="1136">
          <cell r="A1136" t="str">
            <v>UOHA</v>
          </cell>
          <cell r="B1136">
            <v>326450</v>
          </cell>
          <cell r="C1136" t="str">
            <v>Упр. НБУ в Миколаїв. обл.</v>
          </cell>
        </row>
        <row r="1137">
          <cell r="A1137" t="str">
            <v>UOID</v>
          </cell>
          <cell r="B1137">
            <v>326320</v>
          </cell>
          <cell r="C1137" t="str">
            <v>Миколаївська Ф АКБ "Київ"</v>
          </cell>
        </row>
        <row r="1138">
          <cell r="A1138" t="str">
            <v>UOIH</v>
          </cell>
          <cell r="B1138">
            <v>326182</v>
          </cell>
          <cell r="C1138" t="str">
            <v>МОД "Райффайзен Банк Аваль"</v>
          </cell>
        </row>
        <row r="1139">
          <cell r="A1139" t="str">
            <v>UOII</v>
          </cell>
          <cell r="B1139">
            <v>326063</v>
          </cell>
          <cell r="C1139" t="str">
            <v>Миколаїв.Ф.ВАТ"ВІЕЙБІБАНК"</v>
          </cell>
        </row>
        <row r="1140">
          <cell r="A1140" t="str">
            <v>UOIJ</v>
          </cell>
          <cell r="B1140">
            <v>326331</v>
          </cell>
          <cell r="C1140" t="str">
            <v>МФ АБ "КИЇВСЬКА РУСЬ"</v>
          </cell>
        </row>
        <row r="1141">
          <cell r="A1141" t="str">
            <v>UOIM</v>
          </cell>
          <cell r="B1141">
            <v>326115</v>
          </cell>
          <cell r="C1141" t="str">
            <v>МФ ВАТ "КБ "ПРИЧОРНОМОР"Я"</v>
          </cell>
        </row>
        <row r="1142">
          <cell r="A1142" t="str">
            <v>UOIR</v>
          </cell>
          <cell r="B1142">
            <v>326580</v>
          </cell>
          <cell r="C1142" t="str">
            <v>Миколаївська ФАТ"Укрінбанк"</v>
          </cell>
        </row>
        <row r="1143">
          <cell r="A1143" t="str">
            <v>UOIZ</v>
          </cell>
          <cell r="B1143">
            <v>326126</v>
          </cell>
          <cell r="C1143" t="str">
            <v>Філія ПУМБ в м.Миколаєві</v>
          </cell>
        </row>
        <row r="1144">
          <cell r="A1144" t="str">
            <v>UOJF</v>
          </cell>
          <cell r="B1144">
            <v>326610</v>
          </cell>
          <cell r="C1144" t="str">
            <v>Миколаївське РУ ПриватБанку</v>
          </cell>
        </row>
        <row r="1145">
          <cell r="A1145" t="str">
            <v>UOJJ</v>
          </cell>
          <cell r="B1145">
            <v>326494</v>
          </cell>
          <cell r="C1145" t="str">
            <v>МФ АБ "Укоопспілка"</v>
          </cell>
        </row>
        <row r="1146">
          <cell r="A1146" t="str">
            <v>UOJK</v>
          </cell>
          <cell r="B1146">
            <v>326762</v>
          </cell>
          <cell r="C1146" t="str">
            <v>Микол.філія ВАТ "КРЕДОБАНК"</v>
          </cell>
        </row>
        <row r="1147">
          <cell r="A1147" t="str">
            <v>UOJL</v>
          </cell>
          <cell r="B1147">
            <v>326706</v>
          </cell>
          <cell r="C1147" t="str">
            <v>ЮФ ВАТ Банку "БІГ Енергія"</v>
          </cell>
        </row>
        <row r="1148">
          <cell r="A1148" t="str">
            <v>UOJP</v>
          </cell>
          <cell r="B1148">
            <v>326643</v>
          </cell>
          <cell r="C1148" t="str">
            <v>ФАБ"Енергобанк"вм.Миколаєв</v>
          </cell>
        </row>
        <row r="1149">
          <cell r="A1149" t="str">
            <v>UOJR</v>
          </cell>
          <cell r="B1149">
            <v>326988</v>
          </cell>
          <cell r="C1149" t="str">
            <v>Миколаївська Ф АКБ "Форум"</v>
          </cell>
        </row>
        <row r="1150">
          <cell r="A1150" t="str">
            <v>UOJS</v>
          </cell>
          <cell r="B1150">
            <v>326665</v>
          </cell>
          <cell r="C1150" t="str">
            <v>Сп.ФАКБ "НК" м.Миколаїв</v>
          </cell>
        </row>
        <row r="1151">
          <cell r="A1151" t="str">
            <v>UOJV</v>
          </cell>
          <cell r="B1151">
            <v>326751</v>
          </cell>
          <cell r="C1151" t="str">
            <v>ФАБ"ПІВДЕННИЙ"в м.Миколаєві</v>
          </cell>
        </row>
        <row r="1152">
          <cell r="A1152" t="str">
            <v>UOJW</v>
          </cell>
          <cell r="B1152">
            <v>326784</v>
          </cell>
          <cell r="C1152" t="str">
            <v>ФВАТ "МТБ", МИКОЛАЇВ</v>
          </cell>
        </row>
        <row r="1153">
          <cell r="A1153" t="str">
            <v>UOJX</v>
          </cell>
          <cell r="B1153">
            <v>326803</v>
          </cell>
          <cell r="C1153" t="str">
            <v>ВАТКБ"Надра"Миколаїв. РУ</v>
          </cell>
        </row>
        <row r="1154">
          <cell r="A1154" t="str">
            <v>UOJY</v>
          </cell>
          <cell r="B1154">
            <v>326814</v>
          </cell>
          <cell r="C1154" t="str">
            <v>МФ ТОВ "Укрпромбанк"</v>
          </cell>
        </row>
        <row r="1155">
          <cell r="A1155" t="str">
            <v>UOJZ</v>
          </cell>
          <cell r="B1155">
            <v>326825</v>
          </cell>
          <cell r="C1155" t="str">
            <v>МИКОЛАЇВСЬФ АКБ "ІМЕКСБАНК"</v>
          </cell>
        </row>
        <row r="1156">
          <cell r="A1156" t="str">
            <v>UOKB</v>
          </cell>
          <cell r="B1156">
            <v>326892</v>
          </cell>
          <cell r="C1156" t="str">
            <v>Миколаївська ф.Приватінвест</v>
          </cell>
        </row>
        <row r="1157">
          <cell r="A1157" t="str">
            <v>UOKD</v>
          </cell>
          <cell r="B1157">
            <v>326911</v>
          </cell>
          <cell r="C1157" t="str">
            <v>Філія ЗАТ "ОТП Банк"</v>
          </cell>
        </row>
        <row r="1158">
          <cell r="A1158" t="str">
            <v>UOKE</v>
          </cell>
          <cell r="B1158">
            <v>326922</v>
          </cell>
          <cell r="C1158" t="str">
            <v>МФ АБ "БРОКБІЗНЕСБАНК"</v>
          </cell>
        </row>
        <row r="1159">
          <cell r="A1159" t="str">
            <v>UOKL</v>
          </cell>
          <cell r="B1159">
            <v>326933</v>
          </cell>
          <cell r="C1159" t="str">
            <v>Ф.ПРУБанк Фінанси та Кедит</v>
          </cell>
        </row>
        <row r="1160">
          <cell r="A1160" t="str">
            <v>UOKU</v>
          </cell>
          <cell r="B1160">
            <v>326944</v>
          </cell>
          <cell r="C1160" t="str">
            <v>Філ.Мик.Д.АТ"ІНДЕКС-БАНК"</v>
          </cell>
        </row>
        <row r="1161">
          <cell r="A1161" t="str">
            <v>UOLA</v>
          </cell>
          <cell r="B1161">
            <v>326461</v>
          </cell>
          <cell r="C1161" t="str">
            <v>ФМиколаївське обласнВАТОщад</v>
          </cell>
        </row>
        <row r="1162">
          <cell r="A1162" t="str">
            <v>UOLD</v>
          </cell>
          <cell r="B1162">
            <v>386069</v>
          </cell>
          <cell r="C1162" t="str">
            <v>ФМіське відділення №ВАТОщад</v>
          </cell>
        </row>
        <row r="1163">
          <cell r="A1163" t="str">
            <v>UOLE</v>
          </cell>
          <cell r="B1163">
            <v>386070</v>
          </cell>
          <cell r="C1163" t="str">
            <v>ФКорабельне відділенВАТОщад</v>
          </cell>
        </row>
        <row r="1164">
          <cell r="A1164" t="str">
            <v>UOLF</v>
          </cell>
          <cell r="B1164">
            <v>386092</v>
          </cell>
          <cell r="C1164" t="str">
            <v>ФАрбузинське відділеВАТОщад</v>
          </cell>
        </row>
        <row r="1165">
          <cell r="A1165" t="str">
            <v>UOLG</v>
          </cell>
          <cell r="B1165">
            <v>386133</v>
          </cell>
          <cell r="C1165" t="str">
            <v>ФБаштанське відділенВАТОщад</v>
          </cell>
        </row>
        <row r="1166">
          <cell r="A1166" t="str">
            <v>UOLH</v>
          </cell>
          <cell r="B1166">
            <v>386081</v>
          </cell>
          <cell r="C1166" t="str">
            <v>ФБерезанське відділеВАТОщад</v>
          </cell>
        </row>
        <row r="1167">
          <cell r="A1167" t="str">
            <v>UOLI</v>
          </cell>
          <cell r="B1167">
            <v>386122</v>
          </cell>
          <cell r="C1167" t="str">
            <v>ФБерезнегуватське віВАТОщад</v>
          </cell>
        </row>
        <row r="1168">
          <cell r="A1168" t="str">
            <v>UOLK</v>
          </cell>
          <cell r="B1168">
            <v>386014</v>
          </cell>
          <cell r="C1168" t="str">
            <v>ФВеселинівське віддіВАТОщад</v>
          </cell>
        </row>
        <row r="1169">
          <cell r="A1169" t="str">
            <v>UOLL</v>
          </cell>
          <cell r="B1169">
            <v>386025</v>
          </cell>
          <cell r="C1169" t="str">
            <v>ФВознесенське відділВАТОщад</v>
          </cell>
        </row>
        <row r="1170">
          <cell r="A1170" t="str">
            <v>UOLN</v>
          </cell>
          <cell r="B1170">
            <v>386177</v>
          </cell>
          <cell r="C1170" t="str">
            <v>ФДоманівське відділеВАТОщад</v>
          </cell>
        </row>
        <row r="1171">
          <cell r="A1171" t="str">
            <v>UOLQ</v>
          </cell>
          <cell r="B1171">
            <v>386100</v>
          </cell>
          <cell r="C1171" t="str">
            <v>ФКазанківське відділВАТОщад</v>
          </cell>
        </row>
        <row r="1172">
          <cell r="A1172" t="str">
            <v>UOLR</v>
          </cell>
          <cell r="B1172">
            <v>386218</v>
          </cell>
          <cell r="C1172" t="str">
            <v>ФКривоозерське віддіВАТОщад</v>
          </cell>
        </row>
        <row r="1173">
          <cell r="A1173" t="str">
            <v>UOLS</v>
          </cell>
          <cell r="B1173">
            <v>386229</v>
          </cell>
          <cell r="C1173" t="str">
            <v>ФМиколаївське відділВАТОщад</v>
          </cell>
        </row>
        <row r="1174">
          <cell r="A1174" t="str">
            <v>UOLT</v>
          </cell>
          <cell r="B1174">
            <v>386230</v>
          </cell>
          <cell r="C1174" t="str">
            <v>ФНовобузьке відділенВАТОщад</v>
          </cell>
        </row>
        <row r="1175">
          <cell r="A1175" t="str">
            <v>UOLV</v>
          </cell>
          <cell r="B1175">
            <v>386252</v>
          </cell>
          <cell r="C1175" t="str">
            <v>ФОчаківське відділенВАТОщад</v>
          </cell>
        </row>
        <row r="1176">
          <cell r="A1176" t="str">
            <v>UOLW</v>
          </cell>
          <cell r="B1176">
            <v>386393</v>
          </cell>
          <cell r="C1176" t="str">
            <v>ФПервомайське відділВАТОщад</v>
          </cell>
        </row>
        <row r="1177">
          <cell r="A1177" t="str">
            <v>UOLX</v>
          </cell>
          <cell r="B1177">
            <v>386144</v>
          </cell>
          <cell r="C1177" t="str">
            <v>ФСнігурівське відділВАТОщад</v>
          </cell>
        </row>
        <row r="1178">
          <cell r="A1178" t="str">
            <v>UOLY</v>
          </cell>
          <cell r="B1178">
            <v>386360</v>
          </cell>
          <cell r="C1178" t="str">
            <v>ФЮжноукраїнське віддВАТОщад</v>
          </cell>
        </row>
        <row r="1179">
          <cell r="A1179" t="str">
            <v>UONE</v>
          </cell>
          <cell r="B1179">
            <v>326007</v>
          </cell>
          <cell r="C1179" t="str">
            <v>МФ ВАТ "Кредитпромбанк"</v>
          </cell>
        </row>
        <row r="1180">
          <cell r="A1180" t="str">
            <v>UONF</v>
          </cell>
          <cell r="B1180">
            <v>326955</v>
          </cell>
          <cell r="C1180" t="str">
            <v>ФТОВ"Столиця" у м.Миколаєві</v>
          </cell>
        </row>
        <row r="1181">
          <cell r="A1181" t="str">
            <v>UONG</v>
          </cell>
          <cell r="B1181">
            <v>386423</v>
          </cell>
          <cell r="C1181" t="str">
            <v>Миколаївська ФВАТ"ХРЕЩАТИК"</v>
          </cell>
        </row>
        <row r="1182">
          <cell r="A1182" t="str">
            <v>UONH</v>
          </cell>
          <cell r="B1182">
            <v>386241</v>
          </cell>
          <cell r="C1182" t="str">
            <v>Миколаїв. Ф ВАТ ВТБ Банк</v>
          </cell>
        </row>
        <row r="1183">
          <cell r="A1183" t="str">
            <v>UOQK</v>
          </cell>
          <cell r="B1183">
            <v>826013</v>
          </cell>
          <cell r="C1183" t="str">
            <v>ГУДКУ у Миколаївській обл.</v>
          </cell>
        </row>
        <row r="1184">
          <cell r="A1184" t="str">
            <v>UOW1</v>
          </cell>
          <cell r="B1184">
            <v>326773</v>
          </cell>
          <cell r="C1184" t="str">
            <v>ФАТ "УФГ", м.Миколаїв</v>
          </cell>
        </row>
        <row r="1185">
          <cell r="A1185" t="str">
            <v>UOW2</v>
          </cell>
          <cell r="B1185">
            <v>386155</v>
          </cell>
          <cell r="C1185" t="str">
            <v>Перша ФАТ "УФГ", м.Миколаїв</v>
          </cell>
        </row>
        <row r="1186">
          <cell r="A1186" t="str">
            <v>UPAA</v>
          </cell>
          <cell r="B1186">
            <v>328135</v>
          </cell>
          <cell r="C1186" t="str">
            <v>Ф."ВІДДІЛЕННЯ ПІБ, М.ОДЕСА"</v>
          </cell>
        </row>
        <row r="1187">
          <cell r="A1187" t="str">
            <v>UPAB</v>
          </cell>
          <cell r="B1187">
            <v>328458</v>
          </cell>
          <cell r="C1187" t="str">
            <v>Ф.Від.ПІБ м.Б.-Дністр.Од.об</v>
          </cell>
        </row>
        <row r="1188">
          <cell r="A1188" t="str">
            <v>UPAE</v>
          </cell>
          <cell r="B1188">
            <v>328124</v>
          </cell>
          <cell r="C1188" t="str">
            <v>Ф.Від.ПІБ,м.Іллічівськ Од.</v>
          </cell>
        </row>
        <row r="1189">
          <cell r="A1189" t="str">
            <v>UPAI</v>
          </cell>
          <cell r="B1189">
            <v>328522</v>
          </cell>
          <cell r="C1189" t="str">
            <v>Ф.Від.ПІБ м.Котовськ Од.об.</v>
          </cell>
        </row>
        <row r="1190">
          <cell r="A1190" t="str">
            <v>UPAN</v>
          </cell>
          <cell r="B1190">
            <v>388625</v>
          </cell>
          <cell r="C1190" t="str">
            <v>Ф.Від.ПІБ в м.Южний Од.обл.</v>
          </cell>
        </row>
        <row r="1191">
          <cell r="A1191" t="str">
            <v>UPCA</v>
          </cell>
          <cell r="B1191">
            <v>328016</v>
          </cell>
          <cell r="C1191" t="str">
            <v>Одес.обл.філія АКБ "УСБ"</v>
          </cell>
        </row>
        <row r="1192">
          <cell r="A1192" t="str">
            <v>UPFE</v>
          </cell>
          <cell r="B1192">
            <v>388001</v>
          </cell>
          <cell r="C1192" t="str">
            <v>Філ.АБ"Енергобанк"в м.Одеса</v>
          </cell>
        </row>
        <row r="1193">
          <cell r="A1193" t="str">
            <v>UPFF</v>
          </cell>
          <cell r="B1193">
            <v>388506</v>
          </cell>
          <cell r="C1193" t="str">
            <v>ОФ ТОВ КБ "АРМА"</v>
          </cell>
        </row>
        <row r="1194">
          <cell r="A1194" t="str">
            <v>UPFK</v>
          </cell>
          <cell r="B1194">
            <v>388517</v>
          </cell>
          <cell r="C1194" t="str">
            <v>Одеська філія АКБ "СЄБ"</v>
          </cell>
        </row>
        <row r="1195">
          <cell r="A1195" t="str">
            <v>UPFU</v>
          </cell>
          <cell r="B1195">
            <v>388528</v>
          </cell>
          <cell r="C1195" t="str">
            <v>Ф"Одес.РУ"ВАТ"КБ"Експобанк"</v>
          </cell>
        </row>
        <row r="1196">
          <cell r="A1196" t="str">
            <v>UPFX</v>
          </cell>
          <cell r="B1196">
            <v>388539</v>
          </cell>
          <cell r="C1196" t="str">
            <v>Ф.АБ"АвтоЗАЗбанк"в м. Одеса</v>
          </cell>
        </row>
        <row r="1197">
          <cell r="A1197" t="str">
            <v>UPFY</v>
          </cell>
          <cell r="B1197">
            <v>388540</v>
          </cell>
          <cell r="C1197" t="str">
            <v>Одеська філія АТ "УФГ"</v>
          </cell>
        </row>
        <row r="1198">
          <cell r="A1198" t="str">
            <v>UPGA</v>
          </cell>
          <cell r="B1198">
            <v>328629</v>
          </cell>
          <cell r="C1198" t="str">
            <v>Ф-я Укрексімбанк, Ізмаїл</v>
          </cell>
        </row>
        <row r="1199">
          <cell r="A1199" t="str">
            <v>UPGB</v>
          </cell>
          <cell r="B1199">
            <v>328618</v>
          </cell>
          <cell r="C1199" t="str">
            <v>Ф-я Укрексімбанк, Одеса</v>
          </cell>
        </row>
        <row r="1200">
          <cell r="A1200" t="str">
            <v>UPHA</v>
          </cell>
          <cell r="B1200">
            <v>328027</v>
          </cell>
          <cell r="C1200" t="str">
            <v>Упр. НБУ в Одеській обл.</v>
          </cell>
        </row>
        <row r="1201">
          <cell r="A1201" t="str">
            <v>UPIA</v>
          </cell>
          <cell r="B1201">
            <v>328102</v>
          </cell>
          <cell r="C1201" t="str">
            <v>АКБ "Одеса-Банк"</v>
          </cell>
        </row>
        <row r="1202">
          <cell r="A1202" t="str">
            <v>UPIB</v>
          </cell>
          <cell r="B1202">
            <v>328685</v>
          </cell>
          <cell r="C1202" t="str">
            <v>АКБ "Фінбанк"</v>
          </cell>
        </row>
        <row r="1203">
          <cell r="A1203" t="str">
            <v>UPIE</v>
          </cell>
          <cell r="B1203">
            <v>328168</v>
          </cell>
          <cell r="C1203" t="str">
            <v>ВАТ "МТБ"</v>
          </cell>
        </row>
        <row r="1204">
          <cell r="A1204" t="str">
            <v>UPIF</v>
          </cell>
          <cell r="B1204">
            <v>328180</v>
          </cell>
          <cell r="C1204" t="str">
            <v>АКБ"ПОРТО-ФРАНКО"</v>
          </cell>
        </row>
        <row r="1205">
          <cell r="A1205" t="str">
            <v>UPII</v>
          </cell>
          <cell r="B1205">
            <v>328209</v>
          </cell>
          <cell r="C1205" t="str">
            <v>Акціонерний банк"Південний"</v>
          </cell>
        </row>
        <row r="1206">
          <cell r="A1206" t="str">
            <v>UPIJ</v>
          </cell>
          <cell r="B1206">
            <v>328210</v>
          </cell>
          <cell r="C1206" t="str">
            <v>АКБ "Інвестбанк"</v>
          </cell>
        </row>
        <row r="1207">
          <cell r="A1207" t="str">
            <v>UPIK</v>
          </cell>
          <cell r="B1207">
            <v>328663</v>
          </cell>
          <cell r="C1207" t="str">
            <v>ФАБ "Південний" у м.Іллічів</v>
          </cell>
        </row>
        <row r="1208">
          <cell r="A1208" t="str">
            <v>UPIL</v>
          </cell>
          <cell r="B1208">
            <v>328715</v>
          </cell>
          <cell r="C1208" t="str">
            <v>ТФ АКБ "Чор.банк р.та рек."</v>
          </cell>
        </row>
        <row r="1209">
          <cell r="A1209" t="str">
            <v>UPIM</v>
          </cell>
          <cell r="B1209">
            <v>328964</v>
          </cell>
          <cell r="C1209" t="str">
            <v>ФАБ "Південний" в м. Одеса</v>
          </cell>
        </row>
        <row r="1210">
          <cell r="A1210" t="str">
            <v>UPIN</v>
          </cell>
          <cell r="B1210">
            <v>328696</v>
          </cell>
          <cell r="C1210" t="str">
            <v>Одес.ф. АТ "Укрінбанк"</v>
          </cell>
        </row>
        <row r="1211">
          <cell r="A1211" t="str">
            <v>UPIP</v>
          </cell>
          <cell r="B1211">
            <v>328588</v>
          </cell>
          <cell r="C1211" t="str">
            <v>Друга ОФ ВАТАБ "Укргазбанк"</v>
          </cell>
        </row>
        <row r="1212">
          <cell r="A1212" t="str">
            <v>UPIQ</v>
          </cell>
          <cell r="B1212">
            <v>328599</v>
          </cell>
          <cell r="C1212" t="str">
            <v>ТОВ "ФІНРОСТБАНК"</v>
          </cell>
        </row>
        <row r="1213">
          <cell r="A1213" t="str">
            <v>UPIR</v>
          </cell>
          <cell r="B1213">
            <v>328759</v>
          </cell>
          <cell r="C1213" t="str">
            <v>ОФАБ "Укргазбанк", м. Одеса</v>
          </cell>
        </row>
        <row r="1214">
          <cell r="A1214" t="str">
            <v>UPIU</v>
          </cell>
          <cell r="B1214">
            <v>328760</v>
          </cell>
          <cell r="C1214" t="str">
            <v>КБ ТОВ "Місто Банк"</v>
          </cell>
        </row>
        <row r="1215">
          <cell r="A1215" t="str">
            <v>UPIW</v>
          </cell>
          <cell r="B1215">
            <v>328094</v>
          </cell>
          <cell r="C1215" t="str">
            <v>ФАКБ "Інвестбанк" у м Одеса</v>
          </cell>
        </row>
        <row r="1216">
          <cell r="A1216" t="str">
            <v>UPIX</v>
          </cell>
          <cell r="B1216">
            <v>328191</v>
          </cell>
          <cell r="C1216" t="str">
            <v>Філія ЗАТ "ПУМБ" в м. Одесі</v>
          </cell>
        </row>
        <row r="1217">
          <cell r="A1217" t="str">
            <v>UPJA</v>
          </cell>
          <cell r="B1217">
            <v>328384</v>
          </cell>
          <cell r="C1217" t="str">
            <v>АКБ "ІМЕКСБАНК"</v>
          </cell>
        </row>
        <row r="1218">
          <cell r="A1218" t="str">
            <v>UPJB</v>
          </cell>
          <cell r="B1218">
            <v>328975</v>
          </cell>
          <cell r="C1218" t="str">
            <v>ВАТКБ"Надра"Одеське РУ</v>
          </cell>
        </row>
        <row r="1219">
          <cell r="A1219" t="str">
            <v>UPJC</v>
          </cell>
          <cell r="B1219">
            <v>328726</v>
          </cell>
          <cell r="C1219" t="str">
            <v>Одеська Ф.ВАТ"ВІЕЙБІБАНК"</v>
          </cell>
        </row>
        <row r="1220">
          <cell r="A1220" t="str">
            <v>UPJD</v>
          </cell>
          <cell r="B1220">
            <v>328704</v>
          </cell>
          <cell r="C1220" t="str">
            <v>Ф.Южного ГРУ Приватбанку</v>
          </cell>
        </row>
        <row r="1221">
          <cell r="A1221" t="str">
            <v>UPJG</v>
          </cell>
          <cell r="B1221">
            <v>328351</v>
          </cell>
          <cell r="C1221" t="str">
            <v>ОД. "Райффайзен Банк Аваль"</v>
          </cell>
        </row>
        <row r="1222">
          <cell r="A1222" t="str">
            <v>UPJJ</v>
          </cell>
          <cell r="B1222">
            <v>328823</v>
          </cell>
          <cell r="C1222" t="str">
            <v>Ф ОРУ ВАТ "Б"Фінанси та Кр"</v>
          </cell>
        </row>
        <row r="1223">
          <cell r="A1223" t="str">
            <v>UPJK</v>
          </cell>
          <cell r="B1223">
            <v>328878</v>
          </cell>
          <cell r="C1223" t="str">
            <v>ФІЛІЯ ВАТ "МТБ" У М.ОДЕСІ</v>
          </cell>
        </row>
        <row r="1224">
          <cell r="A1224" t="str">
            <v>UPJL</v>
          </cell>
          <cell r="B1224">
            <v>328771</v>
          </cell>
          <cell r="C1224" t="str">
            <v>ОФ"БАНК ПЕТРОКОММЕРЦ-УКРАЇН</v>
          </cell>
        </row>
        <row r="1225">
          <cell r="A1225" t="str">
            <v>UPJN</v>
          </cell>
          <cell r="B1225">
            <v>328801</v>
          </cell>
          <cell r="C1225" t="str">
            <v>Одеська ФАБ "Експрес-Банк"</v>
          </cell>
        </row>
        <row r="1226">
          <cell r="A1226" t="str">
            <v>UPJO</v>
          </cell>
          <cell r="B1226">
            <v>388755</v>
          </cell>
          <cell r="C1226" t="str">
            <v>ФАКБ "НК" в м.Одеса</v>
          </cell>
        </row>
        <row r="1227">
          <cell r="A1227" t="str">
            <v>UPJP</v>
          </cell>
          <cell r="B1227">
            <v>328812</v>
          </cell>
          <cell r="C1227" t="str">
            <v>ОФ ВАТ "ПІРЕУС БАНК МКБ"</v>
          </cell>
        </row>
        <row r="1228">
          <cell r="A1228" t="str">
            <v>UPJR</v>
          </cell>
          <cell r="B1228">
            <v>328889</v>
          </cell>
          <cell r="C1228" t="str">
            <v>ОФ КБ "Західінкомбанк" ТзОВ</v>
          </cell>
        </row>
        <row r="1229">
          <cell r="A1229" t="str">
            <v>UPJS</v>
          </cell>
          <cell r="B1229">
            <v>328890</v>
          </cell>
          <cell r="C1229" t="str">
            <v>ФАБ "ПІВДЕННИЙ" в м.Ізмаїлі</v>
          </cell>
        </row>
        <row r="1230">
          <cell r="A1230" t="str">
            <v>UPJU</v>
          </cell>
          <cell r="B1230">
            <v>388498</v>
          </cell>
          <cell r="C1230" t="str">
            <v>ФІЛІЯ ВАТ "МТБ" У М.ІЛЛІЧІВ</v>
          </cell>
        </row>
        <row r="1231">
          <cell r="A1231" t="str">
            <v>UPJV</v>
          </cell>
          <cell r="B1231">
            <v>328986</v>
          </cell>
          <cell r="C1231" t="str">
            <v>Філія ЗАТ "ОТП Банк"</v>
          </cell>
        </row>
        <row r="1232">
          <cell r="A1232" t="str">
            <v>UPJW</v>
          </cell>
          <cell r="B1232">
            <v>388324</v>
          </cell>
          <cell r="C1232" t="str">
            <v>Одеська ФВАТ КБ "Хрещатик"</v>
          </cell>
        </row>
        <row r="1233">
          <cell r="A1233" t="str">
            <v>UPJX</v>
          </cell>
          <cell r="B1233">
            <v>388409</v>
          </cell>
          <cell r="C1233" t="str">
            <v>Одеська філія АКБ "Форум"</v>
          </cell>
        </row>
        <row r="1234">
          <cell r="A1234" t="str">
            <v>UPJZ</v>
          </cell>
          <cell r="B1234">
            <v>388313</v>
          </cell>
          <cell r="C1234" t="str">
            <v>ТОВ КБ "СКБ"</v>
          </cell>
        </row>
        <row r="1235">
          <cell r="A1235" t="str">
            <v>UPKA</v>
          </cell>
          <cell r="B1235">
            <v>388410</v>
          </cell>
          <cell r="C1235" t="str">
            <v>Одеська філія ВАТ ВТБ Банк</v>
          </cell>
        </row>
        <row r="1236">
          <cell r="A1236" t="str">
            <v>UPKC</v>
          </cell>
          <cell r="B1236">
            <v>388432</v>
          </cell>
          <cell r="C1236" t="str">
            <v>ОДЕСЬКА Ф-Я ТОВ"УКРПРОМБАНК</v>
          </cell>
        </row>
        <row r="1237">
          <cell r="A1237" t="str">
            <v>UPKH</v>
          </cell>
          <cell r="B1237">
            <v>388335</v>
          </cell>
          <cell r="C1237" t="str">
            <v>Філія ОД АТ"ІНДЕКС-БАНК"</v>
          </cell>
        </row>
        <row r="1238">
          <cell r="A1238" t="str">
            <v>UPKI</v>
          </cell>
          <cell r="B1238">
            <v>388476</v>
          </cell>
          <cell r="C1238" t="str">
            <v>Ф ВАТ "ПершІнвБ" в м.Одеса</v>
          </cell>
        </row>
        <row r="1239">
          <cell r="A1239" t="str">
            <v>UPKK</v>
          </cell>
          <cell r="B1239">
            <v>388443</v>
          </cell>
          <cell r="C1239" t="str">
            <v>Одеська філія ВАТ "УБРП"</v>
          </cell>
        </row>
        <row r="1240">
          <cell r="A1240" t="str">
            <v>UPKR</v>
          </cell>
          <cell r="B1240">
            <v>388454</v>
          </cell>
          <cell r="C1240" t="str">
            <v>Одеська ФАБ"БРОКБІЗНЕСБАНК"</v>
          </cell>
        </row>
        <row r="1241">
          <cell r="A1241" t="str">
            <v>UPLB</v>
          </cell>
          <cell r="B1241">
            <v>328845</v>
          </cell>
          <cell r="C1241" t="str">
            <v>ФОдеське обласне упрВАТОщад</v>
          </cell>
        </row>
        <row r="1242">
          <cell r="A1242" t="str">
            <v>UPLE</v>
          </cell>
          <cell r="B1242">
            <v>388078</v>
          </cell>
          <cell r="C1242" t="str">
            <v>ФОдеське міське віддВАТОщад</v>
          </cell>
        </row>
        <row r="1243">
          <cell r="A1243" t="str">
            <v>UPLK</v>
          </cell>
          <cell r="B1243">
            <v>388261</v>
          </cell>
          <cell r="C1243" t="str">
            <v>ФАнаньївське відділеВАТОщад</v>
          </cell>
        </row>
        <row r="1244">
          <cell r="A1244" t="str">
            <v>UPLL</v>
          </cell>
          <cell r="B1244">
            <v>388142</v>
          </cell>
          <cell r="C1244" t="str">
            <v>ФАрцизьке відділенняВАТОщад</v>
          </cell>
        </row>
        <row r="1245">
          <cell r="A1245" t="str">
            <v>UPLM</v>
          </cell>
          <cell r="B1245">
            <v>388153</v>
          </cell>
          <cell r="C1245" t="str">
            <v>ФБалтське відділенняВАТОщад</v>
          </cell>
        </row>
        <row r="1246">
          <cell r="A1246" t="str">
            <v>UPLO</v>
          </cell>
          <cell r="B1246">
            <v>388045</v>
          </cell>
          <cell r="C1246" t="str">
            <v>ФБiляївське відділенВАТОщад</v>
          </cell>
        </row>
        <row r="1247">
          <cell r="A1247" t="str">
            <v>UPLP</v>
          </cell>
          <cell r="B1247">
            <v>388186</v>
          </cell>
          <cell r="C1247" t="str">
            <v>ФБерезівське відділеВАТОщад</v>
          </cell>
        </row>
        <row r="1248">
          <cell r="A1248" t="str">
            <v>UPLQ</v>
          </cell>
          <cell r="B1248">
            <v>388197</v>
          </cell>
          <cell r="C1248" t="str">
            <v>ФБолградське відділеВАТОщад</v>
          </cell>
        </row>
        <row r="1249">
          <cell r="A1249" t="str">
            <v>UPLR</v>
          </cell>
          <cell r="B1249">
            <v>388108</v>
          </cell>
          <cell r="C1249" t="str">
            <v>ФВеликомихайлівське ВАТОщад</v>
          </cell>
        </row>
        <row r="1250">
          <cell r="A1250" t="str">
            <v>UPLS</v>
          </cell>
          <cell r="B1250">
            <v>388119</v>
          </cell>
          <cell r="C1250" t="str">
            <v>ФІванівське відділенВАТОщад</v>
          </cell>
        </row>
        <row r="1251">
          <cell r="A1251" t="str">
            <v>UPLT</v>
          </cell>
          <cell r="B1251">
            <v>388120</v>
          </cell>
          <cell r="C1251" t="str">
            <v>ФІзмаїльське відділеВАТОщад</v>
          </cell>
        </row>
        <row r="1252">
          <cell r="A1252" t="str">
            <v>UPLU</v>
          </cell>
          <cell r="B1252">
            <v>388238</v>
          </cell>
          <cell r="C1252" t="str">
            <v>ФІллічівське відділеВАТОщад</v>
          </cell>
        </row>
        <row r="1253">
          <cell r="A1253" t="str">
            <v>UPLV</v>
          </cell>
          <cell r="B1253">
            <v>388249</v>
          </cell>
          <cell r="C1253" t="str">
            <v>ФКілійське відділеннВАТОщад</v>
          </cell>
        </row>
        <row r="1254">
          <cell r="A1254" t="str">
            <v>UPLX</v>
          </cell>
          <cell r="B1254">
            <v>388391</v>
          </cell>
          <cell r="C1254" t="str">
            <v>ФКомінтернівське відВАТОщад</v>
          </cell>
        </row>
        <row r="1255">
          <cell r="A1255" t="str">
            <v>UPLY</v>
          </cell>
          <cell r="B1255">
            <v>388272</v>
          </cell>
          <cell r="C1255" t="str">
            <v>ФКотовське відділеннВАТОщад</v>
          </cell>
        </row>
        <row r="1256">
          <cell r="A1256" t="str">
            <v>UPLZ</v>
          </cell>
          <cell r="B1256">
            <v>388283</v>
          </cell>
          <cell r="C1256" t="str">
            <v>ФКрасноокнянське відВАТОщад</v>
          </cell>
        </row>
        <row r="1257">
          <cell r="A1257" t="str">
            <v>UPMA</v>
          </cell>
          <cell r="B1257">
            <v>388164</v>
          </cell>
          <cell r="C1257" t="str">
            <v>ФЛюбашівське відділеВАТОщад</v>
          </cell>
        </row>
        <row r="1258">
          <cell r="A1258" t="str">
            <v>UPMB</v>
          </cell>
          <cell r="B1258">
            <v>388175</v>
          </cell>
          <cell r="C1258" t="str">
            <v>ФМиколаївське відділВАТОщад</v>
          </cell>
        </row>
        <row r="1259">
          <cell r="A1259" t="str">
            <v>UPMD</v>
          </cell>
          <cell r="B1259">
            <v>388227</v>
          </cell>
          <cell r="C1259" t="str">
            <v>ФРоздільнянське віддВАТОщад</v>
          </cell>
        </row>
        <row r="1260">
          <cell r="A1260" t="str">
            <v>UPME</v>
          </cell>
          <cell r="B1260">
            <v>388205</v>
          </cell>
          <cell r="C1260" t="str">
            <v>ФРенійське відділеннВАТОщад</v>
          </cell>
        </row>
        <row r="1261">
          <cell r="A1261" t="str">
            <v>UPMG</v>
          </cell>
          <cell r="B1261">
            <v>388357</v>
          </cell>
          <cell r="C1261" t="str">
            <v>ФСаратське відділеннВАТОщад</v>
          </cell>
        </row>
        <row r="1262">
          <cell r="A1262" t="str">
            <v>UPMH</v>
          </cell>
          <cell r="B1262">
            <v>388368</v>
          </cell>
          <cell r="C1262" t="str">
            <v>ФТарутинське відділеВАТОщад</v>
          </cell>
        </row>
        <row r="1263">
          <cell r="A1263" t="str">
            <v>UPMI</v>
          </cell>
          <cell r="B1263">
            <v>388379</v>
          </cell>
          <cell r="C1263" t="str">
            <v>ФТатарбунарське віддВАТОщад</v>
          </cell>
        </row>
        <row r="1264">
          <cell r="A1264" t="str">
            <v>UPMJ</v>
          </cell>
          <cell r="B1264">
            <v>388380</v>
          </cell>
          <cell r="C1264" t="str">
            <v>ФФрунзівське відділеВАТОщад</v>
          </cell>
        </row>
        <row r="1265">
          <cell r="A1265" t="str">
            <v>UPNG</v>
          </cell>
          <cell r="B1265">
            <v>388487</v>
          </cell>
          <cell r="C1265" t="str">
            <v>Одеська ФВАТ"Кредитпромбанк</v>
          </cell>
        </row>
        <row r="1266">
          <cell r="A1266" t="str">
            <v>UPNH</v>
          </cell>
          <cell r="B1266">
            <v>388584</v>
          </cell>
          <cell r="C1266" t="str">
            <v>ОДЕСЬКАФ АКБ "ІМЕКСБАНК"</v>
          </cell>
        </row>
        <row r="1267">
          <cell r="A1267" t="str">
            <v>UPNI</v>
          </cell>
          <cell r="B1267">
            <v>388573</v>
          </cell>
          <cell r="C1267" t="str">
            <v>Одеська філіяВАТ"КРЕДОБАНК"</v>
          </cell>
        </row>
        <row r="1268">
          <cell r="A1268" t="str">
            <v>UPNM</v>
          </cell>
          <cell r="B1268">
            <v>388603</v>
          </cell>
          <cell r="C1268" t="str">
            <v>Одеська Ф КБТОВ"Місто Банк"</v>
          </cell>
        </row>
        <row r="1269">
          <cell r="A1269" t="str">
            <v>UPQK</v>
          </cell>
          <cell r="B1269">
            <v>828011</v>
          </cell>
          <cell r="C1269" t="str">
            <v>ГУДКУ в Одеській області</v>
          </cell>
        </row>
        <row r="1270">
          <cell r="A1270" t="str">
            <v>UPW1</v>
          </cell>
          <cell r="B1270">
            <v>328953</v>
          </cell>
          <cell r="C1270" t="str">
            <v>ФАТ "УФГ", м.Одеса</v>
          </cell>
        </row>
        <row r="1271">
          <cell r="A1271" t="str">
            <v>UPW2</v>
          </cell>
          <cell r="B1271">
            <v>328931</v>
          </cell>
          <cell r="C1271" t="str">
            <v>Перша ФАТ "УФГ", м.Одеса</v>
          </cell>
        </row>
        <row r="1272">
          <cell r="A1272" t="str">
            <v>UPW3</v>
          </cell>
          <cell r="B1272">
            <v>328942</v>
          </cell>
          <cell r="C1272" t="str">
            <v>ОДЕСЬКА ОБЛАСНА Ф-Я АТ УФГ</v>
          </cell>
        </row>
        <row r="1273">
          <cell r="A1273" t="str">
            <v>UPW4</v>
          </cell>
          <cell r="B1273">
            <v>388294</v>
          </cell>
          <cell r="C1273" t="str">
            <v>Приморська ФАТ УФГ, м.Одеса</v>
          </cell>
        </row>
        <row r="1274">
          <cell r="A1274" t="str">
            <v>UQAA</v>
          </cell>
          <cell r="B1274">
            <v>331069</v>
          </cell>
          <cell r="C1274" t="str">
            <v>Ф."ВІДДІЛЕН. ПІБ,М.ПОЛТАВА"</v>
          </cell>
        </row>
        <row r="1275">
          <cell r="A1275" t="str">
            <v>UQAC</v>
          </cell>
          <cell r="B1275">
            <v>331133</v>
          </cell>
          <cell r="C1275" t="str">
            <v>Ф."ВІД.ПІБ В М.КОМСОМ.ПОЛТ"</v>
          </cell>
        </row>
        <row r="1276">
          <cell r="A1276" t="str">
            <v>UQAD</v>
          </cell>
          <cell r="B1276">
            <v>331144</v>
          </cell>
          <cell r="C1276" t="str">
            <v>Ф.ВІД.ПІБ В М.КРЕМЕНЧУК ПОЛ</v>
          </cell>
        </row>
        <row r="1277">
          <cell r="A1277" t="str">
            <v>UQCA</v>
          </cell>
          <cell r="B1277">
            <v>331014</v>
          </cell>
          <cell r="C1277" t="str">
            <v>ПОЛТАВСЬКА ОБЛ. ФІЛІЯ УСБ</v>
          </cell>
        </row>
        <row r="1278">
          <cell r="A1278" t="str">
            <v>UQFA</v>
          </cell>
          <cell r="B1278">
            <v>331036</v>
          </cell>
          <cell r="C1278" t="str">
            <v>Полт.ф-яАБ"КиївськаРусь"</v>
          </cell>
        </row>
        <row r="1279">
          <cell r="A1279" t="str">
            <v>UQFC</v>
          </cell>
          <cell r="B1279">
            <v>331928</v>
          </cell>
          <cell r="C1279" t="str">
            <v>Ф"Полт.РУ"ВАТ"КБ"Експобанк"</v>
          </cell>
        </row>
        <row r="1280">
          <cell r="A1280" t="str">
            <v>UQFD</v>
          </cell>
          <cell r="B1280">
            <v>331939</v>
          </cell>
          <cell r="C1280" t="str">
            <v>ПФ ВАТ "Інпромбанк"</v>
          </cell>
        </row>
        <row r="1281">
          <cell r="A1281" t="str">
            <v>UQGA</v>
          </cell>
          <cell r="B1281">
            <v>331649</v>
          </cell>
          <cell r="C1281" t="str">
            <v>Ф-я Укрексімбанк, Полтава</v>
          </cell>
        </row>
        <row r="1282">
          <cell r="A1282" t="str">
            <v>UQHA</v>
          </cell>
          <cell r="B1282">
            <v>331047</v>
          </cell>
          <cell r="C1282" t="str">
            <v>Упр. НБУ в Полтавській обл.</v>
          </cell>
        </row>
        <row r="1283">
          <cell r="A1283" t="str">
            <v>UQIA</v>
          </cell>
          <cell r="B1283">
            <v>331489</v>
          </cell>
          <cell r="C1283" t="str">
            <v>АБ "ПОЛТАВА-БАНК"</v>
          </cell>
        </row>
        <row r="1284">
          <cell r="A1284" t="str">
            <v>UQID</v>
          </cell>
          <cell r="B1284">
            <v>331423</v>
          </cell>
          <cell r="C1284" t="str">
            <v>КФ ПАБ "ПОЛТАВА-БАНК"</v>
          </cell>
        </row>
        <row r="1285">
          <cell r="A1285" t="str">
            <v>UQIE</v>
          </cell>
          <cell r="B1285">
            <v>331177</v>
          </cell>
          <cell r="C1285" t="str">
            <v>Кременчуцька ФАТ"Укрінбанк"</v>
          </cell>
        </row>
        <row r="1286">
          <cell r="A1286" t="str">
            <v>UQIH</v>
          </cell>
          <cell r="B1286">
            <v>331100</v>
          </cell>
          <cell r="C1286" t="str">
            <v>ВАТ АКБ "АВТОКРАЗБАНК"</v>
          </cell>
        </row>
        <row r="1287">
          <cell r="A1287" t="str">
            <v>UQII</v>
          </cell>
          <cell r="B1287">
            <v>331810</v>
          </cell>
          <cell r="C1287" t="str">
            <v>ПФ ВАТ Банку "БІГ Енергія"</v>
          </cell>
        </row>
        <row r="1288">
          <cell r="A1288" t="str">
            <v>UQIK</v>
          </cell>
          <cell r="B1288">
            <v>331360</v>
          </cell>
          <cell r="C1288" t="str">
            <v>ГАДЯЦЬКА ФАБ "ПОЛТАВА-БАНК</v>
          </cell>
        </row>
        <row r="1289">
          <cell r="A1289" t="str">
            <v>UQIL</v>
          </cell>
          <cell r="B1289">
            <v>331401</v>
          </cell>
          <cell r="C1289" t="str">
            <v>ПОЛ.ФІЛ.(ПРУ) КБ"ПРИВАТБАНК</v>
          </cell>
        </row>
        <row r="1290">
          <cell r="A1290" t="str">
            <v>UQIT</v>
          </cell>
          <cell r="B1290">
            <v>331605</v>
          </cell>
          <cell r="C1290" t="str">
            <v>Пол.ОДРайффайзен Банк Аваль</v>
          </cell>
        </row>
        <row r="1291">
          <cell r="A1291" t="str">
            <v>UQIW</v>
          </cell>
          <cell r="B1291">
            <v>331508</v>
          </cell>
          <cell r="C1291" t="str">
            <v>ЛУБЕНС. ФАБ "ПОЛТАВА-БАНК"</v>
          </cell>
        </row>
        <row r="1292">
          <cell r="A1292" t="str">
            <v>UQIZ</v>
          </cell>
          <cell r="B1292">
            <v>331768</v>
          </cell>
          <cell r="C1292" t="str">
            <v>АК "ПФБ"</v>
          </cell>
        </row>
        <row r="1293">
          <cell r="A1293" t="str">
            <v>UQJB</v>
          </cell>
          <cell r="B1293">
            <v>331304</v>
          </cell>
          <cell r="C1293" t="str">
            <v>Крем. ФАКБ "ІНДУСТРІАЛБАНК"</v>
          </cell>
        </row>
        <row r="1294">
          <cell r="A1294" t="str">
            <v>UQJD</v>
          </cell>
          <cell r="B1294">
            <v>331616</v>
          </cell>
          <cell r="C1294" t="str">
            <v>ПФ АКБ "ЗОЛОТІ ВОРОТА"</v>
          </cell>
        </row>
        <row r="1295">
          <cell r="A1295" t="str">
            <v>UQJE</v>
          </cell>
          <cell r="B1295">
            <v>331564</v>
          </cell>
          <cell r="C1295" t="str">
            <v>Ф ПРРУ ВАТ"Б"Фін та Кр"</v>
          </cell>
        </row>
        <row r="1296">
          <cell r="A1296" t="str">
            <v>UQJG</v>
          </cell>
          <cell r="B1296">
            <v>331746</v>
          </cell>
          <cell r="C1296" t="str">
            <v>ФАКБ "НК"в м.Лубни</v>
          </cell>
        </row>
        <row r="1297">
          <cell r="A1297" t="str">
            <v>UQJH</v>
          </cell>
          <cell r="B1297">
            <v>331520</v>
          </cell>
          <cell r="C1297" t="str">
            <v>ПОЛТ ФВАТАБ "УКРГАЗБАНК"</v>
          </cell>
        </row>
        <row r="1298">
          <cell r="A1298" t="str">
            <v>UQJI</v>
          </cell>
          <cell r="B1298">
            <v>331650</v>
          </cell>
          <cell r="C1298" t="str">
            <v>Кременчуцька філія АКБ"СЄБ"</v>
          </cell>
        </row>
        <row r="1299">
          <cell r="A1299" t="str">
            <v>UQJJ</v>
          </cell>
          <cell r="B1299">
            <v>331661</v>
          </cell>
          <cell r="C1299" t="str">
            <v>Ф."Пол.дир."АТ"ІНДЕКС-БАНК"</v>
          </cell>
        </row>
        <row r="1300">
          <cell r="A1300" t="str">
            <v>UQJK</v>
          </cell>
          <cell r="B1300">
            <v>331757</v>
          </cell>
          <cell r="C1300" t="str">
            <v>Полтавська ф-я "МЕГАБАНК"</v>
          </cell>
        </row>
        <row r="1301">
          <cell r="A1301" t="str">
            <v>UQJN</v>
          </cell>
          <cell r="B1301">
            <v>331791</v>
          </cell>
          <cell r="C1301" t="str">
            <v>Полтавська філ.Приватінвест</v>
          </cell>
        </row>
        <row r="1302">
          <cell r="A1302" t="str">
            <v>UQJP</v>
          </cell>
          <cell r="B1302">
            <v>331809</v>
          </cell>
          <cell r="C1302" t="str">
            <v>Ф ВАТ КБ"Надра"ПолтавськеРУ</v>
          </cell>
        </row>
        <row r="1303">
          <cell r="A1303" t="str">
            <v>UQJV</v>
          </cell>
          <cell r="B1303">
            <v>331821</v>
          </cell>
          <cell r="C1303" t="str">
            <v>Полтав.ф-я ТОВ"УКРПРОМБАНК"</v>
          </cell>
        </row>
        <row r="1304">
          <cell r="A1304" t="str">
            <v>UQJW</v>
          </cell>
          <cell r="B1304">
            <v>331832</v>
          </cell>
          <cell r="C1304" t="str">
            <v>Ф"ПРУ"ВАТ"Б" Фін. та Кред."</v>
          </cell>
        </row>
        <row r="1305">
          <cell r="A1305" t="str">
            <v>UQKA</v>
          </cell>
          <cell r="B1305">
            <v>331843</v>
          </cell>
          <cell r="C1305" t="str">
            <v>ПОЛТАВСЬКАФ АКБ "ІМЕКСБАНК"</v>
          </cell>
        </row>
        <row r="1306">
          <cell r="A1306" t="str">
            <v>UQKI</v>
          </cell>
          <cell r="B1306">
            <v>331854</v>
          </cell>
          <cell r="C1306" t="str">
            <v>Кремен.ФВАТ"Кредитпромбанк"</v>
          </cell>
        </row>
        <row r="1307">
          <cell r="A1307" t="str">
            <v>UQKV</v>
          </cell>
          <cell r="B1307">
            <v>331876</v>
          </cell>
          <cell r="C1307" t="str">
            <v>Полтавська Ф ВАТ ВТБ Банк</v>
          </cell>
        </row>
        <row r="1308">
          <cell r="A1308" t="str">
            <v>UQKX</v>
          </cell>
          <cell r="B1308">
            <v>331973</v>
          </cell>
          <cell r="C1308" t="str">
            <v>ФІЛІЯ ВАТ"МТБ" У М.ПОЛТАВІ</v>
          </cell>
        </row>
        <row r="1309">
          <cell r="A1309" t="str">
            <v>UQKY</v>
          </cell>
          <cell r="B1309">
            <v>331984</v>
          </cell>
          <cell r="C1309" t="str">
            <v>Кременчуцька Ф АКБ "Форум"</v>
          </cell>
        </row>
        <row r="1310">
          <cell r="A1310" t="str">
            <v>UQKZ</v>
          </cell>
          <cell r="B1310">
            <v>331995</v>
          </cell>
          <cell r="C1310" t="str">
            <v>Полтавська філія АКБ"Форум"</v>
          </cell>
        </row>
        <row r="1311">
          <cell r="A1311" t="str">
            <v>UQLA</v>
          </cell>
          <cell r="B1311">
            <v>331467</v>
          </cell>
          <cell r="C1311" t="str">
            <v>ФПолтавське обласне ВАТОщад</v>
          </cell>
        </row>
        <row r="1312">
          <cell r="A1312" t="str">
            <v>UQLD</v>
          </cell>
          <cell r="B1312">
            <v>391098</v>
          </cell>
          <cell r="C1312" t="str">
            <v>ФОктябрське відділенВАТОщад</v>
          </cell>
        </row>
        <row r="1313">
          <cell r="A1313" t="str">
            <v>UQLE</v>
          </cell>
          <cell r="B1313">
            <v>391139</v>
          </cell>
          <cell r="C1313" t="str">
            <v>ФМіське відділення №ВАТОщад</v>
          </cell>
        </row>
        <row r="1314">
          <cell r="A1314" t="str">
            <v>UQLF</v>
          </cell>
          <cell r="B1314">
            <v>391010</v>
          </cell>
          <cell r="C1314" t="str">
            <v>ФВеликобагачанське вВАТОщад</v>
          </cell>
        </row>
        <row r="1315">
          <cell r="A1315" t="str">
            <v>UQLG</v>
          </cell>
          <cell r="B1315">
            <v>391021</v>
          </cell>
          <cell r="C1315" t="str">
            <v>ФГадяцьке відділенняВАТОщад</v>
          </cell>
        </row>
        <row r="1316">
          <cell r="A1316" t="str">
            <v>UQLH</v>
          </cell>
          <cell r="B1316">
            <v>391032</v>
          </cell>
          <cell r="C1316" t="str">
            <v>ФГлобинське відділенВАТОщад</v>
          </cell>
        </row>
        <row r="1317">
          <cell r="A1317" t="str">
            <v>UQLI</v>
          </cell>
          <cell r="B1317">
            <v>391043</v>
          </cell>
          <cell r="C1317" t="str">
            <v>ФГребінківське віддіВАТОщад</v>
          </cell>
        </row>
        <row r="1318">
          <cell r="A1318" t="str">
            <v>UQLJ</v>
          </cell>
          <cell r="B1318">
            <v>391151</v>
          </cell>
          <cell r="C1318" t="str">
            <v>ФДиканське відділеннВАТОщад</v>
          </cell>
        </row>
        <row r="1319">
          <cell r="A1319" t="str">
            <v>UQLK</v>
          </cell>
          <cell r="B1319">
            <v>391162</v>
          </cell>
          <cell r="C1319" t="str">
            <v>ФЗіньківське відділеВАТОщад</v>
          </cell>
        </row>
        <row r="1320">
          <cell r="A1320" t="str">
            <v>UQLL</v>
          </cell>
          <cell r="B1320">
            <v>391173</v>
          </cell>
          <cell r="C1320" t="str">
            <v>ФКарлівське відділенВАТОщад</v>
          </cell>
        </row>
        <row r="1321">
          <cell r="A1321" t="str">
            <v>UQLP</v>
          </cell>
          <cell r="B1321">
            <v>391087</v>
          </cell>
          <cell r="C1321" t="str">
            <v>ФКотелевське відділеВАТОщад</v>
          </cell>
        </row>
        <row r="1322">
          <cell r="A1322" t="str">
            <v>UQLQ</v>
          </cell>
          <cell r="B1322">
            <v>391128</v>
          </cell>
          <cell r="C1322" t="str">
            <v>ФЛохвицьке відділеннВАТОщад</v>
          </cell>
        </row>
        <row r="1323">
          <cell r="A1323" t="str">
            <v>UQLR</v>
          </cell>
          <cell r="B1323">
            <v>391269</v>
          </cell>
          <cell r="C1323" t="str">
            <v>ФЛубенське відділеннВАТОщад</v>
          </cell>
        </row>
        <row r="1324">
          <cell r="A1324" t="str">
            <v>UQLT</v>
          </cell>
          <cell r="B1324">
            <v>391258</v>
          </cell>
          <cell r="C1324" t="str">
            <v>ФМиргородське відділВАТОщад</v>
          </cell>
        </row>
        <row r="1325">
          <cell r="A1325" t="str">
            <v>UQLW</v>
          </cell>
          <cell r="B1325">
            <v>391281</v>
          </cell>
          <cell r="C1325" t="str">
            <v>ФПирятинське відділеВАТОщад</v>
          </cell>
        </row>
        <row r="1326">
          <cell r="A1326" t="str">
            <v>UQLY</v>
          </cell>
          <cell r="B1326">
            <v>391203</v>
          </cell>
          <cell r="C1326" t="str">
            <v>ФРешетилівське віддіВАТОщад</v>
          </cell>
        </row>
        <row r="1327">
          <cell r="A1327" t="str">
            <v>UQLZ</v>
          </cell>
          <cell r="B1327">
            <v>391184</v>
          </cell>
          <cell r="C1327" t="str">
            <v>ФСеменівське відділеВАТОщад</v>
          </cell>
        </row>
        <row r="1328">
          <cell r="A1328" t="str">
            <v>UQMA</v>
          </cell>
          <cell r="B1328">
            <v>391195</v>
          </cell>
          <cell r="C1328" t="str">
            <v>ФХорольське відділенВАТОщад</v>
          </cell>
        </row>
        <row r="1329">
          <cell r="A1329" t="str">
            <v>UQMD</v>
          </cell>
          <cell r="B1329">
            <v>391225</v>
          </cell>
          <cell r="C1329" t="str">
            <v>ФШишацьке відділенняВАТОщад</v>
          </cell>
        </row>
        <row r="1330">
          <cell r="A1330" t="str">
            <v>UQME</v>
          </cell>
          <cell r="B1330">
            <v>391366</v>
          </cell>
          <cell r="C1330" t="str">
            <v>ФКомсомольське віддіВАТОщад</v>
          </cell>
        </row>
        <row r="1331">
          <cell r="A1331" t="str">
            <v>UQNA</v>
          </cell>
          <cell r="B1331">
            <v>331962</v>
          </cell>
          <cell r="C1331" t="str">
            <v>Філія ЗАТ "ОТП Банк"</v>
          </cell>
        </row>
        <row r="1332">
          <cell r="A1332" t="str">
            <v>UQNB</v>
          </cell>
          <cell r="B1332">
            <v>331887</v>
          </cell>
          <cell r="C1332" t="str">
            <v>Полтав.Ф.ВАТ"ВІЕЙБІБАНК"</v>
          </cell>
        </row>
        <row r="1333">
          <cell r="A1333" t="str">
            <v>UQND</v>
          </cell>
          <cell r="B1333">
            <v>331906</v>
          </cell>
          <cell r="C1333" t="str">
            <v>КФ ВАТ "ПІРЕУС БАНК МКБ"</v>
          </cell>
        </row>
        <row r="1334">
          <cell r="A1334" t="str">
            <v>UQNE</v>
          </cell>
          <cell r="B1334">
            <v>331917</v>
          </cell>
          <cell r="C1334" t="str">
            <v>ПолтавськаФВАТ КБ"Хрещатик"</v>
          </cell>
        </row>
        <row r="1335">
          <cell r="A1335" t="str">
            <v>UQQK</v>
          </cell>
          <cell r="B1335">
            <v>831019</v>
          </cell>
          <cell r="C1335" t="str">
            <v>ГУДК України у Полтав.обл.</v>
          </cell>
        </row>
        <row r="1336">
          <cell r="A1336" t="str">
            <v>UQW1</v>
          </cell>
          <cell r="B1336">
            <v>331713</v>
          </cell>
          <cell r="C1336" t="str">
            <v>ФАТ "УФГ", м. КРЕМЕНЧУК</v>
          </cell>
        </row>
        <row r="1337">
          <cell r="A1337" t="str">
            <v>UQW2</v>
          </cell>
          <cell r="B1337">
            <v>331694</v>
          </cell>
          <cell r="C1337" t="str">
            <v>ДРУГА ФАТ "УФГ", М.ПОЛТАВА</v>
          </cell>
        </row>
        <row r="1338">
          <cell r="A1338" t="str">
            <v>UQW3</v>
          </cell>
          <cell r="B1338">
            <v>331724</v>
          </cell>
          <cell r="C1338" t="str">
            <v>Перша ФАТ "УФГ",м.Кременчук</v>
          </cell>
        </row>
        <row r="1339">
          <cell r="A1339" t="str">
            <v>URAA</v>
          </cell>
          <cell r="B1339">
            <v>333335</v>
          </cell>
          <cell r="C1339" t="str">
            <v>Ф."ВІДДІЛЕННЯ ПІБ, М.РІВНЕ"</v>
          </cell>
        </row>
        <row r="1340">
          <cell r="A1340" t="str">
            <v>URAB</v>
          </cell>
          <cell r="B1340">
            <v>333153</v>
          </cell>
          <cell r="C1340" t="str">
            <v>Ф-Я ВІД.ПІБ В М.КОСТОПІЛЬ</v>
          </cell>
        </row>
        <row r="1341">
          <cell r="A1341" t="str">
            <v>URAC</v>
          </cell>
          <cell r="B1341">
            <v>333302</v>
          </cell>
          <cell r="C1341" t="str">
            <v>Ф-Я ВІД.ПІБ В М.КУЗНЕЦОВСЬК</v>
          </cell>
        </row>
        <row r="1342">
          <cell r="A1342" t="str">
            <v>URCA</v>
          </cell>
          <cell r="B1342">
            <v>333012</v>
          </cell>
          <cell r="C1342" t="str">
            <v>Рівнен.обл.філія АКБ"УСБ"</v>
          </cell>
        </row>
        <row r="1343">
          <cell r="A1343" t="str">
            <v>URFA</v>
          </cell>
          <cell r="B1343">
            <v>333799</v>
          </cell>
          <cell r="C1343" t="str">
            <v>РівненськаФВАТКБ"Хрещатик"</v>
          </cell>
        </row>
        <row r="1344">
          <cell r="A1344" t="str">
            <v>URGA</v>
          </cell>
          <cell r="B1344">
            <v>333539</v>
          </cell>
          <cell r="C1344" t="str">
            <v>Ф-я Укрексімбанк, Рівне</v>
          </cell>
        </row>
        <row r="1345">
          <cell r="A1345" t="str">
            <v>URHA</v>
          </cell>
          <cell r="B1345">
            <v>333324</v>
          </cell>
          <cell r="C1345" t="str">
            <v>Упр. НБУ в Рівненській обл.</v>
          </cell>
        </row>
        <row r="1346">
          <cell r="A1346" t="str">
            <v>URIA</v>
          </cell>
          <cell r="B1346">
            <v>333670</v>
          </cell>
          <cell r="C1346" t="str">
            <v>Рівненс.ф-я ВАТ "КРЕДОБАНК"</v>
          </cell>
        </row>
        <row r="1347">
          <cell r="A1347" t="str">
            <v>URIC</v>
          </cell>
          <cell r="B1347">
            <v>333216</v>
          </cell>
          <cell r="C1347" t="str">
            <v>Рівненська ФАТ"Укрінбанк"</v>
          </cell>
        </row>
        <row r="1348">
          <cell r="A1348" t="str">
            <v>URIK</v>
          </cell>
          <cell r="B1348">
            <v>333391</v>
          </cell>
          <cell r="C1348" t="str">
            <v>Рівненська філія ПриватБанк</v>
          </cell>
        </row>
        <row r="1349">
          <cell r="A1349" t="str">
            <v>URIL</v>
          </cell>
          <cell r="B1349">
            <v>333432</v>
          </cell>
          <cell r="C1349" t="str">
            <v>РФ АБ "Укоопспілка"</v>
          </cell>
        </row>
        <row r="1350">
          <cell r="A1350" t="str">
            <v>URIP</v>
          </cell>
          <cell r="B1350">
            <v>333227</v>
          </cell>
          <cell r="C1350" t="str">
            <v>Р.ОД"Райффайзен Банк Аваль"</v>
          </cell>
        </row>
        <row r="1351">
          <cell r="A1351" t="str">
            <v>URIY</v>
          </cell>
          <cell r="B1351">
            <v>333562</v>
          </cell>
          <cell r="C1351" t="str">
            <v>КФ ВАТ Банку "БІГ Енергія"</v>
          </cell>
        </row>
        <row r="1352">
          <cell r="A1352" t="str">
            <v>URJB</v>
          </cell>
          <cell r="B1352">
            <v>333614</v>
          </cell>
          <cell r="C1352" t="str">
            <v>РФ КБ "Західінкомбанк" ТзОВ</v>
          </cell>
        </row>
        <row r="1353">
          <cell r="A1353" t="str">
            <v>URJC</v>
          </cell>
          <cell r="B1353">
            <v>333874</v>
          </cell>
          <cell r="C1353" t="str">
            <v>"КНЯЖИЙ"</v>
          </cell>
        </row>
        <row r="1354">
          <cell r="A1354" t="str">
            <v>URJD</v>
          </cell>
          <cell r="B1354">
            <v>333625</v>
          </cell>
          <cell r="C1354" t="str">
            <v>ВФ АБ "Укоопспілка"</v>
          </cell>
        </row>
        <row r="1355">
          <cell r="A1355" t="str">
            <v>URJI</v>
          </cell>
          <cell r="B1355">
            <v>333603</v>
          </cell>
          <cell r="C1355" t="str">
            <v>Ф"ПЗРУ"Б"Фін та Кр"</v>
          </cell>
        </row>
        <row r="1356">
          <cell r="A1356" t="str">
            <v>URJJ</v>
          </cell>
          <cell r="B1356">
            <v>333700</v>
          </cell>
          <cell r="C1356" t="str">
            <v>РІВНЕНСЬКАФ АКБ "ІМЕКСБАНК"</v>
          </cell>
        </row>
        <row r="1357">
          <cell r="A1357" t="str">
            <v>URJK</v>
          </cell>
          <cell r="B1357">
            <v>333669</v>
          </cell>
          <cell r="C1357" t="str">
            <v>РФ АКБ "ІНДУСТРІАЛБАНК"</v>
          </cell>
        </row>
        <row r="1358">
          <cell r="A1358" t="str">
            <v>URJL</v>
          </cell>
          <cell r="B1358">
            <v>333711</v>
          </cell>
          <cell r="C1358" t="str">
            <v>Рівн. філіяТОВ"Укрпромбанк"</v>
          </cell>
        </row>
        <row r="1359">
          <cell r="A1359" t="str">
            <v>URJM</v>
          </cell>
          <cell r="B1359">
            <v>333681</v>
          </cell>
          <cell r="C1359" t="str">
            <v>ВАТКБ"Надра"Рівненське РУ</v>
          </cell>
        </row>
        <row r="1360">
          <cell r="A1360" t="str">
            <v>URJU</v>
          </cell>
          <cell r="B1360">
            <v>333777</v>
          </cell>
          <cell r="C1360" t="str">
            <v>Рівненська Ф ВАТ ВТБ Банк</v>
          </cell>
        </row>
        <row r="1361">
          <cell r="A1361" t="str">
            <v>URKB</v>
          </cell>
          <cell r="B1361">
            <v>333001</v>
          </cell>
          <cell r="C1361" t="str">
            <v>Філ.Рвн.дир.АТ"ІНД-БНК"</v>
          </cell>
        </row>
        <row r="1362">
          <cell r="A1362" t="str">
            <v>URKE</v>
          </cell>
          <cell r="B1362">
            <v>333863</v>
          </cell>
          <cell r="C1362" t="str">
            <v>Рівненська філія АКБ"Форум"</v>
          </cell>
        </row>
        <row r="1363">
          <cell r="A1363" t="str">
            <v>URKG</v>
          </cell>
          <cell r="B1363">
            <v>333788</v>
          </cell>
          <cell r="C1363" t="str">
            <v>Рівнен.ФАБ "БРОКБІЗНЕСБАНК"</v>
          </cell>
        </row>
        <row r="1364">
          <cell r="A1364" t="str">
            <v>URKH</v>
          </cell>
          <cell r="B1364">
            <v>333807</v>
          </cell>
          <cell r="C1364" t="str">
            <v>Рівнен.Ф.ВАТ"ВІЕЙБІБАНК"</v>
          </cell>
        </row>
        <row r="1365">
          <cell r="A1365" t="str">
            <v>URLA</v>
          </cell>
          <cell r="B1365">
            <v>333368</v>
          </cell>
          <cell r="C1365" t="str">
            <v>ФРівненське обласне ВАТОщад</v>
          </cell>
        </row>
        <row r="1366">
          <cell r="A1366" t="str">
            <v>URQK</v>
          </cell>
          <cell r="B1366">
            <v>833017</v>
          </cell>
          <cell r="C1366" t="str">
            <v>ГУДКУ у Рівненській області</v>
          </cell>
        </row>
        <row r="1367">
          <cell r="A1367" t="str">
            <v>USAA</v>
          </cell>
          <cell r="B1367">
            <v>337278</v>
          </cell>
          <cell r="C1367" t="str">
            <v>Ф."ВІДДІЛЕННЯ ПІБ, М. СУМИ"</v>
          </cell>
        </row>
        <row r="1368">
          <cell r="A1368" t="str">
            <v>USAC</v>
          </cell>
          <cell r="B1368">
            <v>337256</v>
          </cell>
          <cell r="C1368" t="str">
            <v>Ф.ВІД.ПІБ В М.РОМНИ СУМ.</v>
          </cell>
        </row>
        <row r="1369">
          <cell r="A1369" t="str">
            <v>USAG</v>
          </cell>
          <cell r="B1369">
            <v>337386</v>
          </cell>
          <cell r="C1369" t="str">
            <v>Ф.ВІД.ПІБ В М.КОНОТОП СУМ.</v>
          </cell>
        </row>
        <row r="1370">
          <cell r="A1370" t="str">
            <v>USAH</v>
          </cell>
          <cell r="B1370">
            <v>337397</v>
          </cell>
          <cell r="C1370" t="str">
            <v>Ф.ВІД.ПІБ В М.ШОСТКА СУМ.</v>
          </cell>
        </row>
        <row r="1371">
          <cell r="A1371" t="str">
            <v>USCA</v>
          </cell>
          <cell r="B1371">
            <v>337018</v>
          </cell>
          <cell r="C1371" t="str">
            <v>Сумська обл.філія  АКБ"УСБ"</v>
          </cell>
        </row>
        <row r="1372">
          <cell r="A1372" t="str">
            <v>USFA</v>
          </cell>
          <cell r="B1372">
            <v>397014</v>
          </cell>
          <cell r="C1372" t="str">
            <v>Сумська ф-я ВАТ "КРЕДОБАНК"</v>
          </cell>
        </row>
        <row r="1373">
          <cell r="A1373" t="str">
            <v>USGC</v>
          </cell>
          <cell r="B1373">
            <v>397003</v>
          </cell>
          <cell r="C1373" t="str">
            <v>ФІЛ.ВАТ"УКРЕКСІМБАНК"мСУМАХ</v>
          </cell>
        </row>
        <row r="1374">
          <cell r="A1374" t="str">
            <v>USHA</v>
          </cell>
          <cell r="B1374">
            <v>337308</v>
          </cell>
          <cell r="C1374" t="str">
            <v>Упр. НБУ в Сумській обл.</v>
          </cell>
        </row>
        <row r="1375">
          <cell r="A1375" t="str">
            <v>USIA</v>
          </cell>
          <cell r="B1375">
            <v>337494</v>
          </cell>
          <cell r="C1375" t="str">
            <v>Сумська ФАТ"Укрінбанк"</v>
          </cell>
        </row>
        <row r="1376">
          <cell r="A1376" t="str">
            <v>USIB</v>
          </cell>
          <cell r="B1376">
            <v>337535</v>
          </cell>
          <cell r="C1376" t="str">
            <v>Ф ВАТКБ"Надра"СумськеРУ"Сл"</v>
          </cell>
        </row>
        <row r="1377">
          <cell r="A1377" t="str">
            <v>USII</v>
          </cell>
          <cell r="B1377">
            <v>337483</v>
          </cell>
          <cell r="C1377" t="str">
            <v>СОД "РАЙФФАЙЗЕН БАНК АВАЛЬ"</v>
          </cell>
        </row>
        <row r="1378">
          <cell r="A1378" t="str">
            <v>USIL</v>
          </cell>
          <cell r="B1378">
            <v>337795</v>
          </cell>
          <cell r="C1378" t="str">
            <v>Ф."Шостка-Грант"АСУБ"Грант"</v>
          </cell>
        </row>
        <row r="1379">
          <cell r="A1379" t="str">
            <v>USIM</v>
          </cell>
          <cell r="B1379">
            <v>337546</v>
          </cell>
          <cell r="C1379" t="str">
            <v>Сумська ф-я  ПриватБанку</v>
          </cell>
        </row>
        <row r="1380">
          <cell r="A1380" t="str">
            <v>USIQ</v>
          </cell>
          <cell r="B1380">
            <v>337201</v>
          </cell>
          <cell r="C1380" t="str">
            <v>Роменська ФАТ "Укрінбанк"</v>
          </cell>
        </row>
        <row r="1381">
          <cell r="A1381" t="str">
            <v>USIT</v>
          </cell>
          <cell r="B1381">
            <v>337212</v>
          </cell>
          <cell r="C1381" t="str">
            <v>Конотопс.ФАБ "Експрес-Банк"</v>
          </cell>
        </row>
        <row r="1382">
          <cell r="A1382" t="str">
            <v>USIU</v>
          </cell>
          <cell r="B1382">
            <v>337502</v>
          </cell>
          <cell r="C1382" t="str">
            <v>Ковп.ФАКБ"НК" в м.Суми</v>
          </cell>
        </row>
        <row r="1383">
          <cell r="A1383" t="str">
            <v>USIV</v>
          </cell>
          <cell r="B1383">
            <v>337803</v>
          </cell>
          <cell r="C1383" t="str">
            <v>СФ ВАТ Банку "БІГ Енергія"</v>
          </cell>
        </row>
        <row r="1384">
          <cell r="A1384" t="str">
            <v>USIW</v>
          </cell>
          <cell r="B1384">
            <v>337513</v>
          </cell>
          <cell r="C1384" t="str">
            <v>Сумська ф.ТОВ"Укрпромбанк"</v>
          </cell>
        </row>
        <row r="1385">
          <cell r="A1385" t="str">
            <v>USIX</v>
          </cell>
          <cell r="B1385">
            <v>337342</v>
          </cell>
          <cell r="C1385" t="str">
            <v>СУМСЬКА ФІЛІЯ АБ"УКРГАЗБАНК</v>
          </cell>
        </row>
        <row r="1386">
          <cell r="A1386" t="str">
            <v>USIZ</v>
          </cell>
          <cell r="B1386">
            <v>337784</v>
          </cell>
          <cell r="C1386" t="str">
            <v>Сумська філія АБ "СИНТЕЗ"</v>
          </cell>
        </row>
        <row r="1387">
          <cell r="A1387" t="str">
            <v>USJB</v>
          </cell>
          <cell r="B1387">
            <v>337825</v>
          </cell>
          <cell r="C1387" t="str">
            <v>Сумська ФАБ "КРЕДИТ-ДНІПРО"</v>
          </cell>
        </row>
        <row r="1388">
          <cell r="A1388" t="str">
            <v>USJC</v>
          </cell>
          <cell r="B1388">
            <v>337836</v>
          </cell>
          <cell r="C1388" t="str">
            <v>Сумська КБ"ВОЛОДИМИРСЬКИЙ"</v>
          </cell>
        </row>
        <row r="1389">
          <cell r="A1389" t="str">
            <v>USJD</v>
          </cell>
          <cell r="B1389">
            <v>337933</v>
          </cell>
          <cell r="C1389" t="str">
            <v>ВАТ "КБ "ВОЛОДИМИРСЬКИЙ"</v>
          </cell>
        </row>
        <row r="1390">
          <cell r="A1390" t="str">
            <v>USJE</v>
          </cell>
          <cell r="B1390">
            <v>337881</v>
          </cell>
          <cell r="C1390" t="str">
            <v>СумФ ВАТ "ПІРЕУС БАНК МКБ"</v>
          </cell>
        </row>
        <row r="1391">
          <cell r="A1391" t="str">
            <v>USJG</v>
          </cell>
          <cell r="B1391">
            <v>337892</v>
          </cell>
          <cell r="C1391" t="str">
            <v>СФ АКБ "ІНДУСТРІАЛБАНК"</v>
          </cell>
        </row>
        <row r="1392">
          <cell r="A1392" t="str">
            <v>USJJ</v>
          </cell>
          <cell r="B1392">
            <v>337900</v>
          </cell>
          <cell r="C1392" t="str">
            <v>Ф.СД. АТ ІНД.-БАНК</v>
          </cell>
        </row>
        <row r="1393">
          <cell r="A1393" t="str">
            <v>USJP</v>
          </cell>
          <cell r="B1393">
            <v>337007</v>
          </cell>
          <cell r="C1393" t="str">
            <v>Сум.Ф.ВАТ"ВІЕЙБІБАНК"</v>
          </cell>
        </row>
        <row r="1394">
          <cell r="A1394" t="str">
            <v>USJS</v>
          </cell>
          <cell r="B1394">
            <v>337922</v>
          </cell>
          <cell r="C1394" t="str">
            <v>Сумська ФАБ"БРОКБІЗНЕСБАНК"</v>
          </cell>
        </row>
        <row r="1395">
          <cell r="A1395" t="str">
            <v>USJT</v>
          </cell>
          <cell r="B1395">
            <v>337944</v>
          </cell>
          <cell r="C1395" t="str">
            <v>СУМСЬКАФ АКБ "ІМЕКСБАНК"</v>
          </cell>
        </row>
        <row r="1396">
          <cell r="A1396" t="str">
            <v>USJU</v>
          </cell>
          <cell r="B1396">
            <v>337955</v>
          </cell>
          <cell r="C1396" t="str">
            <v>Сумська філія АКБ "Форум"</v>
          </cell>
        </row>
        <row r="1397">
          <cell r="A1397" t="str">
            <v>USJV</v>
          </cell>
          <cell r="B1397">
            <v>337977</v>
          </cell>
          <cell r="C1397" t="str">
            <v>Філія ЗАТ "ОТП Банк"</v>
          </cell>
        </row>
        <row r="1398">
          <cell r="A1398" t="str">
            <v>USJW</v>
          </cell>
          <cell r="B1398">
            <v>397133</v>
          </cell>
          <cell r="C1398" t="str">
            <v>ВАТ АБ "СТОЛИЧНИЙ"</v>
          </cell>
        </row>
        <row r="1399">
          <cell r="A1399" t="str">
            <v>USJY</v>
          </cell>
          <cell r="B1399">
            <v>337966</v>
          </cell>
          <cell r="C1399" t="str">
            <v>Сумська ФВАТ КБ"Хрещатик"</v>
          </cell>
        </row>
        <row r="1400">
          <cell r="A1400" t="str">
            <v>USKA</v>
          </cell>
          <cell r="B1400">
            <v>337999</v>
          </cell>
          <cell r="C1400" t="str">
            <v>СФ КБ "Західінкомбанк" ТзОВ</v>
          </cell>
        </row>
        <row r="1401">
          <cell r="A1401" t="str">
            <v>USLB</v>
          </cell>
          <cell r="B1401">
            <v>337568</v>
          </cell>
          <cell r="C1401" t="str">
            <v>ФСумське обласне упрВАТОщад</v>
          </cell>
        </row>
        <row r="1402">
          <cell r="A1402" t="str">
            <v>USLC</v>
          </cell>
          <cell r="B1402">
            <v>337609</v>
          </cell>
          <cell r="C1402" t="str">
            <v>ФОхтирське відділеннВАТОщад</v>
          </cell>
        </row>
        <row r="1403">
          <cell r="A1403" t="str">
            <v>USLD</v>
          </cell>
          <cell r="B1403">
            <v>337610</v>
          </cell>
          <cell r="C1403" t="str">
            <v>ФБілопільське відділВАТОщад</v>
          </cell>
        </row>
        <row r="1404">
          <cell r="A1404" t="str">
            <v>USLF</v>
          </cell>
          <cell r="B1404">
            <v>337632</v>
          </cell>
          <cell r="C1404" t="str">
            <v>ФБуринське відділеннВАТОщад</v>
          </cell>
        </row>
        <row r="1405">
          <cell r="A1405" t="str">
            <v>USLG</v>
          </cell>
          <cell r="B1405">
            <v>337643</v>
          </cell>
          <cell r="C1405" t="str">
            <v>ФГлухівське відділенВАТОщад</v>
          </cell>
        </row>
        <row r="1406">
          <cell r="A1406" t="str">
            <v>USLH</v>
          </cell>
          <cell r="B1406">
            <v>337654</v>
          </cell>
          <cell r="C1406" t="str">
            <v>ФКонотопське відділеВАТОщад</v>
          </cell>
        </row>
        <row r="1407">
          <cell r="A1407" t="str">
            <v>USLI</v>
          </cell>
          <cell r="B1407">
            <v>337665</v>
          </cell>
          <cell r="C1407" t="str">
            <v>ФКраснопільське віддВАТОщад</v>
          </cell>
        </row>
        <row r="1408">
          <cell r="A1408" t="str">
            <v>USLJ</v>
          </cell>
          <cell r="B1408">
            <v>337676</v>
          </cell>
          <cell r="C1408" t="str">
            <v>ФКролевецьке відділеВАТОщад</v>
          </cell>
        </row>
        <row r="1409">
          <cell r="A1409" t="str">
            <v>USLK</v>
          </cell>
          <cell r="B1409">
            <v>337687</v>
          </cell>
          <cell r="C1409" t="str">
            <v>ФЛебединське відділеВАТОщад</v>
          </cell>
        </row>
        <row r="1410">
          <cell r="A1410" t="str">
            <v>USLM</v>
          </cell>
          <cell r="B1410">
            <v>337706</v>
          </cell>
          <cell r="C1410" t="str">
            <v>ФНедригайлівське відВАТОщад</v>
          </cell>
        </row>
        <row r="1411">
          <cell r="A1411" t="str">
            <v>USLO</v>
          </cell>
          <cell r="B1411">
            <v>337728</v>
          </cell>
          <cell r="C1411" t="str">
            <v>ФРоменське відділеннВАТОщад</v>
          </cell>
        </row>
        <row r="1412">
          <cell r="A1412" t="str">
            <v>USLR</v>
          </cell>
          <cell r="B1412">
            <v>337751</v>
          </cell>
          <cell r="C1412" t="str">
            <v>ФШосткинське відділеВАТОщад</v>
          </cell>
        </row>
        <row r="1413">
          <cell r="A1413" t="str">
            <v>USLU</v>
          </cell>
          <cell r="B1413">
            <v>337579</v>
          </cell>
          <cell r="C1413" t="str">
            <v>ФСумське відділення ВАТОщад</v>
          </cell>
        </row>
        <row r="1414">
          <cell r="A1414" t="str">
            <v>USQK</v>
          </cell>
          <cell r="B1414">
            <v>837013</v>
          </cell>
          <cell r="C1414" t="str">
            <v>ГУДКУ у Сумській області</v>
          </cell>
        </row>
        <row r="1415">
          <cell r="A1415" t="str">
            <v>USTS</v>
          </cell>
          <cell r="B1415">
            <v>399108</v>
          </cell>
          <cell r="C1415" t="str">
            <v>ДВНЗ "УКР.АКАДЕМІЯ БС НБУ"</v>
          </cell>
        </row>
        <row r="1416">
          <cell r="A1416" t="str">
            <v>UTAA</v>
          </cell>
          <cell r="B1416">
            <v>338426</v>
          </cell>
          <cell r="C1416" t="str">
            <v>Ф."ВІДДІЛ. ПІБ,М.ТЕРНОПІЛЬ"</v>
          </cell>
        </row>
        <row r="1417">
          <cell r="A1417" t="str">
            <v>UTAK</v>
          </cell>
          <cell r="B1417">
            <v>338921</v>
          </cell>
          <cell r="C1417" t="str">
            <v>Ф.ВІД.ПІБ В М.ЧОРТКІВ ТЕРН.</v>
          </cell>
        </row>
        <row r="1418">
          <cell r="A1418" t="str">
            <v>UTCA</v>
          </cell>
          <cell r="B1418">
            <v>338017</v>
          </cell>
          <cell r="C1418" t="str">
            <v>Тернопіль.обл.ф-я АКБ УСБ</v>
          </cell>
        </row>
        <row r="1419">
          <cell r="A1419" t="str">
            <v>UTFB</v>
          </cell>
          <cell r="B1419">
            <v>398206</v>
          </cell>
          <cell r="C1419" t="str">
            <v>ТФ КБ "Західінкомбанк"</v>
          </cell>
        </row>
        <row r="1420">
          <cell r="A1420" t="str">
            <v>UTFC</v>
          </cell>
          <cell r="B1420">
            <v>398217</v>
          </cell>
          <cell r="C1420" t="str">
            <v>Терн.філ. АБ"БРОКБІЗНЕСБАНК</v>
          </cell>
        </row>
        <row r="1421">
          <cell r="A1421" t="str">
            <v>UTGA</v>
          </cell>
          <cell r="B1421">
            <v>338879</v>
          </cell>
          <cell r="C1421" t="str">
            <v>Ф-я Укрексімбанк,Тернопіль</v>
          </cell>
        </row>
        <row r="1422">
          <cell r="A1422" t="str">
            <v>UTHA</v>
          </cell>
          <cell r="B1422">
            <v>338415</v>
          </cell>
          <cell r="C1422" t="str">
            <v>Упр. НБУ в Тернопіл. обл.</v>
          </cell>
        </row>
        <row r="1423">
          <cell r="A1423" t="str">
            <v>UTIC</v>
          </cell>
          <cell r="B1423">
            <v>338738</v>
          </cell>
          <cell r="C1423" t="str">
            <v>Тернопіль.ФТОВ"Укрпромбанк"</v>
          </cell>
        </row>
        <row r="1424">
          <cell r="A1424" t="str">
            <v>UTID</v>
          </cell>
          <cell r="B1424">
            <v>338802</v>
          </cell>
          <cell r="C1424" t="str">
            <v>ТЕРНОПОЛЬСФ АКБ "ІМЕКСБАНК"</v>
          </cell>
        </row>
        <row r="1425">
          <cell r="A1425" t="str">
            <v>UTIE</v>
          </cell>
          <cell r="B1425">
            <v>338244</v>
          </cell>
          <cell r="C1425" t="str">
            <v>Терноп.ф-я ВАТ "КРЕДОБАНК"</v>
          </cell>
        </row>
        <row r="1426">
          <cell r="A1426" t="str">
            <v>UTIN</v>
          </cell>
          <cell r="B1426">
            <v>338501</v>
          </cell>
          <cell r="C1426" t="str">
            <v>ТОД "РАЙФФАЙЗЕН БАНК АВАЛЬ"</v>
          </cell>
        </row>
        <row r="1427">
          <cell r="A1427" t="str">
            <v>UTIQ</v>
          </cell>
          <cell r="B1427">
            <v>338783</v>
          </cell>
          <cell r="C1427" t="str">
            <v>Терноп.філія ПриватБанку</v>
          </cell>
        </row>
        <row r="1428">
          <cell r="A1428" t="str">
            <v>UTJC</v>
          </cell>
          <cell r="B1428">
            <v>338705</v>
          </cell>
          <cell r="C1428" t="str">
            <v>ВАТКБ"Надра"Терноп. РУ</v>
          </cell>
        </row>
        <row r="1429">
          <cell r="A1429" t="str">
            <v>UTJD</v>
          </cell>
          <cell r="B1429">
            <v>338523</v>
          </cell>
          <cell r="C1429" t="str">
            <v>Тернопільська ФАТ"Укрінбанк</v>
          </cell>
        </row>
        <row r="1430">
          <cell r="A1430" t="str">
            <v>UTJE</v>
          </cell>
          <cell r="B1430">
            <v>338653</v>
          </cell>
          <cell r="C1430" t="str">
            <v>Терноп. ф.ВАТ КБ "ХРЕЩАТИК"</v>
          </cell>
        </row>
        <row r="1431">
          <cell r="A1431" t="str">
            <v>UTJH</v>
          </cell>
          <cell r="B1431">
            <v>338716</v>
          </cell>
          <cell r="C1431" t="str">
            <v>Тернопільська фПриватінвест</v>
          </cell>
        </row>
        <row r="1432">
          <cell r="A1432" t="str">
            <v>UTJI</v>
          </cell>
          <cell r="B1432">
            <v>338813</v>
          </cell>
          <cell r="C1432" t="str">
            <v>Терноп. Ф ВАТ ВТБ Банк</v>
          </cell>
        </row>
        <row r="1433">
          <cell r="A1433" t="str">
            <v>UTJX</v>
          </cell>
          <cell r="B1433">
            <v>338824</v>
          </cell>
          <cell r="C1433" t="str">
            <v>Тернопіль.ФВАТ"Укргазбанк"</v>
          </cell>
        </row>
        <row r="1434">
          <cell r="A1434" t="str">
            <v>UTKD</v>
          </cell>
          <cell r="B1434">
            <v>338835</v>
          </cell>
          <cell r="C1434" t="str">
            <v>Філія"ТД"АТ"НДЕКС-БАНК"</v>
          </cell>
        </row>
        <row r="1435">
          <cell r="A1435" t="str">
            <v>UTKE</v>
          </cell>
          <cell r="B1435">
            <v>338868</v>
          </cell>
          <cell r="C1435" t="str">
            <v>Філія ЗАТ "ОТП Банк"</v>
          </cell>
        </row>
        <row r="1436">
          <cell r="A1436" t="str">
            <v>UTKF</v>
          </cell>
          <cell r="B1436">
            <v>338846</v>
          </cell>
          <cell r="C1436" t="str">
            <v>Тернопільська Ф АКБ "Форум"</v>
          </cell>
        </row>
        <row r="1437">
          <cell r="A1437" t="str">
            <v>UTKG</v>
          </cell>
          <cell r="B1437">
            <v>338987</v>
          </cell>
          <cell r="C1437" t="str">
            <v>Тернопіл. ФВАТ"ВіЕйБі Банк"</v>
          </cell>
        </row>
        <row r="1438">
          <cell r="A1438" t="str">
            <v>UTLA</v>
          </cell>
          <cell r="B1438">
            <v>338545</v>
          </cell>
          <cell r="C1438" t="str">
            <v>ФТернопільське обласВАТОщад</v>
          </cell>
        </row>
        <row r="1439">
          <cell r="A1439" t="str">
            <v>UTLB</v>
          </cell>
          <cell r="B1439">
            <v>398035</v>
          </cell>
          <cell r="C1439" t="str">
            <v>ФТернопільське міськВАТОщад</v>
          </cell>
        </row>
        <row r="1440">
          <cell r="A1440" t="str">
            <v>UTLD</v>
          </cell>
          <cell r="B1440">
            <v>398057</v>
          </cell>
          <cell r="C1440" t="str">
            <v>ФБережанське відділеВАТОщад</v>
          </cell>
        </row>
        <row r="1441">
          <cell r="A1441" t="str">
            <v>UTLE</v>
          </cell>
          <cell r="B1441">
            <v>398068</v>
          </cell>
          <cell r="C1441" t="str">
            <v>ФБорщівське відділенВАТОщад</v>
          </cell>
        </row>
        <row r="1442">
          <cell r="A1442" t="str">
            <v>UTLF</v>
          </cell>
          <cell r="B1442">
            <v>398079</v>
          </cell>
          <cell r="C1442" t="str">
            <v>ФБучацьке відділенняВАТОщад</v>
          </cell>
        </row>
        <row r="1443">
          <cell r="A1443" t="str">
            <v>UTLG</v>
          </cell>
          <cell r="B1443">
            <v>398080</v>
          </cell>
          <cell r="C1443" t="str">
            <v>ФГусятинське відділеВАТОщад</v>
          </cell>
        </row>
        <row r="1444">
          <cell r="A1444" t="str">
            <v>UTLH</v>
          </cell>
          <cell r="B1444">
            <v>398091</v>
          </cell>
          <cell r="C1444" t="str">
            <v>ФЗаліщицьке відділенВАТОщад</v>
          </cell>
        </row>
        <row r="1445">
          <cell r="A1445" t="str">
            <v>UTLI</v>
          </cell>
          <cell r="B1445">
            <v>398132</v>
          </cell>
          <cell r="C1445" t="str">
            <v>ФЗбаразьке відділеннВАТОщад</v>
          </cell>
        </row>
        <row r="1446">
          <cell r="A1446" t="str">
            <v>UTLJ</v>
          </cell>
          <cell r="B1446">
            <v>398013</v>
          </cell>
          <cell r="C1446" t="str">
            <v>ФЗборівське відділенВАТОщад</v>
          </cell>
        </row>
        <row r="1447">
          <cell r="A1447" t="str">
            <v>UTLL</v>
          </cell>
          <cell r="B1447">
            <v>398262</v>
          </cell>
          <cell r="C1447" t="str">
            <v>ФКременецьке відділеВАТОщад</v>
          </cell>
        </row>
        <row r="1448">
          <cell r="A1448" t="str">
            <v>UTLM</v>
          </cell>
          <cell r="B1448">
            <v>398143</v>
          </cell>
          <cell r="C1448" t="str">
            <v>ФЛанівецьке відділенВАТОщад</v>
          </cell>
        </row>
        <row r="1449">
          <cell r="A1449" t="str">
            <v>UTLO</v>
          </cell>
          <cell r="B1449">
            <v>398165</v>
          </cell>
          <cell r="C1449" t="str">
            <v>ФПідволочиське віддіВАТОщад</v>
          </cell>
        </row>
        <row r="1450">
          <cell r="A1450" t="str">
            <v>UTLQ</v>
          </cell>
          <cell r="B1450">
            <v>398187</v>
          </cell>
          <cell r="C1450" t="str">
            <v>ФТеребовлянське віддВАТОщад</v>
          </cell>
        </row>
        <row r="1451">
          <cell r="A1451" t="str">
            <v>UTLR</v>
          </cell>
          <cell r="B1451">
            <v>398198</v>
          </cell>
          <cell r="C1451" t="str">
            <v>ФЧортківське відділеВАТОщад</v>
          </cell>
        </row>
        <row r="1452">
          <cell r="A1452" t="str">
            <v>UTQK</v>
          </cell>
          <cell r="B1452">
            <v>838012</v>
          </cell>
          <cell r="C1452" t="str">
            <v>ГУДКУ У ТЕРНОПІЛЬСЬКІЙ ОБЛ.</v>
          </cell>
        </row>
        <row r="1453">
          <cell r="A1453" t="str">
            <v>UTW1</v>
          </cell>
          <cell r="B1453">
            <v>398002</v>
          </cell>
          <cell r="C1453" t="str">
            <v>Філія АТ "УФГ" в м.Тернопіл</v>
          </cell>
        </row>
        <row r="1454">
          <cell r="A1454" t="str">
            <v>UTW2</v>
          </cell>
          <cell r="B1454">
            <v>398110</v>
          </cell>
          <cell r="C1454" t="str">
            <v>Перша ФАТ "УФГ" в м.Терноп.</v>
          </cell>
        </row>
        <row r="1455">
          <cell r="A1455" t="str">
            <v>UUAA</v>
          </cell>
          <cell r="B1455">
            <v>351458</v>
          </cell>
          <cell r="C1455" t="str">
            <v>Ф."ВІДДІЛЕННЯ ПІБ,М.ХАРКІВ"</v>
          </cell>
        </row>
        <row r="1456">
          <cell r="A1456" t="str">
            <v>UUAC</v>
          </cell>
          <cell r="B1456">
            <v>351492</v>
          </cell>
          <cell r="C1456" t="str">
            <v>Ф."ВІД.ПІБ В М.ІЗЮМ ХАРКІВ.</v>
          </cell>
        </row>
        <row r="1457">
          <cell r="A1457" t="str">
            <v>UUAI</v>
          </cell>
          <cell r="B1457">
            <v>351522</v>
          </cell>
          <cell r="C1457" t="str">
            <v>Ф."ВІД.ПІБ В М.ЛОЗОВА ХАРК.</v>
          </cell>
        </row>
        <row r="1458">
          <cell r="A1458" t="str">
            <v>UUAJ</v>
          </cell>
          <cell r="B1458">
            <v>351362</v>
          </cell>
          <cell r="C1458" t="str">
            <v>Ф."КОМІНТЕРН.ВІД.ПІБ В ХАР.</v>
          </cell>
        </row>
        <row r="1459">
          <cell r="A1459" t="str">
            <v>UUAO</v>
          </cell>
          <cell r="B1459">
            <v>351511</v>
          </cell>
          <cell r="C1459" t="str">
            <v>Ф."ВІД.ПІБ В М.КУП"ЯНСЬК"</v>
          </cell>
        </row>
        <row r="1460">
          <cell r="A1460" t="str">
            <v>UUAP</v>
          </cell>
          <cell r="B1460">
            <v>351210</v>
          </cell>
          <cell r="C1460" t="str">
            <v>Ф."ВІД.ПІБ В СМТ.КОМСОМ.ХАР</v>
          </cell>
        </row>
        <row r="1461">
          <cell r="A1461" t="str">
            <v>UUCA</v>
          </cell>
          <cell r="B1461">
            <v>351016</v>
          </cell>
          <cell r="C1461" t="str">
            <v>ХОФ АКБ "Укрсоцбанк"</v>
          </cell>
        </row>
        <row r="1462">
          <cell r="A1462" t="str">
            <v>UUFD</v>
          </cell>
          <cell r="B1462">
            <v>350813</v>
          </cell>
          <cell r="C1462" t="str">
            <v>Х.ФВАТ КБ "ПІВДЕНКОМБАНК"</v>
          </cell>
        </row>
        <row r="1463">
          <cell r="A1463" t="str">
            <v>UUGA</v>
          </cell>
          <cell r="B1463">
            <v>351618</v>
          </cell>
          <cell r="C1463" t="str">
            <v>Ф-я Укрексімбанк, Харків</v>
          </cell>
        </row>
        <row r="1464">
          <cell r="A1464" t="str">
            <v>UUHA</v>
          </cell>
          <cell r="B1464">
            <v>351447</v>
          </cell>
          <cell r="C1464" t="str">
            <v>Упр. НБУ в Харківській обл.</v>
          </cell>
        </row>
        <row r="1465">
          <cell r="A1465" t="str">
            <v>UUIA</v>
          </cell>
          <cell r="B1465">
            <v>351629</v>
          </cell>
          <cell r="C1465" t="str">
            <v>ВАТ "МЕГАБАНК"</v>
          </cell>
        </row>
        <row r="1466">
          <cell r="A1466" t="str">
            <v>UUIE</v>
          </cell>
          <cell r="B1466">
            <v>351588</v>
          </cell>
          <cell r="C1466" t="str">
            <v>ВАТ РЕАЛ БАНК</v>
          </cell>
        </row>
        <row r="1467">
          <cell r="A1467" t="str">
            <v>UUIF</v>
          </cell>
          <cell r="B1467">
            <v>351607</v>
          </cell>
          <cell r="C1467" t="str">
            <v>АСУБ "ГРАНТ"</v>
          </cell>
        </row>
        <row r="1468">
          <cell r="A1468" t="str">
            <v>UUIG</v>
          </cell>
          <cell r="B1468">
            <v>351652</v>
          </cell>
          <cell r="C1468" t="str">
            <v>ХАК  "ЗЕМБАНК"</v>
          </cell>
        </row>
        <row r="1469">
          <cell r="A1469" t="str">
            <v>UUIH</v>
          </cell>
          <cell r="B1469">
            <v>351254</v>
          </cell>
          <cell r="C1469" t="str">
            <v>АКРБ "РЕГІОН-БАНК"</v>
          </cell>
        </row>
        <row r="1470">
          <cell r="A1470" t="str">
            <v>UUIJ</v>
          </cell>
          <cell r="B1470">
            <v>351599</v>
          </cell>
          <cell r="C1470" t="str">
            <v>Перша Харківс.ФАКБ "БАЗИС"</v>
          </cell>
        </row>
        <row r="1471">
          <cell r="A1471" t="str">
            <v>UUIK</v>
          </cell>
          <cell r="B1471">
            <v>351663</v>
          </cell>
          <cell r="C1471" t="str">
            <v>АКБ "МЕРКУРІЙ"</v>
          </cell>
        </row>
        <row r="1472">
          <cell r="A1472" t="str">
            <v>UUIQ</v>
          </cell>
          <cell r="B1472">
            <v>351243</v>
          </cell>
          <cell r="C1472" t="str">
            <v>Харківська ФАТ"Укрінбанк"</v>
          </cell>
        </row>
        <row r="1473">
          <cell r="A1473" t="str">
            <v>UUIW</v>
          </cell>
          <cell r="B1473">
            <v>351953</v>
          </cell>
          <cell r="C1473" t="str">
            <v>ХАРКІВСЬКА ФАБ "ТАВРИКА"</v>
          </cell>
        </row>
        <row r="1474">
          <cell r="A1474" t="str">
            <v>UUIX</v>
          </cell>
          <cell r="B1474">
            <v>351760</v>
          </cell>
          <cell r="C1474" t="str">
            <v>АКБ "БАЗИС"</v>
          </cell>
        </row>
        <row r="1475">
          <cell r="A1475" t="str">
            <v>UUIZ</v>
          </cell>
          <cell r="B1475">
            <v>351715</v>
          </cell>
          <cell r="C1475" t="str">
            <v>АБ "ФАКТОРІАЛ-БАНК"</v>
          </cell>
        </row>
        <row r="1476">
          <cell r="A1476" t="str">
            <v>UUJD</v>
          </cell>
          <cell r="B1476">
            <v>351878</v>
          </cell>
          <cell r="C1476" t="str">
            <v>ВАТ "ІНПРОМБАНК"</v>
          </cell>
        </row>
        <row r="1477">
          <cell r="A1477" t="str">
            <v>UUJG</v>
          </cell>
          <cell r="B1477">
            <v>351931</v>
          </cell>
          <cell r="C1477" t="str">
            <v>АКБ "ЗОЛОТІ ВОРОТА"</v>
          </cell>
        </row>
        <row r="1478">
          <cell r="A1478" t="str">
            <v>UUJJ</v>
          </cell>
          <cell r="B1478">
            <v>351964</v>
          </cell>
          <cell r="C1478" t="str">
            <v>Харків.ф.ВАТ"КБ"Експобанк"</v>
          </cell>
        </row>
        <row r="1479">
          <cell r="A1479" t="str">
            <v>UUJK</v>
          </cell>
          <cell r="B1479">
            <v>351975</v>
          </cell>
          <cell r="C1479" t="str">
            <v>Ф.N1 АКРБ"РЕГІОН-БАНК",Харк</v>
          </cell>
        </row>
        <row r="1480">
          <cell r="A1480" t="str">
            <v>UUJL</v>
          </cell>
          <cell r="B1480">
            <v>351834</v>
          </cell>
          <cell r="C1480" t="str">
            <v>Ф ВАТ КБ"Надра"ХарківськеРУ</v>
          </cell>
        </row>
        <row r="1481">
          <cell r="A1481" t="str">
            <v>UUJN</v>
          </cell>
          <cell r="B1481">
            <v>351533</v>
          </cell>
          <cell r="C1481" t="str">
            <v>ХАРКІВСЬКЕ ГРУ ПРИВАТБАНКУ</v>
          </cell>
        </row>
        <row r="1482">
          <cell r="A1482" t="str">
            <v>UUJR</v>
          </cell>
          <cell r="B1482">
            <v>350631</v>
          </cell>
          <cell r="C1482" t="str">
            <v>Харківська Ф ВАТ ВТБ Банк</v>
          </cell>
        </row>
        <row r="1483">
          <cell r="A1483" t="str">
            <v>UUJU</v>
          </cell>
          <cell r="B1483">
            <v>350385</v>
          </cell>
          <cell r="C1483" t="str">
            <v>Філія ПУМБ в м. Харкові</v>
          </cell>
        </row>
        <row r="1484">
          <cell r="A1484" t="str">
            <v>UUKE</v>
          </cell>
          <cell r="B1484">
            <v>350578</v>
          </cell>
          <cell r="C1484" t="str">
            <v>ХФ АБ "Синтез", м.Харків</v>
          </cell>
        </row>
        <row r="1485">
          <cell r="A1485" t="str">
            <v>UUKF</v>
          </cell>
          <cell r="B1485">
            <v>350589</v>
          </cell>
          <cell r="C1485" t="str">
            <v>ХОД "Райффайзен Банк Аваль"</v>
          </cell>
        </row>
        <row r="1486">
          <cell r="A1486" t="str">
            <v>UUKG</v>
          </cell>
          <cell r="B1486">
            <v>350415</v>
          </cell>
          <cell r="C1486" t="str">
            <v>ХарківськаФ.ВАТ "КРЕДОБАНК"</v>
          </cell>
        </row>
        <row r="1487">
          <cell r="A1487" t="str">
            <v>UUKI</v>
          </cell>
          <cell r="B1487">
            <v>350448</v>
          </cell>
          <cell r="C1487" t="str">
            <v>ХФ ВАТ АБ "УКРГАЗБАНК"</v>
          </cell>
        </row>
        <row r="1488">
          <cell r="A1488" t="str">
            <v>UUKJ</v>
          </cell>
          <cell r="B1488">
            <v>350459</v>
          </cell>
          <cell r="C1488" t="str">
            <v>Ф-я N6 АСУБ "Грант"</v>
          </cell>
        </row>
        <row r="1489">
          <cell r="A1489" t="str">
            <v>UUKM</v>
          </cell>
          <cell r="B1489">
            <v>350697</v>
          </cell>
          <cell r="C1489" t="str">
            <v>ФСлобожанськеРУ Б ФІН ТА КР</v>
          </cell>
        </row>
        <row r="1490">
          <cell r="A1490" t="str">
            <v>UUKN</v>
          </cell>
          <cell r="B1490">
            <v>350705</v>
          </cell>
          <cell r="C1490" t="str">
            <v>ФАКБ "НК" в м.Балаклія</v>
          </cell>
        </row>
        <row r="1491">
          <cell r="A1491" t="str">
            <v>UUKO</v>
          </cell>
          <cell r="B1491">
            <v>350716</v>
          </cell>
          <cell r="C1491" t="str">
            <v>Харківська філ.АБ "Експр-Б"</v>
          </cell>
        </row>
        <row r="1492">
          <cell r="A1492" t="str">
            <v>UUKP</v>
          </cell>
          <cell r="B1492">
            <v>351005</v>
          </cell>
          <cell r="C1492" t="str">
            <v>АКІБ "УКРСИББАНК"</v>
          </cell>
        </row>
        <row r="1493">
          <cell r="A1493" t="str">
            <v>UUKQ</v>
          </cell>
          <cell r="B1493">
            <v>350727</v>
          </cell>
          <cell r="C1493" t="str">
            <v>ХФ ВАТ "КРЕДИТПРОМБАНК"</v>
          </cell>
        </row>
        <row r="1494">
          <cell r="A1494" t="str">
            <v>UUKR</v>
          </cell>
          <cell r="B1494">
            <v>350619</v>
          </cell>
          <cell r="C1494" t="str">
            <v>Ф"Харків.Дир." АТ"ІНДЕКС-Б"</v>
          </cell>
        </row>
        <row r="1495">
          <cell r="A1495" t="str">
            <v>UUKU</v>
          </cell>
          <cell r="B1495">
            <v>350686</v>
          </cell>
          <cell r="C1495" t="str">
            <v>Харків.ф.ТОВ"Укрпромбанк"</v>
          </cell>
        </row>
        <row r="1496">
          <cell r="A1496" t="str">
            <v>UUKV</v>
          </cell>
          <cell r="B1496">
            <v>350620</v>
          </cell>
          <cell r="C1496" t="str">
            <v>Харків.Ф.ВАТ"ВІЕЙБІБАНК"</v>
          </cell>
        </row>
        <row r="1497">
          <cell r="A1497" t="str">
            <v>UUKY</v>
          </cell>
          <cell r="B1497">
            <v>350749</v>
          </cell>
          <cell r="C1497" t="str">
            <v>ХФ ВАТ "ПІРЕУС БАНК МКБ"</v>
          </cell>
        </row>
        <row r="1498">
          <cell r="A1498" t="str">
            <v>UUKZ</v>
          </cell>
          <cell r="B1498">
            <v>350750</v>
          </cell>
          <cell r="C1498" t="str">
            <v>Філія ЗАТ "ОТП Банк"</v>
          </cell>
        </row>
        <row r="1499">
          <cell r="A1499" t="str">
            <v>UULA</v>
          </cell>
          <cell r="B1499">
            <v>351823</v>
          </cell>
          <cell r="C1499" t="str">
            <v>ФХарківське обласне ВАТОщад</v>
          </cell>
        </row>
        <row r="1500">
          <cell r="A1500" t="str">
            <v>UULB</v>
          </cell>
          <cell r="B1500">
            <v>350017</v>
          </cell>
          <cell r="C1500" t="str">
            <v>ФПервомайське відділВАТОщад</v>
          </cell>
        </row>
        <row r="1501">
          <cell r="A1501" t="str">
            <v>UULC</v>
          </cell>
          <cell r="B1501">
            <v>350028</v>
          </cell>
          <cell r="C1501" t="str">
            <v>ФБалаклійське відділВАТОщад</v>
          </cell>
        </row>
        <row r="1502">
          <cell r="A1502" t="str">
            <v>UULL</v>
          </cell>
          <cell r="B1502">
            <v>350114</v>
          </cell>
          <cell r="C1502" t="str">
            <v>ФДергачівське відділВАТОщад</v>
          </cell>
        </row>
        <row r="1503">
          <cell r="A1503" t="str">
            <v>UULM</v>
          </cell>
          <cell r="B1503">
            <v>350125</v>
          </cell>
          <cell r="C1503" t="str">
            <v>ФЗміївське відділеннВАТОщад</v>
          </cell>
        </row>
        <row r="1504">
          <cell r="A1504" t="str">
            <v>UULO</v>
          </cell>
          <cell r="B1504">
            <v>350147</v>
          </cell>
          <cell r="C1504" t="str">
            <v>ФІзюмське відділенняВАТОщад</v>
          </cell>
        </row>
        <row r="1505">
          <cell r="A1505" t="str">
            <v>UULP</v>
          </cell>
          <cell r="B1505">
            <v>350158</v>
          </cell>
          <cell r="C1505" t="str">
            <v>ФКегичівське відділеВАТОщад</v>
          </cell>
        </row>
        <row r="1506">
          <cell r="A1506" t="str">
            <v>UULS</v>
          </cell>
          <cell r="B1506">
            <v>350181</v>
          </cell>
          <cell r="C1506" t="str">
            <v>ФКуп`янське відділенВАТОщад</v>
          </cell>
        </row>
        <row r="1507">
          <cell r="A1507" t="str">
            <v>UULT</v>
          </cell>
          <cell r="B1507">
            <v>350192</v>
          </cell>
          <cell r="C1507" t="str">
            <v>ФЛозівське відділеннВАТОщад</v>
          </cell>
        </row>
        <row r="1508">
          <cell r="A1508" t="str">
            <v>UULW</v>
          </cell>
          <cell r="B1508">
            <v>350222</v>
          </cell>
          <cell r="C1508" t="str">
            <v>ФЧугуївське відділенВАТОщад</v>
          </cell>
        </row>
        <row r="1509">
          <cell r="A1509" t="str">
            <v>UUMC</v>
          </cell>
          <cell r="B1509">
            <v>350288</v>
          </cell>
          <cell r="C1509" t="str">
            <v>ФХарківське відділенВАТОщад</v>
          </cell>
        </row>
        <row r="1510">
          <cell r="A1510" t="str">
            <v>UUNB</v>
          </cell>
          <cell r="B1510">
            <v>350761</v>
          </cell>
          <cell r="C1510" t="str">
            <v>ФАБ "Південний" в м.Харків</v>
          </cell>
        </row>
        <row r="1511">
          <cell r="A1511" t="str">
            <v>UUNE</v>
          </cell>
          <cell r="B1511">
            <v>350772</v>
          </cell>
          <cell r="C1511" t="str">
            <v>Харківська ФАКБ "Форум"</v>
          </cell>
        </row>
        <row r="1512">
          <cell r="A1512" t="str">
            <v>UUNI</v>
          </cell>
          <cell r="B1512">
            <v>350880</v>
          </cell>
          <cell r="C1512" t="str">
            <v>Харківська ФВАТКБ"Хрещатик"</v>
          </cell>
        </row>
        <row r="1513">
          <cell r="A1513" t="str">
            <v>UUNJ</v>
          </cell>
          <cell r="B1513">
            <v>350794</v>
          </cell>
          <cell r="C1513" t="str">
            <v>ХАРКІВСФ АКБ "ІМЕКСБАНК"</v>
          </cell>
        </row>
        <row r="1514">
          <cell r="A1514" t="str">
            <v>UUNK</v>
          </cell>
          <cell r="B1514">
            <v>350910</v>
          </cell>
          <cell r="C1514" t="str">
            <v>Харківська ФАБ"БРОКБІЗНЕСБ"</v>
          </cell>
        </row>
        <row r="1515">
          <cell r="A1515" t="str">
            <v>UUNL</v>
          </cell>
          <cell r="B1515">
            <v>350802</v>
          </cell>
          <cell r="C1515" t="str">
            <v>Ф АБ"АвтоЗАЗбанк"в м.Харків</v>
          </cell>
        </row>
        <row r="1516">
          <cell r="A1516" t="str">
            <v>UUNN</v>
          </cell>
          <cell r="B1516">
            <v>350783</v>
          </cell>
          <cell r="C1516" t="str">
            <v>Ф ВАТ "ПершІнвБ"в м.Харкові</v>
          </cell>
        </row>
        <row r="1517">
          <cell r="A1517" t="str">
            <v>UUQK</v>
          </cell>
          <cell r="B1517">
            <v>851011</v>
          </cell>
          <cell r="C1517" t="str">
            <v>ГУДКУ у Харківській області</v>
          </cell>
        </row>
        <row r="1518">
          <cell r="A1518" t="str">
            <v>UUTS</v>
          </cell>
          <cell r="B1518">
            <v>399078</v>
          </cell>
          <cell r="C1518" t="str">
            <v>Харків.ін-т банк.справи УБС</v>
          </cell>
        </row>
        <row r="1519">
          <cell r="A1519" t="str">
            <v>UUUA</v>
          </cell>
          <cell r="B1519">
            <v>350006</v>
          </cell>
          <cell r="C1519" t="str">
            <v>Харківська ФТОВ"УНІКОМБАНК"</v>
          </cell>
        </row>
        <row r="1520">
          <cell r="A1520" t="str">
            <v>UUW1</v>
          </cell>
          <cell r="B1520">
            <v>350653</v>
          </cell>
          <cell r="C1520" t="str">
            <v>ФАТ "УФГ", м.Харків</v>
          </cell>
        </row>
        <row r="1521">
          <cell r="A1521" t="str">
            <v>UUW2</v>
          </cell>
          <cell r="B1521">
            <v>651040</v>
          </cell>
          <cell r="C1521" t="str">
            <v>Перша ф-я АТ"УФГ", м.Харків</v>
          </cell>
        </row>
        <row r="1522">
          <cell r="A1522" t="str">
            <v>UVAA</v>
          </cell>
          <cell r="B1522">
            <v>352286</v>
          </cell>
          <cell r="C1522" t="str">
            <v>Ф."Вiдділення ПІБ,м.Херсон"</v>
          </cell>
        </row>
        <row r="1523">
          <cell r="A1523" t="str">
            <v>UVAB</v>
          </cell>
          <cell r="B1523">
            <v>352264</v>
          </cell>
          <cell r="C1523" t="str">
            <v>Ф."Від.ПІБ В М.Н.Кахов.Херс</v>
          </cell>
        </row>
        <row r="1524">
          <cell r="A1524" t="str">
            <v>UVCA</v>
          </cell>
          <cell r="B1524">
            <v>352015</v>
          </cell>
          <cell r="C1524" t="str">
            <v>Херсон.обл.філія АКБ "УСБ"</v>
          </cell>
        </row>
        <row r="1525">
          <cell r="A1525" t="str">
            <v>UVGA</v>
          </cell>
          <cell r="B1525">
            <v>352639</v>
          </cell>
          <cell r="C1525" t="str">
            <v>Ф-я Укрексімбанк, Херсон</v>
          </cell>
        </row>
        <row r="1526">
          <cell r="A1526" t="str">
            <v>UVHA</v>
          </cell>
          <cell r="B1526">
            <v>352297</v>
          </cell>
          <cell r="C1526" t="str">
            <v>Упр. НБУ в Херсонській обл.</v>
          </cell>
        </row>
        <row r="1527">
          <cell r="A1527" t="str">
            <v>UVIB</v>
          </cell>
          <cell r="B1527">
            <v>352770</v>
          </cell>
          <cell r="C1527" t="str">
            <v>ВАТКБ"Надра"Херсонське РУ</v>
          </cell>
        </row>
        <row r="1528">
          <cell r="A1528" t="str">
            <v>UVIF</v>
          </cell>
          <cell r="B1528">
            <v>352327</v>
          </cell>
          <cell r="C1528" t="str">
            <v>ХФ КБ "Західінкомбанк" ТзОВ</v>
          </cell>
        </row>
        <row r="1529">
          <cell r="A1529" t="str">
            <v>UVIG</v>
          </cell>
          <cell r="B1529">
            <v>352372</v>
          </cell>
          <cell r="C1529" t="str">
            <v>ХерсФіл АБ "БРОКБІЗНЕСБАНК"</v>
          </cell>
        </row>
        <row r="1530">
          <cell r="A1530" t="str">
            <v>UVIH</v>
          </cell>
          <cell r="B1530">
            <v>352093</v>
          </cell>
          <cell r="C1530" t="str">
            <v>О.Д."Райффайзен Банк Аваль"</v>
          </cell>
        </row>
        <row r="1531">
          <cell r="A1531" t="str">
            <v>UVIN</v>
          </cell>
          <cell r="B1531">
            <v>352479</v>
          </cell>
          <cell r="C1531" t="str">
            <v>Херсонська ф-я ПриватБанку</v>
          </cell>
        </row>
        <row r="1532">
          <cell r="A1532" t="str">
            <v>UVIW</v>
          </cell>
          <cell r="B1532">
            <v>352413</v>
          </cell>
          <cell r="C1532" t="str">
            <v>Херсонська ф.ВАТ"КРЕДОБАНК"</v>
          </cell>
        </row>
        <row r="1533">
          <cell r="A1533" t="str">
            <v>UVJC</v>
          </cell>
          <cell r="B1533">
            <v>352736</v>
          </cell>
          <cell r="C1533" t="str">
            <v>ХФ АБ "Укоопспілка"</v>
          </cell>
        </row>
        <row r="1534">
          <cell r="A1534" t="str">
            <v>UVJI</v>
          </cell>
          <cell r="B1534">
            <v>352510</v>
          </cell>
          <cell r="C1534" t="str">
            <v>ХФ АКБ"ІНДУСТРІАЛБАНК"</v>
          </cell>
        </row>
        <row r="1535">
          <cell r="A1535" t="str">
            <v>UVJJ</v>
          </cell>
          <cell r="B1535">
            <v>352651</v>
          </cell>
          <cell r="C1535" t="str">
            <v>Херсон.ф-я "КРЕДИТПРОМБАНК"</v>
          </cell>
        </row>
        <row r="1536">
          <cell r="A1536" t="str">
            <v>UVJK</v>
          </cell>
          <cell r="B1536">
            <v>352822</v>
          </cell>
          <cell r="C1536" t="str">
            <v>Ф."Херсон-Трансб"АКБ"Трансб</v>
          </cell>
        </row>
        <row r="1537">
          <cell r="A1537" t="str">
            <v>UVJL</v>
          </cell>
          <cell r="B1537">
            <v>352628</v>
          </cell>
          <cell r="C1537" t="str">
            <v>Остр.ФАКБ "НК" в м.Хер.</v>
          </cell>
        </row>
        <row r="1538">
          <cell r="A1538" t="str">
            <v>UVJN</v>
          </cell>
          <cell r="B1538">
            <v>352640</v>
          </cell>
          <cell r="C1538" t="str">
            <v>ФАБ "ПІВДЕННИЙ", м.Херсон</v>
          </cell>
        </row>
        <row r="1539">
          <cell r="A1539" t="str">
            <v>UVJR</v>
          </cell>
          <cell r="B1539">
            <v>352703</v>
          </cell>
          <cell r="C1539" t="str">
            <v>Ф."Хер.дир"АТ"ІНДЕКС-БАНК"</v>
          </cell>
        </row>
        <row r="1540">
          <cell r="A1540" t="str">
            <v>UVJU</v>
          </cell>
          <cell r="B1540">
            <v>352725</v>
          </cell>
          <cell r="C1540" t="str">
            <v>Херсонська філ.Приватінвест</v>
          </cell>
        </row>
        <row r="1541">
          <cell r="A1541" t="str">
            <v>UVKA</v>
          </cell>
          <cell r="B1541">
            <v>352800</v>
          </cell>
          <cell r="C1541" t="str">
            <v>Херс.філіяТОВ "Укрпромбанк"</v>
          </cell>
        </row>
        <row r="1542">
          <cell r="A1542" t="str">
            <v>UVKF</v>
          </cell>
          <cell r="B1542">
            <v>342177</v>
          </cell>
          <cell r="C1542" t="str">
            <v>Херсонська ФАБ"Укргазбанк"</v>
          </cell>
        </row>
        <row r="1543">
          <cell r="A1543" t="str">
            <v>UVKG</v>
          </cell>
          <cell r="B1543">
            <v>342252</v>
          </cell>
          <cell r="C1543" t="str">
            <v>Херсонська філія АКБ"Форум"</v>
          </cell>
        </row>
        <row r="1544">
          <cell r="A1544" t="str">
            <v>UVKS</v>
          </cell>
          <cell r="B1544">
            <v>342296</v>
          </cell>
          <cell r="C1544" t="str">
            <v>ХЕРСОНСФ АКБ "ІМЕКСБАНК"</v>
          </cell>
        </row>
        <row r="1545">
          <cell r="A1545" t="str">
            <v>UVKT</v>
          </cell>
          <cell r="B1545">
            <v>342285</v>
          </cell>
          <cell r="C1545" t="str">
            <v>ФІЛІЯ ВАТ "МТБ" У М.ХЕРСОНІ</v>
          </cell>
        </row>
        <row r="1546">
          <cell r="A1546" t="str">
            <v>UVKU</v>
          </cell>
          <cell r="B1546">
            <v>342207</v>
          </cell>
          <cell r="C1546" t="str">
            <v>Херсон.ФВАТ КБ "Хрещатик"</v>
          </cell>
        </row>
        <row r="1547">
          <cell r="A1547" t="str">
            <v>UVKV</v>
          </cell>
          <cell r="B1547">
            <v>342003</v>
          </cell>
          <cell r="C1547" t="str">
            <v>Херсонська Ф ВАТ ВТБ Банк</v>
          </cell>
        </row>
        <row r="1548">
          <cell r="A1548" t="str">
            <v>UVKW</v>
          </cell>
          <cell r="B1548">
            <v>342144</v>
          </cell>
          <cell r="C1548" t="str">
            <v>Херсонська ФАТ"Укрінбанк"</v>
          </cell>
        </row>
        <row r="1549">
          <cell r="A1549" t="str">
            <v>UVKX</v>
          </cell>
          <cell r="B1549">
            <v>342337</v>
          </cell>
          <cell r="C1549" t="str">
            <v>Херсонська ФВАТ"ВіЕйБі Банк</v>
          </cell>
        </row>
        <row r="1550">
          <cell r="A1550" t="str">
            <v>UVLA</v>
          </cell>
          <cell r="B1550">
            <v>352457</v>
          </cell>
          <cell r="C1550" t="str">
            <v>ФХерсонське ОУ ВАТОщад</v>
          </cell>
        </row>
        <row r="1551">
          <cell r="A1551" t="str">
            <v>UVLF</v>
          </cell>
          <cell r="B1551">
            <v>342070</v>
          </cell>
          <cell r="C1551" t="str">
            <v>ФВеликоолександрiвсьВАТОщад</v>
          </cell>
        </row>
        <row r="1552">
          <cell r="A1552" t="str">
            <v>UVLG</v>
          </cell>
          <cell r="B1552">
            <v>342081</v>
          </cell>
          <cell r="C1552" t="str">
            <v>ФВеликолепетиське віВАТОщад</v>
          </cell>
        </row>
        <row r="1553">
          <cell r="A1553" t="str">
            <v>UVLH</v>
          </cell>
          <cell r="B1553">
            <v>342092</v>
          </cell>
          <cell r="C1553" t="str">
            <v>ФГенічеське відділенВАТОщад</v>
          </cell>
        </row>
        <row r="1554">
          <cell r="A1554" t="str">
            <v>UVLI</v>
          </cell>
          <cell r="B1554">
            <v>342133</v>
          </cell>
          <cell r="C1554" t="str">
            <v>ФГолопристанське відВАТОщад</v>
          </cell>
        </row>
        <row r="1555">
          <cell r="A1555" t="str">
            <v>UVLJ</v>
          </cell>
          <cell r="B1555">
            <v>342111</v>
          </cell>
          <cell r="C1555" t="str">
            <v>ФГорностаївське віддВАТОщад</v>
          </cell>
        </row>
        <row r="1556">
          <cell r="A1556" t="str">
            <v>UVLO</v>
          </cell>
          <cell r="B1556">
            <v>342166</v>
          </cell>
          <cell r="C1556" t="str">
            <v>ФНовотроїцьке відділВАТОщад</v>
          </cell>
        </row>
        <row r="1557">
          <cell r="A1557" t="str">
            <v>UVLP</v>
          </cell>
          <cell r="B1557">
            <v>342047</v>
          </cell>
          <cell r="C1557" t="str">
            <v>ФСкадовське відділенВАТОщад</v>
          </cell>
        </row>
        <row r="1558">
          <cell r="A1558" t="str">
            <v>UVLQ</v>
          </cell>
          <cell r="B1558">
            <v>342188</v>
          </cell>
          <cell r="C1558" t="str">
            <v>ФКаланчацьке відділеВАТОщад</v>
          </cell>
        </row>
        <row r="1559">
          <cell r="A1559" t="str">
            <v>UVLV</v>
          </cell>
          <cell r="B1559">
            <v>342230</v>
          </cell>
          <cell r="C1559" t="str">
            <v>ФБiлозерське відділеВАТОщад</v>
          </cell>
        </row>
        <row r="1560">
          <cell r="A1560" t="str">
            <v>UVLW</v>
          </cell>
          <cell r="B1560">
            <v>342241</v>
          </cell>
          <cell r="C1560" t="str">
            <v>ФНовокаховське віддіВАТОщад</v>
          </cell>
        </row>
        <row r="1561">
          <cell r="A1561" t="str">
            <v>UVQK</v>
          </cell>
          <cell r="B1561">
            <v>852010</v>
          </cell>
          <cell r="C1561" t="str">
            <v>ГУДКУ у Херсонській області</v>
          </cell>
        </row>
        <row r="1562">
          <cell r="A1562" t="str">
            <v>UVW1</v>
          </cell>
          <cell r="B1562">
            <v>352673</v>
          </cell>
          <cell r="C1562" t="str">
            <v>ФАТ "УФГ", м.Херсон</v>
          </cell>
        </row>
        <row r="1563">
          <cell r="A1563" t="str">
            <v>UWAA</v>
          </cell>
          <cell r="B1563">
            <v>315278</v>
          </cell>
          <cell r="C1563" t="str">
            <v>Ф."ВІД.ПІБ,М. ХМЕЛЬНИЦЬКИЙ"</v>
          </cell>
        </row>
        <row r="1564">
          <cell r="A1564" t="str">
            <v>UWAC</v>
          </cell>
          <cell r="B1564">
            <v>315472</v>
          </cell>
          <cell r="C1564" t="str">
            <v>Філія від.ПІБ в М.СЛАВУТА</v>
          </cell>
        </row>
        <row r="1565">
          <cell r="A1565" t="str">
            <v>UWAD</v>
          </cell>
          <cell r="B1565">
            <v>315416</v>
          </cell>
          <cell r="C1565" t="str">
            <v>Ф.від.ПІБ в м.Кам.-Под.Хм.</v>
          </cell>
        </row>
        <row r="1566">
          <cell r="A1566" t="str">
            <v>UWAE</v>
          </cell>
          <cell r="B1566">
            <v>315450</v>
          </cell>
          <cell r="C1566" t="str">
            <v>Ф.від ПІБ в м.Шепетівка Хм.</v>
          </cell>
        </row>
        <row r="1567">
          <cell r="A1567" t="str">
            <v>UWAG</v>
          </cell>
          <cell r="B1567">
            <v>315483</v>
          </cell>
          <cell r="C1567" t="str">
            <v>Ф-я від.ПІБ в м.Городок</v>
          </cell>
        </row>
        <row r="1568">
          <cell r="A1568" t="str">
            <v>UWCA</v>
          </cell>
          <cell r="B1568">
            <v>315018</v>
          </cell>
          <cell r="C1568" t="str">
            <v>Хмельн обл.ФАКБ"Укрсоцбанк"</v>
          </cell>
        </row>
        <row r="1569">
          <cell r="A1569" t="str">
            <v>UWFB</v>
          </cell>
          <cell r="B1569">
            <v>315803</v>
          </cell>
          <cell r="C1569" t="str">
            <v>ХмельницькаФВАТКБ"хрещатик"</v>
          </cell>
        </row>
        <row r="1570">
          <cell r="A1570" t="str">
            <v>UWGA</v>
          </cell>
          <cell r="B1570">
            <v>315609</v>
          </cell>
          <cell r="C1570" t="str">
            <v>Ф-я Укрексімбанк,Хмельницьк</v>
          </cell>
        </row>
        <row r="1571">
          <cell r="A1571" t="str">
            <v>UWHA</v>
          </cell>
          <cell r="B1571">
            <v>315438</v>
          </cell>
          <cell r="C1571" t="str">
            <v>Упр. НБУ у  Хмельницьк.обл.</v>
          </cell>
        </row>
        <row r="1572">
          <cell r="A1572" t="str">
            <v>UWID</v>
          </cell>
          <cell r="B1572">
            <v>315397</v>
          </cell>
          <cell r="C1572" t="str">
            <v>Хмельницька ФАТ "Укрінбанк"</v>
          </cell>
        </row>
        <row r="1573">
          <cell r="A1573" t="str">
            <v>UWIG</v>
          </cell>
          <cell r="B1573">
            <v>315568</v>
          </cell>
          <cell r="C1573" t="str">
            <v>ХРФ "Укоопспілка"</v>
          </cell>
        </row>
        <row r="1574">
          <cell r="A1574" t="str">
            <v>UWIN</v>
          </cell>
          <cell r="B1574">
            <v>315427</v>
          </cell>
          <cell r="C1574" t="str">
            <v>ІФ АБ "Укоопспілка"</v>
          </cell>
        </row>
        <row r="1575">
          <cell r="A1575" t="str">
            <v>UWIV</v>
          </cell>
          <cell r="B1575">
            <v>315654</v>
          </cell>
          <cell r="C1575" t="str">
            <v>Хмельн. ф-я ВАТ "КРЕДОБАНК"</v>
          </cell>
        </row>
        <row r="1576">
          <cell r="A1576" t="str">
            <v>UWJE</v>
          </cell>
          <cell r="B1576">
            <v>315966</v>
          </cell>
          <cell r="C1576" t="str">
            <v>ХОД"РАЙФФАЙЗЕН БАНК АВАЛЬ"</v>
          </cell>
        </row>
        <row r="1577">
          <cell r="A1577" t="str">
            <v>UWJK</v>
          </cell>
          <cell r="B1577">
            <v>315405</v>
          </cell>
          <cell r="C1577" t="str">
            <v>Хмельницька ф-я"ПриватБанк"</v>
          </cell>
        </row>
        <row r="1578">
          <cell r="A1578" t="str">
            <v>UWJL</v>
          </cell>
          <cell r="B1578">
            <v>315643</v>
          </cell>
          <cell r="C1578" t="str">
            <v>ФАКБ "НК" в м.Пол.</v>
          </cell>
        </row>
        <row r="1579">
          <cell r="A1579" t="str">
            <v>UWJO</v>
          </cell>
          <cell r="B1579">
            <v>315858</v>
          </cell>
          <cell r="C1579" t="str">
            <v>ХФ АБ "БРОКБІЗНЕСБАНК"</v>
          </cell>
        </row>
        <row r="1580">
          <cell r="A1580" t="str">
            <v>UWJP</v>
          </cell>
          <cell r="B1580">
            <v>315717</v>
          </cell>
          <cell r="C1580" t="str">
            <v>Хмельницька ф. Приватінвест</v>
          </cell>
        </row>
        <row r="1581">
          <cell r="A1581" t="str">
            <v>UWJR</v>
          </cell>
          <cell r="B1581">
            <v>315063</v>
          </cell>
          <cell r="C1581" t="str">
            <v>Славут.ф АБ"БРОКБІЗНЕСБАНК"</v>
          </cell>
        </row>
        <row r="1582">
          <cell r="A1582" t="str">
            <v>UWJV</v>
          </cell>
          <cell r="B1582">
            <v>315137</v>
          </cell>
          <cell r="C1582" t="str">
            <v>ФВАТКБ"Надра"Хмельницьке РУ</v>
          </cell>
        </row>
        <row r="1583">
          <cell r="A1583" t="str">
            <v>UWJX</v>
          </cell>
          <cell r="B1583">
            <v>315193</v>
          </cell>
          <cell r="C1583" t="str">
            <v>Хмельнф.ТОВ"Укрпромбанк"</v>
          </cell>
        </row>
        <row r="1584">
          <cell r="A1584" t="str">
            <v>UWKM</v>
          </cell>
          <cell r="B1584">
            <v>315591</v>
          </cell>
          <cell r="C1584" t="str">
            <v>Хмельницька Ф ВАТ ВТБ Банк</v>
          </cell>
        </row>
        <row r="1585">
          <cell r="A1585" t="str">
            <v>UWKN</v>
          </cell>
          <cell r="B1585">
            <v>315739</v>
          </cell>
          <cell r="C1585" t="str">
            <v>Хмельницька Ф АКБ "Форум"</v>
          </cell>
        </row>
        <row r="1586">
          <cell r="A1586" t="str">
            <v>UWKO</v>
          </cell>
          <cell r="B1586">
            <v>315999</v>
          </cell>
          <cell r="C1586" t="str">
            <v>Філ"Хмел.Д"ІНДЕКС-БАНК"</v>
          </cell>
        </row>
        <row r="1587">
          <cell r="A1587" t="str">
            <v>UWKP</v>
          </cell>
          <cell r="B1587">
            <v>315977</v>
          </cell>
          <cell r="C1587" t="str">
            <v>Хм.Ф.ВАТ"ВІЕЙБІБАНК"</v>
          </cell>
        </row>
        <row r="1588">
          <cell r="A1588" t="str">
            <v>UWKQ</v>
          </cell>
          <cell r="B1588">
            <v>315795</v>
          </cell>
          <cell r="C1588" t="str">
            <v>ХМЕЛЬНИЦЬКФ АКБ "ІМЕКСБАНК"</v>
          </cell>
        </row>
        <row r="1589">
          <cell r="A1589" t="str">
            <v>UWLA</v>
          </cell>
          <cell r="B1589">
            <v>315784</v>
          </cell>
          <cell r="C1589" t="str">
            <v>ФХмельницьке обласнеВАТОщад</v>
          </cell>
        </row>
        <row r="1590">
          <cell r="A1590" t="str">
            <v>UWLC</v>
          </cell>
          <cell r="B1590">
            <v>375025</v>
          </cell>
          <cell r="C1590" t="str">
            <v>ФБілогірське відділеВАТОщад</v>
          </cell>
        </row>
        <row r="1591">
          <cell r="A1591" t="str">
            <v>UWLE</v>
          </cell>
          <cell r="B1591">
            <v>375047</v>
          </cell>
          <cell r="C1591" t="str">
            <v>ФВолочиське відділенВАТОщад</v>
          </cell>
        </row>
        <row r="1592">
          <cell r="A1592" t="str">
            <v>UWLF</v>
          </cell>
          <cell r="B1592">
            <v>375058</v>
          </cell>
          <cell r="C1592" t="str">
            <v>ФГородоцьке відділенВАТОщад</v>
          </cell>
        </row>
        <row r="1593">
          <cell r="A1593" t="str">
            <v>UWLG</v>
          </cell>
          <cell r="B1593">
            <v>375069</v>
          </cell>
          <cell r="C1593" t="str">
            <v>ФДеражнянське відділВАТОщад</v>
          </cell>
        </row>
        <row r="1594">
          <cell r="A1594" t="str">
            <v>UWLH</v>
          </cell>
          <cell r="B1594">
            <v>375070</v>
          </cell>
          <cell r="C1594" t="str">
            <v>ФДунаєвецьке відділеВАТОщад</v>
          </cell>
        </row>
        <row r="1595">
          <cell r="A1595" t="str">
            <v>UWLI</v>
          </cell>
          <cell r="B1595">
            <v>375081</v>
          </cell>
          <cell r="C1595" t="str">
            <v>ФІзяславське відділеВАТОщад</v>
          </cell>
        </row>
        <row r="1596">
          <cell r="A1596" t="str">
            <v>UWLJ</v>
          </cell>
          <cell r="B1596">
            <v>375092</v>
          </cell>
          <cell r="C1596" t="str">
            <v>ФКам`янець-ПодільськВАТОщад</v>
          </cell>
        </row>
        <row r="1597">
          <cell r="A1597" t="str">
            <v>UWLL</v>
          </cell>
          <cell r="B1597">
            <v>375111</v>
          </cell>
          <cell r="C1597" t="str">
            <v>ФКрасилівське відділВАТОщад</v>
          </cell>
        </row>
        <row r="1598">
          <cell r="A1598" t="str">
            <v>UWLP</v>
          </cell>
          <cell r="B1598">
            <v>375155</v>
          </cell>
          <cell r="C1598" t="str">
            <v>ФСлавутське відділенВАТОщад</v>
          </cell>
        </row>
        <row r="1599">
          <cell r="A1599" t="str">
            <v>UWLQ</v>
          </cell>
          <cell r="B1599">
            <v>375166</v>
          </cell>
          <cell r="C1599" t="str">
            <v>ФСтарокостянтинівськВАТОщад</v>
          </cell>
        </row>
        <row r="1600">
          <cell r="A1600" t="str">
            <v>UWLS</v>
          </cell>
          <cell r="B1600">
            <v>375188</v>
          </cell>
          <cell r="C1600" t="str">
            <v>ФТеофіпольське віддіВАТОщад</v>
          </cell>
        </row>
        <row r="1601">
          <cell r="A1601" t="str">
            <v>UWLU</v>
          </cell>
          <cell r="B1601">
            <v>375100</v>
          </cell>
          <cell r="C1601" t="str">
            <v>ФЧемеровецьке відділВАТОщад</v>
          </cell>
        </row>
        <row r="1602">
          <cell r="A1602" t="str">
            <v>UWLV</v>
          </cell>
          <cell r="B1602">
            <v>375218</v>
          </cell>
          <cell r="C1602" t="str">
            <v>ФШепетівське відділеВАТОщад</v>
          </cell>
        </row>
        <row r="1603">
          <cell r="A1603" t="str">
            <v>UWQK</v>
          </cell>
          <cell r="B1603">
            <v>815013</v>
          </cell>
          <cell r="C1603" t="str">
            <v>ГУДКУ У ХМЕЛЬНИЦЬКІЙ ОБЛАСТ</v>
          </cell>
        </row>
        <row r="1604">
          <cell r="A1604" t="str">
            <v>UWW1</v>
          </cell>
          <cell r="B1604">
            <v>315494</v>
          </cell>
          <cell r="C1604" t="str">
            <v>Хмельницька обл.ф-я АТ"УФГ"</v>
          </cell>
        </row>
        <row r="1605">
          <cell r="A1605" t="str">
            <v>UXAA</v>
          </cell>
          <cell r="B1605">
            <v>354091</v>
          </cell>
          <cell r="C1605" t="str">
            <v>Ф."ВІДДІЛ. ПІБ, М. ЧЕРКАСИ"</v>
          </cell>
        </row>
        <row r="1606">
          <cell r="A1606" t="str">
            <v>UXAE</v>
          </cell>
          <cell r="B1606">
            <v>354381</v>
          </cell>
          <cell r="C1606" t="str">
            <v>ф."Від.ПІБ в УМАНЬ Черк.обл</v>
          </cell>
        </row>
        <row r="1607">
          <cell r="A1607" t="str">
            <v>UXCA</v>
          </cell>
          <cell r="B1607">
            <v>354013</v>
          </cell>
          <cell r="C1607" t="str">
            <v>Черкаська ОФ"Укрсоцбанк"</v>
          </cell>
        </row>
        <row r="1608">
          <cell r="A1608" t="str">
            <v>UXFA</v>
          </cell>
          <cell r="B1608">
            <v>354002</v>
          </cell>
          <cell r="C1608" t="str">
            <v>ЧеркаськаФВАТКБ"Хрещатик"</v>
          </cell>
        </row>
        <row r="1609">
          <cell r="A1609" t="str">
            <v>UXGA</v>
          </cell>
          <cell r="B1609">
            <v>354789</v>
          </cell>
          <cell r="C1609" t="str">
            <v>Ф-я Укрексімбанк, Черкаси</v>
          </cell>
        </row>
        <row r="1610">
          <cell r="A1610" t="str">
            <v>UXHA</v>
          </cell>
          <cell r="B1610">
            <v>354024</v>
          </cell>
          <cell r="C1610" t="str">
            <v>Упр. НБУ в Чеpкаській обл.</v>
          </cell>
        </row>
        <row r="1611">
          <cell r="A1611" t="str">
            <v>UXIA</v>
          </cell>
          <cell r="B1611">
            <v>354314</v>
          </cell>
          <cell r="C1611" t="str">
            <v>Черкаська ФАТ"Укрінбанк"</v>
          </cell>
        </row>
        <row r="1612">
          <cell r="A1612" t="str">
            <v>UXID</v>
          </cell>
          <cell r="B1612">
            <v>354336</v>
          </cell>
          <cell r="C1612" t="str">
            <v>Дніпровська ФАТ"Укрінбанк"</v>
          </cell>
        </row>
        <row r="1613">
          <cell r="A1613" t="str">
            <v>UXIG</v>
          </cell>
          <cell r="B1613">
            <v>354347</v>
          </cell>
          <cell r="C1613" t="str">
            <v>Черкаське ГРУ ПриватБанку</v>
          </cell>
        </row>
        <row r="1614">
          <cell r="A1614" t="str">
            <v>UXIH</v>
          </cell>
          <cell r="B1614">
            <v>354295</v>
          </cell>
          <cell r="C1614" t="str">
            <v>ЧФ ВАТ "ПІРЕУС БАНК МКБ"</v>
          </cell>
        </row>
        <row r="1615">
          <cell r="A1615" t="str">
            <v>UXIK</v>
          </cell>
          <cell r="B1615">
            <v>354411</v>
          </cell>
          <cell r="C1615" t="str">
            <v>Ч.ОД"Райффайзен Банк Аваль"</v>
          </cell>
        </row>
        <row r="1616">
          <cell r="A1616" t="str">
            <v>UXIM</v>
          </cell>
          <cell r="B1616">
            <v>354466</v>
          </cell>
          <cell r="C1616" t="str">
            <v>Черкаська ф. ВАТ"КРЕДОБАНК"</v>
          </cell>
        </row>
        <row r="1617">
          <cell r="A1617" t="str">
            <v>UXIO</v>
          </cell>
          <cell r="B1617">
            <v>354488</v>
          </cell>
          <cell r="C1617" t="str">
            <v>Черкаська ф.АБ "Енергобанк"</v>
          </cell>
        </row>
        <row r="1618">
          <cell r="A1618" t="str">
            <v>UXIS</v>
          </cell>
          <cell r="B1618">
            <v>354842</v>
          </cell>
          <cell r="C1618" t="str">
            <v>Черкас.ФВАТ АБ "УКРГАЗБАНК"</v>
          </cell>
        </row>
        <row r="1619">
          <cell r="A1619" t="str">
            <v>UXIT</v>
          </cell>
          <cell r="B1619">
            <v>354853</v>
          </cell>
          <cell r="C1619" t="str">
            <v>ЧЕРКАСЬКА ФАКБ "ЛЕГБАНК"</v>
          </cell>
        </row>
        <row r="1620">
          <cell r="A1620" t="str">
            <v>UXIU</v>
          </cell>
          <cell r="B1620">
            <v>354972</v>
          </cell>
          <cell r="C1620" t="str">
            <v>ФАКБ "НК" в.м.Канів</v>
          </cell>
        </row>
        <row r="1621">
          <cell r="A1621" t="str">
            <v>UXIV</v>
          </cell>
          <cell r="B1621">
            <v>354864</v>
          </cell>
          <cell r="C1621" t="str">
            <v>Черкаська ФАБ"КИЇВСЬКА РУСЬ</v>
          </cell>
        </row>
        <row r="1622">
          <cell r="A1622" t="str">
            <v>UXIW</v>
          </cell>
          <cell r="B1622">
            <v>354875</v>
          </cell>
          <cell r="C1622" t="str">
            <v>ЧФ ВАТ КБ "ПРОМЕКОНОМБАНК"</v>
          </cell>
        </row>
        <row r="1623">
          <cell r="A1623" t="str">
            <v>UXIZ</v>
          </cell>
          <cell r="B1623">
            <v>354897</v>
          </cell>
          <cell r="C1623" t="str">
            <v>Черк.ф. АБ "БРОКБІЗНЕСБАНК"</v>
          </cell>
        </row>
        <row r="1624">
          <cell r="A1624" t="str">
            <v>UXJD</v>
          </cell>
          <cell r="B1624">
            <v>354916</v>
          </cell>
          <cell r="C1624" t="str">
            <v>Ф ВАТ КБ"Надра"ЧеркаськеРУ</v>
          </cell>
        </row>
        <row r="1625">
          <cell r="A1625" t="str">
            <v>UXJJ</v>
          </cell>
          <cell r="B1625">
            <v>354927</v>
          </cell>
          <cell r="C1625" t="str">
            <v>Черк.філіяТОВ "Укрпромбанк"</v>
          </cell>
        </row>
        <row r="1626">
          <cell r="A1626" t="str">
            <v>UXJN</v>
          </cell>
          <cell r="B1626">
            <v>354938</v>
          </cell>
          <cell r="C1626" t="str">
            <v>Черкаська Ф ВАТ ВТБ Банк</v>
          </cell>
        </row>
        <row r="1627">
          <cell r="A1627" t="str">
            <v>UXJZ</v>
          </cell>
          <cell r="B1627">
            <v>344001</v>
          </cell>
          <cell r="C1627" t="str">
            <v>Черкаська ФВАТ"ВіЕйБі Банк"</v>
          </cell>
        </row>
        <row r="1628">
          <cell r="A1628" t="str">
            <v>UXKA</v>
          </cell>
          <cell r="B1628">
            <v>344023</v>
          </cell>
          <cell r="C1628" t="str">
            <v>Ф Чер.Д.АТ"ІНДЕКС-БАНК"</v>
          </cell>
        </row>
        <row r="1629">
          <cell r="A1629" t="str">
            <v>UXKB</v>
          </cell>
          <cell r="B1629">
            <v>344153</v>
          </cell>
          <cell r="C1629" t="str">
            <v>ЧФ КБ "Західінкомбанк" ТзОВ</v>
          </cell>
        </row>
        <row r="1630">
          <cell r="A1630" t="str">
            <v>UXKC</v>
          </cell>
          <cell r="B1630">
            <v>344034</v>
          </cell>
          <cell r="C1630" t="str">
            <v>Філія ЗАТ "ОТП Банк"</v>
          </cell>
        </row>
        <row r="1631">
          <cell r="A1631" t="str">
            <v>UXKD</v>
          </cell>
          <cell r="B1631">
            <v>344045</v>
          </cell>
          <cell r="C1631" t="str">
            <v>Ф.ТОВКБ"Столиця"у м.Черкаси</v>
          </cell>
        </row>
        <row r="1632">
          <cell r="A1632" t="str">
            <v>UXKE</v>
          </cell>
          <cell r="B1632">
            <v>344090</v>
          </cell>
          <cell r="C1632" t="str">
            <v>Черкаська філія АКБ "Форум"</v>
          </cell>
        </row>
        <row r="1633">
          <cell r="A1633" t="str">
            <v>UXLA</v>
          </cell>
          <cell r="B1633">
            <v>354507</v>
          </cell>
          <cell r="C1633" t="str">
            <v>ФЧеркаське ОУ ВАТОщадбанк</v>
          </cell>
        </row>
        <row r="1634">
          <cell r="A1634" t="str">
            <v>UXLB</v>
          </cell>
          <cell r="B1634">
            <v>354745</v>
          </cell>
          <cell r="C1634" t="str">
            <v>ФСоснівськеВАТОщадбанк</v>
          </cell>
        </row>
        <row r="1635">
          <cell r="A1635" t="str">
            <v>UXLD</v>
          </cell>
          <cell r="B1635">
            <v>354529</v>
          </cell>
          <cell r="C1635" t="str">
            <v>ФГородищенськеВАТОщадбанк</v>
          </cell>
        </row>
        <row r="1636">
          <cell r="A1636" t="str">
            <v>UXLE</v>
          </cell>
          <cell r="B1636">
            <v>354530</v>
          </cell>
          <cell r="C1636" t="str">
            <v>ФДрабівськеВАТОщадбанк</v>
          </cell>
        </row>
        <row r="1637">
          <cell r="A1637" t="str">
            <v>UXLF</v>
          </cell>
          <cell r="B1637">
            <v>354541</v>
          </cell>
          <cell r="C1637" t="str">
            <v>ФЖашківськеВАТОщадбанк</v>
          </cell>
        </row>
        <row r="1638">
          <cell r="A1638" t="str">
            <v>UXLG</v>
          </cell>
          <cell r="B1638">
            <v>354552</v>
          </cell>
          <cell r="C1638" t="str">
            <v>ФЗвенигородськеВАТОщадбанк</v>
          </cell>
        </row>
        <row r="1639">
          <cell r="A1639" t="str">
            <v>UXLH</v>
          </cell>
          <cell r="B1639">
            <v>354574</v>
          </cell>
          <cell r="C1639" t="str">
            <v>ФЗолотоніське ВАТОщадбанк</v>
          </cell>
        </row>
        <row r="1640">
          <cell r="A1640" t="str">
            <v>UXLI</v>
          </cell>
          <cell r="B1640">
            <v>354585</v>
          </cell>
          <cell r="C1640" t="str">
            <v>ФКанівськеВАТОщадбанк</v>
          </cell>
        </row>
        <row r="1641">
          <cell r="A1641" t="str">
            <v>UXLJ</v>
          </cell>
          <cell r="B1641">
            <v>354596</v>
          </cell>
          <cell r="C1641" t="str">
            <v>ФКам`янськеВАТОщадбанк</v>
          </cell>
        </row>
        <row r="1642">
          <cell r="A1642" t="str">
            <v>UXLK</v>
          </cell>
          <cell r="B1642">
            <v>354604</v>
          </cell>
          <cell r="C1642" t="str">
            <v>ФКатеринопільськеВАТОщад</v>
          </cell>
        </row>
        <row r="1643">
          <cell r="A1643" t="str">
            <v>UXLL</v>
          </cell>
          <cell r="B1643">
            <v>354615</v>
          </cell>
          <cell r="C1643" t="str">
            <v>ФКорсунь-ШевченківсьВАТОщад</v>
          </cell>
        </row>
        <row r="1644">
          <cell r="A1644" t="str">
            <v>UXLM</v>
          </cell>
          <cell r="B1644">
            <v>354626</v>
          </cell>
          <cell r="C1644" t="str">
            <v>ФЛисянське від. ВАТОщадбанк</v>
          </cell>
        </row>
        <row r="1645">
          <cell r="A1645" t="str">
            <v>UXLN</v>
          </cell>
          <cell r="B1645">
            <v>354637</v>
          </cell>
          <cell r="C1645" t="str">
            <v>ФМаньківське від. ВАТОщадба</v>
          </cell>
        </row>
        <row r="1646">
          <cell r="A1646" t="str">
            <v>UXLO</v>
          </cell>
          <cell r="B1646">
            <v>354648</v>
          </cell>
          <cell r="C1646" t="str">
            <v>ФМонастирищенське ВАТОщад</v>
          </cell>
        </row>
        <row r="1647">
          <cell r="A1647" t="str">
            <v>UXLP</v>
          </cell>
          <cell r="B1647">
            <v>354659</v>
          </cell>
          <cell r="C1647" t="str">
            <v>ФСмілянське відділенВАТОщад</v>
          </cell>
        </row>
        <row r="1648">
          <cell r="A1648" t="str">
            <v>UXLQ</v>
          </cell>
          <cell r="B1648">
            <v>354660</v>
          </cell>
          <cell r="C1648" t="str">
            <v>ФТальнівське ВАТОщадбанк</v>
          </cell>
        </row>
        <row r="1649">
          <cell r="A1649" t="str">
            <v>UXLR</v>
          </cell>
          <cell r="B1649">
            <v>354671</v>
          </cell>
          <cell r="C1649" t="str">
            <v>ФУманське ВАТОщадбанк</v>
          </cell>
        </row>
        <row r="1650">
          <cell r="A1650" t="str">
            <v>UXLS</v>
          </cell>
          <cell r="B1650">
            <v>354682</v>
          </cell>
          <cell r="C1650" t="str">
            <v>ФХристинівськеВАТОщадбанк</v>
          </cell>
        </row>
        <row r="1651">
          <cell r="A1651" t="str">
            <v>UXLT</v>
          </cell>
          <cell r="B1651">
            <v>354701</v>
          </cell>
          <cell r="C1651" t="str">
            <v>ФЧорнобаївськеВАТОщадбанк</v>
          </cell>
        </row>
        <row r="1652">
          <cell r="A1652" t="str">
            <v>UXLU</v>
          </cell>
          <cell r="B1652">
            <v>354712</v>
          </cell>
          <cell r="C1652" t="str">
            <v>ФЧеркаськеВАТОщадбанк</v>
          </cell>
        </row>
        <row r="1653">
          <cell r="A1653" t="str">
            <v>UXLV</v>
          </cell>
          <cell r="B1653">
            <v>354734</v>
          </cell>
          <cell r="C1653" t="str">
            <v>ФЧигиринськеВАТОщадбанк</v>
          </cell>
        </row>
        <row r="1654">
          <cell r="A1654" t="str">
            <v>UXLW</v>
          </cell>
          <cell r="B1654">
            <v>354767</v>
          </cell>
          <cell r="C1654" t="str">
            <v>ФШполянськеВАТОщадбанк</v>
          </cell>
        </row>
        <row r="1655">
          <cell r="A1655" t="str">
            <v>UXQK</v>
          </cell>
          <cell r="B1655">
            <v>854018</v>
          </cell>
          <cell r="C1655" t="str">
            <v>ГУДКУ У ЧЕРКАСЬКІЙ ОБЛАСТІ</v>
          </cell>
        </row>
        <row r="1656">
          <cell r="A1656" t="str">
            <v>UXTS</v>
          </cell>
          <cell r="B1656">
            <v>399089</v>
          </cell>
          <cell r="C1656" t="str">
            <v>Черк.інстит.банк.справи УБС</v>
          </cell>
        </row>
        <row r="1657">
          <cell r="A1657" t="str">
            <v>UXW1</v>
          </cell>
          <cell r="B1657">
            <v>354983</v>
          </cell>
          <cell r="C1657" t="str">
            <v>ФАТ "УФГ", м.Черкаси</v>
          </cell>
        </row>
        <row r="1658">
          <cell r="A1658" t="str">
            <v>UXXA</v>
          </cell>
          <cell r="B1658">
            <v>344056</v>
          </cell>
          <cell r="C1658" t="str">
            <v>ЧЕРКАСЬКА ФАКБ "ІМЕКСБАНК"</v>
          </cell>
        </row>
        <row r="1659">
          <cell r="A1659" t="str">
            <v>UYAA</v>
          </cell>
          <cell r="B1659">
            <v>353456</v>
          </cell>
          <cell r="C1659" t="str">
            <v>Ф."ВІДДІЛ. ПІБ, М.ЧЕРНІГІВ"</v>
          </cell>
        </row>
        <row r="1660">
          <cell r="A1660" t="str">
            <v>UYAB</v>
          </cell>
          <cell r="B1660">
            <v>353434</v>
          </cell>
          <cell r="C1660" t="str">
            <v>Ф.ВІД.ПІБ В М.НІЖИН ЧЕРНІГ.</v>
          </cell>
        </row>
        <row r="1661">
          <cell r="A1661" t="str">
            <v>UYAC</v>
          </cell>
          <cell r="B1661">
            <v>353423</v>
          </cell>
          <cell r="C1661" t="str">
            <v>Ф.ВІД.ПІБ М.ПРИЛУКИ ЧЕРНІГ.</v>
          </cell>
        </row>
        <row r="1662">
          <cell r="A1662" t="str">
            <v>UYCA</v>
          </cell>
          <cell r="B1662">
            <v>353014</v>
          </cell>
          <cell r="C1662" t="str">
            <v>Чернігів.філія АКБ "УСБ"</v>
          </cell>
        </row>
        <row r="1663">
          <cell r="A1663" t="str">
            <v>UYFA</v>
          </cell>
          <cell r="B1663">
            <v>353757</v>
          </cell>
          <cell r="C1663" t="str">
            <v>Чернігів.Ф.ВАТ "ВіЕйБіБанк"</v>
          </cell>
        </row>
        <row r="1664">
          <cell r="A1664" t="str">
            <v>UYFB</v>
          </cell>
          <cell r="B1664">
            <v>353694</v>
          </cell>
          <cell r="C1664" t="str">
            <v>Черніг.ФАБ "БРОКБІЗНЕСБАНК"</v>
          </cell>
        </row>
        <row r="1665">
          <cell r="A1665" t="str">
            <v>UYFC</v>
          </cell>
          <cell r="B1665">
            <v>353702</v>
          </cell>
          <cell r="C1665" t="str">
            <v>ЧернігівськФВАТКБ"Хрещатик"</v>
          </cell>
        </row>
        <row r="1666">
          <cell r="A1666" t="str">
            <v>UYFD</v>
          </cell>
          <cell r="B1666">
            <v>353713</v>
          </cell>
          <cell r="C1666" t="str">
            <v>Чернігівська ф-я"КРЕДОБАНК"</v>
          </cell>
        </row>
        <row r="1667">
          <cell r="A1667" t="str">
            <v>UYGA</v>
          </cell>
          <cell r="B1667">
            <v>353649</v>
          </cell>
          <cell r="C1667" t="str">
            <v>Ф-я Укрексімбанк, Чернігів</v>
          </cell>
        </row>
        <row r="1668">
          <cell r="A1668" t="str">
            <v>UYHA</v>
          </cell>
          <cell r="B1668">
            <v>353467</v>
          </cell>
          <cell r="C1668" t="str">
            <v>Упр.НБУ в Чернігівській обл</v>
          </cell>
        </row>
        <row r="1669">
          <cell r="A1669" t="str">
            <v>UYIB</v>
          </cell>
          <cell r="B1669">
            <v>353489</v>
          </cell>
          <cell r="C1669" t="str">
            <v>"ПРИВАТІНВЕСТ"</v>
          </cell>
        </row>
        <row r="1670">
          <cell r="A1670" t="str">
            <v>UYID</v>
          </cell>
          <cell r="B1670">
            <v>353100</v>
          </cell>
          <cell r="C1670" t="str">
            <v>"ПОЛІКОМБАНК"</v>
          </cell>
        </row>
        <row r="1671">
          <cell r="A1671" t="str">
            <v>UYIE</v>
          </cell>
          <cell r="B1671">
            <v>353564</v>
          </cell>
          <cell r="C1671" t="str">
            <v>Чернігівська ФАТ"Укрінбанк"</v>
          </cell>
        </row>
        <row r="1672">
          <cell r="A1672" t="str">
            <v>UYIF</v>
          </cell>
          <cell r="B1672">
            <v>353575</v>
          </cell>
          <cell r="C1672" t="str">
            <v>ВАТ БАНК "ДЕМАРК"</v>
          </cell>
        </row>
        <row r="1673">
          <cell r="A1673" t="str">
            <v>UYIQ</v>
          </cell>
          <cell r="B1673">
            <v>353348</v>
          </cell>
          <cell r="C1673" t="str">
            <v>ЧД "РАЙФФАЙЗЕН БАНК АВАЛЬ"</v>
          </cell>
        </row>
        <row r="1674">
          <cell r="A1674" t="str">
            <v>UYIW</v>
          </cell>
          <cell r="B1674">
            <v>353326</v>
          </cell>
          <cell r="C1674" t="str">
            <v>Чернігівська ФАБ "СИНТЕЗ"</v>
          </cell>
        </row>
        <row r="1675">
          <cell r="A1675" t="str">
            <v>UYJA</v>
          </cell>
          <cell r="B1675">
            <v>353508</v>
          </cell>
          <cell r="C1675" t="str">
            <v>ЧФ ВАТ Банку "БІГ Енергія"</v>
          </cell>
        </row>
        <row r="1676">
          <cell r="A1676" t="str">
            <v>UYJB</v>
          </cell>
          <cell r="B1676">
            <v>353586</v>
          </cell>
          <cell r="C1676" t="str">
            <v>Чернігівське РУ ПриватБанку</v>
          </cell>
        </row>
        <row r="1677">
          <cell r="A1677" t="str">
            <v>UYJD</v>
          </cell>
          <cell r="B1677">
            <v>353627</v>
          </cell>
          <cell r="C1677" t="str">
            <v>Ф ВАТ КБ"НАДРА"Ч.РУ</v>
          </cell>
        </row>
        <row r="1678">
          <cell r="A1678" t="str">
            <v>UYJJ</v>
          </cell>
          <cell r="B1678">
            <v>353661</v>
          </cell>
          <cell r="C1678" t="str">
            <v>Чернігів.ф.ТОВ"Укрпромбанк"</v>
          </cell>
        </row>
        <row r="1679">
          <cell r="A1679" t="str">
            <v>UYKG</v>
          </cell>
          <cell r="B1679">
            <v>343273</v>
          </cell>
          <cell r="C1679" t="str">
            <v>Філ."Чернг.Д"АТ"ІНД-БАНК"</v>
          </cell>
        </row>
        <row r="1680">
          <cell r="A1680" t="str">
            <v>UYKI</v>
          </cell>
          <cell r="B1680">
            <v>343002</v>
          </cell>
          <cell r="C1680" t="str">
            <v>Чернігівська Ф АКБ "Форум"</v>
          </cell>
        </row>
        <row r="1681">
          <cell r="A1681" t="str">
            <v>UYLA</v>
          </cell>
          <cell r="B1681">
            <v>353553</v>
          </cell>
          <cell r="C1681" t="str">
            <v>ФЧернігівське обласнВАТОщад</v>
          </cell>
        </row>
        <row r="1682">
          <cell r="A1682" t="str">
            <v>UYLB</v>
          </cell>
          <cell r="B1682">
            <v>343013</v>
          </cell>
          <cell r="C1682" t="str">
            <v>ФБахмацьке відділеннВАТОщад</v>
          </cell>
        </row>
        <row r="1683">
          <cell r="A1683" t="str">
            <v>UYLC</v>
          </cell>
          <cell r="B1683">
            <v>343024</v>
          </cell>
          <cell r="C1683" t="str">
            <v>ФБобровицьке відділеВАТОщад</v>
          </cell>
        </row>
        <row r="1684">
          <cell r="A1684" t="str">
            <v>UYLD</v>
          </cell>
          <cell r="B1684">
            <v>343035</v>
          </cell>
          <cell r="C1684" t="str">
            <v>ФБорзнянське відділеВАТОщад</v>
          </cell>
        </row>
        <row r="1685">
          <cell r="A1685" t="str">
            <v>UYLE</v>
          </cell>
          <cell r="B1685">
            <v>343046</v>
          </cell>
          <cell r="C1685" t="str">
            <v>ФВарвинське відділенВАТОщад</v>
          </cell>
        </row>
        <row r="1686">
          <cell r="A1686" t="str">
            <v>UYLF</v>
          </cell>
          <cell r="B1686">
            <v>343057</v>
          </cell>
          <cell r="C1686" t="str">
            <v>ФГороднянське відділВАТОщад</v>
          </cell>
        </row>
        <row r="1687">
          <cell r="A1687" t="str">
            <v>UYLG</v>
          </cell>
          <cell r="B1687">
            <v>343068</v>
          </cell>
          <cell r="C1687" t="str">
            <v>ФІчнянське відділеннВАТОщад</v>
          </cell>
        </row>
        <row r="1688">
          <cell r="A1688" t="str">
            <v>UYLH</v>
          </cell>
          <cell r="B1688">
            <v>343079</v>
          </cell>
          <cell r="C1688" t="str">
            <v>ФКозелецьке відділенВАТОщад</v>
          </cell>
        </row>
        <row r="1689">
          <cell r="A1689" t="str">
            <v>UYLI</v>
          </cell>
          <cell r="B1689">
            <v>343080</v>
          </cell>
          <cell r="C1689" t="str">
            <v>ФКоропське відділеннВАТОщад</v>
          </cell>
        </row>
        <row r="1690">
          <cell r="A1690" t="str">
            <v>UYLJ</v>
          </cell>
          <cell r="B1690">
            <v>343091</v>
          </cell>
          <cell r="C1690" t="str">
            <v>ФКорюківське відділеВАТОщад</v>
          </cell>
        </row>
        <row r="1691">
          <cell r="A1691" t="str">
            <v>UYLL</v>
          </cell>
          <cell r="B1691">
            <v>343110</v>
          </cell>
          <cell r="C1691" t="str">
            <v>ФМенське відділення ВАТОщад</v>
          </cell>
        </row>
        <row r="1692">
          <cell r="A1692" t="str">
            <v>UYLM</v>
          </cell>
          <cell r="B1692">
            <v>343121</v>
          </cell>
          <cell r="C1692" t="str">
            <v>ФНіжинське відділеннВАТОщад</v>
          </cell>
        </row>
        <row r="1693">
          <cell r="A1693" t="str">
            <v>UYLN</v>
          </cell>
          <cell r="B1693">
            <v>343262</v>
          </cell>
          <cell r="C1693" t="str">
            <v>ФНосівське відділеннВАТОщад</v>
          </cell>
        </row>
        <row r="1694">
          <cell r="A1694" t="str">
            <v>UYLO</v>
          </cell>
          <cell r="B1694">
            <v>343143</v>
          </cell>
          <cell r="C1694" t="str">
            <v>ФНовгород-Сіверське ВАТОщад</v>
          </cell>
        </row>
        <row r="1695">
          <cell r="A1695" t="str">
            <v>UYLP</v>
          </cell>
          <cell r="B1695">
            <v>343154</v>
          </cell>
          <cell r="C1695" t="str">
            <v>ФПрилуцьке відділеннВАТОщад</v>
          </cell>
        </row>
        <row r="1696">
          <cell r="A1696" t="str">
            <v>UYLQ</v>
          </cell>
          <cell r="B1696">
            <v>343165</v>
          </cell>
          <cell r="C1696" t="str">
            <v>ФРіпкинське відділенВАТОщад</v>
          </cell>
        </row>
        <row r="1697">
          <cell r="A1697" t="str">
            <v>UYLR</v>
          </cell>
          <cell r="B1697">
            <v>343176</v>
          </cell>
          <cell r="C1697" t="str">
            <v>ФСеменівське відділеВАТОщад</v>
          </cell>
        </row>
        <row r="1698">
          <cell r="A1698" t="str">
            <v>UYLU</v>
          </cell>
          <cell r="B1698">
            <v>343109</v>
          </cell>
          <cell r="C1698" t="str">
            <v>ФТалалаївське відділВАТОщад</v>
          </cell>
        </row>
        <row r="1699">
          <cell r="A1699" t="str">
            <v>UYLX</v>
          </cell>
          <cell r="B1699">
            <v>343239</v>
          </cell>
          <cell r="C1699" t="str">
            <v>ФЧернігівське відділВАТОщад</v>
          </cell>
        </row>
        <row r="1700">
          <cell r="A1700" t="str">
            <v>UYLY</v>
          </cell>
          <cell r="B1700">
            <v>343240</v>
          </cell>
          <cell r="C1700" t="str">
            <v>ФЩорське відділення ВАТОщад</v>
          </cell>
        </row>
        <row r="1701">
          <cell r="A1701" t="str">
            <v>UYQK</v>
          </cell>
          <cell r="B1701">
            <v>853592</v>
          </cell>
          <cell r="C1701" t="str">
            <v>ГУДК У ЧЕРНІГІВСЬКІЙ ОБЛАСТ</v>
          </cell>
        </row>
        <row r="1702">
          <cell r="A1702" t="str">
            <v>UZA0</v>
          </cell>
          <cell r="B1702">
            <v>356163</v>
          </cell>
          <cell r="C1702" t="str">
            <v>Ф."ВІДДІЛ. ПІБ, М.ЧЕРНІВЦІ"</v>
          </cell>
        </row>
        <row r="1703">
          <cell r="A1703" t="str">
            <v>UZCA</v>
          </cell>
          <cell r="B1703">
            <v>356011</v>
          </cell>
          <cell r="C1703" t="str">
            <v>Чернівецька обл.Ф АКБ"УСБ"</v>
          </cell>
        </row>
        <row r="1704">
          <cell r="A1704" t="str">
            <v>UZFA</v>
          </cell>
          <cell r="B1704">
            <v>356538</v>
          </cell>
          <cell r="C1704" t="str">
            <v>Чернівецька ф.ВАТ"КРЕДОБАНК</v>
          </cell>
        </row>
        <row r="1705">
          <cell r="A1705" t="str">
            <v>UZFB</v>
          </cell>
          <cell r="B1705">
            <v>356549</v>
          </cell>
          <cell r="C1705" t="str">
            <v>Філ.АКБ"Трансбанк"м.Чернівц</v>
          </cell>
        </row>
        <row r="1706">
          <cell r="A1706" t="str">
            <v>UZFC</v>
          </cell>
          <cell r="B1706">
            <v>356602</v>
          </cell>
          <cell r="C1706" t="str">
            <v>ЧернівецькаФВАТКБ"Хрещатик"</v>
          </cell>
        </row>
        <row r="1707">
          <cell r="A1707" t="str">
            <v>UZFD</v>
          </cell>
          <cell r="B1707">
            <v>356624</v>
          </cell>
          <cell r="C1707" t="str">
            <v>Чернів.ф.АБ"БРОКБІЗНЕСБАНК"</v>
          </cell>
        </row>
        <row r="1708">
          <cell r="A1708" t="str">
            <v>UZGA</v>
          </cell>
          <cell r="B1708">
            <v>356271</v>
          </cell>
          <cell r="C1708" t="str">
            <v>Ф-я Укрексімбанк,Чернівці</v>
          </cell>
        </row>
        <row r="1709">
          <cell r="A1709" t="str">
            <v>UZHA</v>
          </cell>
          <cell r="B1709">
            <v>356185</v>
          </cell>
          <cell r="C1709" t="str">
            <v>Упр. НБУ в Чернівецькій обл</v>
          </cell>
        </row>
        <row r="1710">
          <cell r="A1710" t="str">
            <v>UZIB</v>
          </cell>
          <cell r="B1710">
            <v>356204</v>
          </cell>
          <cell r="C1710" t="str">
            <v>Чернівецька ФАТ"Укрінбанк"</v>
          </cell>
        </row>
        <row r="1711">
          <cell r="A1711" t="str">
            <v>UZIF</v>
          </cell>
          <cell r="B1711">
            <v>356226</v>
          </cell>
          <cell r="C1711" t="str">
            <v>ЧФ АБ"Укоопспілка"</v>
          </cell>
        </row>
        <row r="1712">
          <cell r="A1712" t="str">
            <v>UZII</v>
          </cell>
          <cell r="B1712">
            <v>356282</v>
          </cell>
          <cell r="C1712" t="str">
            <v>Чернівец.філ. ПриватБанку</v>
          </cell>
        </row>
        <row r="1713">
          <cell r="A1713" t="str">
            <v>UZIJ</v>
          </cell>
          <cell r="B1713">
            <v>356464</v>
          </cell>
          <cell r="C1713" t="str">
            <v>ЧОД "Райффайзен Банк Аваль"</v>
          </cell>
        </row>
        <row r="1714">
          <cell r="A1714" t="str">
            <v>UZIP</v>
          </cell>
          <cell r="B1714">
            <v>356505</v>
          </cell>
          <cell r="C1714" t="str">
            <v>ВАТКБ"Надра"Чернівецьке РУ</v>
          </cell>
        </row>
        <row r="1715">
          <cell r="A1715" t="str">
            <v>UZIQ</v>
          </cell>
          <cell r="B1715">
            <v>356293</v>
          </cell>
          <cell r="C1715" t="str">
            <v>Чернівец.ф.ТОВ"Укрпромбанк"</v>
          </cell>
        </row>
        <row r="1716">
          <cell r="A1716" t="str">
            <v>UZJG</v>
          </cell>
          <cell r="B1716">
            <v>356583</v>
          </cell>
          <cell r="C1716" t="str">
            <v>Чернівецька Ф ВАТ ВТБ Банк</v>
          </cell>
        </row>
        <row r="1717">
          <cell r="A1717" t="str">
            <v>UZJH</v>
          </cell>
          <cell r="B1717">
            <v>356000</v>
          </cell>
          <cell r="C1717" t="str">
            <v>ЧЕРНІВЕЦЬКФ АКБ "ІМЕКСБАНК"</v>
          </cell>
        </row>
        <row r="1718">
          <cell r="A1718" t="str">
            <v>UZJI</v>
          </cell>
          <cell r="B1718">
            <v>356561</v>
          </cell>
          <cell r="C1718" t="str">
            <v>Ф"ЧЕРНІВ.Д"АТ"ІНДЕКС-БАНК"</v>
          </cell>
        </row>
        <row r="1719">
          <cell r="A1719" t="str">
            <v>UZJJ</v>
          </cell>
          <cell r="B1719">
            <v>356516</v>
          </cell>
          <cell r="C1719" t="str">
            <v>Чернівецька Ф АКБ "Форум"</v>
          </cell>
        </row>
        <row r="1720">
          <cell r="A1720" t="str">
            <v>UZJK</v>
          </cell>
          <cell r="B1720">
            <v>356572</v>
          </cell>
          <cell r="C1720" t="str">
            <v>Чернівецька ф"Фортуна-банк"</v>
          </cell>
        </row>
        <row r="1721">
          <cell r="A1721" t="str">
            <v>UZJL</v>
          </cell>
          <cell r="B1721">
            <v>356657</v>
          </cell>
          <cell r="C1721" t="str">
            <v>Буковинська Ф "ВіЕйБіБанк"</v>
          </cell>
        </row>
        <row r="1722">
          <cell r="A1722" t="str">
            <v>UZLA</v>
          </cell>
          <cell r="B1722">
            <v>356334</v>
          </cell>
          <cell r="C1722" t="str">
            <v>ФЧернівецьке обласнеВАТОщад</v>
          </cell>
        </row>
        <row r="1723">
          <cell r="A1723" t="str">
            <v>UZLB</v>
          </cell>
          <cell r="B1723">
            <v>356345</v>
          </cell>
          <cell r="C1723" t="str">
            <v>ФВижницьке відділеннВАТОщад</v>
          </cell>
        </row>
        <row r="1724">
          <cell r="A1724" t="str">
            <v>UZLC</v>
          </cell>
          <cell r="B1724">
            <v>356356</v>
          </cell>
          <cell r="C1724" t="str">
            <v>ФГлибоцьке відділеннВАТОщад</v>
          </cell>
        </row>
        <row r="1725">
          <cell r="A1725" t="str">
            <v>UZLD</v>
          </cell>
          <cell r="B1725">
            <v>356367</v>
          </cell>
          <cell r="C1725" t="str">
            <v>ФЗаставнівське віддіВАТОщад</v>
          </cell>
        </row>
        <row r="1726">
          <cell r="A1726" t="str">
            <v>UZLE</v>
          </cell>
          <cell r="B1726">
            <v>356378</v>
          </cell>
          <cell r="C1726" t="str">
            <v>ФКельменецьке відділВАТОщад</v>
          </cell>
        </row>
        <row r="1727">
          <cell r="A1727" t="str">
            <v>UZLI</v>
          </cell>
          <cell r="B1727">
            <v>356419</v>
          </cell>
          <cell r="C1727" t="str">
            <v>ФСокирянське відділеВАТОщад</v>
          </cell>
        </row>
        <row r="1728">
          <cell r="A1728" t="str">
            <v>UZLJ</v>
          </cell>
          <cell r="B1728">
            <v>356420</v>
          </cell>
          <cell r="C1728" t="str">
            <v>ФСторожинецьке віддіВАТОщад</v>
          </cell>
        </row>
        <row r="1729">
          <cell r="A1729" t="str">
            <v>UZLK</v>
          </cell>
          <cell r="B1729">
            <v>356431</v>
          </cell>
          <cell r="C1729" t="str">
            <v>ФХотинське відділеннВАТОщад</v>
          </cell>
        </row>
        <row r="1730">
          <cell r="A1730" t="str">
            <v>UZQK</v>
          </cell>
          <cell r="B1730">
            <v>856135</v>
          </cell>
          <cell r="C1730" t="str">
            <v>ГУДК України у Чернівец.обл</v>
          </cell>
        </row>
        <row r="1731">
          <cell r="A1731" t="str">
            <v>UZW2</v>
          </cell>
          <cell r="B1731">
            <v>356323</v>
          </cell>
          <cell r="C1731" t="str">
            <v>Чернівецька обласна ФАТ"УФГ</v>
          </cell>
        </row>
        <row r="1736">
          <cell r="A1736" t="str">
            <v>MFO</v>
          </cell>
          <cell r="B1736" t="str">
            <v>GLMFO</v>
          </cell>
          <cell r="C1736" t="str">
            <v>NLF</v>
          </cell>
          <cell r="D1736" t="str">
            <v>GLB</v>
          </cell>
          <cell r="E1736" t="str">
            <v>PRKB</v>
          </cell>
          <cell r="F1736" t="str">
            <v>RC</v>
          </cell>
          <cell r="G1736" t="str">
            <v>PRB</v>
          </cell>
          <cell r="H1736" t="str">
            <v>KB</v>
          </cell>
          <cell r="I1736" t="str">
            <v>NB</v>
          </cell>
          <cell r="J1736" t="str">
            <v>KNB</v>
          </cell>
          <cell r="K1736" t="str">
            <v>NCKS</v>
          </cell>
          <cell r="L1736" t="str">
            <v>HCKS</v>
          </cell>
          <cell r="M1736" t="str">
            <v>KU</v>
          </cell>
          <cell r="N1736" t="str">
            <v>KO</v>
          </cell>
          <cell r="O1736" t="str">
            <v>OBLUPR</v>
          </cell>
        </row>
        <row r="1737">
          <cell r="A1737">
            <v>300001</v>
          </cell>
          <cell r="B1737">
            <v>300001</v>
          </cell>
          <cell r="C1737" t="str">
            <v>"НАЦІОНАЛЬНИЙ БАНК"</v>
          </cell>
          <cell r="D1737">
            <v>1</v>
          </cell>
          <cell r="E1737">
            <v>1</v>
          </cell>
          <cell r="F1737">
            <v>0</v>
          </cell>
          <cell r="G1737" t="str">
            <v>1</v>
          </cell>
          <cell r="H1737">
            <v>102</v>
          </cell>
          <cell r="I1737" t="str">
            <v>ОПЕРАЦІЙНЕ УПРАВЛІННЯ НБУ, М.КИЇВ</v>
          </cell>
          <cell r="J1737" t="str">
            <v>"НАЦІОНАЛЬНИЙ БАНК"</v>
          </cell>
          <cell r="K1737" t="str">
            <v>U1HA</v>
          </cell>
          <cell r="L1737" t="str">
            <v>U0H0</v>
          </cell>
          <cell r="M1737">
            <v>27</v>
          </cell>
          <cell r="N1737">
            <v>27</v>
          </cell>
          <cell r="O1737" t="str">
            <v>`НАЦІОНАЛЬНИЙ БАНК`  Київ</v>
          </cell>
        </row>
        <row r="1738">
          <cell r="A1738">
            <v>300012</v>
          </cell>
          <cell r="B1738">
            <v>300012</v>
          </cell>
          <cell r="C1738" t="str">
            <v>ПРОМІНВЕСТБАНК</v>
          </cell>
          <cell r="D1738">
            <v>3</v>
          </cell>
          <cell r="E1738">
            <v>3</v>
          </cell>
          <cell r="F1738">
            <v>0</v>
          </cell>
          <cell r="G1738" t="str">
            <v>3</v>
          </cell>
          <cell r="H1738">
            <v>347</v>
          </cell>
          <cell r="I1738" t="str">
            <v>АК ПРОМІНВЕСТБАНК (ЗАТ) У М.КИЄВІ</v>
          </cell>
          <cell r="J1738" t="str">
            <v>ПРОМІНВЕСТБАНК</v>
          </cell>
          <cell r="K1738" t="str">
            <v>U1AA</v>
          </cell>
          <cell r="L1738" t="str">
            <v>U0A0</v>
          </cell>
          <cell r="M1738">
            <v>26</v>
          </cell>
          <cell r="N1738">
            <v>26</v>
          </cell>
          <cell r="O1738" t="str">
            <v>ГУ НБУ по м.Києву і області</v>
          </cell>
        </row>
        <row r="1739">
          <cell r="A1739">
            <v>300023</v>
          </cell>
          <cell r="B1739">
            <v>300023</v>
          </cell>
          <cell r="C1739" t="str">
            <v>АКБ "УКРСОЦБАНК"</v>
          </cell>
          <cell r="D1739">
            <v>5</v>
          </cell>
          <cell r="E1739">
            <v>5</v>
          </cell>
          <cell r="F1739">
            <v>0</v>
          </cell>
          <cell r="G1739" t="str">
            <v>5</v>
          </cell>
          <cell r="H1739">
            <v>524</v>
          </cell>
          <cell r="I1739" t="str">
            <v>АКБ "УКРСОЦБАНК" У М. КИЄВІ</v>
          </cell>
          <cell r="J1739" t="str">
            <v>АКБ "УКРСОЦБАНК"</v>
          </cell>
          <cell r="K1739" t="str">
            <v>UICK</v>
          </cell>
          <cell r="L1739" t="str">
            <v>UICK</v>
          </cell>
          <cell r="M1739">
            <v>26</v>
          </cell>
          <cell r="N1739">
            <v>26</v>
          </cell>
          <cell r="O1739" t="str">
            <v>ГУ НБУ по м.Києву і області</v>
          </cell>
        </row>
        <row r="1740">
          <cell r="A1740">
            <v>300056</v>
          </cell>
          <cell r="B1740">
            <v>300056</v>
          </cell>
          <cell r="C1740" t="str">
            <v>АКБ "ЛЕГБАНК"</v>
          </cell>
          <cell r="D1740">
            <v>13</v>
          </cell>
          <cell r="E1740">
            <v>13</v>
          </cell>
          <cell r="F1740">
            <v>0</v>
          </cell>
          <cell r="G1740" t="str">
            <v>8</v>
          </cell>
          <cell r="H1740">
            <v>703</v>
          </cell>
          <cell r="I1740" t="str">
            <v>АКБ "ЛЕГБАНК" М.КИЇВ</v>
          </cell>
          <cell r="J1740" t="str">
            <v>АКБ "ЛЕГБАНК"</v>
          </cell>
          <cell r="K1740" t="str">
            <v>UIIC</v>
          </cell>
          <cell r="L1740" t="str">
            <v>UIIC</v>
          </cell>
          <cell r="M1740">
            <v>26</v>
          </cell>
          <cell r="N1740">
            <v>26</v>
          </cell>
          <cell r="O1740" t="str">
            <v>ГУ НБУ по м.Києву і області</v>
          </cell>
        </row>
        <row r="1741">
          <cell r="A1741">
            <v>300078</v>
          </cell>
          <cell r="B1741">
            <v>300078</v>
          </cell>
          <cell r="C1741" t="str">
            <v>"ГРАДОБАНК"</v>
          </cell>
          <cell r="D1741">
            <v>15</v>
          </cell>
          <cell r="E1741">
            <v>15</v>
          </cell>
          <cell r="F1741">
            <v>0</v>
          </cell>
          <cell r="G1741" t="str">
            <v>8</v>
          </cell>
          <cell r="H1741">
            <v>705</v>
          </cell>
          <cell r="I1741" t="str">
            <v>АТ  "ГРАДОБАНК" М.КИЇВ</v>
          </cell>
          <cell r="J1741" t="str">
            <v>"ГРАДОБАНК"</v>
          </cell>
          <cell r="K1741" t="str">
            <v>UIIE</v>
          </cell>
          <cell r="L1741" t="str">
            <v>UIIE</v>
          </cell>
          <cell r="M1741">
            <v>26</v>
          </cell>
          <cell r="N1741">
            <v>26</v>
          </cell>
          <cell r="O1741" t="str">
            <v>ГУ НБУ по м.Києву і області</v>
          </cell>
        </row>
        <row r="1742">
          <cell r="A1742">
            <v>300089</v>
          </cell>
          <cell r="B1742">
            <v>300089</v>
          </cell>
          <cell r="C1742" t="str">
            <v>АКБ  "ТРАНСБАНК"</v>
          </cell>
          <cell r="D1742">
            <v>26</v>
          </cell>
          <cell r="E1742">
            <v>26</v>
          </cell>
          <cell r="F1742">
            <v>0</v>
          </cell>
          <cell r="G1742" t="str">
            <v>8</v>
          </cell>
          <cell r="H1742">
            <v>719</v>
          </cell>
          <cell r="I1742" t="str">
            <v>АКБ  "ТРАНСБАНК"  М. КИЇВ</v>
          </cell>
          <cell r="J1742" t="str">
            <v>АКБ  "ТРАНСБАНК"</v>
          </cell>
          <cell r="K1742" t="str">
            <v>UIIN</v>
          </cell>
          <cell r="L1742" t="str">
            <v>UIIN</v>
          </cell>
          <cell r="M1742">
            <v>26</v>
          </cell>
          <cell r="N1742">
            <v>26</v>
          </cell>
          <cell r="O1742" t="str">
            <v>ГУ НБУ по м.Києву і області</v>
          </cell>
        </row>
        <row r="1743">
          <cell r="A1743">
            <v>300108</v>
          </cell>
          <cell r="B1743">
            <v>319092</v>
          </cell>
          <cell r="D1743">
            <v>0</v>
          </cell>
          <cell r="E1743">
            <v>280</v>
          </cell>
          <cell r="F1743">
            <v>0</v>
          </cell>
          <cell r="G1743" t="str">
            <v>B</v>
          </cell>
          <cell r="H1743">
            <v>201</v>
          </cell>
          <cell r="I1743" t="str">
            <v>КИЇВСЬКА Ф АБ"КИЇВСЬКА РУСЬ" М. КИЇВ</v>
          </cell>
          <cell r="J1743" t="str">
            <v>Київська ф-я АБКиївськаРусь</v>
          </cell>
          <cell r="K1743" t="str">
            <v>UIFA</v>
          </cell>
          <cell r="L1743" t="str">
            <v>UIFA</v>
          </cell>
          <cell r="M1743">
            <v>26</v>
          </cell>
          <cell r="N1743">
            <v>26</v>
          </cell>
          <cell r="O1743" t="str">
            <v>ГУ НБУ по м.Києву і області</v>
          </cell>
        </row>
        <row r="1744">
          <cell r="A1744">
            <v>300119</v>
          </cell>
          <cell r="B1744">
            <v>300119</v>
          </cell>
          <cell r="C1744" t="str">
            <v>АКБ "АЛЬЯНС"</v>
          </cell>
          <cell r="D1744">
            <v>29</v>
          </cell>
          <cell r="E1744">
            <v>29</v>
          </cell>
          <cell r="F1744">
            <v>0</v>
          </cell>
          <cell r="G1744" t="str">
            <v>8</v>
          </cell>
          <cell r="H1744">
            <v>722</v>
          </cell>
          <cell r="I1744" t="str">
            <v>АКБ "АЛЬЯНС" У М.КИЄВІ</v>
          </cell>
          <cell r="J1744" t="str">
            <v>АКБ "АЛЬЯНС"</v>
          </cell>
          <cell r="K1744" t="str">
            <v>UIIY</v>
          </cell>
          <cell r="L1744" t="str">
            <v>UIIY</v>
          </cell>
          <cell r="M1744">
            <v>26</v>
          </cell>
          <cell r="N1744">
            <v>26</v>
          </cell>
          <cell r="O1744" t="str">
            <v>ГУ НБУ по м.Києву і області</v>
          </cell>
        </row>
        <row r="1745">
          <cell r="A1745">
            <v>300120</v>
          </cell>
          <cell r="B1745">
            <v>300120</v>
          </cell>
          <cell r="C1745" t="str">
            <v>"БАНК ПЕТРОКОММЕРЦ-УКРАЇНА"</v>
          </cell>
          <cell r="D1745">
            <v>283</v>
          </cell>
          <cell r="E1745">
            <v>283</v>
          </cell>
          <cell r="F1745">
            <v>0</v>
          </cell>
          <cell r="G1745" t="str">
            <v>B</v>
          </cell>
          <cell r="H1745">
            <v>723</v>
          </cell>
          <cell r="I1745" t="str">
            <v>ЗАТ"БАНК ПЕТРОКОММЕРЦ-УКРАЇНА"УМ.КИЄВІ</v>
          </cell>
          <cell r="J1745" t="str">
            <v>"БАНК ПЕТРОКОММЕРЦ-УКРАЇНА"</v>
          </cell>
          <cell r="K1745" t="str">
            <v>UIIV</v>
          </cell>
          <cell r="L1745" t="str">
            <v>UIIV</v>
          </cell>
          <cell r="M1745">
            <v>26</v>
          </cell>
          <cell r="N1745">
            <v>26</v>
          </cell>
          <cell r="O1745" t="str">
            <v>ГУ НБУ по м.Києву і області</v>
          </cell>
        </row>
        <row r="1746">
          <cell r="A1746">
            <v>300131</v>
          </cell>
          <cell r="B1746">
            <v>300131</v>
          </cell>
          <cell r="C1746" t="str">
            <v>ВАТ"Банк"Фінанси та Кредит"</v>
          </cell>
          <cell r="D1746">
            <v>17</v>
          </cell>
          <cell r="E1746">
            <v>17</v>
          </cell>
          <cell r="F1746">
            <v>0</v>
          </cell>
          <cell r="G1746" t="str">
            <v>8</v>
          </cell>
          <cell r="H1746">
            <v>708</v>
          </cell>
          <cell r="I1746" t="str">
            <v>ВАТ"Банк"Фінанси та Кредит"</v>
          </cell>
          <cell r="J1746" t="str">
            <v>ВАТ"Банк"Фінанси та Кредит"</v>
          </cell>
          <cell r="K1746" t="str">
            <v>UIIH</v>
          </cell>
          <cell r="L1746" t="str">
            <v>UIIH</v>
          </cell>
          <cell r="M1746">
            <v>26</v>
          </cell>
          <cell r="N1746">
            <v>26</v>
          </cell>
          <cell r="O1746" t="str">
            <v>ГУ НБУ по м.Києву і області</v>
          </cell>
        </row>
        <row r="1747">
          <cell r="A1747">
            <v>300142</v>
          </cell>
          <cell r="B1747">
            <v>300142</v>
          </cell>
          <cell r="C1747" t="str">
            <v>АТ "УКРІНБАНК"</v>
          </cell>
          <cell r="D1747">
            <v>18</v>
          </cell>
          <cell r="E1747">
            <v>18</v>
          </cell>
          <cell r="F1747">
            <v>0</v>
          </cell>
          <cell r="G1747" t="str">
            <v>8</v>
          </cell>
          <cell r="H1747">
            <v>709</v>
          </cell>
          <cell r="I1747" t="str">
            <v>АТ "УКРІНБАНК" У М.КИЄВІ</v>
          </cell>
          <cell r="J1747" t="str">
            <v>АТ "УКРІНБАНК"</v>
          </cell>
          <cell r="K1747" t="str">
            <v>UIII</v>
          </cell>
          <cell r="L1747" t="str">
            <v>UIII</v>
          </cell>
          <cell r="M1747">
            <v>26</v>
          </cell>
          <cell r="N1747">
            <v>26</v>
          </cell>
          <cell r="O1747" t="str">
            <v>ГУ НБУ по м.Києву і області</v>
          </cell>
        </row>
        <row r="1748">
          <cell r="A1748">
            <v>300164</v>
          </cell>
          <cell r="B1748">
            <v>300164</v>
          </cell>
          <cell r="C1748" t="str">
            <v>ВАТ "СВЕДБАНК"</v>
          </cell>
          <cell r="D1748">
            <v>11</v>
          </cell>
          <cell r="E1748">
            <v>11</v>
          </cell>
          <cell r="F1748">
            <v>0</v>
          </cell>
          <cell r="G1748" t="str">
            <v>B</v>
          </cell>
          <cell r="H1748">
            <v>701</v>
          </cell>
          <cell r="I1748" t="str">
            <v>ВАТ "СВЕДБАНК" У М.КИЄВІ</v>
          </cell>
          <cell r="J1748" t="str">
            <v>ВАТ "СВЕДБАНК"</v>
          </cell>
          <cell r="K1748" t="str">
            <v>UIIA</v>
          </cell>
          <cell r="L1748" t="str">
            <v>UIIA</v>
          </cell>
          <cell r="M1748">
            <v>26</v>
          </cell>
          <cell r="N1748">
            <v>26</v>
          </cell>
          <cell r="O1748" t="str">
            <v>ГУ НБУ по м.Києву і області</v>
          </cell>
        </row>
        <row r="1749">
          <cell r="A1749">
            <v>300175</v>
          </cell>
          <cell r="B1749">
            <v>300175</v>
          </cell>
          <cell r="C1749" t="str">
            <v>ВАТ "СЕБ Банк"</v>
          </cell>
          <cell r="D1749">
            <v>22</v>
          </cell>
          <cell r="E1749">
            <v>22</v>
          </cell>
          <cell r="F1749">
            <v>0</v>
          </cell>
          <cell r="G1749" t="str">
            <v>B</v>
          </cell>
          <cell r="H1749">
            <v>715</v>
          </cell>
          <cell r="I1749" t="str">
            <v>ВАТ "СЕБ БАНК", М.КИЇВ</v>
          </cell>
          <cell r="J1749" t="str">
            <v>ВАТ "СЕБ Банк"</v>
          </cell>
          <cell r="K1749" t="str">
            <v>UIIO</v>
          </cell>
          <cell r="L1749" t="str">
            <v>UIIO</v>
          </cell>
          <cell r="M1749">
            <v>26</v>
          </cell>
          <cell r="N1749">
            <v>26</v>
          </cell>
          <cell r="O1749" t="str">
            <v>ГУ НБУ по м.Києву і області</v>
          </cell>
        </row>
        <row r="1750">
          <cell r="A1750">
            <v>300205</v>
          </cell>
          <cell r="B1750">
            <v>300205</v>
          </cell>
          <cell r="C1750" t="str">
            <v>ВАТ "УПБ"</v>
          </cell>
          <cell r="D1750">
            <v>34</v>
          </cell>
          <cell r="E1750">
            <v>34</v>
          </cell>
          <cell r="F1750">
            <v>0</v>
          </cell>
          <cell r="G1750" t="str">
            <v>8</v>
          </cell>
          <cell r="H1750">
            <v>728</v>
          </cell>
          <cell r="I1750" t="str">
            <v>ВАТ"УКРАЇНСЬКИЙ ПРОФЕСІЙНИЙ БАНК" КИЇВ</v>
          </cell>
          <cell r="J1750" t="str">
            <v>ВАТ "УПБ"</v>
          </cell>
          <cell r="K1750" t="str">
            <v>UIJC</v>
          </cell>
          <cell r="L1750" t="str">
            <v>UIJC</v>
          </cell>
          <cell r="M1750">
            <v>26</v>
          </cell>
          <cell r="N1750">
            <v>26</v>
          </cell>
          <cell r="O1750" t="str">
            <v>ГУ НБУ по м.Києву і області</v>
          </cell>
        </row>
        <row r="1751">
          <cell r="A1751">
            <v>300216</v>
          </cell>
          <cell r="B1751">
            <v>300216</v>
          </cell>
          <cell r="C1751" t="str">
            <v>ВАТ КБ "ІНТЕРБАНК"</v>
          </cell>
          <cell r="D1751">
            <v>35</v>
          </cell>
          <cell r="E1751">
            <v>35</v>
          </cell>
          <cell r="F1751">
            <v>0</v>
          </cell>
          <cell r="G1751" t="str">
            <v>8</v>
          </cell>
          <cell r="H1751">
            <v>729</v>
          </cell>
          <cell r="I1751" t="str">
            <v>ВАТ КБ "ІНТЕРБАНК" У М.КИЄВІ</v>
          </cell>
          <cell r="J1751" t="str">
            <v>ВАТ КБ "ІНТЕРБАНК"</v>
          </cell>
          <cell r="K1751" t="str">
            <v>UIJD</v>
          </cell>
          <cell r="L1751" t="str">
            <v>UIJD</v>
          </cell>
          <cell r="M1751">
            <v>26</v>
          </cell>
          <cell r="N1751">
            <v>26</v>
          </cell>
          <cell r="O1751" t="str">
            <v>ГУ НБУ по м.Києву і області</v>
          </cell>
        </row>
        <row r="1752">
          <cell r="A1752">
            <v>300238</v>
          </cell>
          <cell r="B1752">
            <v>351931</v>
          </cell>
          <cell r="D1752">
            <v>0</v>
          </cell>
          <cell r="E1752">
            <v>209</v>
          </cell>
          <cell r="F1752">
            <v>0</v>
          </cell>
          <cell r="G1752" t="str">
            <v>8</v>
          </cell>
          <cell r="H1752">
            <v>936</v>
          </cell>
          <cell r="I1752" t="str">
            <v>ФІЛІЯ АКБ "ЗОЛОТІ ВОРОТА" У М. КИЄВІ</v>
          </cell>
          <cell r="J1752" t="str">
            <v>ФАКБ "ЗОЛОТІ ВОРОТА" М.КИЇВ</v>
          </cell>
          <cell r="K1752" t="str">
            <v>UINK</v>
          </cell>
          <cell r="L1752" t="str">
            <v>UINK</v>
          </cell>
          <cell r="M1752">
            <v>26</v>
          </cell>
          <cell r="N1752">
            <v>20</v>
          </cell>
          <cell r="O1752" t="str">
            <v>ГУ НБУ по м.Києву і області</v>
          </cell>
        </row>
        <row r="1753">
          <cell r="A1753">
            <v>300249</v>
          </cell>
          <cell r="B1753">
            <v>300249</v>
          </cell>
          <cell r="C1753" t="str">
            <v>АБ "БРОКБІЗНЕСБАНК"</v>
          </cell>
          <cell r="D1753">
            <v>37</v>
          </cell>
          <cell r="E1753">
            <v>37</v>
          </cell>
          <cell r="F1753">
            <v>0</v>
          </cell>
          <cell r="G1753" t="str">
            <v>8</v>
          </cell>
          <cell r="H1753">
            <v>735</v>
          </cell>
          <cell r="I1753" t="str">
            <v>АБ"БРОКБІЗНЕСБАНК" У М.КИЄВІ</v>
          </cell>
          <cell r="J1753" t="str">
            <v>АБ "БРОКБІЗНЕСБАНК"</v>
          </cell>
          <cell r="K1753" t="str">
            <v>UIIR</v>
          </cell>
          <cell r="L1753" t="str">
            <v>UIIR</v>
          </cell>
          <cell r="M1753">
            <v>26</v>
          </cell>
          <cell r="N1753">
            <v>26</v>
          </cell>
          <cell r="O1753" t="str">
            <v>ГУ НБУ по м.Києву і області</v>
          </cell>
        </row>
        <row r="1754">
          <cell r="A1754">
            <v>300250</v>
          </cell>
          <cell r="B1754">
            <v>300142</v>
          </cell>
          <cell r="D1754">
            <v>0</v>
          </cell>
          <cell r="E1754">
            <v>18</v>
          </cell>
          <cell r="F1754">
            <v>0</v>
          </cell>
          <cell r="G1754" t="str">
            <v>8</v>
          </cell>
          <cell r="H1754">
            <v>736</v>
          </cell>
          <cell r="I1754" t="str">
            <v>КИЇВСЬКА ФАТ"УКРІНБАНК" М.КИЇВ</v>
          </cell>
          <cell r="J1754" t="str">
            <v>Київська ФАТ"Укрінбанк"</v>
          </cell>
          <cell r="K1754" t="str">
            <v>UIIJ</v>
          </cell>
          <cell r="L1754" t="str">
            <v>UIIJ</v>
          </cell>
          <cell r="M1754">
            <v>26</v>
          </cell>
          <cell r="N1754">
            <v>26</v>
          </cell>
          <cell r="O1754" t="str">
            <v>ГУ НБУ по м.Києву і області</v>
          </cell>
        </row>
        <row r="1755">
          <cell r="A1755">
            <v>300272</v>
          </cell>
          <cell r="B1755">
            <v>300272</v>
          </cell>
          <cell r="C1755" t="str">
            <v>АБ "ЕНЕРГОБАНК"</v>
          </cell>
          <cell r="D1755">
            <v>31</v>
          </cell>
          <cell r="E1755">
            <v>31</v>
          </cell>
          <cell r="F1755">
            <v>0</v>
          </cell>
          <cell r="G1755" t="str">
            <v>B</v>
          </cell>
          <cell r="H1755">
            <v>725</v>
          </cell>
          <cell r="I1755" t="str">
            <v>АБ "ЕНЕРГОБАНК" У М.КИЄВІ</v>
          </cell>
          <cell r="J1755" t="str">
            <v>АБ "ЕНЕРГОБАНК"</v>
          </cell>
          <cell r="K1755" t="str">
            <v>UIIT</v>
          </cell>
          <cell r="L1755" t="str">
            <v>UIIT</v>
          </cell>
          <cell r="M1755">
            <v>26</v>
          </cell>
          <cell r="N1755">
            <v>26</v>
          </cell>
          <cell r="O1755" t="str">
            <v>ГУ НБУ по м.Києву і області</v>
          </cell>
        </row>
        <row r="1756">
          <cell r="A1756">
            <v>300302</v>
          </cell>
          <cell r="B1756">
            <v>300001</v>
          </cell>
          <cell r="D1756">
            <v>0</v>
          </cell>
          <cell r="E1756">
            <v>1</v>
          </cell>
          <cell r="F1756">
            <v>0</v>
          </cell>
          <cell r="G1756" t="str">
            <v>1</v>
          </cell>
          <cell r="H1756">
            <v>103</v>
          </cell>
          <cell r="I1756" t="str">
            <v>ЦЕНТРАЛЬНЕ СХОВИЩЕ НБУ</v>
          </cell>
          <cell r="J1756" t="str">
            <v>Центральне сховище НБУ</v>
          </cell>
          <cell r="K1756" t="str">
            <v>U1HB</v>
          </cell>
          <cell r="L1756" t="str">
            <v>U1HB</v>
          </cell>
          <cell r="M1756">
            <v>28</v>
          </cell>
          <cell r="N1756">
            <v>27</v>
          </cell>
        </row>
        <row r="1757">
          <cell r="A1757">
            <v>300313</v>
          </cell>
          <cell r="B1757">
            <v>300313</v>
          </cell>
          <cell r="C1757" t="str">
            <v>АКБ "ІНТЕРКОНТИНЕНТБАНК"</v>
          </cell>
          <cell r="D1757">
            <v>40</v>
          </cell>
          <cell r="E1757">
            <v>40</v>
          </cell>
          <cell r="F1757">
            <v>0</v>
          </cell>
          <cell r="G1757" t="str">
            <v>8</v>
          </cell>
          <cell r="H1757">
            <v>742</v>
          </cell>
          <cell r="I1757" t="str">
            <v>АКБ "ІНТЕРКОНТИНЕНТБАНК" У М.КИЄВІ</v>
          </cell>
          <cell r="J1757" t="str">
            <v>АКБ "ІНТЕРКОНТИНЕНТБАНК"</v>
          </cell>
          <cell r="K1757" t="str">
            <v>UIJH</v>
          </cell>
          <cell r="L1757" t="str">
            <v>UIJH</v>
          </cell>
          <cell r="M1757">
            <v>26</v>
          </cell>
          <cell r="N1757">
            <v>26</v>
          </cell>
          <cell r="O1757" t="str">
            <v>ГУ НБУ по м.Києву і області</v>
          </cell>
        </row>
        <row r="1758">
          <cell r="A1758">
            <v>300335</v>
          </cell>
          <cell r="B1758">
            <v>300335</v>
          </cell>
          <cell r="C1758" t="str">
            <v>"Райффайзен Банк Аваль"</v>
          </cell>
          <cell r="D1758">
            <v>36</v>
          </cell>
          <cell r="E1758">
            <v>36</v>
          </cell>
          <cell r="F1758">
            <v>0</v>
          </cell>
          <cell r="G1758" t="str">
            <v>7</v>
          </cell>
          <cell r="H1758">
            <v>731</v>
          </cell>
          <cell r="I1758" t="str">
            <v>"РАЙФФАЙЗЕН БАНК АВАЛЬ", М.КИЇВ</v>
          </cell>
          <cell r="J1758" t="str">
            <v>"Райффайзен Банк Аваль"</v>
          </cell>
          <cell r="K1758" t="str">
            <v>UIJB</v>
          </cell>
          <cell r="L1758" t="str">
            <v>UIJB</v>
          </cell>
          <cell r="M1758">
            <v>26</v>
          </cell>
          <cell r="N1758">
            <v>26</v>
          </cell>
          <cell r="O1758" t="str">
            <v>ГУ НБУ по м.Києву і області</v>
          </cell>
        </row>
        <row r="1759">
          <cell r="A1759">
            <v>300346</v>
          </cell>
          <cell r="B1759">
            <v>300346</v>
          </cell>
          <cell r="C1759" t="str">
            <v>ЗАТ "АЛЬФА-БАНК"</v>
          </cell>
          <cell r="D1759">
            <v>272</v>
          </cell>
          <cell r="E1759">
            <v>272</v>
          </cell>
          <cell r="F1759">
            <v>0</v>
          </cell>
          <cell r="G1759" t="str">
            <v>B</v>
          </cell>
          <cell r="H1759">
            <v>862</v>
          </cell>
          <cell r="I1759" t="str">
            <v>ЗАТ "АЛЬФА-БАНК" У М.КИЄВІ</v>
          </cell>
          <cell r="J1759" t="str">
            <v>ЗАТ "АЛЬФА-БАНК"</v>
          </cell>
          <cell r="K1759" t="str">
            <v>UIZT</v>
          </cell>
          <cell r="L1759" t="str">
            <v>UIZT</v>
          </cell>
          <cell r="M1759">
            <v>26</v>
          </cell>
          <cell r="N1759">
            <v>26</v>
          </cell>
          <cell r="O1759" t="str">
            <v>ГУ НБУ по м.Києву і області</v>
          </cell>
        </row>
        <row r="1760">
          <cell r="A1760">
            <v>300379</v>
          </cell>
          <cell r="B1760">
            <v>300379</v>
          </cell>
          <cell r="C1760" t="str">
            <v>АТ "Каліон Банк Україна"</v>
          </cell>
          <cell r="D1760">
            <v>234</v>
          </cell>
          <cell r="E1760">
            <v>234</v>
          </cell>
          <cell r="F1760">
            <v>0</v>
          </cell>
          <cell r="G1760" t="str">
            <v>9</v>
          </cell>
          <cell r="H1760">
            <v>878</v>
          </cell>
          <cell r="I1760" t="str">
            <v>АТ "КАЛІОH БАНК УКРАЇНА" У М.КИЄВІ</v>
          </cell>
          <cell r="J1760" t="str">
            <v>АТ "Каліон Банк Україна"</v>
          </cell>
          <cell r="K1760" t="str">
            <v>UISG</v>
          </cell>
          <cell r="L1760" t="str">
            <v>UISG</v>
          </cell>
          <cell r="M1760">
            <v>26</v>
          </cell>
          <cell r="N1760">
            <v>26</v>
          </cell>
          <cell r="O1760" t="str">
            <v>ГУ НБУ по м.Києву і області</v>
          </cell>
        </row>
        <row r="1761">
          <cell r="A1761">
            <v>300380</v>
          </cell>
          <cell r="B1761">
            <v>300012</v>
          </cell>
          <cell r="D1761">
            <v>0</v>
          </cell>
          <cell r="E1761">
            <v>3</v>
          </cell>
          <cell r="F1761">
            <v>0</v>
          </cell>
          <cell r="G1761" t="str">
            <v>3</v>
          </cell>
          <cell r="H1761">
            <v>303</v>
          </cell>
          <cell r="I1761" t="str">
            <v>ЦЕНТРАЛЬНА РП  ПІБ, М.КИЇВ</v>
          </cell>
          <cell r="J1761" t="str">
            <v>ЦЕНТРАЛЬНА РП ПІБ, М.КИЇВ</v>
          </cell>
          <cell r="K1761" t="str">
            <v>U1AB</v>
          </cell>
          <cell r="L1761" t="str">
            <v>U1AB</v>
          </cell>
          <cell r="M1761">
            <v>26</v>
          </cell>
          <cell r="N1761">
            <v>26</v>
          </cell>
          <cell r="O1761" t="str">
            <v>ГУ НБУ по м.Києву і області</v>
          </cell>
        </row>
        <row r="1762">
          <cell r="A1762">
            <v>300410</v>
          </cell>
          <cell r="B1762">
            <v>300410</v>
          </cell>
          <cell r="C1762" t="str">
            <v>ЛІКВІДАТОР БАНКУ "УКРАЇНА"</v>
          </cell>
          <cell r="D1762">
            <v>4</v>
          </cell>
          <cell r="E1762">
            <v>4</v>
          </cell>
          <cell r="F1762">
            <v>0</v>
          </cell>
          <cell r="G1762" t="str">
            <v>4</v>
          </cell>
          <cell r="H1762">
            <v>446</v>
          </cell>
          <cell r="I1762" t="str">
            <v>ЛІКВІДАТОР БАНКУ "УКРАЇНА"</v>
          </cell>
          <cell r="J1762" t="str">
            <v>ЛІКВІДАТОР БАНКУ "УКРАЇНА"</v>
          </cell>
          <cell r="K1762" t="str">
            <v>UIEG</v>
          </cell>
          <cell r="L1762" t="str">
            <v>UIEG</v>
          </cell>
          <cell r="M1762">
            <v>27</v>
          </cell>
          <cell r="N1762">
            <v>27</v>
          </cell>
          <cell r="O1762" t="str">
            <v>`НАЦІОНАЛЬНИЙ БАНК`  Київ</v>
          </cell>
        </row>
        <row r="1763">
          <cell r="A1763">
            <v>300421</v>
          </cell>
          <cell r="B1763">
            <v>300421</v>
          </cell>
          <cell r="C1763" t="str">
            <v>"ВІДРОДЖЕННЯ"</v>
          </cell>
          <cell r="D1763">
            <v>28</v>
          </cell>
          <cell r="E1763">
            <v>28</v>
          </cell>
          <cell r="F1763">
            <v>0</v>
          </cell>
          <cell r="G1763" t="str">
            <v>8</v>
          </cell>
          <cell r="H1763">
            <v>740</v>
          </cell>
          <cell r="I1763" t="str">
            <v>УКРАЇНСЬКИЙ  КБ "ВІДРОДЖЕННЯ" М.КИЇВ</v>
          </cell>
          <cell r="J1763" t="str">
            <v>"ВІДРОДЖЕННЯ"</v>
          </cell>
          <cell r="K1763" t="str">
            <v>UIJF</v>
          </cell>
          <cell r="L1763" t="str">
            <v>UIJF</v>
          </cell>
          <cell r="M1763">
            <v>26</v>
          </cell>
          <cell r="N1763">
            <v>26</v>
          </cell>
          <cell r="O1763" t="str">
            <v>ГУ НБУ по м.Києву і області</v>
          </cell>
        </row>
        <row r="1764">
          <cell r="A1764">
            <v>300465</v>
          </cell>
          <cell r="B1764">
            <v>300465</v>
          </cell>
          <cell r="C1764" t="str">
            <v>ВАТ "ОЩАДБАНК"</v>
          </cell>
          <cell r="D1764">
            <v>6</v>
          </cell>
          <cell r="E1764">
            <v>6</v>
          </cell>
          <cell r="F1764">
            <v>0</v>
          </cell>
          <cell r="G1764" t="str">
            <v>6</v>
          </cell>
          <cell r="H1764">
            <v>614</v>
          </cell>
          <cell r="I1764" t="str">
            <v>ВАТ "ОЩАДБАНК" В М.КИЄВІ</v>
          </cell>
          <cell r="J1764" t="str">
            <v>ВАТ "ОЩАДБАНК"</v>
          </cell>
          <cell r="K1764" t="str">
            <v>UILP</v>
          </cell>
          <cell r="L1764" t="str">
            <v>UILP</v>
          </cell>
          <cell r="M1764">
            <v>26</v>
          </cell>
          <cell r="N1764">
            <v>26</v>
          </cell>
          <cell r="O1764" t="str">
            <v>ГУ НБУ по м.Києву і області</v>
          </cell>
        </row>
        <row r="1765">
          <cell r="A1765">
            <v>300498</v>
          </cell>
          <cell r="B1765">
            <v>300498</v>
          </cell>
          <cell r="C1765" t="str">
            <v>АБ "НАЦІОНАЛЬНІ ІНВЕСТИЦІЇ"</v>
          </cell>
          <cell r="D1765">
            <v>227</v>
          </cell>
          <cell r="E1765">
            <v>227</v>
          </cell>
          <cell r="F1765">
            <v>0</v>
          </cell>
          <cell r="G1765" t="str">
            <v>8</v>
          </cell>
          <cell r="H1765">
            <v>907</v>
          </cell>
          <cell r="I1765" t="str">
            <v>АБ "НАЦІОНАЛЬНІ ІНВЕСТИЦІЇ" У М.КИЄВІ</v>
          </cell>
          <cell r="J1765" t="str">
            <v>АБ "НАЦІОНАЛЬНІ ІНВЕСТИЦІЇ"</v>
          </cell>
          <cell r="K1765" t="str">
            <v>UIWA</v>
          </cell>
          <cell r="L1765" t="str">
            <v>UIWA</v>
          </cell>
          <cell r="M1765">
            <v>26</v>
          </cell>
          <cell r="N1765">
            <v>26</v>
          </cell>
          <cell r="O1765" t="str">
            <v>ГУ НБУ по м.Києву і області</v>
          </cell>
        </row>
        <row r="1766">
          <cell r="A1766">
            <v>300506</v>
          </cell>
          <cell r="B1766">
            <v>300506</v>
          </cell>
          <cell r="C1766" t="str">
            <v>"ПЕРШИЙ ІНВЕСТИЦІЙНИЙ БАНК"</v>
          </cell>
          <cell r="D1766">
            <v>290</v>
          </cell>
          <cell r="E1766">
            <v>290</v>
          </cell>
          <cell r="F1766">
            <v>0</v>
          </cell>
          <cell r="G1766" t="str">
            <v>8</v>
          </cell>
          <cell r="H1766">
            <v>761</v>
          </cell>
          <cell r="I1766" t="str">
            <v>ВАТ"ПЕРШИЙ ІНВЕСТИЦІЙНИЙ БАНК"УМ.КИЄВІ</v>
          </cell>
          <cell r="J1766" t="str">
            <v>"ПЕРШИЙ ІНВЕСТИЦІЙНИЙ БАНК"</v>
          </cell>
          <cell r="K1766" t="str">
            <v>UIST</v>
          </cell>
          <cell r="L1766" t="str">
            <v>UIST</v>
          </cell>
          <cell r="M1766">
            <v>26</v>
          </cell>
          <cell r="N1766">
            <v>26</v>
          </cell>
          <cell r="O1766" t="str">
            <v>ГУ НБУ по м.Києву і області</v>
          </cell>
        </row>
        <row r="1767">
          <cell r="A1767">
            <v>300528</v>
          </cell>
          <cell r="B1767">
            <v>300528</v>
          </cell>
          <cell r="C1767" t="str">
            <v>ЗАТ "ОТП Банк"</v>
          </cell>
          <cell r="D1767">
            <v>296</v>
          </cell>
          <cell r="E1767">
            <v>296</v>
          </cell>
          <cell r="F1767">
            <v>0</v>
          </cell>
          <cell r="G1767" t="str">
            <v>F</v>
          </cell>
          <cell r="H1767">
            <v>910</v>
          </cell>
          <cell r="I1767" t="str">
            <v>ЗАТ "ОТП БАНК", М.КИЇВ</v>
          </cell>
          <cell r="J1767" t="str">
            <v>ЗАТ "ОТП Банк"</v>
          </cell>
          <cell r="K1767" t="str">
            <v>UIWJ</v>
          </cell>
          <cell r="L1767" t="str">
            <v>UIWJ</v>
          </cell>
          <cell r="M1767">
            <v>26</v>
          </cell>
          <cell r="N1767">
            <v>26</v>
          </cell>
          <cell r="O1767" t="str">
            <v>ГУ НБУ по м.Києву і області</v>
          </cell>
        </row>
        <row r="1768">
          <cell r="A1768">
            <v>300539</v>
          </cell>
          <cell r="B1768">
            <v>300539</v>
          </cell>
          <cell r="C1768" t="str">
            <v>АБ "ІНГ БАНК УКРАЇНА"</v>
          </cell>
          <cell r="D1768">
            <v>295</v>
          </cell>
          <cell r="E1768">
            <v>295</v>
          </cell>
          <cell r="F1768">
            <v>0</v>
          </cell>
          <cell r="G1768" t="str">
            <v>9</v>
          </cell>
          <cell r="H1768">
            <v>908</v>
          </cell>
          <cell r="I1768" t="str">
            <v>АБ "ІНГ БАНК УКРАЇНА" У М.КИЄВІ</v>
          </cell>
          <cell r="J1768" t="str">
            <v>АБ "ІНГ БАНК УКРАЇНА"</v>
          </cell>
          <cell r="K1768" t="str">
            <v>UIWG</v>
          </cell>
          <cell r="L1768" t="str">
            <v>UIWG</v>
          </cell>
          <cell r="M1768">
            <v>26</v>
          </cell>
          <cell r="N1768">
            <v>26</v>
          </cell>
          <cell r="O1768" t="str">
            <v>ГУ НБУ по м.Києву і області</v>
          </cell>
        </row>
        <row r="1769">
          <cell r="A1769">
            <v>300540</v>
          </cell>
          <cell r="B1769">
            <v>300540</v>
          </cell>
          <cell r="C1769" t="str">
            <v>АБ "БРР"</v>
          </cell>
          <cell r="D1769">
            <v>87</v>
          </cell>
          <cell r="E1769">
            <v>87</v>
          </cell>
          <cell r="F1769">
            <v>0</v>
          </cell>
          <cell r="G1769" t="str">
            <v>8</v>
          </cell>
          <cell r="H1769">
            <v>909</v>
          </cell>
          <cell r="I1769" t="str">
            <v>АБ"БАНК РЕГІОНАЛЬНОГО РОЗВИТКУ",М.КИЇВ</v>
          </cell>
          <cell r="J1769" t="str">
            <v>АБ "БРР"</v>
          </cell>
          <cell r="K1769" t="str">
            <v>UIWH</v>
          </cell>
          <cell r="L1769" t="str">
            <v>UIWH</v>
          </cell>
          <cell r="M1769">
            <v>26</v>
          </cell>
          <cell r="N1769">
            <v>26</v>
          </cell>
          <cell r="O1769" t="str">
            <v>ГУ НБУ по м.Києву і області</v>
          </cell>
        </row>
        <row r="1770">
          <cell r="A1770">
            <v>300584</v>
          </cell>
          <cell r="B1770">
            <v>300584</v>
          </cell>
          <cell r="C1770" t="str">
            <v>АКБ "СІТІБАНК" (УКРАЇНА)</v>
          </cell>
          <cell r="D1770">
            <v>297</v>
          </cell>
          <cell r="E1770">
            <v>297</v>
          </cell>
          <cell r="F1770">
            <v>0</v>
          </cell>
          <cell r="G1770" t="str">
            <v>9</v>
          </cell>
          <cell r="H1770">
            <v>916</v>
          </cell>
          <cell r="I1770" t="str">
            <v>АКБ "СІТІБАНК" (УКРАЇНА) У М.КИЄВІ</v>
          </cell>
          <cell r="J1770" t="str">
            <v>АКБ "СІТІБАНК" (УКРАЇНА)</v>
          </cell>
          <cell r="K1770" t="str">
            <v>UIWI</v>
          </cell>
          <cell r="L1770" t="str">
            <v>UIWI</v>
          </cell>
          <cell r="M1770">
            <v>26</v>
          </cell>
          <cell r="N1770">
            <v>26</v>
          </cell>
          <cell r="O1770" t="str">
            <v>ГУ НБУ по м.Києву і області</v>
          </cell>
        </row>
        <row r="1771">
          <cell r="A1771">
            <v>300603</v>
          </cell>
          <cell r="B1771">
            <v>300410</v>
          </cell>
          <cell r="D1771">
            <v>0</v>
          </cell>
          <cell r="E1771">
            <v>4</v>
          </cell>
          <cell r="F1771">
            <v>0</v>
          </cell>
          <cell r="G1771" t="str">
            <v>4</v>
          </cell>
          <cell r="H1771">
            <v>407</v>
          </cell>
          <cell r="I1771" t="str">
            <v>ЛІКВІДАТОР ГОУ БАНКУ "УКРАЇНА", М.КИЇВ</v>
          </cell>
          <cell r="J1771" t="str">
            <v>Ліквідатор ГОУ банку"УКРАЇН</v>
          </cell>
          <cell r="K1771" t="str">
            <v>UIED</v>
          </cell>
          <cell r="L1771" t="str">
            <v>UIED</v>
          </cell>
          <cell r="M1771">
            <v>27</v>
          </cell>
          <cell r="N1771">
            <v>27</v>
          </cell>
          <cell r="O1771" t="str">
            <v>`НАЦІОНАЛЬНИЙ БАНК`  Київ</v>
          </cell>
        </row>
        <row r="1772">
          <cell r="A1772">
            <v>300614</v>
          </cell>
          <cell r="B1772">
            <v>300614</v>
          </cell>
          <cell r="C1772" t="str">
            <v>"ІНДЕКС-БАНК"</v>
          </cell>
          <cell r="D1772">
            <v>171</v>
          </cell>
          <cell r="E1772">
            <v>171</v>
          </cell>
          <cell r="F1772">
            <v>0</v>
          </cell>
          <cell r="G1772" t="str">
            <v>8</v>
          </cell>
          <cell r="H1772">
            <v>929</v>
          </cell>
          <cell r="I1772" t="str">
            <v>АТ "ІНДЕКС-БАНК" У М.КИЄВІ</v>
          </cell>
          <cell r="J1772" t="str">
            <v>"ІНДЕКС-БАНК"</v>
          </cell>
          <cell r="K1772" t="str">
            <v>UIWZ</v>
          </cell>
          <cell r="L1772" t="str">
            <v>UIWZ</v>
          </cell>
          <cell r="M1772">
            <v>26</v>
          </cell>
          <cell r="N1772">
            <v>26</v>
          </cell>
          <cell r="O1772" t="str">
            <v>ГУ НБУ по м.Києву і області</v>
          </cell>
        </row>
        <row r="1773">
          <cell r="A1773">
            <v>300636</v>
          </cell>
          <cell r="B1773">
            <v>320702</v>
          </cell>
          <cell r="D1773">
            <v>0</v>
          </cell>
          <cell r="E1773">
            <v>277</v>
          </cell>
          <cell r="F1773">
            <v>0</v>
          </cell>
          <cell r="G1773" t="str">
            <v>8</v>
          </cell>
          <cell r="H1773">
            <v>918</v>
          </cell>
          <cell r="I1773" t="str">
            <v>РОЗРАХ.ПАЛАТА АКБ"НАЦІОНАЛЬНИЙ КРЕДИТ"</v>
          </cell>
          <cell r="J1773" t="str">
            <v>АКБ"НАЦІОНАЛЬНИЙ КРЕДИТ",РП</v>
          </cell>
          <cell r="K1773" t="str">
            <v>UIWO</v>
          </cell>
          <cell r="L1773" t="str">
            <v>UIWO</v>
          </cell>
          <cell r="M1773">
            <v>26</v>
          </cell>
          <cell r="N1773">
            <v>26</v>
          </cell>
          <cell r="O1773" t="str">
            <v>ГУ НБУ по м.Києву і області</v>
          </cell>
        </row>
        <row r="1774">
          <cell r="A1774">
            <v>300647</v>
          </cell>
          <cell r="B1774">
            <v>300647</v>
          </cell>
          <cell r="C1774" t="str">
            <v>АБ "КЛІРИНГОВИЙ ДІМ"</v>
          </cell>
          <cell r="D1774">
            <v>288</v>
          </cell>
          <cell r="E1774">
            <v>288</v>
          </cell>
          <cell r="F1774">
            <v>0</v>
          </cell>
          <cell r="G1774" t="str">
            <v>8</v>
          </cell>
          <cell r="H1774">
            <v>704</v>
          </cell>
          <cell r="I1774" t="str">
            <v>АБ "КЛІРИНГОВИЙ ДІМ" У М.КИЄВІ</v>
          </cell>
          <cell r="J1774" t="str">
            <v>АБ "КЛІРИНГОВИЙ ДІМ"</v>
          </cell>
          <cell r="K1774" t="str">
            <v>UINE</v>
          </cell>
          <cell r="L1774" t="str">
            <v>UINE</v>
          </cell>
          <cell r="M1774">
            <v>26</v>
          </cell>
          <cell r="N1774">
            <v>26</v>
          </cell>
          <cell r="O1774" t="str">
            <v>ГУ НБУ по м.Києву і області</v>
          </cell>
        </row>
        <row r="1775">
          <cell r="A1775">
            <v>300658</v>
          </cell>
          <cell r="B1775">
            <v>300658</v>
          </cell>
          <cell r="C1775" t="str">
            <v>ВАТ "ПІРЕУС БАНК МКБ"</v>
          </cell>
          <cell r="D1775">
            <v>251</v>
          </cell>
          <cell r="E1775">
            <v>251</v>
          </cell>
          <cell r="F1775">
            <v>0</v>
          </cell>
          <cell r="G1775" t="str">
            <v>B</v>
          </cell>
          <cell r="H1775">
            <v>923</v>
          </cell>
          <cell r="I1775" t="str">
            <v>ВАТ "ПІРЕУС БАНК МКБ"</v>
          </cell>
          <cell r="J1775" t="str">
            <v>ВАТ "ПІРЕУС БАНК МКБ"</v>
          </cell>
          <cell r="K1775" t="str">
            <v>UIWU</v>
          </cell>
          <cell r="L1775" t="str">
            <v>UIWU</v>
          </cell>
          <cell r="M1775">
            <v>26</v>
          </cell>
          <cell r="N1775">
            <v>26</v>
          </cell>
          <cell r="O1775" t="str">
            <v>ГУ НБУ по м.Києву і області</v>
          </cell>
        </row>
        <row r="1776">
          <cell r="A1776">
            <v>300669</v>
          </cell>
          <cell r="B1776">
            <v>300669</v>
          </cell>
          <cell r="C1776" t="str">
            <v>ЗАТ "ПРАЙМ-БАНК"</v>
          </cell>
          <cell r="D1776">
            <v>300</v>
          </cell>
          <cell r="E1776">
            <v>300</v>
          </cell>
          <cell r="F1776">
            <v>0</v>
          </cell>
          <cell r="G1776" t="str">
            <v>8</v>
          </cell>
          <cell r="H1776">
            <v>937</v>
          </cell>
          <cell r="I1776" t="str">
            <v>ЗАТ "ПРАЙМ-БАНК" У М. КИЄВІ</v>
          </cell>
          <cell r="J1776" t="str">
            <v>ЗАТ "ПРАЙМ-БАНК"</v>
          </cell>
          <cell r="K1776" t="str">
            <v>UINL</v>
          </cell>
          <cell r="L1776" t="str">
            <v>UINL</v>
          </cell>
          <cell r="M1776">
            <v>26</v>
          </cell>
          <cell r="N1776">
            <v>26</v>
          </cell>
          <cell r="O1776" t="str">
            <v>ГУ НБУ по м.Києву і області</v>
          </cell>
        </row>
        <row r="1777">
          <cell r="A1777">
            <v>300670</v>
          </cell>
          <cell r="B1777">
            <v>300670</v>
          </cell>
          <cell r="C1777" t="str">
            <v>ВАТ КБ "ХРЕЩАТИК"</v>
          </cell>
          <cell r="D1777">
            <v>202</v>
          </cell>
          <cell r="E1777">
            <v>202</v>
          </cell>
          <cell r="F1777">
            <v>0</v>
          </cell>
          <cell r="G1777" t="str">
            <v>8</v>
          </cell>
          <cell r="H1777">
            <v>912</v>
          </cell>
          <cell r="I1777" t="str">
            <v>ВАТ КБ "ХРЕЩАТИК" У М.КИЄВІ</v>
          </cell>
          <cell r="J1777" t="str">
            <v>ВАТ КБ "ХРЕЩАТИК"</v>
          </cell>
          <cell r="K1777" t="str">
            <v>UIWL</v>
          </cell>
          <cell r="L1777" t="str">
            <v>UIWL</v>
          </cell>
          <cell r="M1777">
            <v>26</v>
          </cell>
          <cell r="N1777">
            <v>26</v>
          </cell>
          <cell r="O1777" t="str">
            <v>ГУ НБУ по м.Києву і області</v>
          </cell>
        </row>
        <row r="1778">
          <cell r="A1778">
            <v>300681</v>
          </cell>
          <cell r="B1778">
            <v>322498</v>
          </cell>
          <cell r="D1778">
            <v>0</v>
          </cell>
          <cell r="E1778">
            <v>203</v>
          </cell>
          <cell r="F1778">
            <v>0</v>
          </cell>
          <cell r="G1778" t="str">
            <v>8</v>
          </cell>
          <cell r="H1778">
            <v>913</v>
          </cell>
          <cell r="I1778" t="str">
            <v>СОЛОМ`ЯНСЬКА ФІЛІЯ АКБ "КИЇВ" М.КИЇВ</v>
          </cell>
          <cell r="J1778" t="str">
            <v>Солом`янська ФАКБ "Київ"</v>
          </cell>
          <cell r="K1778" t="str">
            <v>UIWM</v>
          </cell>
          <cell r="L1778" t="str">
            <v>UIWM</v>
          </cell>
          <cell r="M1778">
            <v>26</v>
          </cell>
          <cell r="N1778">
            <v>26</v>
          </cell>
          <cell r="O1778" t="str">
            <v>ГУ НБУ по м.Києву і області</v>
          </cell>
        </row>
        <row r="1779">
          <cell r="A1779">
            <v>300700</v>
          </cell>
          <cell r="B1779">
            <v>320702</v>
          </cell>
          <cell r="D1779">
            <v>0</v>
          </cell>
          <cell r="E1779">
            <v>277</v>
          </cell>
          <cell r="F1779">
            <v>0</v>
          </cell>
          <cell r="G1779" t="str">
            <v>8</v>
          </cell>
          <cell r="H1779">
            <v>925</v>
          </cell>
          <cell r="I1779" t="str">
            <v>ФАКБ "НАЦ. КРЕДИТ" В М.БОРИСПІЛЬ</v>
          </cell>
          <cell r="J1779" t="str">
            <v>ФАКБ "НК" в м.Бориспіль</v>
          </cell>
          <cell r="K1779" t="str">
            <v>UIWW</v>
          </cell>
          <cell r="L1779" t="str">
            <v>UIWW</v>
          </cell>
          <cell r="M1779">
            <v>9</v>
          </cell>
          <cell r="N1779">
            <v>26</v>
          </cell>
        </row>
        <row r="1780">
          <cell r="A1780">
            <v>300711</v>
          </cell>
          <cell r="B1780">
            <v>305299</v>
          </cell>
          <cell r="D1780">
            <v>0</v>
          </cell>
          <cell r="E1780">
            <v>46</v>
          </cell>
          <cell r="F1780">
            <v>0</v>
          </cell>
          <cell r="G1780" t="str">
            <v>A</v>
          </cell>
          <cell r="H1780">
            <v>926</v>
          </cell>
          <cell r="I1780" t="str">
            <v>ПЕЧЕРСЬКА ФІЛІЯ ПРИВАТБАНКУ, М.КИЇВ</v>
          </cell>
          <cell r="J1780" t="str">
            <v>Печерська ф-я ПриватБанку</v>
          </cell>
          <cell r="K1780" t="str">
            <v>UIWX</v>
          </cell>
          <cell r="L1780" t="str">
            <v>UIWX</v>
          </cell>
          <cell r="M1780">
            <v>26</v>
          </cell>
          <cell r="N1780">
            <v>3</v>
          </cell>
          <cell r="O1780" t="str">
            <v>ГУ НБУ по м.Києву і області</v>
          </cell>
        </row>
        <row r="1781">
          <cell r="A1781">
            <v>300722</v>
          </cell>
          <cell r="B1781">
            <v>325569</v>
          </cell>
          <cell r="D1781">
            <v>0</v>
          </cell>
          <cell r="E1781">
            <v>93</v>
          </cell>
          <cell r="F1781">
            <v>0</v>
          </cell>
          <cell r="G1781" t="str">
            <v>8</v>
          </cell>
          <cell r="H1781">
            <v>930</v>
          </cell>
          <cell r="I1781" t="str">
            <v>Київська філія ВАТ СКБ "Дністер"</v>
          </cell>
          <cell r="J1781" t="str">
            <v>Київс.ф-я ВАТ СКБ "Дністер"</v>
          </cell>
          <cell r="K1781" t="str">
            <v>UIWN</v>
          </cell>
          <cell r="L1781" t="str">
            <v>UIWN</v>
          </cell>
          <cell r="M1781">
            <v>26</v>
          </cell>
          <cell r="N1781">
            <v>13</v>
          </cell>
          <cell r="O1781" t="str">
            <v>ГУ НБУ по м.Києву і області</v>
          </cell>
        </row>
        <row r="1782">
          <cell r="A1782">
            <v>300744</v>
          </cell>
          <cell r="B1782">
            <v>303536</v>
          </cell>
          <cell r="D1782">
            <v>0</v>
          </cell>
          <cell r="E1782">
            <v>287</v>
          </cell>
          <cell r="F1782">
            <v>0</v>
          </cell>
          <cell r="G1782" t="str">
            <v>9</v>
          </cell>
          <cell r="H1782">
            <v>974</v>
          </cell>
          <cell r="I1782" t="str">
            <v>Філія УніКредит Банку ТзОВ у м.Києві</v>
          </cell>
          <cell r="J1782" t="str">
            <v>Ф.УніКредит Банку, м.Київ</v>
          </cell>
          <cell r="K1782" t="str">
            <v>UINO</v>
          </cell>
          <cell r="L1782" t="str">
            <v>UINO</v>
          </cell>
          <cell r="M1782">
            <v>26</v>
          </cell>
          <cell r="N1782">
            <v>2</v>
          </cell>
          <cell r="O1782" t="str">
            <v>ГУ НБУ по м.Києву і області</v>
          </cell>
        </row>
        <row r="1783">
          <cell r="A1783">
            <v>300755</v>
          </cell>
          <cell r="B1783">
            <v>351663</v>
          </cell>
          <cell r="D1783">
            <v>0</v>
          </cell>
          <cell r="E1783">
            <v>98</v>
          </cell>
          <cell r="F1783">
            <v>0</v>
          </cell>
          <cell r="G1783" t="str">
            <v>8</v>
          </cell>
          <cell r="H1783">
            <v>959</v>
          </cell>
          <cell r="I1783" t="str">
            <v>ФІЛІЯ АКБ "МЕРКУРІЙ" В М.КИЄВІ</v>
          </cell>
          <cell r="J1783" t="str">
            <v>ФАКБ "МЕРКУРІЙ" в м.Києві</v>
          </cell>
          <cell r="K1783" t="str">
            <v>UIYL</v>
          </cell>
          <cell r="L1783" t="str">
            <v>UIYL</v>
          </cell>
          <cell r="M1783">
            <v>26</v>
          </cell>
          <cell r="N1783">
            <v>20</v>
          </cell>
          <cell r="O1783" t="str">
            <v>ГУ НБУ по м.Києву і області</v>
          </cell>
        </row>
        <row r="1784">
          <cell r="A1784">
            <v>300766</v>
          </cell>
          <cell r="B1784">
            <v>328384</v>
          </cell>
          <cell r="D1784">
            <v>0</v>
          </cell>
          <cell r="E1784">
            <v>258</v>
          </cell>
          <cell r="F1784">
            <v>0</v>
          </cell>
          <cell r="G1784" t="str">
            <v>8</v>
          </cell>
          <cell r="H1784">
            <v>921</v>
          </cell>
          <cell r="I1784" t="str">
            <v>ФІЛІЯ АКБ "ІМЕКСБАНК" У М.КИЄВІ</v>
          </cell>
          <cell r="J1784" t="str">
            <v>КИЇВСЬКАФ АКБ "ІМЕКСБАНК"</v>
          </cell>
          <cell r="K1784" t="str">
            <v>UIWR</v>
          </cell>
          <cell r="L1784" t="str">
            <v>UIWR</v>
          </cell>
          <cell r="M1784">
            <v>26</v>
          </cell>
          <cell r="N1784">
            <v>15</v>
          </cell>
          <cell r="O1784" t="str">
            <v>ГУ НБУ по м.Києву і області</v>
          </cell>
        </row>
        <row r="1785">
          <cell r="A1785">
            <v>300788</v>
          </cell>
          <cell r="B1785">
            <v>300788</v>
          </cell>
          <cell r="C1785" t="str">
            <v>АБ "Таврика"</v>
          </cell>
          <cell r="D1785">
            <v>84</v>
          </cell>
          <cell r="E1785">
            <v>84</v>
          </cell>
          <cell r="F1785">
            <v>0</v>
          </cell>
          <cell r="G1785" t="str">
            <v>8</v>
          </cell>
          <cell r="H1785">
            <v>949</v>
          </cell>
          <cell r="I1785" t="str">
            <v>АБ "ТАВРИКА" У М.КИЄВІ</v>
          </cell>
          <cell r="J1785" t="str">
            <v>АБ "Таврика"</v>
          </cell>
          <cell r="K1785" t="str">
            <v>UINP</v>
          </cell>
          <cell r="L1785" t="str">
            <v>UINP</v>
          </cell>
          <cell r="M1785">
            <v>26</v>
          </cell>
          <cell r="N1785">
            <v>26</v>
          </cell>
          <cell r="O1785" t="str">
            <v>ГУ НБУ по м.Києву і області</v>
          </cell>
        </row>
        <row r="1786">
          <cell r="A1786">
            <v>300799</v>
          </cell>
          <cell r="B1786">
            <v>322498</v>
          </cell>
          <cell r="D1786">
            <v>0</v>
          </cell>
          <cell r="E1786">
            <v>203</v>
          </cell>
          <cell r="F1786">
            <v>0</v>
          </cell>
          <cell r="G1786" t="str">
            <v>8</v>
          </cell>
          <cell r="H1786">
            <v>940</v>
          </cell>
          <cell r="I1786" t="str">
            <v>ШЕВЧЕНКІВСЬКА Ф-Я АКБ "КИЇВ" У М.КИЄВІ</v>
          </cell>
          <cell r="J1786" t="str">
            <v>Шевченківська ф-я АКБ"КИЇВ"</v>
          </cell>
          <cell r="K1786" t="str">
            <v>UINN</v>
          </cell>
          <cell r="L1786" t="str">
            <v>UINN</v>
          </cell>
          <cell r="M1786">
            <v>26</v>
          </cell>
          <cell r="N1786">
            <v>26</v>
          </cell>
          <cell r="O1786" t="str">
            <v>ГУ НБУ по м.Києву і області</v>
          </cell>
        </row>
        <row r="1787">
          <cell r="A1787">
            <v>300807</v>
          </cell>
          <cell r="B1787">
            <v>300807</v>
          </cell>
          <cell r="C1787" t="str">
            <v>АКБ "ГАРАНТ"</v>
          </cell>
          <cell r="D1787">
            <v>180</v>
          </cell>
          <cell r="E1787">
            <v>180</v>
          </cell>
          <cell r="F1787">
            <v>0</v>
          </cell>
          <cell r="G1787" t="str">
            <v>8</v>
          </cell>
          <cell r="H1787">
            <v>919</v>
          </cell>
          <cell r="I1787" t="str">
            <v>АКБ "ГАРАНТ" У М.КИЄВІ</v>
          </cell>
          <cell r="J1787" t="str">
            <v>АКБ "ГАРАНТ"</v>
          </cell>
          <cell r="K1787" t="str">
            <v>UIWP</v>
          </cell>
          <cell r="L1787" t="str">
            <v>UIWP</v>
          </cell>
          <cell r="M1787">
            <v>26</v>
          </cell>
          <cell r="N1787">
            <v>26</v>
          </cell>
          <cell r="O1787" t="str">
            <v>ГУ НБУ по м.Києву і області</v>
          </cell>
        </row>
        <row r="1788">
          <cell r="A1788">
            <v>300829</v>
          </cell>
          <cell r="B1788">
            <v>328168</v>
          </cell>
          <cell r="D1788">
            <v>0</v>
          </cell>
          <cell r="E1788">
            <v>105</v>
          </cell>
          <cell r="F1788">
            <v>0</v>
          </cell>
          <cell r="G1788" t="str">
            <v>B</v>
          </cell>
          <cell r="H1788">
            <v>953</v>
          </cell>
          <cell r="I1788" t="str">
            <v>ФІЛІЯ ВАТ "МТБ" У М.КИЄВІ</v>
          </cell>
          <cell r="J1788" t="str">
            <v>ФІЛІЯ ВАТ "МТБ" У М.КИЄВІ</v>
          </cell>
          <cell r="K1788" t="str">
            <v>UINS</v>
          </cell>
          <cell r="L1788" t="str">
            <v>UINS</v>
          </cell>
          <cell r="M1788">
            <v>26</v>
          </cell>
          <cell r="N1788">
            <v>15</v>
          </cell>
          <cell r="O1788" t="str">
            <v>ГУ НБУ по м.Києву і області</v>
          </cell>
        </row>
        <row r="1789">
          <cell r="A1789">
            <v>300830</v>
          </cell>
          <cell r="B1789">
            <v>300670</v>
          </cell>
          <cell r="D1789">
            <v>0</v>
          </cell>
          <cell r="E1789">
            <v>202</v>
          </cell>
          <cell r="F1789">
            <v>0</v>
          </cell>
          <cell r="G1789" t="str">
            <v>8</v>
          </cell>
          <cell r="H1789">
            <v>954</v>
          </cell>
          <cell r="I1789" t="str">
            <v>КИЇВ.РЕГІОН.Ф.ВАТКБ"ХРЕЩАТИК"У М.КИЄВІ</v>
          </cell>
          <cell r="J1789" t="str">
            <v>Київ.рег.ф.ВАТ КБ"ХРЕЩАТИК"</v>
          </cell>
          <cell r="K1789" t="str">
            <v>UINT</v>
          </cell>
          <cell r="L1789" t="str">
            <v>UINT</v>
          </cell>
          <cell r="M1789">
            <v>26</v>
          </cell>
          <cell r="N1789">
            <v>26</v>
          </cell>
          <cell r="O1789" t="str">
            <v>ГУ НБУ по м.Києву і області</v>
          </cell>
        </row>
        <row r="1790">
          <cell r="A1790">
            <v>300852</v>
          </cell>
          <cell r="B1790">
            <v>300852</v>
          </cell>
          <cell r="C1790" t="str">
            <v>ВАТ "КБ "АКТИВ-БАНК"</v>
          </cell>
          <cell r="D1790">
            <v>302</v>
          </cell>
          <cell r="E1790">
            <v>302</v>
          </cell>
          <cell r="F1790">
            <v>0</v>
          </cell>
          <cell r="G1790" t="str">
            <v>8</v>
          </cell>
          <cell r="H1790">
            <v>943</v>
          </cell>
          <cell r="I1790" t="str">
            <v>ВАТ"КОМЕРЦІЙНИЙ БАНК"АКТИВ-БАНК"М.КИЇВ</v>
          </cell>
          <cell r="J1790" t="str">
            <v>ВАТ "КБ "АКТИВ-БАНК"</v>
          </cell>
          <cell r="K1790" t="str">
            <v>UINW</v>
          </cell>
          <cell r="L1790" t="str">
            <v>UINW</v>
          </cell>
          <cell r="M1790">
            <v>26</v>
          </cell>
          <cell r="N1790">
            <v>26</v>
          </cell>
          <cell r="O1790" t="str">
            <v>ГУ НБУ по м.Києву і області</v>
          </cell>
        </row>
        <row r="1791">
          <cell r="A1791">
            <v>300863</v>
          </cell>
          <cell r="B1791">
            <v>300863</v>
          </cell>
          <cell r="C1791" t="str">
            <v>ВАТ "КРЕДИТПРОМБАНК"</v>
          </cell>
          <cell r="D1791">
            <v>289</v>
          </cell>
          <cell r="E1791">
            <v>289</v>
          </cell>
          <cell r="F1791">
            <v>0</v>
          </cell>
          <cell r="G1791" t="str">
            <v>9</v>
          </cell>
          <cell r="H1791">
            <v>885</v>
          </cell>
          <cell r="I1791" t="str">
            <v>ВАТ "КРЕДИТПРОМБАНК" У М.КИЄВІ</v>
          </cell>
          <cell r="J1791" t="str">
            <v>ВАТ "КРЕДИТПРОМБАНК"</v>
          </cell>
          <cell r="K1791" t="str">
            <v>UISR</v>
          </cell>
          <cell r="L1791" t="str">
            <v>UISR</v>
          </cell>
          <cell r="M1791">
            <v>26</v>
          </cell>
          <cell r="N1791">
            <v>26</v>
          </cell>
          <cell r="O1791" t="str">
            <v>ГУ НБУ по м.Києву і області</v>
          </cell>
        </row>
        <row r="1792">
          <cell r="A1792">
            <v>300885</v>
          </cell>
          <cell r="B1792">
            <v>300885</v>
          </cell>
          <cell r="C1792" t="str">
            <v>ВАТ "АРТЕМ-БАНК"</v>
          </cell>
          <cell r="D1792">
            <v>303</v>
          </cell>
          <cell r="E1792">
            <v>303</v>
          </cell>
          <cell r="F1792">
            <v>0</v>
          </cell>
          <cell r="G1792" t="str">
            <v>8</v>
          </cell>
          <cell r="H1792">
            <v>962</v>
          </cell>
          <cell r="I1792" t="str">
            <v>ВАТ "АРТЕМ-БАНК" У М.КИЄВІ</v>
          </cell>
          <cell r="J1792" t="str">
            <v>ВАТ "АРТЕМ-БАНК"</v>
          </cell>
          <cell r="K1792" t="str">
            <v>UINX</v>
          </cell>
          <cell r="L1792" t="str">
            <v>UINX</v>
          </cell>
          <cell r="M1792">
            <v>26</v>
          </cell>
          <cell r="N1792">
            <v>26</v>
          </cell>
          <cell r="O1792" t="str">
            <v>ГУ НБУ по м.Києву і області</v>
          </cell>
        </row>
        <row r="1793">
          <cell r="A1793">
            <v>300896</v>
          </cell>
          <cell r="B1793">
            <v>300896</v>
          </cell>
          <cell r="C1793" t="str">
            <v>ВАТ "ТММ-БАНК"</v>
          </cell>
          <cell r="D1793">
            <v>159</v>
          </cell>
          <cell r="E1793">
            <v>159</v>
          </cell>
          <cell r="F1793">
            <v>0</v>
          </cell>
          <cell r="G1793" t="str">
            <v>8</v>
          </cell>
          <cell r="H1793">
            <v>947</v>
          </cell>
          <cell r="I1793" t="str">
            <v>ВАТ "ТММ-БАНК" У М.КИЄВІ</v>
          </cell>
          <cell r="J1793" t="str">
            <v>ВАТ "ТММ-БАНК"</v>
          </cell>
          <cell r="K1793" t="str">
            <v>UINM</v>
          </cell>
          <cell r="L1793" t="str">
            <v>UINM</v>
          </cell>
          <cell r="M1793">
            <v>26</v>
          </cell>
          <cell r="N1793">
            <v>26</v>
          </cell>
          <cell r="O1793" t="str">
            <v>ГУ НБУ по м.Києву і області</v>
          </cell>
        </row>
        <row r="1794">
          <cell r="A1794">
            <v>300904</v>
          </cell>
          <cell r="B1794">
            <v>300904</v>
          </cell>
          <cell r="C1794" t="str">
            <v>ТОВ "ФОРТУНА-БАНК"</v>
          </cell>
          <cell r="D1794">
            <v>304</v>
          </cell>
          <cell r="E1794">
            <v>304</v>
          </cell>
          <cell r="F1794">
            <v>0</v>
          </cell>
          <cell r="G1794" t="str">
            <v>8</v>
          </cell>
          <cell r="H1794">
            <v>990</v>
          </cell>
          <cell r="I1794" t="str">
            <v>ТОВ "ФОРТУНА-БАНК" У М.КИЄВІ</v>
          </cell>
          <cell r="J1794" t="str">
            <v>ТОВ "ФОРТУНА-БАНК"</v>
          </cell>
          <cell r="K1794" t="str">
            <v>UINY</v>
          </cell>
          <cell r="L1794" t="str">
            <v>UINY</v>
          </cell>
          <cell r="M1794">
            <v>26</v>
          </cell>
          <cell r="N1794">
            <v>26</v>
          </cell>
          <cell r="O1794" t="str">
            <v>ГУ НБУ по м.Києву і області</v>
          </cell>
        </row>
        <row r="1795">
          <cell r="A1795">
            <v>300915</v>
          </cell>
          <cell r="B1795">
            <v>322498</v>
          </cell>
          <cell r="D1795">
            <v>0</v>
          </cell>
          <cell r="E1795">
            <v>203</v>
          </cell>
          <cell r="F1795">
            <v>0</v>
          </cell>
          <cell r="G1795" t="str">
            <v>8</v>
          </cell>
          <cell r="H1795">
            <v>975</v>
          </cell>
          <cell r="I1795" t="str">
            <v>ГОЛОСІЇВСЬКА ФІЛІЯ АКБ "КИЇВ" М.КИЇВ</v>
          </cell>
          <cell r="J1795" t="str">
            <v>Голосіївська філіяАКБ"Київ"</v>
          </cell>
          <cell r="K1795" t="str">
            <v>UINZ</v>
          </cell>
          <cell r="L1795" t="str">
            <v>UINZ</v>
          </cell>
          <cell r="M1795">
            <v>26</v>
          </cell>
          <cell r="N1795">
            <v>26</v>
          </cell>
          <cell r="O1795" t="str">
            <v>ГУ НБУ по м.Києву і області</v>
          </cell>
        </row>
        <row r="1796">
          <cell r="A1796">
            <v>300926</v>
          </cell>
          <cell r="B1796">
            <v>300926</v>
          </cell>
          <cell r="C1796" t="str">
            <v>АТ "УФГ"</v>
          </cell>
          <cell r="D1796">
            <v>899</v>
          </cell>
          <cell r="E1796">
            <v>899</v>
          </cell>
          <cell r="F1796">
            <v>0</v>
          </cell>
          <cell r="G1796" t="str">
            <v>8</v>
          </cell>
          <cell r="H1796">
            <v>989</v>
          </cell>
          <cell r="I1796" t="str">
            <v>АТ "УКРАЇНСЬКА ФІНАНСОВА ГРУПА", КИЇВ</v>
          </cell>
          <cell r="J1796" t="str">
            <v>АТ "УФГ"</v>
          </cell>
          <cell r="K1796" t="str">
            <v>U1WF</v>
          </cell>
          <cell r="L1796" t="str">
            <v>U1WF</v>
          </cell>
          <cell r="M1796">
            <v>26</v>
          </cell>
          <cell r="N1796">
            <v>26</v>
          </cell>
          <cell r="O1796" t="str">
            <v>ГУ НБУ по м.Києву і області</v>
          </cell>
        </row>
        <row r="1797">
          <cell r="A1797">
            <v>300937</v>
          </cell>
          <cell r="B1797">
            <v>300131</v>
          </cell>
          <cell r="D1797">
            <v>0</v>
          </cell>
          <cell r="E1797">
            <v>17</v>
          </cell>
          <cell r="F1797">
            <v>0</v>
          </cell>
          <cell r="G1797" t="str">
            <v>8</v>
          </cell>
          <cell r="H1797">
            <v>922</v>
          </cell>
          <cell r="I1797" t="str">
            <v>Ф"ЦРУ" ВАТ"Б"ФІНАНСИ ТА КРЕДИТ"М.КИЇВ</v>
          </cell>
          <cell r="J1797" t="str">
            <v>Ф "ЦРУ" ВАТ"Б" ФІН ТА КРЕД"</v>
          </cell>
          <cell r="K1797" t="str">
            <v>UIWT</v>
          </cell>
          <cell r="L1797" t="str">
            <v>UIWT</v>
          </cell>
          <cell r="M1797">
            <v>26</v>
          </cell>
          <cell r="N1797">
            <v>26</v>
          </cell>
          <cell r="O1797" t="str">
            <v>ГУ НБУ по м.Києву і області</v>
          </cell>
        </row>
        <row r="1798">
          <cell r="A1798">
            <v>300948</v>
          </cell>
          <cell r="B1798">
            <v>322948</v>
          </cell>
          <cell r="D1798">
            <v>0</v>
          </cell>
          <cell r="E1798">
            <v>248</v>
          </cell>
          <cell r="F1798">
            <v>0</v>
          </cell>
          <cell r="G1798" t="str">
            <v>B</v>
          </cell>
          <cell r="H1798">
            <v>978</v>
          </cell>
          <cell r="I1798" t="str">
            <v>ПЕРША КИЇВСЬКА ФІЛІЯ АКБ "ФОРУМ"М.КИЇВ</v>
          </cell>
          <cell r="J1798" t="str">
            <v>Перша КФ АКБ "ФОРУМ"</v>
          </cell>
          <cell r="K1798" t="str">
            <v>UINV</v>
          </cell>
          <cell r="L1798" t="str">
            <v>UINV</v>
          </cell>
          <cell r="M1798">
            <v>26</v>
          </cell>
          <cell r="N1798">
            <v>26</v>
          </cell>
          <cell r="O1798" t="str">
            <v>ГУ НБУ по м.Києву і області</v>
          </cell>
        </row>
        <row r="1799">
          <cell r="A1799">
            <v>300959</v>
          </cell>
          <cell r="B1799">
            <v>300249</v>
          </cell>
          <cell r="D1799">
            <v>0</v>
          </cell>
          <cell r="E1799">
            <v>37</v>
          </cell>
          <cell r="F1799">
            <v>0</v>
          </cell>
          <cell r="G1799" t="str">
            <v>8</v>
          </cell>
          <cell r="H1799">
            <v>966</v>
          </cell>
          <cell r="I1799" t="str">
            <v>КИЇВСЬКА Ф. АБ "БРОКБІЗНЕСБАНК" М.КИЇВ</v>
          </cell>
          <cell r="J1799" t="str">
            <v>КИЇВС.Ф АБ "БРОКБІЗHЕСБАHК"</v>
          </cell>
          <cell r="K1799" t="str">
            <v>UIUP</v>
          </cell>
          <cell r="L1799" t="str">
            <v>UIUP</v>
          </cell>
          <cell r="M1799">
            <v>26</v>
          </cell>
          <cell r="N1799">
            <v>26</v>
          </cell>
          <cell r="O1799" t="str">
            <v>ГУ НБУ по м.Києву і області</v>
          </cell>
        </row>
        <row r="1800">
          <cell r="A1800">
            <v>302010</v>
          </cell>
          <cell r="B1800">
            <v>300023</v>
          </cell>
          <cell r="D1800">
            <v>0</v>
          </cell>
          <cell r="E1800">
            <v>5</v>
          </cell>
          <cell r="F1800">
            <v>0</v>
          </cell>
          <cell r="G1800" t="str">
            <v>5</v>
          </cell>
          <cell r="H1800">
            <v>505</v>
          </cell>
          <cell r="I1800" t="str">
            <v>ФІЛІЯ АКБ"УКРСОЦБАНК", М.ВІННИЦЯ</v>
          </cell>
          <cell r="J1800" t="str">
            <v>Вінниц.обл.філ.АКБ"УСБ"</v>
          </cell>
          <cell r="K1800" t="str">
            <v>UACA</v>
          </cell>
          <cell r="L1800" t="str">
            <v>UACA</v>
          </cell>
          <cell r="M1800">
            <v>1</v>
          </cell>
          <cell r="N1800">
            <v>26</v>
          </cell>
          <cell r="O1800" t="str">
            <v>Управління НБУ у Вінниц.обл</v>
          </cell>
        </row>
        <row r="1801">
          <cell r="A1801">
            <v>302076</v>
          </cell>
          <cell r="B1801">
            <v>300465</v>
          </cell>
          <cell r="D1801">
            <v>0</v>
          </cell>
          <cell r="E1801">
            <v>6</v>
          </cell>
          <cell r="F1801">
            <v>0</v>
          </cell>
          <cell r="G1801" t="str">
            <v>6</v>
          </cell>
          <cell r="H1801">
            <v>602</v>
          </cell>
          <cell r="I1801" t="str">
            <v>ФВІННИЦЬКЕ ОБЛАСНЕ У ВАТОЩАД М.ВІННИЦЯ</v>
          </cell>
          <cell r="J1801" t="str">
            <v>ФВінницьке обласне уВАТОщад</v>
          </cell>
          <cell r="K1801" t="str">
            <v>UALA</v>
          </cell>
          <cell r="L1801" t="str">
            <v>UALA</v>
          </cell>
          <cell r="M1801">
            <v>1</v>
          </cell>
          <cell r="N1801">
            <v>26</v>
          </cell>
          <cell r="O1801" t="str">
            <v>Управління НБУ у Вінниц.обл</v>
          </cell>
        </row>
        <row r="1802">
          <cell r="A1802">
            <v>302247</v>
          </cell>
          <cell r="B1802">
            <v>300335</v>
          </cell>
          <cell r="D1802">
            <v>0</v>
          </cell>
          <cell r="E1802">
            <v>36</v>
          </cell>
          <cell r="F1802">
            <v>0</v>
          </cell>
          <cell r="G1802" t="str">
            <v>7</v>
          </cell>
          <cell r="H1802">
            <v>762</v>
          </cell>
          <cell r="I1802" t="str">
            <v>ОД "РАЙФФАЙЗЕН БАНК АВАЛЬ", М.ВІННИЦЯ</v>
          </cell>
          <cell r="J1802" t="str">
            <v>ОД "Райффайзен Банк Аваль"</v>
          </cell>
          <cell r="K1802" t="str">
            <v>UAIJ</v>
          </cell>
          <cell r="L1802" t="str">
            <v>UAIJ</v>
          </cell>
          <cell r="M1802">
            <v>1</v>
          </cell>
          <cell r="N1802">
            <v>26</v>
          </cell>
          <cell r="O1802" t="str">
            <v>Управління НБУ у Вінниц.обл</v>
          </cell>
        </row>
        <row r="1803">
          <cell r="A1803">
            <v>302322</v>
          </cell>
          <cell r="B1803">
            <v>300012</v>
          </cell>
          <cell r="D1803">
            <v>0</v>
          </cell>
          <cell r="E1803">
            <v>3</v>
          </cell>
          <cell r="F1803">
            <v>0</v>
          </cell>
          <cell r="G1803" t="str">
            <v>3</v>
          </cell>
          <cell r="H1803">
            <v>376</v>
          </cell>
          <cell r="I1803" t="str">
            <v>Ф."В.ПІБ В М.ЖМЕРИНКА ВІННИЦЬКОЇ ОБЛ."</v>
          </cell>
          <cell r="J1803" t="str">
            <v>Ф.ВІД.ПІБ В М.ЖМЕРИНКА ВІН.</v>
          </cell>
          <cell r="K1803" t="str">
            <v>UAAC</v>
          </cell>
          <cell r="L1803" t="str">
            <v>UAA0</v>
          </cell>
          <cell r="M1803">
            <v>1</v>
          </cell>
          <cell r="N1803">
            <v>26</v>
          </cell>
          <cell r="O1803" t="str">
            <v>Управління НБУ у Вінниц.обл</v>
          </cell>
        </row>
        <row r="1804">
          <cell r="A1804">
            <v>302333</v>
          </cell>
          <cell r="B1804">
            <v>300142</v>
          </cell>
          <cell r="D1804">
            <v>0</v>
          </cell>
          <cell r="E1804">
            <v>18</v>
          </cell>
          <cell r="F1804">
            <v>0</v>
          </cell>
          <cell r="G1804" t="str">
            <v>8</v>
          </cell>
          <cell r="H1804">
            <v>742</v>
          </cell>
          <cell r="I1804" t="str">
            <v>ВІННИЦЬКА ФАТ"УКРІНБАНК" М.ВІННИЦЯ</v>
          </cell>
          <cell r="J1804" t="str">
            <v>Вінницька ФАТ"Укрінбанк"</v>
          </cell>
          <cell r="K1804" t="str">
            <v>UAIH</v>
          </cell>
          <cell r="L1804" t="str">
            <v>UAIH</v>
          </cell>
          <cell r="M1804">
            <v>1</v>
          </cell>
          <cell r="N1804">
            <v>26</v>
          </cell>
          <cell r="O1804" t="str">
            <v>Управління НБУ у Вінниц.обл</v>
          </cell>
        </row>
        <row r="1805">
          <cell r="A1805">
            <v>302355</v>
          </cell>
          <cell r="B1805">
            <v>320003</v>
          </cell>
          <cell r="D1805">
            <v>0</v>
          </cell>
          <cell r="E1805">
            <v>225</v>
          </cell>
          <cell r="F1805">
            <v>0</v>
          </cell>
          <cell r="G1805" t="str">
            <v>B</v>
          </cell>
          <cell r="H1805">
            <v>702</v>
          </cell>
          <cell r="I1805" t="str">
            <v>Ф.ВАТ КБ "НАДРА"ВІН.РЕГ.УПР.,М.ВІННИЦЯ</v>
          </cell>
          <cell r="J1805" t="str">
            <v>Ф ВАТ КБ "НАДРА" В.РУ</v>
          </cell>
          <cell r="K1805" t="str">
            <v>UAIQ</v>
          </cell>
          <cell r="L1805" t="str">
            <v>UAIQ</v>
          </cell>
          <cell r="M1805">
            <v>1</v>
          </cell>
          <cell r="N1805">
            <v>26</v>
          </cell>
          <cell r="O1805" t="str">
            <v>Управління НБУ у Вінниц.обл</v>
          </cell>
        </row>
        <row r="1806">
          <cell r="A1806">
            <v>302429</v>
          </cell>
          <cell r="B1806">
            <v>322313</v>
          </cell>
          <cell r="D1806">
            <v>0</v>
          </cell>
          <cell r="E1806">
            <v>2</v>
          </cell>
          <cell r="F1806">
            <v>0</v>
          </cell>
          <cell r="G1806" t="str">
            <v>2</v>
          </cell>
          <cell r="H1806">
            <v>201</v>
          </cell>
          <cell r="I1806" t="str">
            <v>Ф-Я ВАТ УКРЕКСІМБАНК, М.ВІННИЦЯ</v>
          </cell>
          <cell r="J1806" t="str">
            <v>Ф-я Укрексімбанк, Вінниця</v>
          </cell>
          <cell r="K1806" t="str">
            <v>UAGA</v>
          </cell>
          <cell r="L1806" t="str">
            <v>UAGA</v>
          </cell>
          <cell r="M1806">
            <v>1</v>
          </cell>
          <cell r="N1806">
            <v>26</v>
          </cell>
          <cell r="O1806" t="str">
            <v>Управління НБУ у Вінниц.обл</v>
          </cell>
        </row>
        <row r="1807">
          <cell r="A1807">
            <v>302430</v>
          </cell>
          <cell r="B1807">
            <v>325569</v>
          </cell>
          <cell r="D1807">
            <v>0</v>
          </cell>
          <cell r="E1807">
            <v>93</v>
          </cell>
          <cell r="F1807">
            <v>0</v>
          </cell>
          <cell r="G1807" t="str">
            <v>8</v>
          </cell>
          <cell r="H1807">
            <v>707</v>
          </cell>
          <cell r="I1807" t="str">
            <v>Вінницька філія ВАТ СКБ "Дністер"</v>
          </cell>
          <cell r="J1807" t="str">
            <v>Вінниц.ф-я ВАТ СКБ"Дністер"</v>
          </cell>
          <cell r="K1807" t="str">
            <v>UAIR</v>
          </cell>
          <cell r="L1807" t="str">
            <v>UAIR</v>
          </cell>
          <cell r="M1807">
            <v>1</v>
          </cell>
          <cell r="N1807">
            <v>13</v>
          </cell>
          <cell r="O1807" t="str">
            <v>Управління НБУ у Вінниц.обл</v>
          </cell>
        </row>
        <row r="1808">
          <cell r="A1808">
            <v>302485</v>
          </cell>
          <cell r="B1808">
            <v>300012</v>
          </cell>
          <cell r="D1808">
            <v>0</v>
          </cell>
          <cell r="E1808">
            <v>3</v>
          </cell>
          <cell r="F1808">
            <v>0</v>
          </cell>
          <cell r="G1808" t="str">
            <v>3</v>
          </cell>
          <cell r="H1808">
            <v>308</v>
          </cell>
          <cell r="I1808" t="str">
            <v>Ф."В.ПІБ В М.ЛАДИЖИН ВІННИЦЬКОЇ ОБЛ."</v>
          </cell>
          <cell r="J1808" t="str">
            <v>Ф.ВІД.ПІБ В М.ЛАДИЖИН ВІН.</v>
          </cell>
          <cell r="K1808" t="str">
            <v>UAAE</v>
          </cell>
          <cell r="L1808" t="str">
            <v>UAA0</v>
          </cell>
          <cell r="M1808">
            <v>1</v>
          </cell>
          <cell r="N1808">
            <v>26</v>
          </cell>
          <cell r="O1808" t="str">
            <v>Управління НБУ у Вінниц.обл</v>
          </cell>
        </row>
        <row r="1809">
          <cell r="A1809">
            <v>302504</v>
          </cell>
          <cell r="B1809">
            <v>300001</v>
          </cell>
          <cell r="D1809">
            <v>0</v>
          </cell>
          <cell r="E1809">
            <v>1</v>
          </cell>
          <cell r="F1809">
            <v>0</v>
          </cell>
          <cell r="G1809" t="str">
            <v>1</v>
          </cell>
          <cell r="H1809">
            <v>150</v>
          </cell>
          <cell r="I1809" t="str">
            <v>УПРАВЛІННЯ НБУ У ВІННИЦЬКІЙ ОБЛАСТІ</v>
          </cell>
          <cell r="J1809" t="str">
            <v>Упр. НБУ у Вінницькій обл.</v>
          </cell>
          <cell r="K1809" t="str">
            <v>UAHA</v>
          </cell>
          <cell r="L1809" t="str">
            <v>UAH0</v>
          </cell>
          <cell r="M1809">
            <v>1</v>
          </cell>
          <cell r="N1809">
            <v>27</v>
          </cell>
          <cell r="O1809" t="str">
            <v>Управління НБУ у Вінниц.обл</v>
          </cell>
        </row>
        <row r="1810">
          <cell r="A1810">
            <v>302515</v>
          </cell>
          <cell r="B1810">
            <v>321228</v>
          </cell>
          <cell r="D1810">
            <v>0</v>
          </cell>
          <cell r="E1810">
            <v>68</v>
          </cell>
          <cell r="F1810">
            <v>0</v>
          </cell>
          <cell r="G1810" t="str">
            <v>8</v>
          </cell>
          <cell r="H1810">
            <v>715</v>
          </cell>
          <cell r="I1810" t="str">
            <v>Ф-Я TOB "УКР.ПРОМИСЛОВИЙ БАНК",ВІННИЦЯ</v>
          </cell>
          <cell r="J1810" t="str">
            <v>Вінниц.ф. ТОВ "УКРПРОМБАНК"</v>
          </cell>
          <cell r="K1810" t="str">
            <v>UAIT</v>
          </cell>
          <cell r="L1810" t="str">
            <v>UAIT</v>
          </cell>
          <cell r="M1810">
            <v>1</v>
          </cell>
          <cell r="N1810">
            <v>26</v>
          </cell>
          <cell r="O1810" t="str">
            <v>Управління НБУ у Вінниц.обл</v>
          </cell>
        </row>
        <row r="1811">
          <cell r="A1811">
            <v>302537</v>
          </cell>
          <cell r="B1811">
            <v>300614</v>
          </cell>
          <cell r="D1811">
            <v>0</v>
          </cell>
          <cell r="E1811">
            <v>171</v>
          </cell>
          <cell r="F1811">
            <v>0</v>
          </cell>
          <cell r="G1811" t="str">
            <v>8</v>
          </cell>
          <cell r="H1811">
            <v>704</v>
          </cell>
          <cell r="I1811" t="str">
            <v>Ф.ВІН.Д.АТ "ІНДЕКС-БАНК" В М.ВІННИЦЯ</v>
          </cell>
          <cell r="J1811" t="str">
            <v>Філ.Він.дир.АТ"ІНДЕКС-БАНК"</v>
          </cell>
          <cell r="K1811" t="str">
            <v>UAIU</v>
          </cell>
          <cell r="L1811" t="str">
            <v>UAIU</v>
          </cell>
          <cell r="M1811">
            <v>1</v>
          </cell>
          <cell r="N1811">
            <v>26</v>
          </cell>
          <cell r="O1811" t="str">
            <v>Управління НБУ у Вінниц.обл</v>
          </cell>
        </row>
        <row r="1812">
          <cell r="A1812">
            <v>302548</v>
          </cell>
          <cell r="B1812">
            <v>300926</v>
          </cell>
          <cell r="D1812">
            <v>0</v>
          </cell>
          <cell r="E1812">
            <v>899</v>
          </cell>
          <cell r="F1812">
            <v>0</v>
          </cell>
          <cell r="G1812" t="str">
            <v>8</v>
          </cell>
          <cell r="H1812">
            <v>705</v>
          </cell>
          <cell r="I1812" t="str">
            <v>ПЕРША ФІЛІЯ АТ "УФГ", М.ВІННИЦЯ</v>
          </cell>
          <cell r="J1812" t="str">
            <v>Перша ФАТ "УФГ", м.Вінниця</v>
          </cell>
          <cell r="K1812" t="str">
            <v>UAW2</v>
          </cell>
          <cell r="L1812" t="str">
            <v>U1WF</v>
          </cell>
          <cell r="M1812">
            <v>1</v>
          </cell>
          <cell r="N1812">
            <v>26</v>
          </cell>
          <cell r="O1812" t="str">
            <v>Управління НБУ у Вінниц.обл</v>
          </cell>
        </row>
        <row r="1813">
          <cell r="A1813">
            <v>302559</v>
          </cell>
          <cell r="B1813">
            <v>321767</v>
          </cell>
          <cell r="D1813">
            <v>0</v>
          </cell>
          <cell r="E1813">
            <v>42</v>
          </cell>
          <cell r="F1813">
            <v>0</v>
          </cell>
          <cell r="G1813" t="str">
            <v>B</v>
          </cell>
          <cell r="H1813">
            <v>706</v>
          </cell>
          <cell r="I1813" t="str">
            <v>ВІННИЦЬКА Ф ВАТ ВТБ БАНК, М.ВІННИЦЯ</v>
          </cell>
          <cell r="J1813" t="str">
            <v>Вінницька Ф ВАТ ВТБ Банк</v>
          </cell>
          <cell r="K1813" t="str">
            <v>UAIN</v>
          </cell>
          <cell r="L1813" t="str">
            <v>UAIN</v>
          </cell>
          <cell r="M1813">
            <v>1</v>
          </cell>
          <cell r="N1813">
            <v>26</v>
          </cell>
          <cell r="O1813" t="str">
            <v>Управління НБУ у Вінниц.обл</v>
          </cell>
        </row>
        <row r="1814">
          <cell r="A1814">
            <v>302560</v>
          </cell>
          <cell r="B1814">
            <v>322959</v>
          </cell>
          <cell r="D1814">
            <v>0</v>
          </cell>
          <cell r="E1814">
            <v>262</v>
          </cell>
          <cell r="F1814">
            <v>0</v>
          </cell>
          <cell r="G1814" t="str">
            <v>8</v>
          </cell>
          <cell r="H1814">
            <v>710</v>
          </cell>
          <cell r="I1814" t="str">
            <v>ЖМЕРИНС. ФІЛ. АБ "ЕКСПР-Б", М.ЖМЕРИНКА</v>
          </cell>
          <cell r="J1814" t="str">
            <v>Жмеринс. філ.АБ "Експр-Банк</v>
          </cell>
          <cell r="K1814" t="str">
            <v>UAIY</v>
          </cell>
          <cell r="L1814" t="str">
            <v>UAIY</v>
          </cell>
          <cell r="M1814">
            <v>1</v>
          </cell>
          <cell r="N1814">
            <v>26</v>
          </cell>
          <cell r="O1814" t="str">
            <v>Управління НБУ у Вінниц.обл</v>
          </cell>
        </row>
        <row r="1815">
          <cell r="A1815">
            <v>302571</v>
          </cell>
          <cell r="B1815">
            <v>300012</v>
          </cell>
          <cell r="D1815">
            <v>0</v>
          </cell>
          <cell r="E1815">
            <v>3</v>
          </cell>
          <cell r="F1815">
            <v>0</v>
          </cell>
          <cell r="G1815" t="str">
            <v>3</v>
          </cell>
          <cell r="H1815">
            <v>304</v>
          </cell>
          <cell r="I1815" t="str">
            <v>Ф."ВІДДІЛЕН.ПРОМІНВЕСТБАНКУ,М.ВІННИЦЯ"</v>
          </cell>
          <cell r="J1815" t="str">
            <v>Ф."ВІДДІЛЕН. ПІБ,М.ВІННИЦЯ"</v>
          </cell>
          <cell r="K1815" t="str">
            <v>UAAA</v>
          </cell>
          <cell r="L1815" t="str">
            <v>UAA0</v>
          </cell>
          <cell r="M1815">
            <v>1</v>
          </cell>
          <cell r="N1815">
            <v>26</v>
          </cell>
          <cell r="O1815" t="str">
            <v>Управління НБУ у Вінниц.обл</v>
          </cell>
        </row>
        <row r="1816">
          <cell r="A1816">
            <v>302623</v>
          </cell>
          <cell r="B1816">
            <v>300863</v>
          </cell>
          <cell r="D1816">
            <v>0</v>
          </cell>
          <cell r="E1816">
            <v>289</v>
          </cell>
          <cell r="F1816">
            <v>0</v>
          </cell>
          <cell r="G1816" t="str">
            <v>9</v>
          </cell>
          <cell r="H1816">
            <v>713</v>
          </cell>
          <cell r="I1816" t="str">
            <v>ФІЛІЯ ВАТ "КРЕДИТПРОМБАНК", М.ВІННИЦЯ</v>
          </cell>
          <cell r="J1816" t="str">
            <v>Вінн.ФВАТ "КРЕДИТПРОМБАНК"</v>
          </cell>
          <cell r="K1816" t="str">
            <v>UAIC</v>
          </cell>
          <cell r="L1816" t="str">
            <v>UAIC</v>
          </cell>
          <cell r="M1816">
            <v>1</v>
          </cell>
          <cell r="N1816">
            <v>26</v>
          </cell>
          <cell r="O1816" t="str">
            <v>Управління НБУ у Вінниц.обл</v>
          </cell>
        </row>
        <row r="1817">
          <cell r="A1817">
            <v>302689</v>
          </cell>
          <cell r="B1817">
            <v>305299</v>
          </cell>
          <cell r="D1817">
            <v>0</v>
          </cell>
          <cell r="E1817">
            <v>46</v>
          </cell>
          <cell r="F1817">
            <v>0</v>
          </cell>
          <cell r="G1817" t="str">
            <v>A</v>
          </cell>
          <cell r="H1817">
            <v>764</v>
          </cell>
          <cell r="I1817" t="str">
            <v>ВІННИЦЬКА ФІЛІЯ ПРИВАТБАНКУ, М.ВІННИЦЯ</v>
          </cell>
          <cell r="J1817" t="str">
            <v>Вінницька філія ПриватБанку</v>
          </cell>
          <cell r="K1817" t="str">
            <v>UAIO</v>
          </cell>
          <cell r="L1817" t="str">
            <v>UAIO</v>
          </cell>
          <cell r="M1817">
            <v>1</v>
          </cell>
          <cell r="N1817">
            <v>3</v>
          </cell>
          <cell r="O1817" t="str">
            <v>Управління НБУ у Вінниц.обл</v>
          </cell>
        </row>
        <row r="1818">
          <cell r="A1818">
            <v>302690</v>
          </cell>
          <cell r="B1818">
            <v>328384</v>
          </cell>
          <cell r="D1818">
            <v>0</v>
          </cell>
          <cell r="E1818">
            <v>258</v>
          </cell>
          <cell r="F1818">
            <v>0</v>
          </cell>
          <cell r="G1818" t="str">
            <v>8</v>
          </cell>
          <cell r="H1818">
            <v>723</v>
          </cell>
          <cell r="I1818" t="str">
            <v>ФІЛІЯ  АКБ "ІМЕКСБАНК", М.ВІННИЦІ</v>
          </cell>
          <cell r="J1818" t="str">
            <v>ВІННИЦЬКАФ АКБ "ІМЕКСБАНК"</v>
          </cell>
          <cell r="K1818" t="str">
            <v>UAJD</v>
          </cell>
          <cell r="L1818" t="str">
            <v>UAJD</v>
          </cell>
          <cell r="M1818">
            <v>1</v>
          </cell>
          <cell r="N1818">
            <v>15</v>
          </cell>
          <cell r="O1818" t="str">
            <v>Управління НБУ у Вінниц.обл</v>
          </cell>
        </row>
        <row r="1819">
          <cell r="A1819">
            <v>302708</v>
          </cell>
          <cell r="B1819">
            <v>300658</v>
          </cell>
          <cell r="D1819">
            <v>0</v>
          </cell>
          <cell r="E1819">
            <v>251</v>
          </cell>
          <cell r="F1819">
            <v>0</v>
          </cell>
          <cell r="G1819" t="str">
            <v>B</v>
          </cell>
          <cell r="H1819">
            <v>734</v>
          </cell>
          <cell r="I1819" t="str">
            <v>ВФ ВАТ "ПІРЕУС БАНК МКБ", М.ВІННИЦЯ</v>
          </cell>
          <cell r="J1819" t="str">
            <v>ВФ ВАТ "ПІРЕУС БАНК МКБ"</v>
          </cell>
          <cell r="K1819" t="str">
            <v>UAJF</v>
          </cell>
          <cell r="L1819" t="str">
            <v>UAJF</v>
          </cell>
          <cell r="M1819">
            <v>1</v>
          </cell>
          <cell r="N1819">
            <v>26</v>
          </cell>
          <cell r="O1819" t="str">
            <v>Управління НБУ у Вінниц.обл</v>
          </cell>
        </row>
        <row r="1820">
          <cell r="A1820">
            <v>302719</v>
          </cell>
          <cell r="B1820">
            <v>300249</v>
          </cell>
          <cell r="D1820">
            <v>0</v>
          </cell>
          <cell r="E1820">
            <v>37</v>
          </cell>
          <cell r="F1820">
            <v>0</v>
          </cell>
          <cell r="G1820" t="str">
            <v>8</v>
          </cell>
          <cell r="H1820">
            <v>748</v>
          </cell>
          <cell r="I1820" t="str">
            <v>ФІЛІЯ АБ "БРОКБІЗНЕСБАНК", М.ВІННИЦЯ</v>
          </cell>
          <cell r="J1820" t="str">
            <v>Вінницька Ф"БРОКБІЗНЕСБАНК"</v>
          </cell>
          <cell r="K1820" t="str">
            <v>UAKF</v>
          </cell>
          <cell r="L1820" t="str">
            <v>UAKF</v>
          </cell>
          <cell r="M1820">
            <v>1</v>
          </cell>
          <cell r="N1820">
            <v>26</v>
          </cell>
          <cell r="O1820" t="str">
            <v>Управління НБУ у Вінниц.обл</v>
          </cell>
        </row>
        <row r="1821">
          <cell r="A1821">
            <v>302720</v>
          </cell>
          <cell r="B1821">
            <v>300528</v>
          </cell>
          <cell r="D1821">
            <v>0</v>
          </cell>
          <cell r="E1821">
            <v>296</v>
          </cell>
          <cell r="F1821">
            <v>0</v>
          </cell>
          <cell r="G1821" t="str">
            <v>F</v>
          </cell>
          <cell r="H1821">
            <v>765</v>
          </cell>
          <cell r="I1821" t="str">
            <v>ФІЛІЯ ЗАТ "ОТП БАНК" В М.ВІННИЦЯ</v>
          </cell>
          <cell r="J1821" t="str">
            <v>Філія ЗАТ "ОТП Банк"</v>
          </cell>
          <cell r="K1821" t="str">
            <v>UAKJ</v>
          </cell>
          <cell r="L1821" t="str">
            <v>UAKJ</v>
          </cell>
          <cell r="M1821">
            <v>1</v>
          </cell>
          <cell r="N1821">
            <v>26</v>
          </cell>
          <cell r="O1821" t="str">
            <v>Управління НБУ у Вінниц.обл</v>
          </cell>
        </row>
        <row r="1822">
          <cell r="A1822">
            <v>302731</v>
          </cell>
          <cell r="B1822">
            <v>300272</v>
          </cell>
          <cell r="D1822">
            <v>0</v>
          </cell>
          <cell r="E1822">
            <v>31</v>
          </cell>
          <cell r="F1822">
            <v>0</v>
          </cell>
          <cell r="G1822" t="str">
            <v>B</v>
          </cell>
          <cell r="H1822">
            <v>708</v>
          </cell>
          <cell r="I1822" t="str">
            <v>ФІЛІЯ АБ "ЕНЕРГОБАНК" В М.ВІННИЦІ</v>
          </cell>
          <cell r="J1822" t="str">
            <v>ФАБ "Енергобанк"в м.Вінниці</v>
          </cell>
          <cell r="K1822" t="str">
            <v>UAIL</v>
          </cell>
          <cell r="L1822" t="str">
            <v>UAIL</v>
          </cell>
          <cell r="M1822">
            <v>1</v>
          </cell>
          <cell r="N1822">
            <v>26</v>
          </cell>
          <cell r="O1822" t="str">
            <v>Управління НБУ у Вінниц.обл</v>
          </cell>
        </row>
        <row r="1823">
          <cell r="A1823">
            <v>302753</v>
          </cell>
          <cell r="B1823">
            <v>320478</v>
          </cell>
          <cell r="D1823">
            <v>0</v>
          </cell>
          <cell r="E1823">
            <v>274</v>
          </cell>
          <cell r="F1823">
            <v>0</v>
          </cell>
          <cell r="G1823" t="str">
            <v>8</v>
          </cell>
          <cell r="H1823">
            <v>784</v>
          </cell>
          <cell r="I1823" t="str">
            <v>ФІЛІЯ ВАТ АБ "УКРГАЗБАНК", М.ВІННИЦЯ</v>
          </cell>
          <cell r="J1823" t="str">
            <v>Він. Філ ВАТ АБ"Укргазбанк"</v>
          </cell>
          <cell r="K1823" t="str">
            <v>UAKK</v>
          </cell>
          <cell r="L1823" t="str">
            <v>UAKK</v>
          </cell>
          <cell r="M1823">
            <v>1</v>
          </cell>
          <cell r="N1823">
            <v>26</v>
          </cell>
          <cell r="O1823" t="str">
            <v>Управління НБУ у Вінниц.обл</v>
          </cell>
        </row>
        <row r="1824">
          <cell r="A1824">
            <v>302775</v>
          </cell>
          <cell r="B1824">
            <v>325912</v>
          </cell>
          <cell r="D1824">
            <v>0</v>
          </cell>
          <cell r="E1824">
            <v>88</v>
          </cell>
          <cell r="F1824">
            <v>0</v>
          </cell>
          <cell r="G1824" t="str">
            <v>B</v>
          </cell>
          <cell r="H1824">
            <v>503</v>
          </cell>
          <cell r="I1824" t="str">
            <v>Вінницька філія ВАТ "КРЕДОБАНК"</v>
          </cell>
          <cell r="J1824" t="str">
            <v>Вінницька ф. ВАТ"КРЕДОБАНК"</v>
          </cell>
          <cell r="K1824" t="str">
            <v>UAFE</v>
          </cell>
          <cell r="L1824" t="str">
            <v>UAFE</v>
          </cell>
          <cell r="M1824">
            <v>1</v>
          </cell>
          <cell r="N1824">
            <v>13</v>
          </cell>
          <cell r="O1824" t="str">
            <v>Управління НБУ у Вінниц.обл</v>
          </cell>
        </row>
        <row r="1825">
          <cell r="A1825">
            <v>302786</v>
          </cell>
          <cell r="B1825">
            <v>300670</v>
          </cell>
          <cell r="D1825">
            <v>0</v>
          </cell>
          <cell r="E1825">
            <v>202</v>
          </cell>
          <cell r="F1825">
            <v>0</v>
          </cell>
          <cell r="G1825" t="str">
            <v>8</v>
          </cell>
          <cell r="H1825">
            <v>716</v>
          </cell>
          <cell r="I1825" t="str">
            <v>ФІЛІЯ ВАТ КБ "ХРЕЩАТИК", М.ВІННИЦЯ</v>
          </cell>
          <cell r="J1825" t="str">
            <v>Вінниц.ф-я ВАТ КБ"Хрещатик"</v>
          </cell>
          <cell r="K1825" t="str">
            <v>UAJM</v>
          </cell>
          <cell r="L1825" t="str">
            <v>UAJM</v>
          </cell>
          <cell r="M1825">
            <v>1</v>
          </cell>
          <cell r="N1825">
            <v>26</v>
          </cell>
          <cell r="O1825" t="str">
            <v>Управління НБУ у Вінниц.обл</v>
          </cell>
        </row>
        <row r="1826">
          <cell r="A1826">
            <v>302805</v>
          </cell>
          <cell r="B1826">
            <v>319092</v>
          </cell>
          <cell r="D1826">
            <v>0</v>
          </cell>
          <cell r="E1826">
            <v>280</v>
          </cell>
          <cell r="F1826">
            <v>0</v>
          </cell>
          <cell r="G1826" t="str">
            <v>B</v>
          </cell>
          <cell r="H1826">
            <v>903</v>
          </cell>
          <cell r="I1826" t="str">
            <v>ВФ АБ "КИЇВСЬКА РУСЬ" М.ВІННИЦЯ</v>
          </cell>
          <cell r="J1826" t="str">
            <v>Вінницька ФАБ "КР"</v>
          </cell>
          <cell r="K1826" t="str">
            <v>UAFF</v>
          </cell>
          <cell r="L1826" t="str">
            <v>UAFF</v>
          </cell>
          <cell r="M1826">
            <v>1</v>
          </cell>
          <cell r="N1826">
            <v>26</v>
          </cell>
          <cell r="O1826" t="str">
            <v>Управління НБУ у Вінниц.обл</v>
          </cell>
        </row>
        <row r="1827">
          <cell r="A1827">
            <v>302816</v>
          </cell>
          <cell r="B1827">
            <v>322948</v>
          </cell>
          <cell r="D1827">
            <v>0</v>
          </cell>
          <cell r="E1827">
            <v>248</v>
          </cell>
          <cell r="F1827">
            <v>0</v>
          </cell>
          <cell r="G1827" t="str">
            <v>B</v>
          </cell>
          <cell r="H1827">
            <v>745</v>
          </cell>
          <cell r="I1827" t="str">
            <v>ВІННИЦЬКА ФІЛІЯ АКБ "ФОРУМ" М.ВІННИЦЯ</v>
          </cell>
          <cell r="J1827" t="str">
            <v>Вінницька філія АКБ "Форум"</v>
          </cell>
          <cell r="K1827" t="str">
            <v>UAKI</v>
          </cell>
          <cell r="L1827" t="str">
            <v>UAKI</v>
          </cell>
          <cell r="M1827">
            <v>1</v>
          </cell>
          <cell r="N1827">
            <v>26</v>
          </cell>
          <cell r="O1827" t="str">
            <v>Управління НБУ у Вінниц.обл</v>
          </cell>
        </row>
        <row r="1828">
          <cell r="A1828">
            <v>302861</v>
          </cell>
          <cell r="B1828">
            <v>322658</v>
          </cell>
          <cell r="D1828">
            <v>0</v>
          </cell>
          <cell r="E1828">
            <v>217</v>
          </cell>
          <cell r="F1828">
            <v>0</v>
          </cell>
          <cell r="G1828" t="str">
            <v>8</v>
          </cell>
          <cell r="H1828">
            <v>740</v>
          </cell>
          <cell r="I1828" t="str">
            <v>ВІННИЦЬКА ФІЛІЯ АКБ "СЄБ", М.ВІННИЦЯ</v>
          </cell>
          <cell r="J1828" t="str">
            <v>Вінницька філія АКБ "СЄБ"</v>
          </cell>
          <cell r="K1828" t="str">
            <v>UAKG</v>
          </cell>
          <cell r="L1828" t="str">
            <v>UAKG</v>
          </cell>
          <cell r="M1828">
            <v>1</v>
          </cell>
          <cell r="N1828">
            <v>26</v>
          </cell>
          <cell r="O1828" t="str">
            <v>Управління НБУ у Вінниц.обл</v>
          </cell>
        </row>
        <row r="1829">
          <cell r="A1829">
            <v>302894</v>
          </cell>
          <cell r="B1829">
            <v>320702</v>
          </cell>
          <cell r="D1829">
            <v>0</v>
          </cell>
          <cell r="E1829">
            <v>277</v>
          </cell>
          <cell r="F1829">
            <v>0</v>
          </cell>
          <cell r="G1829" t="str">
            <v>8</v>
          </cell>
          <cell r="H1829">
            <v>701</v>
          </cell>
          <cell r="I1829" t="str">
            <v>ФАКБ"НАЦ.КРЕДИТ"В.М.КОЗЯТИН</v>
          </cell>
          <cell r="J1829" t="str">
            <v>ФАКБ"НК" в Козятин</v>
          </cell>
          <cell r="K1829" t="str">
            <v>UAIP</v>
          </cell>
          <cell r="L1829" t="str">
            <v>UAIP</v>
          </cell>
          <cell r="M1829">
            <v>1</v>
          </cell>
          <cell r="N1829">
            <v>26</v>
          </cell>
          <cell r="O1829" t="str">
            <v>Управління НБУ у Вінниц.обл</v>
          </cell>
        </row>
        <row r="1830">
          <cell r="A1830">
            <v>303008</v>
          </cell>
          <cell r="B1830">
            <v>321228</v>
          </cell>
          <cell r="D1830">
            <v>0</v>
          </cell>
          <cell r="E1830">
            <v>68</v>
          </cell>
          <cell r="F1830">
            <v>0</v>
          </cell>
          <cell r="G1830" t="str">
            <v>8</v>
          </cell>
          <cell r="H1830">
            <v>734</v>
          </cell>
          <cell r="I1830" t="str">
            <v>ВОЛ.Ф.ТОВ "УКРПРОМБАНК", М.ЛУЦЬК</v>
          </cell>
          <cell r="J1830" t="str">
            <v>Волин.ф. ТОВ "УКРПРОМБАНК"</v>
          </cell>
          <cell r="K1830" t="str">
            <v>UBJL</v>
          </cell>
          <cell r="L1830" t="str">
            <v>UBJL</v>
          </cell>
          <cell r="M1830">
            <v>2</v>
          </cell>
          <cell r="N1830">
            <v>26</v>
          </cell>
          <cell r="O1830" t="str">
            <v>Упр. НБУ у Волинській обл.</v>
          </cell>
        </row>
        <row r="1831">
          <cell r="A1831">
            <v>303019</v>
          </cell>
          <cell r="B1831">
            <v>300023</v>
          </cell>
          <cell r="D1831">
            <v>0</v>
          </cell>
          <cell r="E1831">
            <v>5</v>
          </cell>
          <cell r="F1831">
            <v>0</v>
          </cell>
          <cell r="G1831" t="str">
            <v>5</v>
          </cell>
          <cell r="H1831">
            <v>504</v>
          </cell>
          <cell r="I1831" t="str">
            <v>ВОЛИНЬ.ОФ АКБ"УСБ" М. ЛУЦЬК</v>
          </cell>
          <cell r="J1831" t="str">
            <v>Волинь.обл.філія АКБ"УСБ"</v>
          </cell>
          <cell r="K1831" t="str">
            <v>UBCA</v>
          </cell>
          <cell r="L1831" t="str">
            <v>UBCA</v>
          </cell>
          <cell r="M1831">
            <v>2</v>
          </cell>
          <cell r="N1831">
            <v>26</v>
          </cell>
          <cell r="O1831" t="str">
            <v>Упр. НБУ у Волинській обл.</v>
          </cell>
        </row>
        <row r="1832">
          <cell r="A1832">
            <v>303020</v>
          </cell>
          <cell r="B1832">
            <v>300001</v>
          </cell>
          <cell r="D1832">
            <v>0</v>
          </cell>
          <cell r="E1832">
            <v>1</v>
          </cell>
          <cell r="F1832">
            <v>0</v>
          </cell>
          <cell r="G1832" t="str">
            <v>1</v>
          </cell>
          <cell r="H1832">
            <v>101</v>
          </cell>
          <cell r="I1832" t="str">
            <v>УПРАВЛІННЯ НБУ У ВОЛИНСЬКІЙ ОБЛАСТІ</v>
          </cell>
          <cell r="J1832" t="str">
            <v>Упр. НБУ у Волинській обл.</v>
          </cell>
          <cell r="K1832" t="str">
            <v>UBHA</v>
          </cell>
          <cell r="L1832" t="str">
            <v>UBH0</v>
          </cell>
          <cell r="M1832">
            <v>2</v>
          </cell>
          <cell r="N1832">
            <v>27</v>
          </cell>
          <cell r="O1832" t="str">
            <v>Упр. НБУ у Волинській обл.</v>
          </cell>
        </row>
        <row r="1833">
          <cell r="A1833">
            <v>303138</v>
          </cell>
          <cell r="B1833">
            <v>300012</v>
          </cell>
          <cell r="D1833">
            <v>0</v>
          </cell>
          <cell r="E1833">
            <v>3</v>
          </cell>
          <cell r="F1833">
            <v>0</v>
          </cell>
          <cell r="G1833" t="str">
            <v>3</v>
          </cell>
          <cell r="H1833">
            <v>301</v>
          </cell>
          <cell r="I1833" t="str">
            <v>Ф."ВІДДІЛЕННЯ ПРОМІНВЕСТБАНКУ,М.ЛУЦЬК"</v>
          </cell>
          <cell r="J1833" t="str">
            <v>Ф."ВІДДІЛЕННЯ ПІБ, М.ЛУЦЬК"</v>
          </cell>
          <cell r="K1833" t="str">
            <v>UBAA</v>
          </cell>
          <cell r="L1833" t="str">
            <v>UBA0</v>
          </cell>
          <cell r="M1833">
            <v>2</v>
          </cell>
          <cell r="N1833">
            <v>26</v>
          </cell>
          <cell r="O1833" t="str">
            <v>Упр. НБУ у Волинській обл.</v>
          </cell>
        </row>
        <row r="1834">
          <cell r="A1834">
            <v>303194</v>
          </cell>
          <cell r="B1834">
            <v>300012</v>
          </cell>
          <cell r="D1834">
            <v>0</v>
          </cell>
          <cell r="E1834">
            <v>3</v>
          </cell>
          <cell r="F1834">
            <v>0</v>
          </cell>
          <cell r="G1834" t="str">
            <v>3</v>
          </cell>
          <cell r="H1834">
            <v>307</v>
          </cell>
          <cell r="I1834" t="str">
            <v>Ф."ВІД.ПІБ В М.КОВЕЛЬ ВОЛИНСЬКОЇ ОБЛ."</v>
          </cell>
          <cell r="J1834" t="str">
            <v>ФІЛІЯ ВІД.ПІБ В М.КОВЕЛЬ</v>
          </cell>
          <cell r="K1834" t="str">
            <v>UBAB</v>
          </cell>
          <cell r="L1834" t="str">
            <v>UBA0</v>
          </cell>
          <cell r="M1834">
            <v>2</v>
          </cell>
          <cell r="N1834">
            <v>26</v>
          </cell>
          <cell r="O1834" t="str">
            <v>Упр. НБУ у Волинській обл.</v>
          </cell>
        </row>
        <row r="1835">
          <cell r="A1835">
            <v>303224</v>
          </cell>
          <cell r="B1835">
            <v>325912</v>
          </cell>
          <cell r="D1835">
            <v>0</v>
          </cell>
          <cell r="E1835">
            <v>88</v>
          </cell>
          <cell r="F1835">
            <v>0</v>
          </cell>
          <cell r="G1835" t="str">
            <v>B</v>
          </cell>
          <cell r="H1835">
            <v>701</v>
          </cell>
          <cell r="I1835" t="str">
            <v>Волинська філія ВАТ "КРЕДОБАНК"</v>
          </cell>
          <cell r="J1835" t="str">
            <v>Волинська Ф.ВАТ "КРЕДОБАНК"</v>
          </cell>
          <cell r="K1835" t="str">
            <v>UBIA</v>
          </cell>
          <cell r="L1835" t="str">
            <v>UBIA</v>
          </cell>
          <cell r="M1835">
            <v>2</v>
          </cell>
          <cell r="N1835">
            <v>13</v>
          </cell>
          <cell r="O1835" t="str">
            <v>Упр. НБУ у Волинській обл.</v>
          </cell>
        </row>
        <row r="1836">
          <cell r="A1836">
            <v>303279</v>
          </cell>
          <cell r="B1836">
            <v>300078</v>
          </cell>
          <cell r="D1836">
            <v>0</v>
          </cell>
          <cell r="E1836">
            <v>15</v>
          </cell>
          <cell r="F1836">
            <v>0</v>
          </cell>
          <cell r="G1836" t="str">
            <v>8</v>
          </cell>
          <cell r="H1836">
            <v>706</v>
          </cell>
          <cell r="I1836" t="str">
            <v>ЛУЦЬКА ФІЛІЯ АКБ "ГРАДОБАНК", М.ЛУЦЬК</v>
          </cell>
          <cell r="J1836" t="str">
            <v>АКБ "ГРАДОБАНК"Луцька ф-я</v>
          </cell>
          <cell r="K1836" t="str">
            <v>UBIF</v>
          </cell>
          <cell r="L1836" t="str">
            <v>UBIF</v>
          </cell>
          <cell r="M1836">
            <v>2</v>
          </cell>
          <cell r="N1836">
            <v>26</v>
          </cell>
          <cell r="O1836" t="str">
            <v>Упр. НБУ у Волинській обл.</v>
          </cell>
        </row>
        <row r="1837">
          <cell r="A1837">
            <v>303310</v>
          </cell>
          <cell r="B1837">
            <v>300012</v>
          </cell>
          <cell r="D1837">
            <v>0</v>
          </cell>
          <cell r="E1837">
            <v>3</v>
          </cell>
          <cell r="F1837">
            <v>0</v>
          </cell>
          <cell r="G1837" t="str">
            <v>3</v>
          </cell>
          <cell r="H1837">
            <v>303</v>
          </cell>
          <cell r="I1837" t="str">
            <v>Ф."В.ПІБ В М.НОВОВОЛИНСЬК ВОЛИНС.ОБЛ."</v>
          </cell>
          <cell r="J1837" t="str">
            <v>Ф. ВІД.ПІБ В М.НОВОВОЛИНСЬК</v>
          </cell>
          <cell r="K1837" t="str">
            <v>UBAC</v>
          </cell>
          <cell r="L1837" t="str">
            <v>UBA0</v>
          </cell>
          <cell r="M1837">
            <v>2</v>
          </cell>
          <cell r="N1837">
            <v>26</v>
          </cell>
          <cell r="O1837" t="str">
            <v>Упр. НБУ у Волинській обл.</v>
          </cell>
        </row>
        <row r="1838">
          <cell r="A1838">
            <v>303343</v>
          </cell>
          <cell r="B1838">
            <v>300142</v>
          </cell>
          <cell r="D1838">
            <v>0</v>
          </cell>
          <cell r="E1838">
            <v>18</v>
          </cell>
          <cell r="F1838">
            <v>0</v>
          </cell>
          <cell r="G1838" t="str">
            <v>8</v>
          </cell>
          <cell r="H1838">
            <v>726</v>
          </cell>
          <cell r="I1838" t="str">
            <v>ЛУЦЬКА ФАТ "УКРІНБАНК" М.ЛУЦЬК</v>
          </cell>
          <cell r="J1838" t="str">
            <v>Луцька ФАТ "Укрінбанк"</v>
          </cell>
          <cell r="K1838" t="str">
            <v>UBIZ</v>
          </cell>
          <cell r="L1838" t="str">
            <v>UBIZ</v>
          </cell>
          <cell r="M1838">
            <v>2</v>
          </cell>
          <cell r="N1838">
            <v>26</v>
          </cell>
          <cell r="O1838" t="str">
            <v>Упр. НБУ у Волинській обл.</v>
          </cell>
        </row>
        <row r="1839">
          <cell r="A1839">
            <v>303398</v>
          </cell>
          <cell r="B1839">
            <v>300465</v>
          </cell>
          <cell r="D1839">
            <v>0</v>
          </cell>
          <cell r="E1839">
            <v>6</v>
          </cell>
          <cell r="F1839">
            <v>0</v>
          </cell>
          <cell r="G1839" t="str">
            <v>6</v>
          </cell>
          <cell r="H1839">
            <v>604</v>
          </cell>
          <cell r="I1839" t="str">
            <v>ФВОЛИНСЬКЕ ОБЛАСНЕ УПР ВАТОЩАД М.ЛУЦЬК</v>
          </cell>
          <cell r="J1839" t="str">
            <v>ФВолинське обласне уВАТОщад</v>
          </cell>
          <cell r="K1839" t="str">
            <v>UBLA</v>
          </cell>
          <cell r="L1839" t="str">
            <v>UBLA</v>
          </cell>
          <cell r="M1839">
            <v>2</v>
          </cell>
          <cell r="N1839">
            <v>26</v>
          </cell>
          <cell r="O1839" t="str">
            <v>Упр. НБУ у Волинській обл.</v>
          </cell>
        </row>
        <row r="1840">
          <cell r="A1840">
            <v>303440</v>
          </cell>
          <cell r="B1840">
            <v>305299</v>
          </cell>
          <cell r="D1840">
            <v>0</v>
          </cell>
          <cell r="E1840">
            <v>46</v>
          </cell>
          <cell r="F1840">
            <v>0</v>
          </cell>
          <cell r="G1840" t="str">
            <v>A</v>
          </cell>
          <cell r="H1840">
            <v>707</v>
          </cell>
          <cell r="I1840" t="str">
            <v>ВОЛИНСЬКЕ ГРУ ПРИВАТБАНКУ, М.ЛУЦЬК</v>
          </cell>
          <cell r="J1840" t="str">
            <v>Волинське ГРУ Приватбанку</v>
          </cell>
          <cell r="K1840" t="str">
            <v>UBIG</v>
          </cell>
          <cell r="L1840" t="str">
            <v>UBIG</v>
          </cell>
          <cell r="M1840">
            <v>2</v>
          </cell>
          <cell r="N1840">
            <v>3</v>
          </cell>
          <cell r="O1840" t="str">
            <v>Упр. НБУ у Волинській обл.</v>
          </cell>
        </row>
        <row r="1841">
          <cell r="A1841">
            <v>303473</v>
          </cell>
          <cell r="B1841">
            <v>321767</v>
          </cell>
          <cell r="D1841">
            <v>0</v>
          </cell>
          <cell r="E1841">
            <v>42</v>
          </cell>
          <cell r="F1841">
            <v>0</v>
          </cell>
          <cell r="G1841" t="str">
            <v>B</v>
          </cell>
          <cell r="H1841">
            <v>739</v>
          </cell>
          <cell r="I1841" t="str">
            <v>ЛУЦЬКА Ф ВАТ ВТБ БАНК, М.ЛУЦЬК</v>
          </cell>
          <cell r="J1841" t="str">
            <v>Луцька філія ВАТ ВТБ Банк</v>
          </cell>
          <cell r="K1841" t="str">
            <v>UBJE</v>
          </cell>
          <cell r="L1841" t="str">
            <v>UBJE</v>
          </cell>
          <cell r="M1841">
            <v>2</v>
          </cell>
          <cell r="N1841">
            <v>26</v>
          </cell>
          <cell r="O1841" t="str">
            <v>Упр. НБУ у Волинській обл.</v>
          </cell>
        </row>
        <row r="1842">
          <cell r="A1842">
            <v>303484</v>
          </cell>
          <cell r="B1842">
            <v>303484</v>
          </cell>
          <cell r="C1842" t="str">
            <v>КБ "Західінкомбанк" ТзОВ</v>
          </cell>
          <cell r="D1842">
            <v>273</v>
          </cell>
          <cell r="E1842">
            <v>273</v>
          </cell>
          <cell r="F1842">
            <v>0</v>
          </cell>
          <cell r="G1842" t="str">
            <v>8</v>
          </cell>
          <cell r="H1842">
            <v>727</v>
          </cell>
          <cell r="I1842" t="str">
            <v>ТЗОВ КБ "ЗАХІДІНКОМБАНК", М.ЛУЦЬК</v>
          </cell>
          <cell r="J1842" t="str">
            <v>КБ "Західінкомбанк" ТзОВ</v>
          </cell>
          <cell r="K1842" t="str">
            <v>UBJA</v>
          </cell>
          <cell r="L1842" t="str">
            <v>UBJA</v>
          </cell>
          <cell r="M1842">
            <v>2</v>
          </cell>
          <cell r="N1842">
            <v>2</v>
          </cell>
          <cell r="O1842" t="str">
            <v>Упр. НБУ у Волинській обл.</v>
          </cell>
        </row>
        <row r="1843">
          <cell r="A1843">
            <v>303525</v>
          </cell>
          <cell r="B1843">
            <v>320003</v>
          </cell>
          <cell r="D1843">
            <v>0</v>
          </cell>
          <cell r="E1843">
            <v>225</v>
          </cell>
          <cell r="F1843">
            <v>0</v>
          </cell>
          <cell r="G1843" t="str">
            <v>B</v>
          </cell>
          <cell r="H1843">
            <v>731</v>
          </cell>
          <cell r="I1843" t="str">
            <v>Ф ВАТ КБ"НАДРА" ЛУЦЬКЕ РУ М. ЛУЦЬК</v>
          </cell>
          <cell r="J1843" t="str">
            <v>ВАТКБ"Надра"Луцьке РУ</v>
          </cell>
          <cell r="K1843" t="str">
            <v>UBJG</v>
          </cell>
          <cell r="L1843" t="str">
            <v>UBJG</v>
          </cell>
          <cell r="M1843">
            <v>2</v>
          </cell>
          <cell r="N1843">
            <v>26</v>
          </cell>
          <cell r="O1843" t="str">
            <v>Упр. НБУ у Волинській обл.</v>
          </cell>
        </row>
        <row r="1844">
          <cell r="A1844">
            <v>303536</v>
          </cell>
          <cell r="B1844">
            <v>303536</v>
          </cell>
          <cell r="C1844" t="str">
            <v>УніКредит Банк ТзОВ</v>
          </cell>
          <cell r="D1844">
            <v>287</v>
          </cell>
          <cell r="E1844">
            <v>287</v>
          </cell>
          <cell r="F1844">
            <v>0</v>
          </cell>
          <cell r="G1844" t="str">
            <v>9</v>
          </cell>
          <cell r="H1844">
            <v>729</v>
          </cell>
          <cell r="I1844" t="str">
            <v>УНІКРЕДИТ БАНК ТЗОВ, М.ЛУЦЬК</v>
          </cell>
          <cell r="J1844" t="str">
            <v>УніКредит Банк ТзОВ</v>
          </cell>
          <cell r="K1844" t="str">
            <v>UBJC</v>
          </cell>
          <cell r="L1844" t="str">
            <v>UBJC</v>
          </cell>
          <cell r="M1844">
            <v>2</v>
          </cell>
          <cell r="N1844">
            <v>2</v>
          </cell>
          <cell r="O1844" t="str">
            <v>Упр. НБУ у Волинській обл.</v>
          </cell>
        </row>
        <row r="1845">
          <cell r="A1845">
            <v>303547</v>
          </cell>
          <cell r="B1845">
            <v>322313</v>
          </cell>
          <cell r="D1845">
            <v>0</v>
          </cell>
          <cell r="E1845">
            <v>2</v>
          </cell>
          <cell r="F1845">
            <v>0</v>
          </cell>
          <cell r="G1845" t="str">
            <v>2</v>
          </cell>
          <cell r="H1845">
            <v>209</v>
          </cell>
          <cell r="I1845" t="str">
            <v>Ф-Я ВАТ "УКРЕКСІМБАНК",ЛУЦЬК</v>
          </cell>
          <cell r="J1845" t="str">
            <v>Ф-я Укрексімбанк, Луцьк</v>
          </cell>
          <cell r="K1845" t="str">
            <v>UBGB</v>
          </cell>
          <cell r="L1845" t="str">
            <v>UBGB</v>
          </cell>
          <cell r="M1845">
            <v>2</v>
          </cell>
          <cell r="N1845">
            <v>26</v>
          </cell>
          <cell r="O1845" t="str">
            <v>Упр. НБУ у Волинській обл.</v>
          </cell>
        </row>
        <row r="1846">
          <cell r="A1846">
            <v>303569</v>
          </cell>
          <cell r="B1846">
            <v>300335</v>
          </cell>
          <cell r="D1846">
            <v>0</v>
          </cell>
          <cell r="E1846">
            <v>36</v>
          </cell>
          <cell r="F1846">
            <v>0</v>
          </cell>
          <cell r="G1846" t="str">
            <v>7</v>
          </cell>
          <cell r="H1846">
            <v>722</v>
          </cell>
          <cell r="I1846" t="str">
            <v>ВОД ВАТ"РАЙФФАЙЗЕН БАНК АВАЛЬ",М.ЛУЦЬК</v>
          </cell>
          <cell r="J1846" t="str">
            <v>ОДВАТ"Райффайзен Банк Аваль</v>
          </cell>
          <cell r="K1846" t="str">
            <v>UBIV</v>
          </cell>
          <cell r="L1846" t="str">
            <v>UBIV</v>
          </cell>
          <cell r="M1846">
            <v>2</v>
          </cell>
          <cell r="N1846">
            <v>26</v>
          </cell>
          <cell r="O1846" t="str">
            <v>Упр. НБУ у Волинській обл.</v>
          </cell>
        </row>
        <row r="1847">
          <cell r="A1847">
            <v>303592</v>
          </cell>
          <cell r="B1847">
            <v>300249</v>
          </cell>
          <cell r="D1847">
            <v>0</v>
          </cell>
          <cell r="E1847">
            <v>37</v>
          </cell>
          <cell r="F1847">
            <v>0</v>
          </cell>
          <cell r="G1847" t="str">
            <v>8</v>
          </cell>
          <cell r="H1847">
            <v>738</v>
          </cell>
          <cell r="I1847" t="str">
            <v>ВОЛИНС.Ф. АБ "БРОКБІЗНЕСБАНК", М.ЛУЦЬК</v>
          </cell>
          <cell r="J1847" t="str">
            <v>Волин.ф.АБ "Брокбізнесбанк"</v>
          </cell>
          <cell r="K1847" t="str">
            <v>UBJH</v>
          </cell>
          <cell r="L1847" t="str">
            <v>UBJH</v>
          </cell>
          <cell r="M1847">
            <v>2</v>
          </cell>
          <cell r="N1847">
            <v>26</v>
          </cell>
          <cell r="O1847" t="str">
            <v>Упр. НБУ у Волинській обл.</v>
          </cell>
        </row>
        <row r="1848">
          <cell r="A1848">
            <v>303633</v>
          </cell>
          <cell r="B1848">
            <v>300614</v>
          </cell>
          <cell r="D1848">
            <v>0</v>
          </cell>
          <cell r="E1848">
            <v>171</v>
          </cell>
          <cell r="F1848">
            <v>0</v>
          </cell>
          <cell r="G1848" t="str">
            <v>8</v>
          </cell>
          <cell r="H1848">
            <v>768</v>
          </cell>
          <cell r="I1848" t="str">
            <v>Ф.ВОЛИН.ДИР.АТ "ІНДЕКС-БАНК"В М.ЛУЦЬК</v>
          </cell>
          <cell r="J1848" t="str">
            <v>Волиньска дир."ІНДЕКС-БАНК"</v>
          </cell>
          <cell r="K1848" t="str">
            <v>UBJO</v>
          </cell>
          <cell r="L1848" t="str">
            <v>UBJO</v>
          </cell>
          <cell r="M1848">
            <v>2</v>
          </cell>
          <cell r="N1848">
            <v>26</v>
          </cell>
          <cell r="O1848" t="str">
            <v>Упр. НБУ у Волинській обл.</v>
          </cell>
        </row>
        <row r="1849">
          <cell r="A1849">
            <v>303644</v>
          </cell>
          <cell r="B1849">
            <v>322948</v>
          </cell>
          <cell r="D1849">
            <v>0</v>
          </cell>
          <cell r="E1849">
            <v>248</v>
          </cell>
          <cell r="F1849">
            <v>0</v>
          </cell>
          <cell r="G1849" t="str">
            <v>B</v>
          </cell>
          <cell r="H1849">
            <v>756</v>
          </cell>
          <cell r="I1849" t="str">
            <v>ЛУЦЬКА ФІЛІЯ АКБ "ФОРУМ" М.ЛУЦЬК</v>
          </cell>
          <cell r="J1849" t="str">
            <v>Луцька філія АКБ "Форум"</v>
          </cell>
          <cell r="K1849" t="str">
            <v>UBJU</v>
          </cell>
          <cell r="L1849" t="str">
            <v>UBJU</v>
          </cell>
          <cell r="M1849">
            <v>2</v>
          </cell>
          <cell r="N1849">
            <v>26</v>
          </cell>
          <cell r="O1849" t="str">
            <v>Упр. НБУ у Волинській обл.</v>
          </cell>
        </row>
        <row r="1850">
          <cell r="A1850">
            <v>303655</v>
          </cell>
          <cell r="B1850">
            <v>328384</v>
          </cell>
          <cell r="D1850">
            <v>0</v>
          </cell>
          <cell r="E1850">
            <v>258</v>
          </cell>
          <cell r="F1850">
            <v>0</v>
          </cell>
          <cell r="G1850" t="str">
            <v>8</v>
          </cell>
          <cell r="H1850">
            <v>503</v>
          </cell>
          <cell r="I1850" t="str">
            <v>ВОЛИНСЬКА ФІЛІЯ АКБ "ІМЕКСБАНК"</v>
          </cell>
          <cell r="J1850" t="str">
            <v>Волинська ФАКБ "ІМЕКСБАНК"</v>
          </cell>
          <cell r="K1850" t="str">
            <v>UBFA</v>
          </cell>
          <cell r="L1850" t="str">
            <v>UBFA</v>
          </cell>
          <cell r="M1850">
            <v>2</v>
          </cell>
          <cell r="N1850">
            <v>15</v>
          </cell>
          <cell r="O1850" t="str">
            <v>Упр. НБУ у Волинській обл.</v>
          </cell>
        </row>
        <row r="1851">
          <cell r="A1851">
            <v>303677</v>
          </cell>
          <cell r="B1851">
            <v>380537</v>
          </cell>
          <cell r="D1851">
            <v>0</v>
          </cell>
          <cell r="E1851">
            <v>76</v>
          </cell>
          <cell r="F1851">
            <v>0</v>
          </cell>
          <cell r="G1851" t="str">
            <v>B</v>
          </cell>
          <cell r="H1851">
            <v>775</v>
          </cell>
          <cell r="I1851" t="str">
            <v>ВОЛИНСЬКА ФВАТ "ВІЕЙБІ БАНК", М.ЛУЦЬК</v>
          </cell>
          <cell r="J1851" t="str">
            <v>Волинська ФВАТ"ВіЕйБі Банк"</v>
          </cell>
          <cell r="K1851" t="str">
            <v>UBJW</v>
          </cell>
          <cell r="L1851" t="str">
            <v>UBJW</v>
          </cell>
          <cell r="M1851">
            <v>2</v>
          </cell>
          <cell r="N1851">
            <v>26</v>
          </cell>
          <cell r="O1851" t="str">
            <v>Упр. НБУ у Волинській обл.</v>
          </cell>
        </row>
        <row r="1852">
          <cell r="A1852">
            <v>303707</v>
          </cell>
          <cell r="B1852">
            <v>300670</v>
          </cell>
          <cell r="D1852">
            <v>0</v>
          </cell>
          <cell r="E1852">
            <v>202</v>
          </cell>
          <cell r="F1852">
            <v>0</v>
          </cell>
          <cell r="G1852" t="str">
            <v>8</v>
          </cell>
          <cell r="H1852">
            <v>803</v>
          </cell>
          <cell r="I1852" t="str">
            <v>ВОЛИНСЬКАФІЛВАТКБ"ХРЕЩАТИК"М.ЛУЦЬК</v>
          </cell>
          <cell r="J1852" t="str">
            <v>ВолинськаФВАТКБ"Хрещатик"</v>
          </cell>
          <cell r="K1852" t="str">
            <v>UBFB</v>
          </cell>
          <cell r="L1852" t="str">
            <v>UBFB</v>
          </cell>
          <cell r="M1852">
            <v>2</v>
          </cell>
          <cell r="N1852">
            <v>26</v>
          </cell>
          <cell r="O1852" t="str">
            <v>Упр. НБУ у Волинській обл.</v>
          </cell>
        </row>
        <row r="1853">
          <cell r="A1853">
            <v>303741</v>
          </cell>
          <cell r="B1853">
            <v>300863</v>
          </cell>
          <cell r="D1853">
            <v>0</v>
          </cell>
          <cell r="E1853">
            <v>289</v>
          </cell>
          <cell r="F1853">
            <v>0</v>
          </cell>
          <cell r="G1853" t="str">
            <v>9</v>
          </cell>
          <cell r="H1853">
            <v>753</v>
          </cell>
          <cell r="I1853" t="str">
            <v>ВОЛИН.Ф.ВАТ "КРЕДИТПРОМБАНК",М.ЛУЦЬК</v>
          </cell>
          <cell r="J1853" t="str">
            <v>ФВАТ"Кредитпромбанк", Луцьк</v>
          </cell>
          <cell r="K1853" t="str">
            <v>UBJT</v>
          </cell>
          <cell r="L1853" t="str">
            <v>UBJT</v>
          </cell>
          <cell r="M1853">
            <v>2</v>
          </cell>
          <cell r="N1853">
            <v>26</v>
          </cell>
          <cell r="O1853" t="str">
            <v>Упр. НБУ у Волинській обл.</v>
          </cell>
        </row>
        <row r="1854">
          <cell r="A1854">
            <v>303763</v>
          </cell>
          <cell r="B1854">
            <v>300528</v>
          </cell>
          <cell r="D1854">
            <v>0</v>
          </cell>
          <cell r="E1854">
            <v>296</v>
          </cell>
          <cell r="F1854">
            <v>0</v>
          </cell>
          <cell r="G1854" t="str">
            <v>F</v>
          </cell>
          <cell r="H1854">
            <v>700</v>
          </cell>
          <cell r="I1854" t="str">
            <v>ФІЛІЯ ЗАТ "ОТП БАНК", М.ЛУЦЬК</v>
          </cell>
          <cell r="J1854" t="str">
            <v>Філія ЗАТ "ОТП Банк"</v>
          </cell>
          <cell r="K1854" t="str">
            <v>UBJV</v>
          </cell>
          <cell r="L1854" t="str">
            <v>UBJV</v>
          </cell>
          <cell r="M1854">
            <v>2</v>
          </cell>
          <cell r="N1854">
            <v>26</v>
          </cell>
          <cell r="O1854" t="str">
            <v>Упр. НБУ у Волинській обл.</v>
          </cell>
        </row>
        <row r="1855">
          <cell r="A1855">
            <v>304007</v>
          </cell>
          <cell r="B1855">
            <v>300335</v>
          </cell>
          <cell r="D1855">
            <v>0</v>
          </cell>
          <cell r="E1855">
            <v>36</v>
          </cell>
          <cell r="F1855">
            <v>0</v>
          </cell>
          <cell r="G1855" t="str">
            <v>7</v>
          </cell>
          <cell r="H1855">
            <v>717</v>
          </cell>
          <cell r="I1855" t="str">
            <v>ОД."РАЙФФАЙЗЕН БАНК АВАЛЬ", М.ЛУГАНСЬК</v>
          </cell>
          <cell r="J1855" t="str">
            <v>ОД "Райффайзен Банк Аваль"</v>
          </cell>
          <cell r="K1855" t="str">
            <v>UMIO</v>
          </cell>
          <cell r="L1855" t="str">
            <v>UMIO</v>
          </cell>
          <cell r="M1855">
            <v>12</v>
          </cell>
          <cell r="N1855">
            <v>26</v>
          </cell>
          <cell r="O1855" t="str">
            <v>Управління НБУ в Луганс.обл</v>
          </cell>
        </row>
        <row r="1856">
          <cell r="A1856">
            <v>304018</v>
          </cell>
          <cell r="B1856">
            <v>300023</v>
          </cell>
          <cell r="D1856">
            <v>0</v>
          </cell>
          <cell r="E1856">
            <v>5</v>
          </cell>
          <cell r="F1856">
            <v>0</v>
          </cell>
          <cell r="G1856" t="str">
            <v>5</v>
          </cell>
          <cell r="H1856">
            <v>503</v>
          </cell>
          <cell r="I1856" t="str">
            <v>ЛУГ.ОБЛ.ФАКБ "УКРСОЦБАНК", М.ЛУГАНСЬК</v>
          </cell>
          <cell r="J1856" t="str">
            <v>Луганська обласна ФАКБ УСБ</v>
          </cell>
          <cell r="K1856" t="str">
            <v>UMCA</v>
          </cell>
          <cell r="L1856" t="str">
            <v>UMCA</v>
          </cell>
          <cell r="M1856">
            <v>12</v>
          </cell>
          <cell r="N1856">
            <v>26</v>
          </cell>
          <cell r="O1856" t="str">
            <v>Управління НБУ в Луганс.обл</v>
          </cell>
        </row>
        <row r="1857">
          <cell r="A1857">
            <v>304030</v>
          </cell>
          <cell r="B1857">
            <v>300001</v>
          </cell>
          <cell r="D1857">
            <v>0</v>
          </cell>
          <cell r="E1857">
            <v>1</v>
          </cell>
          <cell r="F1857">
            <v>0</v>
          </cell>
          <cell r="G1857" t="str">
            <v>1</v>
          </cell>
          <cell r="H1857">
            <v>101</v>
          </cell>
          <cell r="I1857" t="str">
            <v>УПРАВЛІННЯ НБУ В ЛУГАНСЬКІЙ ОБЛАСТІ</v>
          </cell>
          <cell r="J1857" t="str">
            <v>Упр. НБУ в Луганській обл.</v>
          </cell>
          <cell r="K1857" t="str">
            <v>UMHA</v>
          </cell>
          <cell r="L1857" t="str">
            <v>UMH0</v>
          </cell>
          <cell r="M1857">
            <v>12</v>
          </cell>
          <cell r="N1857">
            <v>27</v>
          </cell>
          <cell r="O1857" t="str">
            <v>Управління НБУ в Луганс.обл</v>
          </cell>
        </row>
        <row r="1858">
          <cell r="A1858">
            <v>304193</v>
          </cell>
          <cell r="B1858">
            <v>320003</v>
          </cell>
          <cell r="D1858">
            <v>0</v>
          </cell>
          <cell r="E1858">
            <v>225</v>
          </cell>
          <cell r="F1858">
            <v>0</v>
          </cell>
          <cell r="G1858" t="str">
            <v>B</v>
          </cell>
          <cell r="H1858">
            <v>739</v>
          </cell>
          <cell r="I1858" t="str">
            <v>Ф ВАТ КБ "НАДРА" Луганське РУ</v>
          </cell>
          <cell r="J1858" t="str">
            <v>Ф ВАТ КБ"Надра"ЛуганськеРУ</v>
          </cell>
          <cell r="K1858" t="str">
            <v>UMIA</v>
          </cell>
          <cell r="L1858" t="str">
            <v>UMIA</v>
          </cell>
          <cell r="M1858">
            <v>12</v>
          </cell>
          <cell r="N1858">
            <v>26</v>
          </cell>
          <cell r="O1858" t="str">
            <v>Управління НБУ в Луганс.обл</v>
          </cell>
        </row>
        <row r="1859">
          <cell r="A1859">
            <v>304234</v>
          </cell>
          <cell r="B1859">
            <v>300012</v>
          </cell>
          <cell r="D1859">
            <v>0</v>
          </cell>
          <cell r="E1859">
            <v>3</v>
          </cell>
          <cell r="F1859">
            <v>0</v>
          </cell>
          <cell r="G1859" t="str">
            <v>3</v>
          </cell>
          <cell r="H1859">
            <v>323</v>
          </cell>
          <cell r="I1859" t="str">
            <v>Ф."ВІД.ПІБ В М.КРАСНОДОН ЛУГАНСЬК.ОБЛ"</v>
          </cell>
          <cell r="J1859" t="str">
            <v>Ф.ВІД.ПІБ В М.КРАСНОДОН ЛУГ</v>
          </cell>
          <cell r="K1859" t="str">
            <v>UMAC</v>
          </cell>
          <cell r="L1859" t="str">
            <v>UMAC</v>
          </cell>
          <cell r="M1859">
            <v>12</v>
          </cell>
          <cell r="N1859">
            <v>26</v>
          </cell>
          <cell r="O1859" t="str">
            <v>Управління НБУ в Луганс.обл</v>
          </cell>
        </row>
        <row r="1860">
          <cell r="A1860">
            <v>304289</v>
          </cell>
          <cell r="B1860">
            <v>322313</v>
          </cell>
          <cell r="D1860">
            <v>0</v>
          </cell>
          <cell r="E1860">
            <v>2</v>
          </cell>
          <cell r="F1860">
            <v>0</v>
          </cell>
          <cell r="G1860" t="str">
            <v>2</v>
          </cell>
          <cell r="H1860">
            <v>201</v>
          </cell>
          <cell r="I1860" t="str">
            <v>Ф-Я ВАТ "УКРЕКСІМБАНК",ЛУГАНСЬК</v>
          </cell>
          <cell r="J1860" t="str">
            <v>Ф-я Укрексімбанк, Луганськ</v>
          </cell>
          <cell r="K1860" t="str">
            <v>UMGA</v>
          </cell>
          <cell r="L1860" t="str">
            <v>UMGA</v>
          </cell>
          <cell r="M1860">
            <v>12</v>
          </cell>
          <cell r="N1860">
            <v>26</v>
          </cell>
          <cell r="O1860" t="str">
            <v>Управління НБУ в Луганс.обл</v>
          </cell>
        </row>
        <row r="1861">
          <cell r="A1861">
            <v>304308</v>
          </cell>
          <cell r="B1861">
            <v>300012</v>
          </cell>
          <cell r="D1861">
            <v>0</v>
          </cell>
          <cell r="E1861">
            <v>3</v>
          </cell>
          <cell r="F1861">
            <v>0</v>
          </cell>
          <cell r="G1861" t="str">
            <v>3</v>
          </cell>
          <cell r="H1861">
            <v>330</v>
          </cell>
          <cell r="I1861" t="str">
            <v>Ф."ВІДДІЛ. ПРОМІНВЕСТБАНКУ,М.ЛУГАНСЬК"</v>
          </cell>
          <cell r="J1861" t="str">
            <v>Ф."ВІДДІЛ. ПІБ, М.ЛУГАНСЬК"</v>
          </cell>
          <cell r="K1861" t="str">
            <v>UMAA</v>
          </cell>
          <cell r="L1861" t="str">
            <v>UMAA</v>
          </cell>
          <cell r="M1861">
            <v>12</v>
          </cell>
          <cell r="N1861">
            <v>26</v>
          </cell>
          <cell r="O1861" t="str">
            <v>Управління НБУ в Луганс.обл</v>
          </cell>
        </row>
        <row r="1862">
          <cell r="A1862">
            <v>304331</v>
          </cell>
          <cell r="B1862">
            <v>300012</v>
          </cell>
          <cell r="D1862">
            <v>0</v>
          </cell>
          <cell r="E1862">
            <v>3</v>
          </cell>
          <cell r="F1862">
            <v>0</v>
          </cell>
          <cell r="G1862" t="str">
            <v>3</v>
          </cell>
          <cell r="H1862">
            <v>333</v>
          </cell>
          <cell r="I1862" t="str">
            <v>Ф."ВІД.ПІБ В М.АНТРАЦИТ ЛУГАНСЬК.ОБЛ."</v>
          </cell>
          <cell r="J1862" t="str">
            <v>Ф.ВІД.ПІБ В М.АНТРАЦИТ ЛУГ.</v>
          </cell>
          <cell r="K1862" t="str">
            <v>UMAD</v>
          </cell>
          <cell r="L1862" t="str">
            <v>UMAD</v>
          </cell>
          <cell r="M1862">
            <v>12</v>
          </cell>
          <cell r="N1862">
            <v>26</v>
          </cell>
          <cell r="O1862" t="str">
            <v>Управління НБУ в Луганс.обл</v>
          </cell>
        </row>
        <row r="1863">
          <cell r="A1863">
            <v>304342</v>
          </cell>
          <cell r="B1863">
            <v>300012</v>
          </cell>
          <cell r="D1863">
            <v>0</v>
          </cell>
          <cell r="E1863">
            <v>3</v>
          </cell>
          <cell r="F1863">
            <v>0</v>
          </cell>
          <cell r="G1863" t="str">
            <v>3</v>
          </cell>
          <cell r="H1863">
            <v>334</v>
          </cell>
          <cell r="I1863" t="str">
            <v>Ф."ВІД.ПІБ В М.АЛЧЕВСЬК ЛУГАНСЬК.ОБЛ."</v>
          </cell>
          <cell r="J1863" t="str">
            <v>Ф.ВІД.ПІБ В М.АЛЧЕВСЬК ЛУГ.</v>
          </cell>
          <cell r="K1863" t="str">
            <v>UMAE</v>
          </cell>
          <cell r="L1863" t="str">
            <v>UMAE</v>
          </cell>
          <cell r="M1863">
            <v>12</v>
          </cell>
          <cell r="N1863">
            <v>26</v>
          </cell>
          <cell r="O1863" t="str">
            <v>Управління НБУ в Луганс.обл</v>
          </cell>
        </row>
        <row r="1864">
          <cell r="A1864">
            <v>304353</v>
          </cell>
          <cell r="B1864">
            <v>300012</v>
          </cell>
          <cell r="D1864">
            <v>0</v>
          </cell>
          <cell r="E1864">
            <v>3</v>
          </cell>
          <cell r="F1864">
            <v>0</v>
          </cell>
          <cell r="G1864" t="str">
            <v>3</v>
          </cell>
          <cell r="H1864">
            <v>335</v>
          </cell>
          <cell r="I1864" t="str">
            <v>Ф."ВІД.ПІБ В М.СТАХАНОВ ЛУГАНСЬК.ОБЛ"</v>
          </cell>
          <cell r="J1864" t="str">
            <v>Ф.ВІД.ПІБ В М.СТАХАНОВ ЛУГ.</v>
          </cell>
          <cell r="K1864" t="str">
            <v>UMAF</v>
          </cell>
          <cell r="L1864" t="str">
            <v>UMAF</v>
          </cell>
          <cell r="M1864">
            <v>12</v>
          </cell>
          <cell r="N1864">
            <v>26</v>
          </cell>
          <cell r="O1864" t="str">
            <v>Управління НБУ в Луганс.обл</v>
          </cell>
        </row>
        <row r="1865">
          <cell r="A1865">
            <v>304375</v>
          </cell>
          <cell r="B1865">
            <v>300012</v>
          </cell>
          <cell r="D1865">
            <v>0</v>
          </cell>
          <cell r="E1865">
            <v>3</v>
          </cell>
          <cell r="F1865">
            <v>0</v>
          </cell>
          <cell r="G1865" t="str">
            <v>3</v>
          </cell>
          <cell r="H1865">
            <v>337</v>
          </cell>
          <cell r="I1865" t="str">
            <v>Ф."ВІД.ПІБ В М.КРАСНИЙ ЛУЧ ЛУГАН.ОБЛ."</v>
          </cell>
          <cell r="J1865" t="str">
            <v>Ф.ВІД.ПІБ В М.КР.ЛУЧ ЛУГ.</v>
          </cell>
          <cell r="K1865" t="str">
            <v>UMAG</v>
          </cell>
          <cell r="L1865" t="str">
            <v>UMAG</v>
          </cell>
          <cell r="M1865">
            <v>12</v>
          </cell>
          <cell r="N1865">
            <v>26</v>
          </cell>
          <cell r="O1865" t="str">
            <v>Управління НБУ в Луганс.обл</v>
          </cell>
        </row>
        <row r="1866">
          <cell r="A1866">
            <v>304416</v>
          </cell>
          <cell r="B1866">
            <v>300012</v>
          </cell>
          <cell r="D1866">
            <v>0</v>
          </cell>
          <cell r="E1866">
            <v>3</v>
          </cell>
          <cell r="F1866">
            <v>0</v>
          </cell>
          <cell r="G1866" t="str">
            <v>3</v>
          </cell>
          <cell r="H1866">
            <v>341</v>
          </cell>
          <cell r="I1866" t="str">
            <v>Ф."ВІД.ПІБ В М.ЛИСИЧАНСЬК ЛУГАН.ОБЛ."</v>
          </cell>
          <cell r="J1866" t="str">
            <v>Ф.ВІД.ПІБ В ЛИСИЧАНСЬК ЛУГ.</v>
          </cell>
          <cell r="K1866" t="str">
            <v>UMAI</v>
          </cell>
          <cell r="L1866" t="str">
            <v>UMAI</v>
          </cell>
          <cell r="M1866">
            <v>12</v>
          </cell>
          <cell r="N1866">
            <v>26</v>
          </cell>
          <cell r="O1866" t="str">
            <v>Управління НБУ в Луганс.обл</v>
          </cell>
        </row>
        <row r="1867">
          <cell r="A1867">
            <v>304472</v>
          </cell>
          <cell r="B1867">
            <v>300012</v>
          </cell>
          <cell r="D1867">
            <v>0</v>
          </cell>
          <cell r="E1867">
            <v>3</v>
          </cell>
          <cell r="F1867">
            <v>0</v>
          </cell>
          <cell r="G1867" t="str">
            <v>3</v>
          </cell>
          <cell r="H1867">
            <v>347</v>
          </cell>
          <cell r="I1867" t="str">
            <v>Ф."ВІД.ПІБ В М.СВЕРДЛОВСЬК ЛУГАН.ОБЛ."</v>
          </cell>
          <cell r="J1867" t="str">
            <v>Ф.ВІД.ПІБ В М.СВЕРДЛОВ.ЛУГ.</v>
          </cell>
          <cell r="K1867" t="str">
            <v>UMAJ</v>
          </cell>
          <cell r="L1867" t="str">
            <v>UMAJ</v>
          </cell>
          <cell r="M1867">
            <v>12</v>
          </cell>
          <cell r="N1867">
            <v>26</v>
          </cell>
          <cell r="O1867" t="str">
            <v>Управління НБУ в Луганс.обл</v>
          </cell>
        </row>
        <row r="1868">
          <cell r="A1868">
            <v>304502</v>
          </cell>
          <cell r="B1868">
            <v>300012</v>
          </cell>
          <cell r="D1868">
            <v>0</v>
          </cell>
          <cell r="E1868">
            <v>3</v>
          </cell>
          <cell r="F1868">
            <v>0</v>
          </cell>
          <cell r="G1868" t="str">
            <v>3</v>
          </cell>
          <cell r="H1868">
            <v>350</v>
          </cell>
          <cell r="I1868" t="str">
            <v>Ф."ВІД.ПІБ В М.РОВЕНЬКИ ЛУГАНСЬК.ОБЛ."</v>
          </cell>
          <cell r="J1868" t="str">
            <v>Ф.ВІД.ПІБ В М.РОВЕНЬКИ ЛУГ.</v>
          </cell>
          <cell r="K1868" t="str">
            <v>UMAM</v>
          </cell>
          <cell r="L1868" t="str">
            <v>UMAM</v>
          </cell>
          <cell r="M1868">
            <v>12</v>
          </cell>
          <cell r="N1868">
            <v>26</v>
          </cell>
          <cell r="O1868" t="str">
            <v>Управління НБУ в Луганс.обл</v>
          </cell>
        </row>
        <row r="1869">
          <cell r="A1869">
            <v>304524</v>
          </cell>
          <cell r="B1869">
            <v>351588</v>
          </cell>
          <cell r="D1869">
            <v>0</v>
          </cell>
          <cell r="E1869">
            <v>124</v>
          </cell>
          <cell r="F1869">
            <v>0</v>
          </cell>
          <cell r="G1869" t="str">
            <v>8</v>
          </cell>
          <cell r="H1869">
            <v>701</v>
          </cell>
          <cell r="I1869" t="str">
            <v>ЛИСИЧ.ФВАТ РЕАЛ БАНК,М.ЛИСИЧАНСЬК</v>
          </cell>
          <cell r="J1869" t="str">
            <v>ЛФ ВАТ РЕАЛ БАНК</v>
          </cell>
          <cell r="K1869" t="str">
            <v>UMIE</v>
          </cell>
          <cell r="L1869" t="str">
            <v>UMIE</v>
          </cell>
          <cell r="M1869">
            <v>12</v>
          </cell>
          <cell r="N1869">
            <v>20</v>
          </cell>
          <cell r="O1869" t="str">
            <v>Управління НБУ в Луганс.обл</v>
          </cell>
        </row>
        <row r="1870">
          <cell r="A1870">
            <v>304535</v>
          </cell>
          <cell r="B1870">
            <v>300012</v>
          </cell>
          <cell r="D1870">
            <v>0</v>
          </cell>
          <cell r="E1870">
            <v>3</v>
          </cell>
          <cell r="F1870">
            <v>0</v>
          </cell>
          <cell r="G1870" t="str">
            <v>3</v>
          </cell>
          <cell r="H1870">
            <v>353</v>
          </cell>
          <cell r="I1870" t="str">
            <v>Ф."В.ПІБ В М.СЄВЄРОДОНЕЦЬК ЛУГАН.ОБЛ."</v>
          </cell>
          <cell r="J1870" t="str">
            <v>Ф.ВІД.ПІБ В М.СЕВЕРОДОН.ЛУГ</v>
          </cell>
          <cell r="K1870" t="str">
            <v>UMAO</v>
          </cell>
          <cell r="L1870" t="str">
            <v>UMAO</v>
          </cell>
          <cell r="M1870">
            <v>12</v>
          </cell>
          <cell r="N1870">
            <v>26</v>
          </cell>
          <cell r="O1870" t="str">
            <v>Управління НБУ в Луганс.обл</v>
          </cell>
        </row>
        <row r="1871">
          <cell r="A1871">
            <v>304610</v>
          </cell>
          <cell r="B1871">
            <v>328760</v>
          </cell>
          <cell r="D1871">
            <v>0</v>
          </cell>
          <cell r="E1871">
            <v>206</v>
          </cell>
          <cell r="F1871">
            <v>0</v>
          </cell>
          <cell r="G1871" t="str">
            <v>8</v>
          </cell>
          <cell r="H1871">
            <v>736</v>
          </cell>
          <cell r="I1871" t="str">
            <v>АЛЧЕВСЬКА ФІЛІЯ КБ ТОВ"МІСТО БАНК"</v>
          </cell>
          <cell r="J1871" t="str">
            <v>АЛЧЕВ Ф КБ ТОВ "МІСТО БАНК"</v>
          </cell>
          <cell r="K1871" t="str">
            <v>UMJG</v>
          </cell>
          <cell r="L1871" t="str">
            <v>UMJG</v>
          </cell>
          <cell r="M1871">
            <v>12</v>
          </cell>
          <cell r="N1871">
            <v>15</v>
          </cell>
          <cell r="O1871" t="str">
            <v>Управління НБУ в Луганс.обл</v>
          </cell>
        </row>
        <row r="1872">
          <cell r="A1872">
            <v>304621</v>
          </cell>
          <cell r="B1872">
            <v>320478</v>
          </cell>
          <cell r="D1872">
            <v>0</v>
          </cell>
          <cell r="E1872">
            <v>274</v>
          </cell>
          <cell r="F1872">
            <v>0</v>
          </cell>
          <cell r="G1872" t="str">
            <v>8</v>
          </cell>
          <cell r="H1872">
            <v>724</v>
          </cell>
          <cell r="I1872" t="str">
            <v>ЛУГ.ФВАТ АБ"УКРГАЗБАНК" М.ЛУГАНСЬК</v>
          </cell>
          <cell r="J1872" t="str">
            <v>ЛФ ВАТ АБ "УКРГАЗБАНК"</v>
          </cell>
          <cell r="K1872" t="str">
            <v>UMIW</v>
          </cell>
          <cell r="L1872" t="str">
            <v>UMIW</v>
          </cell>
          <cell r="M1872">
            <v>12</v>
          </cell>
          <cell r="N1872">
            <v>26</v>
          </cell>
          <cell r="O1872" t="str">
            <v>Управління НБУ в Луганс.обл</v>
          </cell>
        </row>
        <row r="1873">
          <cell r="A1873">
            <v>304632</v>
          </cell>
          <cell r="B1873">
            <v>300249</v>
          </cell>
          <cell r="D1873">
            <v>0</v>
          </cell>
          <cell r="E1873">
            <v>37</v>
          </cell>
          <cell r="F1873">
            <v>0</v>
          </cell>
          <cell r="G1873" t="str">
            <v>8</v>
          </cell>
          <cell r="H1873">
            <v>709</v>
          </cell>
          <cell r="I1873" t="str">
            <v>ЛУГ.ФАБ "БРОКБІЗНЕСБАНК",М.ЛУГАНСЬК</v>
          </cell>
          <cell r="J1873" t="str">
            <v>Луган.Ф.АБ "БРОКБІЗНЕСБАНК"</v>
          </cell>
          <cell r="K1873" t="str">
            <v>UMIG</v>
          </cell>
          <cell r="L1873" t="str">
            <v>UMIG</v>
          </cell>
          <cell r="M1873">
            <v>12</v>
          </cell>
          <cell r="N1873">
            <v>26</v>
          </cell>
          <cell r="O1873" t="str">
            <v>Управління НБУ в Луганс.обл</v>
          </cell>
        </row>
        <row r="1874">
          <cell r="A1874">
            <v>304643</v>
          </cell>
          <cell r="B1874">
            <v>300012</v>
          </cell>
          <cell r="D1874">
            <v>0</v>
          </cell>
          <cell r="E1874">
            <v>3</v>
          </cell>
          <cell r="F1874">
            <v>0</v>
          </cell>
          <cell r="G1874" t="str">
            <v>3</v>
          </cell>
          <cell r="H1874">
            <v>364</v>
          </cell>
          <cell r="I1874" t="str">
            <v>Ф."ВІД.ПІБ В М.РУБІЖНЕ ЛУГАНСЬКОЇ ОБЛ"</v>
          </cell>
          <cell r="J1874" t="str">
            <v>Ф.ВІД.ПІБ В М.РУБІЖНЕ ЛУГ.</v>
          </cell>
          <cell r="K1874" t="str">
            <v>UMAP</v>
          </cell>
          <cell r="L1874" t="str">
            <v>UMAP</v>
          </cell>
          <cell r="M1874">
            <v>12</v>
          </cell>
          <cell r="N1874">
            <v>26</v>
          </cell>
          <cell r="O1874" t="str">
            <v>Управління НБУ в Луганс.обл</v>
          </cell>
        </row>
        <row r="1875">
          <cell r="A1875">
            <v>304665</v>
          </cell>
          <cell r="B1875">
            <v>300465</v>
          </cell>
          <cell r="D1875">
            <v>0</v>
          </cell>
          <cell r="E1875">
            <v>6</v>
          </cell>
          <cell r="F1875">
            <v>0</v>
          </cell>
          <cell r="G1875" t="str">
            <v>6</v>
          </cell>
          <cell r="H1875">
            <v>601</v>
          </cell>
          <cell r="I1875" t="str">
            <v>ФЛУГАНСЬКЕ ОБЛАСНЕ  ВАТОЩАД М.ЛУГАНСЬК</v>
          </cell>
          <cell r="J1875" t="str">
            <v>ФЛуганське обласне уВАТОщад</v>
          </cell>
          <cell r="K1875" t="str">
            <v>UMLA</v>
          </cell>
          <cell r="L1875" t="str">
            <v>UMMI</v>
          </cell>
          <cell r="M1875">
            <v>12</v>
          </cell>
          <cell r="N1875">
            <v>26</v>
          </cell>
          <cell r="O1875" t="str">
            <v>Управління НБУ в Луганс.обл</v>
          </cell>
        </row>
        <row r="1876">
          <cell r="A1876">
            <v>304676</v>
          </cell>
          <cell r="B1876">
            <v>300078</v>
          </cell>
          <cell r="D1876">
            <v>0</v>
          </cell>
          <cell r="E1876">
            <v>15</v>
          </cell>
          <cell r="F1876">
            <v>0</v>
          </cell>
          <cell r="G1876" t="str">
            <v>8</v>
          </cell>
          <cell r="H1876">
            <v>716</v>
          </cell>
          <cell r="I1876" t="str">
            <v>ФАКБ "ГРАДОБАНК", М.ЛУГАНСЬК</v>
          </cell>
          <cell r="J1876" t="str">
            <v>Луганська ФАТ "ГРАДОБАНК"</v>
          </cell>
          <cell r="K1876" t="str">
            <v>UMIN</v>
          </cell>
          <cell r="L1876" t="str">
            <v>UMIN</v>
          </cell>
          <cell r="M1876">
            <v>12</v>
          </cell>
          <cell r="N1876">
            <v>26</v>
          </cell>
          <cell r="O1876" t="str">
            <v>Управління НБУ в Луганс.обл</v>
          </cell>
        </row>
        <row r="1877">
          <cell r="A1877">
            <v>304706</v>
          </cell>
          <cell r="B1877">
            <v>304706</v>
          </cell>
          <cell r="C1877" t="str">
            <v>"СХІДНО-ПРОМИС.БАНК"</v>
          </cell>
          <cell r="D1877">
            <v>275</v>
          </cell>
          <cell r="E1877">
            <v>275</v>
          </cell>
          <cell r="F1877">
            <v>0</v>
          </cell>
          <cell r="G1877" t="str">
            <v>8</v>
          </cell>
          <cell r="H1877">
            <v>729</v>
          </cell>
          <cell r="I1877" t="str">
            <v>ТОВ "СХІДНО-ПРОМИСЛОВИЙ КБ",М.ЛУГАНСЬК</v>
          </cell>
          <cell r="J1877" t="str">
            <v>"СХІДНО-ПРОМИС.БАНК"</v>
          </cell>
          <cell r="K1877" t="str">
            <v>UMJB</v>
          </cell>
          <cell r="L1877" t="str">
            <v>UMJB</v>
          </cell>
          <cell r="M1877">
            <v>12</v>
          </cell>
          <cell r="N1877">
            <v>12</v>
          </cell>
          <cell r="O1877" t="str">
            <v>Управління НБУ в Луганс.обл</v>
          </cell>
        </row>
        <row r="1878">
          <cell r="A1878">
            <v>304717</v>
          </cell>
          <cell r="B1878">
            <v>300131</v>
          </cell>
          <cell r="D1878">
            <v>0</v>
          </cell>
          <cell r="E1878">
            <v>17</v>
          </cell>
          <cell r="F1878">
            <v>0</v>
          </cell>
          <cell r="G1878" t="str">
            <v>8</v>
          </cell>
          <cell r="H1878">
            <v>746</v>
          </cell>
          <cell r="I1878" t="str">
            <v>ЛУГАНСЬКА Ф ВАТ"Б" ФІН ТА КР"М.ЛУГАНС</v>
          </cell>
          <cell r="J1878" t="str">
            <v>ЛуганськаФ ВАТ"Б"Фін та Кр"</v>
          </cell>
          <cell r="K1878" t="str">
            <v>UMJM</v>
          </cell>
          <cell r="L1878" t="str">
            <v>UMJM</v>
          </cell>
          <cell r="M1878">
            <v>12</v>
          </cell>
          <cell r="N1878">
            <v>26</v>
          </cell>
          <cell r="O1878" t="str">
            <v>Управління НБУ в Луганс.обл</v>
          </cell>
        </row>
        <row r="1879">
          <cell r="A1879">
            <v>304740</v>
          </cell>
          <cell r="B1879">
            <v>304988</v>
          </cell>
          <cell r="D1879">
            <v>0</v>
          </cell>
          <cell r="E1879">
            <v>195</v>
          </cell>
          <cell r="F1879">
            <v>0</v>
          </cell>
          <cell r="G1879" t="str">
            <v>8</v>
          </cell>
          <cell r="H1879">
            <v>707</v>
          </cell>
          <cell r="I1879" t="str">
            <v>СЕВЕРОДОНЕЦЬКА ФІЛІЯ АБ"УКРКОМУНБАНК"</v>
          </cell>
          <cell r="J1879" t="str">
            <v>СФ АБ "УКРКОМУНБАНК"</v>
          </cell>
          <cell r="K1879" t="str">
            <v>UMJS</v>
          </cell>
          <cell r="L1879" t="str">
            <v>UMJS</v>
          </cell>
          <cell r="M1879">
            <v>12</v>
          </cell>
          <cell r="N1879">
            <v>12</v>
          </cell>
          <cell r="O1879" t="str">
            <v>Управління НБУ в Луганс.обл</v>
          </cell>
        </row>
        <row r="1880">
          <cell r="A1880">
            <v>304751</v>
          </cell>
          <cell r="B1880">
            <v>313849</v>
          </cell>
          <cell r="D1880">
            <v>0</v>
          </cell>
          <cell r="E1880">
            <v>101</v>
          </cell>
          <cell r="F1880">
            <v>0</v>
          </cell>
          <cell r="G1880" t="str">
            <v>8</v>
          </cell>
          <cell r="H1880">
            <v>737</v>
          </cell>
          <cell r="I1880" t="str">
            <v>Луганська філія АКБ "ІНДУСТРІАЛБАНК"</v>
          </cell>
          <cell r="J1880" t="str">
            <v>ЛФ АКБ "ІНДУСТРІАЛБАНК"</v>
          </cell>
          <cell r="K1880" t="str">
            <v>UMJH</v>
          </cell>
          <cell r="L1880" t="str">
            <v>UMJH</v>
          </cell>
          <cell r="M1880">
            <v>12</v>
          </cell>
          <cell r="N1880">
            <v>7</v>
          </cell>
          <cell r="O1880" t="str">
            <v>Управління НБУ в Луганс.обл</v>
          </cell>
        </row>
        <row r="1881">
          <cell r="A1881">
            <v>304795</v>
          </cell>
          <cell r="B1881">
            <v>305299</v>
          </cell>
          <cell r="D1881">
            <v>0</v>
          </cell>
          <cell r="E1881">
            <v>46</v>
          </cell>
          <cell r="F1881">
            <v>0</v>
          </cell>
          <cell r="G1881" t="str">
            <v>A</v>
          </cell>
          <cell r="H1881">
            <v>715</v>
          </cell>
          <cell r="I1881" t="str">
            <v>ЛУГАНСЬКА ФІЛІЯ ПРИВАТБАНКУ,М.ЛУГАНСЬК</v>
          </cell>
          <cell r="J1881" t="str">
            <v>Луганська філія ПриватБанку</v>
          </cell>
          <cell r="K1881" t="str">
            <v>UMIP</v>
          </cell>
          <cell r="L1881" t="str">
            <v>UMIP</v>
          </cell>
          <cell r="M1881">
            <v>12</v>
          </cell>
          <cell r="N1881">
            <v>3</v>
          </cell>
          <cell r="O1881" t="str">
            <v>Управління НБУ в Луганс.обл</v>
          </cell>
        </row>
        <row r="1882">
          <cell r="A1882">
            <v>304803</v>
          </cell>
          <cell r="B1882">
            <v>300272</v>
          </cell>
          <cell r="D1882">
            <v>0</v>
          </cell>
          <cell r="E1882">
            <v>31</v>
          </cell>
          <cell r="F1882">
            <v>0</v>
          </cell>
          <cell r="G1882" t="str">
            <v>B</v>
          </cell>
          <cell r="H1882">
            <v>742</v>
          </cell>
          <cell r="I1882" t="str">
            <v>ФІЛІЯ АБ "ЕНЕРГОБАНК" У М.ЛУГАНСЬКУ</v>
          </cell>
          <cell r="J1882" t="str">
            <v>ФАБ"Енергобанк"в м.Луганськ</v>
          </cell>
          <cell r="K1882" t="str">
            <v>UMJJ</v>
          </cell>
          <cell r="L1882" t="str">
            <v>UMJJ</v>
          </cell>
          <cell r="M1882">
            <v>12</v>
          </cell>
          <cell r="N1882">
            <v>26</v>
          </cell>
          <cell r="O1882" t="str">
            <v>Управління НБУ в Луганс.обл</v>
          </cell>
        </row>
        <row r="1883">
          <cell r="A1883">
            <v>304836</v>
          </cell>
          <cell r="B1883">
            <v>300142</v>
          </cell>
          <cell r="D1883">
            <v>0</v>
          </cell>
          <cell r="E1883">
            <v>18</v>
          </cell>
          <cell r="F1883">
            <v>0</v>
          </cell>
          <cell r="G1883" t="str">
            <v>8</v>
          </cell>
          <cell r="H1883">
            <v>732</v>
          </cell>
          <cell r="I1883" t="str">
            <v>ЛУГАНСЬКА ФАТ"УКРІНБАНК" М.ЛУГАНСЬК</v>
          </cell>
          <cell r="J1883" t="str">
            <v>Луганська ФАТ"Укрінбанк"</v>
          </cell>
          <cell r="K1883" t="str">
            <v>UMJD</v>
          </cell>
          <cell r="L1883" t="str">
            <v>UMJD</v>
          </cell>
          <cell r="M1883">
            <v>12</v>
          </cell>
          <cell r="N1883">
            <v>26</v>
          </cell>
          <cell r="O1883" t="str">
            <v>Управління НБУ в Луганс.обл</v>
          </cell>
        </row>
        <row r="1884">
          <cell r="A1884">
            <v>304847</v>
          </cell>
          <cell r="B1884">
            <v>320702</v>
          </cell>
          <cell r="D1884">
            <v>0</v>
          </cell>
          <cell r="E1884">
            <v>277</v>
          </cell>
          <cell r="F1884">
            <v>0</v>
          </cell>
          <cell r="G1884" t="str">
            <v>8</v>
          </cell>
          <cell r="H1884">
            <v>759</v>
          </cell>
          <cell r="I1884" t="str">
            <v>ФАКБ"НАЦ.КРЕДИТ" В М.ПОП</v>
          </cell>
          <cell r="J1884" t="str">
            <v>ФАКБ "НК"м.Поп.</v>
          </cell>
          <cell r="K1884" t="str">
            <v>UMJN</v>
          </cell>
          <cell r="L1884" t="str">
            <v>UMJN</v>
          </cell>
          <cell r="M1884">
            <v>12</v>
          </cell>
          <cell r="N1884">
            <v>26</v>
          </cell>
          <cell r="O1884" t="str">
            <v>Управління НБУ в Луганс.обл</v>
          </cell>
        </row>
        <row r="1885">
          <cell r="A1885">
            <v>304870</v>
          </cell>
          <cell r="B1885">
            <v>322948</v>
          </cell>
          <cell r="D1885">
            <v>0</v>
          </cell>
          <cell r="E1885">
            <v>248</v>
          </cell>
          <cell r="F1885">
            <v>0</v>
          </cell>
          <cell r="G1885" t="str">
            <v>B</v>
          </cell>
          <cell r="H1885">
            <v>749</v>
          </cell>
          <cell r="I1885" t="str">
            <v>ЛУГАНСЬКА ФІЛІЯ АКБ "ФОРУМ" М.ЛУГАНСЬК</v>
          </cell>
          <cell r="J1885" t="str">
            <v>Луганська філія АКБ "Форум"</v>
          </cell>
          <cell r="K1885" t="str">
            <v>UMJU</v>
          </cell>
          <cell r="L1885" t="str">
            <v>UMJU</v>
          </cell>
          <cell r="M1885">
            <v>12</v>
          </cell>
          <cell r="N1885">
            <v>26</v>
          </cell>
          <cell r="O1885" t="str">
            <v>Управління НБУ в Луганс.обл</v>
          </cell>
        </row>
        <row r="1886">
          <cell r="A1886">
            <v>304881</v>
          </cell>
          <cell r="B1886">
            <v>334828</v>
          </cell>
          <cell r="D1886">
            <v>0</v>
          </cell>
          <cell r="E1886">
            <v>57</v>
          </cell>
          <cell r="F1886">
            <v>0</v>
          </cell>
          <cell r="G1886" t="str">
            <v>8</v>
          </cell>
          <cell r="H1886">
            <v>740</v>
          </cell>
          <cell r="I1886" t="str">
            <v>Ф.№1 ВАТ "АКБ"КАПІТАЛ",М.ЛУГАНСЬК</v>
          </cell>
          <cell r="J1886" t="str">
            <v>Ф1 ВАТ"АКБ"КАПІТАЛ",м.Луг.</v>
          </cell>
          <cell r="K1886" t="str">
            <v>UMJI</v>
          </cell>
          <cell r="L1886" t="str">
            <v>UMJI</v>
          </cell>
          <cell r="M1886">
            <v>12</v>
          </cell>
          <cell r="N1886">
            <v>4</v>
          </cell>
          <cell r="O1886" t="str">
            <v>Управління НБУ в Луганс.обл</v>
          </cell>
        </row>
        <row r="1887">
          <cell r="A1887">
            <v>304900</v>
          </cell>
          <cell r="B1887">
            <v>319092</v>
          </cell>
          <cell r="D1887">
            <v>0</v>
          </cell>
          <cell r="E1887">
            <v>280</v>
          </cell>
          <cell r="F1887">
            <v>0</v>
          </cell>
          <cell r="G1887" t="str">
            <v>B</v>
          </cell>
          <cell r="H1887">
            <v>752</v>
          </cell>
          <cell r="I1887" t="str">
            <v>ЛУГ.ФАБ"КИЇВСЬКА РУСЬ",М.ЛУГАНСЬК</v>
          </cell>
          <cell r="J1887" t="str">
            <v>ФАБ"Київська Русь",Луганськ</v>
          </cell>
          <cell r="K1887" t="str">
            <v>UMJX</v>
          </cell>
          <cell r="L1887" t="str">
            <v>UMJX</v>
          </cell>
          <cell r="M1887">
            <v>12</v>
          </cell>
          <cell r="N1887">
            <v>26</v>
          </cell>
          <cell r="O1887" t="str">
            <v>Управління НБУ в Луганс.обл</v>
          </cell>
        </row>
        <row r="1888">
          <cell r="A1888">
            <v>304933</v>
          </cell>
          <cell r="B1888">
            <v>321228</v>
          </cell>
          <cell r="D1888">
            <v>0</v>
          </cell>
          <cell r="E1888">
            <v>68</v>
          </cell>
          <cell r="F1888">
            <v>0</v>
          </cell>
          <cell r="G1888" t="str">
            <v>8</v>
          </cell>
          <cell r="H1888">
            <v>726</v>
          </cell>
          <cell r="I1888" t="str">
            <v>ЛУГ.ФТОВ"УКРПРОМБАНК",М.ЛУГАНСЬК</v>
          </cell>
          <cell r="J1888" t="str">
            <v>Луган.ф-яТОВ"Укрпромбанк"</v>
          </cell>
          <cell r="K1888" t="str">
            <v>UMJW</v>
          </cell>
          <cell r="L1888" t="str">
            <v>UMJW</v>
          </cell>
          <cell r="M1888">
            <v>12</v>
          </cell>
          <cell r="N1888">
            <v>26</v>
          </cell>
          <cell r="O1888" t="str">
            <v>Управління НБУ в Луганс.обл</v>
          </cell>
        </row>
        <row r="1889">
          <cell r="A1889">
            <v>304944</v>
          </cell>
          <cell r="B1889">
            <v>300614</v>
          </cell>
          <cell r="D1889">
            <v>0</v>
          </cell>
          <cell r="E1889">
            <v>171</v>
          </cell>
          <cell r="F1889">
            <v>0</v>
          </cell>
          <cell r="G1889" t="str">
            <v>8</v>
          </cell>
          <cell r="H1889">
            <v>714</v>
          </cell>
          <cell r="I1889" t="str">
            <v>Ф-Я"ЛУГ.ДИР" АТ"ІНД-БК" М.ЛУГАНСЬК</v>
          </cell>
          <cell r="J1889" t="str">
            <v>ФЛД АТ "ІНДЕКС-БАНК"</v>
          </cell>
          <cell r="K1889" t="str">
            <v>UMJY</v>
          </cell>
          <cell r="L1889" t="str">
            <v>UMJY</v>
          </cell>
          <cell r="M1889">
            <v>12</v>
          </cell>
          <cell r="N1889">
            <v>26</v>
          </cell>
          <cell r="O1889" t="str">
            <v>Управління НБУ в Луганс.обл</v>
          </cell>
        </row>
        <row r="1890">
          <cell r="A1890">
            <v>304966</v>
          </cell>
          <cell r="B1890">
            <v>334851</v>
          </cell>
          <cell r="D1890">
            <v>0</v>
          </cell>
          <cell r="E1890">
            <v>115</v>
          </cell>
          <cell r="F1890">
            <v>0</v>
          </cell>
          <cell r="G1890" t="str">
            <v>8</v>
          </cell>
          <cell r="H1890">
            <v>745</v>
          </cell>
          <cell r="I1890" t="str">
            <v>ФІЛІЯ ЗАТ "ПУМБ", М.ЛУГАНСЬК</v>
          </cell>
          <cell r="J1890" t="str">
            <v>Філія ЗАТ"ПУМБ", м.Луганськ</v>
          </cell>
          <cell r="K1890" t="str">
            <v>UMJL</v>
          </cell>
          <cell r="L1890" t="str">
            <v>UMJL</v>
          </cell>
          <cell r="M1890">
            <v>12</v>
          </cell>
          <cell r="N1890">
            <v>4</v>
          </cell>
          <cell r="O1890" t="str">
            <v>Управління НБУ в Луганс.обл</v>
          </cell>
        </row>
        <row r="1891">
          <cell r="A1891">
            <v>304977</v>
          </cell>
          <cell r="B1891">
            <v>322948</v>
          </cell>
          <cell r="D1891">
            <v>0</v>
          </cell>
          <cell r="E1891">
            <v>248</v>
          </cell>
          <cell r="F1891">
            <v>0</v>
          </cell>
          <cell r="G1891" t="str">
            <v>B</v>
          </cell>
          <cell r="H1891">
            <v>762</v>
          </cell>
          <cell r="I1891" t="str">
            <v>АЛЧЕВСЬКА ФІЛІЯ АКБ "ФОРУМ" М.АЛЧЕВСЬК</v>
          </cell>
          <cell r="J1891" t="str">
            <v>Алчевська філія АКБ "ФОРУМ"</v>
          </cell>
          <cell r="K1891" t="str">
            <v>UMJQ</v>
          </cell>
          <cell r="L1891" t="str">
            <v>UMJQ</v>
          </cell>
          <cell r="M1891">
            <v>12</v>
          </cell>
          <cell r="N1891">
            <v>26</v>
          </cell>
          <cell r="O1891" t="str">
            <v>Управління НБУ в Луганс.обл</v>
          </cell>
        </row>
        <row r="1892">
          <cell r="A1892">
            <v>304988</v>
          </cell>
          <cell r="B1892">
            <v>304988</v>
          </cell>
          <cell r="C1892" t="str">
            <v>"УКРКОМУНБАНК"</v>
          </cell>
          <cell r="D1892">
            <v>195</v>
          </cell>
          <cell r="E1892">
            <v>195</v>
          </cell>
          <cell r="F1892">
            <v>0</v>
          </cell>
          <cell r="G1892" t="str">
            <v>8</v>
          </cell>
          <cell r="H1892">
            <v>734</v>
          </cell>
          <cell r="I1892" t="str">
            <v>АБ"УКРКОМУНБАНК",М.ЛУГАНСЬК</v>
          </cell>
          <cell r="J1892" t="str">
            <v>"УКРКОМУНБАНК"</v>
          </cell>
          <cell r="K1892" t="str">
            <v>UMJF</v>
          </cell>
          <cell r="L1892" t="str">
            <v>UMJF</v>
          </cell>
          <cell r="M1892">
            <v>12</v>
          </cell>
          <cell r="N1892">
            <v>12</v>
          </cell>
          <cell r="O1892" t="str">
            <v>Управління НБУ в Луганс.обл</v>
          </cell>
        </row>
        <row r="1893">
          <cell r="A1893">
            <v>304999</v>
          </cell>
          <cell r="B1893">
            <v>328209</v>
          </cell>
          <cell r="D1893">
            <v>0</v>
          </cell>
          <cell r="E1893">
            <v>106</v>
          </cell>
          <cell r="F1893">
            <v>0</v>
          </cell>
          <cell r="G1893" t="str">
            <v>8</v>
          </cell>
          <cell r="H1893">
            <v>751</v>
          </cell>
          <cell r="I1893" t="str">
            <v>ФАБ "ПІВДЕННИЙ" В М.ЛУГАНСЬКУ</v>
          </cell>
          <cell r="J1893" t="str">
            <v>ФАБ"Південний"в м.Луганську</v>
          </cell>
          <cell r="K1893" t="str">
            <v>UMKE</v>
          </cell>
          <cell r="L1893" t="str">
            <v>UMKE</v>
          </cell>
          <cell r="M1893">
            <v>12</v>
          </cell>
          <cell r="N1893">
            <v>15</v>
          </cell>
          <cell r="O1893" t="str">
            <v>Управління НБУ в Луганс.обл</v>
          </cell>
        </row>
        <row r="1894">
          <cell r="A1894">
            <v>305006</v>
          </cell>
          <cell r="B1894">
            <v>300001</v>
          </cell>
          <cell r="D1894">
            <v>0</v>
          </cell>
          <cell r="E1894">
            <v>1</v>
          </cell>
          <cell r="F1894">
            <v>0</v>
          </cell>
          <cell r="G1894" t="str">
            <v>1</v>
          </cell>
          <cell r="H1894">
            <v>6</v>
          </cell>
          <cell r="I1894" t="str">
            <v>УПРАВЛІННЯ НБУ В ДНIПРОПЕТРОВСЬКIЙ ОБЛ</v>
          </cell>
          <cell r="J1894" t="str">
            <v>Упр. НБУ в Дніпропетр.обл.</v>
          </cell>
          <cell r="K1894" t="str">
            <v>UCHA</v>
          </cell>
          <cell r="L1894" t="str">
            <v>UCH0</v>
          </cell>
          <cell r="M1894">
            <v>3</v>
          </cell>
          <cell r="N1894">
            <v>27</v>
          </cell>
          <cell r="O1894" t="str">
            <v>Управління НБУ в Дніпр.обл.</v>
          </cell>
        </row>
        <row r="1895">
          <cell r="A1895">
            <v>305017</v>
          </cell>
          <cell r="B1895">
            <v>300023</v>
          </cell>
          <cell r="D1895">
            <v>0</v>
          </cell>
          <cell r="E1895">
            <v>5</v>
          </cell>
          <cell r="F1895">
            <v>0</v>
          </cell>
          <cell r="G1895" t="str">
            <v>5</v>
          </cell>
          <cell r="H1895">
            <v>502</v>
          </cell>
          <cell r="I1895" t="str">
            <v>ДНЕПР.ОБЛ.ФІЛ.АКБ "УКРСОЦ", М.ДНІПРОП</v>
          </cell>
          <cell r="J1895" t="str">
            <v>Дніпроп обласн Філ АКБ УСБ</v>
          </cell>
          <cell r="K1895" t="str">
            <v>UCCA</v>
          </cell>
          <cell r="L1895" t="str">
            <v>UCCA</v>
          </cell>
          <cell r="M1895">
            <v>3</v>
          </cell>
          <cell r="N1895">
            <v>26</v>
          </cell>
          <cell r="O1895" t="str">
            <v>Управління НБУ в Дніпр.обл.</v>
          </cell>
        </row>
        <row r="1896">
          <cell r="A1896">
            <v>305062</v>
          </cell>
          <cell r="B1896">
            <v>305062</v>
          </cell>
          <cell r="C1896" t="str">
            <v>КБ "НОВИЙ" ДНІПРОПЕТРОВСЬК</v>
          </cell>
          <cell r="D1896">
            <v>48</v>
          </cell>
          <cell r="E1896">
            <v>48</v>
          </cell>
          <cell r="F1896">
            <v>0</v>
          </cell>
          <cell r="G1896" t="str">
            <v>8</v>
          </cell>
          <cell r="H1896">
            <v>709</v>
          </cell>
          <cell r="I1896" t="str">
            <v>КБ "НОВИЙ"</v>
          </cell>
          <cell r="J1896" t="str">
            <v>КБ "НОВИЙ" ДНІПРОПЕТРОВСЬК</v>
          </cell>
          <cell r="K1896" t="str">
            <v>UCIK</v>
          </cell>
          <cell r="L1896" t="str">
            <v>UCIK</v>
          </cell>
          <cell r="M1896">
            <v>3</v>
          </cell>
          <cell r="N1896">
            <v>3</v>
          </cell>
          <cell r="O1896" t="str">
            <v>Управління НБУ в Дніпр.обл.</v>
          </cell>
        </row>
        <row r="1897">
          <cell r="A1897">
            <v>305266</v>
          </cell>
          <cell r="B1897">
            <v>335946</v>
          </cell>
          <cell r="D1897">
            <v>0</v>
          </cell>
          <cell r="E1897">
            <v>45</v>
          </cell>
          <cell r="F1897">
            <v>0</v>
          </cell>
          <cell r="G1897" t="str">
            <v>8</v>
          </cell>
          <cell r="H1897">
            <v>846</v>
          </cell>
          <cell r="I1897" t="str">
            <v>ДН.ФВАТ КБ"ПІВДЕНКОМБАНК", М.ДН-СЬК</v>
          </cell>
          <cell r="J1897" t="str">
            <v>Дн.ФВАТ КБ "Південкомбанк"</v>
          </cell>
          <cell r="K1897" t="str">
            <v>UCIC</v>
          </cell>
          <cell r="L1897" t="str">
            <v>UCIC</v>
          </cell>
          <cell r="M1897">
            <v>3</v>
          </cell>
          <cell r="N1897">
            <v>4</v>
          </cell>
          <cell r="O1897" t="str">
            <v>Управління НБУ в Дніпр.обл.</v>
          </cell>
        </row>
        <row r="1898">
          <cell r="A1898">
            <v>305299</v>
          </cell>
          <cell r="B1898">
            <v>305299</v>
          </cell>
          <cell r="C1898" t="str">
            <v>КБ "ПРИВАТБАНК" ДНІПРОПЕТР.</v>
          </cell>
          <cell r="D1898">
            <v>46</v>
          </cell>
          <cell r="E1898">
            <v>46</v>
          </cell>
          <cell r="F1898">
            <v>0</v>
          </cell>
          <cell r="G1898" t="str">
            <v>A</v>
          </cell>
          <cell r="H1898">
            <v>706</v>
          </cell>
          <cell r="I1898" t="str">
            <v>КБ "ПРИВАТБАНК"</v>
          </cell>
          <cell r="J1898" t="str">
            <v>КБ "ПРИВАТБАНК" ДНІПРОПЕТР.</v>
          </cell>
          <cell r="K1898" t="str">
            <v>UCIH</v>
          </cell>
          <cell r="L1898" t="str">
            <v>UCIH</v>
          </cell>
          <cell r="M1898">
            <v>3</v>
          </cell>
          <cell r="N1898">
            <v>3</v>
          </cell>
          <cell r="O1898" t="str">
            <v>Управління НБУ в Дніпр.обл.</v>
          </cell>
        </row>
        <row r="1899">
          <cell r="A1899">
            <v>305363</v>
          </cell>
          <cell r="B1899">
            <v>300012</v>
          </cell>
          <cell r="D1899">
            <v>0</v>
          </cell>
          <cell r="E1899">
            <v>3</v>
          </cell>
          <cell r="F1899">
            <v>0</v>
          </cell>
          <cell r="G1899" t="str">
            <v>3</v>
          </cell>
          <cell r="H1899">
            <v>335</v>
          </cell>
          <cell r="I1899" t="str">
            <v>Ф."В.ПIБ В М.ЖОВТI ВОДИ ДНІПРОПЕТ.ОБЛ"</v>
          </cell>
          <cell r="J1899" t="str">
            <v>Ф."ВІД.ПІБ В М.ЖОВТІ ВОДИ"</v>
          </cell>
          <cell r="K1899" t="str">
            <v>UCAE</v>
          </cell>
          <cell r="L1899" t="str">
            <v>UCAE</v>
          </cell>
          <cell r="M1899">
            <v>3</v>
          </cell>
          <cell r="N1899">
            <v>26</v>
          </cell>
          <cell r="O1899" t="str">
            <v>Управління НБУ в Дніпр.обл.</v>
          </cell>
        </row>
        <row r="1900">
          <cell r="A1900">
            <v>305437</v>
          </cell>
          <cell r="B1900">
            <v>300012</v>
          </cell>
          <cell r="D1900">
            <v>0</v>
          </cell>
          <cell r="E1900">
            <v>3</v>
          </cell>
          <cell r="F1900">
            <v>0</v>
          </cell>
          <cell r="G1900" t="str">
            <v>3</v>
          </cell>
          <cell r="H1900">
            <v>342</v>
          </cell>
          <cell r="I1900" t="str">
            <v>Ф."ВІД. ПРОМІНВЕСТБАНКУ,М.ДНІПРОП-СЬК"</v>
          </cell>
          <cell r="J1900" t="str">
            <v>Ф."ВІД.ПІБ,М.ДНІПРОПЕТ-СЬК"</v>
          </cell>
          <cell r="K1900" t="str">
            <v>UCAA</v>
          </cell>
          <cell r="L1900" t="str">
            <v>UCAA</v>
          </cell>
          <cell r="M1900">
            <v>3</v>
          </cell>
          <cell r="N1900">
            <v>26</v>
          </cell>
          <cell r="O1900" t="str">
            <v>Управління НБУ в Дніпр.обл.</v>
          </cell>
        </row>
        <row r="1901">
          <cell r="A1901">
            <v>305448</v>
          </cell>
          <cell r="B1901">
            <v>320478</v>
          </cell>
          <cell r="D1901">
            <v>0</v>
          </cell>
          <cell r="E1901">
            <v>274</v>
          </cell>
          <cell r="F1901">
            <v>0</v>
          </cell>
          <cell r="G1901" t="str">
            <v>8</v>
          </cell>
          <cell r="H1901">
            <v>705</v>
          </cell>
          <cell r="I1901" t="str">
            <v>ДФ ВАТАБ"УКРГАЗБАНК"М.ДНІПРОПЕТРОВСЬК</v>
          </cell>
          <cell r="J1901" t="str">
            <v>ДНІПРОП.ФВАТ АБ"УКРГАЗБАНК"</v>
          </cell>
          <cell r="K1901" t="str">
            <v>UCIG</v>
          </cell>
          <cell r="L1901" t="str">
            <v>UCIG</v>
          </cell>
          <cell r="M1901">
            <v>3</v>
          </cell>
          <cell r="N1901">
            <v>26</v>
          </cell>
          <cell r="O1901" t="str">
            <v>Управління НБУ в Дніпр.обл.</v>
          </cell>
        </row>
        <row r="1902">
          <cell r="A1902">
            <v>305482</v>
          </cell>
          <cell r="B1902">
            <v>300465</v>
          </cell>
          <cell r="D1902">
            <v>0</v>
          </cell>
          <cell r="E1902">
            <v>6</v>
          </cell>
          <cell r="F1902">
            <v>0</v>
          </cell>
          <cell r="G1902" t="str">
            <v>6</v>
          </cell>
          <cell r="H1902">
            <v>608</v>
          </cell>
          <cell r="I1902" t="str">
            <v>ФДНІПРОПЕТРОВСЬКЕ О ВАТОЩАД М.ДНІПРОПЕ</v>
          </cell>
          <cell r="J1902" t="str">
            <v>ФДніпропетровське обВАТОщад</v>
          </cell>
          <cell r="K1902" t="str">
            <v>UCLA</v>
          </cell>
          <cell r="L1902" t="str">
            <v>UCLA</v>
          </cell>
          <cell r="M1902">
            <v>3</v>
          </cell>
          <cell r="N1902">
            <v>26</v>
          </cell>
          <cell r="O1902" t="str">
            <v>Управління НБУ в Дніпр.обл.</v>
          </cell>
        </row>
        <row r="1903">
          <cell r="A1903">
            <v>305493</v>
          </cell>
          <cell r="B1903">
            <v>300012</v>
          </cell>
          <cell r="D1903">
            <v>0</v>
          </cell>
          <cell r="E1903">
            <v>3</v>
          </cell>
          <cell r="F1903">
            <v>0</v>
          </cell>
          <cell r="G1903" t="str">
            <v>3</v>
          </cell>
          <cell r="H1903">
            <v>348</v>
          </cell>
          <cell r="I1903" t="str">
            <v>Ф."Ц-МIС.В.ПIБ В М.КРИВИЙ РIГ ДН.ОБЛ."</v>
          </cell>
          <cell r="J1903" t="str">
            <v>Ф."Ц-МІСЬК.ВІД.ПІБ КР.РІГ"</v>
          </cell>
          <cell r="K1903" t="str">
            <v>UCAJ</v>
          </cell>
          <cell r="L1903" t="str">
            <v>UCAJ</v>
          </cell>
          <cell r="M1903">
            <v>3</v>
          </cell>
          <cell r="N1903">
            <v>26</v>
          </cell>
          <cell r="O1903" t="str">
            <v>Управління НБУ в Дніпр.обл.</v>
          </cell>
        </row>
        <row r="1904">
          <cell r="A1904">
            <v>305501</v>
          </cell>
          <cell r="B1904">
            <v>300012</v>
          </cell>
          <cell r="D1904">
            <v>0</v>
          </cell>
          <cell r="E1904">
            <v>3</v>
          </cell>
          <cell r="F1904">
            <v>0</v>
          </cell>
          <cell r="G1904" t="str">
            <v>3</v>
          </cell>
          <cell r="H1904">
            <v>359</v>
          </cell>
          <cell r="I1904" t="str">
            <v>Ф."В.ПIБ В М.ДНIПРОДЗЕРЖИНСЬК ДН.ОБЛ."</v>
          </cell>
          <cell r="J1904" t="str">
            <v>Ф."ВІД.ПІБ В М.ДНІПРОДЗЕРЖ.</v>
          </cell>
          <cell r="K1904" t="str">
            <v>UCAO</v>
          </cell>
          <cell r="L1904" t="str">
            <v>UCAO</v>
          </cell>
          <cell r="M1904">
            <v>3</v>
          </cell>
          <cell r="N1904">
            <v>26</v>
          </cell>
          <cell r="O1904" t="str">
            <v>Управління НБУ в Дніпр.обл.</v>
          </cell>
        </row>
        <row r="1905">
          <cell r="A1905">
            <v>305534</v>
          </cell>
          <cell r="B1905">
            <v>300012</v>
          </cell>
          <cell r="D1905">
            <v>0</v>
          </cell>
          <cell r="E1905">
            <v>3</v>
          </cell>
          <cell r="F1905">
            <v>0</v>
          </cell>
          <cell r="G1905" t="str">
            <v>3</v>
          </cell>
          <cell r="H1905">
            <v>352</v>
          </cell>
          <cell r="I1905" t="str">
            <v>Ф-Я "В.ПIБ В М.НIКОПОЛЬ ДН-СЬКОЇ ОБЛ."</v>
          </cell>
          <cell r="J1905" t="str">
            <v>Ф."ВІД.ПІБ В М.НІКОПОЛЬ"</v>
          </cell>
          <cell r="K1905" t="str">
            <v>UCAL</v>
          </cell>
          <cell r="L1905" t="str">
            <v>UCAL</v>
          </cell>
          <cell r="M1905">
            <v>3</v>
          </cell>
          <cell r="N1905">
            <v>26</v>
          </cell>
          <cell r="O1905" t="str">
            <v>Управління НБУ в Дніпр.обл.</v>
          </cell>
        </row>
        <row r="1906">
          <cell r="A1906">
            <v>305545</v>
          </cell>
          <cell r="B1906">
            <v>300012</v>
          </cell>
          <cell r="D1906">
            <v>0</v>
          </cell>
          <cell r="E1906">
            <v>3</v>
          </cell>
          <cell r="F1906">
            <v>0</v>
          </cell>
          <cell r="G1906" t="str">
            <v>3</v>
          </cell>
          <cell r="H1906">
            <v>353</v>
          </cell>
          <cell r="I1906" t="str">
            <v>Ф-Я "В.ПIБ В М.НОВОМОСКОВСЬК ДН.ОБЛ."</v>
          </cell>
          <cell r="J1906" t="str">
            <v>Ф.ВІД.ПІБ В М.НОВОМОСКОВСЬК</v>
          </cell>
          <cell r="K1906" t="str">
            <v>UCAM</v>
          </cell>
          <cell r="L1906" t="str">
            <v>UCAM</v>
          </cell>
          <cell r="M1906">
            <v>3</v>
          </cell>
          <cell r="N1906">
            <v>26</v>
          </cell>
          <cell r="O1906" t="str">
            <v>Управління НБУ в Дніпр.обл.</v>
          </cell>
        </row>
        <row r="1907">
          <cell r="A1907">
            <v>305556</v>
          </cell>
          <cell r="B1907">
            <v>300012</v>
          </cell>
          <cell r="D1907">
            <v>0</v>
          </cell>
          <cell r="E1907">
            <v>3</v>
          </cell>
          <cell r="F1907">
            <v>0</v>
          </cell>
          <cell r="G1907" t="str">
            <v>3</v>
          </cell>
          <cell r="H1907">
            <v>354</v>
          </cell>
          <cell r="I1907" t="str">
            <v>Ф-Я "В.ПIБ В М.ПАВЛОГРАД ДН-СЬКОЇ ОБЛ"</v>
          </cell>
          <cell r="J1907" t="str">
            <v>Ф. "ВІД.ПІБ В М.ПАВЛОГРАД"</v>
          </cell>
          <cell r="K1907" t="str">
            <v>UCAN</v>
          </cell>
          <cell r="L1907" t="str">
            <v>UCAN</v>
          </cell>
          <cell r="M1907">
            <v>3</v>
          </cell>
          <cell r="N1907">
            <v>26</v>
          </cell>
          <cell r="O1907" t="str">
            <v>Управління НБУ в Дніпр.обл.</v>
          </cell>
        </row>
        <row r="1908">
          <cell r="A1908">
            <v>305578</v>
          </cell>
          <cell r="B1908">
            <v>300249</v>
          </cell>
          <cell r="D1908">
            <v>0</v>
          </cell>
          <cell r="E1908">
            <v>37</v>
          </cell>
          <cell r="F1908">
            <v>0</v>
          </cell>
          <cell r="G1908" t="str">
            <v>8</v>
          </cell>
          <cell r="H1908">
            <v>763</v>
          </cell>
          <cell r="I1908" t="str">
            <v>ДН.ФАБ "БРОКБІЗНЕСБАНК", М. ДН-СЬК</v>
          </cell>
          <cell r="J1908" t="str">
            <v>АБ "БРОКБІЗНЕСБАНК",ДНІПР.</v>
          </cell>
          <cell r="K1908" t="str">
            <v>UCIN</v>
          </cell>
          <cell r="L1908" t="str">
            <v>UCIN</v>
          </cell>
          <cell r="M1908">
            <v>3</v>
          </cell>
          <cell r="N1908">
            <v>26</v>
          </cell>
          <cell r="O1908" t="str">
            <v>Управління НБУ в Дніпр.обл.</v>
          </cell>
        </row>
        <row r="1909">
          <cell r="A1909">
            <v>305589</v>
          </cell>
          <cell r="B1909">
            <v>322313</v>
          </cell>
          <cell r="D1909">
            <v>0</v>
          </cell>
          <cell r="E1909">
            <v>2</v>
          </cell>
          <cell r="F1909">
            <v>0</v>
          </cell>
          <cell r="G1909" t="str">
            <v>2</v>
          </cell>
          <cell r="H1909">
            <v>269</v>
          </cell>
          <cell r="I1909" t="str">
            <v>Ф-Я ВАТ "УКРЕКСIМБАНК", КРИВИЙ РІГ</v>
          </cell>
          <cell r="J1909" t="str">
            <v>Ф-я Укрексiмбанк,Кривий Ріг</v>
          </cell>
          <cell r="K1909" t="str">
            <v>UCGB</v>
          </cell>
          <cell r="L1909" t="str">
            <v>UCGB</v>
          </cell>
          <cell r="M1909">
            <v>3</v>
          </cell>
          <cell r="N1909">
            <v>26</v>
          </cell>
          <cell r="O1909" t="str">
            <v>Управління НБУ в Дніпр.обл.</v>
          </cell>
        </row>
        <row r="1910">
          <cell r="A1910">
            <v>305590</v>
          </cell>
          <cell r="B1910">
            <v>300142</v>
          </cell>
          <cell r="D1910">
            <v>0</v>
          </cell>
          <cell r="E1910">
            <v>18</v>
          </cell>
          <cell r="F1910">
            <v>0</v>
          </cell>
          <cell r="G1910" t="str">
            <v>8</v>
          </cell>
          <cell r="H1910">
            <v>707</v>
          </cell>
          <cell r="I1910" t="str">
            <v>ДНІПРОПЕТР. ФАТ"УІБ" М.ДНІПРОПЕТРОВСЬК</v>
          </cell>
          <cell r="J1910" t="str">
            <v>Дніпропетровська ФАТ"УІБ"</v>
          </cell>
          <cell r="K1910" t="str">
            <v>UCII</v>
          </cell>
          <cell r="L1910" t="str">
            <v>UCII</v>
          </cell>
          <cell r="M1910">
            <v>3</v>
          </cell>
          <cell r="N1910">
            <v>26</v>
          </cell>
          <cell r="O1910" t="str">
            <v>Управління НБУ в Дніпр.обл.</v>
          </cell>
        </row>
        <row r="1911">
          <cell r="A1911">
            <v>305653</v>
          </cell>
          <cell r="B1911">
            <v>300335</v>
          </cell>
          <cell r="D1911">
            <v>0</v>
          </cell>
          <cell r="E1911">
            <v>36</v>
          </cell>
          <cell r="F1911">
            <v>0</v>
          </cell>
          <cell r="G1911" t="str">
            <v>7</v>
          </cell>
          <cell r="H1911">
            <v>726</v>
          </cell>
          <cell r="I1911" t="str">
            <v>ДНІП.ОД"РАЙФФАЙЗЕН БАНК АВАЛЬ"М.ДН-СЬК</v>
          </cell>
          <cell r="J1911" t="str">
            <v>Д.ОД"Райффайзен Банк Аваль"</v>
          </cell>
          <cell r="K1911" t="str">
            <v>UCIU</v>
          </cell>
          <cell r="L1911" t="str">
            <v>UCIU</v>
          </cell>
          <cell r="M1911">
            <v>3</v>
          </cell>
          <cell r="N1911">
            <v>26</v>
          </cell>
          <cell r="O1911" t="str">
            <v>Управління НБУ в Дніпр.обл.</v>
          </cell>
        </row>
        <row r="1912">
          <cell r="A1912">
            <v>305675</v>
          </cell>
          <cell r="B1912">
            <v>322313</v>
          </cell>
          <cell r="D1912">
            <v>0</v>
          </cell>
          <cell r="E1912">
            <v>2</v>
          </cell>
          <cell r="F1912">
            <v>0</v>
          </cell>
          <cell r="G1912" t="str">
            <v>2</v>
          </cell>
          <cell r="H1912">
            <v>207</v>
          </cell>
          <cell r="I1912" t="str">
            <v>Ф-Я ВАТ "УКРЕКСIМБАНК",ДНIПРОПЕТРОВСЬК</v>
          </cell>
          <cell r="J1912" t="str">
            <v>Ф.Укрексiмбанк,м.Дніпропетр</v>
          </cell>
          <cell r="K1912" t="str">
            <v>UCGA</v>
          </cell>
          <cell r="L1912" t="str">
            <v>UCGA</v>
          </cell>
          <cell r="M1912">
            <v>3</v>
          </cell>
          <cell r="N1912">
            <v>26</v>
          </cell>
          <cell r="O1912" t="str">
            <v>Управління НБУ в Дніпр.обл.</v>
          </cell>
        </row>
        <row r="1913">
          <cell r="A1913">
            <v>305686</v>
          </cell>
          <cell r="B1913">
            <v>305686</v>
          </cell>
          <cell r="C1913" t="str">
            <v>АКБ "ПРЕМ"ЄРБАНК"</v>
          </cell>
          <cell r="D1913">
            <v>41</v>
          </cell>
          <cell r="E1913">
            <v>41</v>
          </cell>
          <cell r="F1913">
            <v>0</v>
          </cell>
          <cell r="G1913" t="str">
            <v>8</v>
          </cell>
          <cell r="H1913">
            <v>732</v>
          </cell>
          <cell r="I1913" t="str">
            <v>АКБ "ПРЕМ"ЄРБАНК" М.ДНІПРОПЕТРОВСЬК</v>
          </cell>
          <cell r="J1913" t="str">
            <v>АКБ "ПРЕМ"ЄРБАНК"</v>
          </cell>
          <cell r="K1913" t="str">
            <v>UCID</v>
          </cell>
          <cell r="L1913" t="str">
            <v>UCID</v>
          </cell>
          <cell r="M1913">
            <v>3</v>
          </cell>
          <cell r="N1913">
            <v>3</v>
          </cell>
          <cell r="O1913" t="str">
            <v>Управління НБУ в Дніпр.обл.</v>
          </cell>
        </row>
        <row r="1914">
          <cell r="A1914">
            <v>305749</v>
          </cell>
          <cell r="B1914">
            <v>305749</v>
          </cell>
          <cell r="C1914" t="str">
            <v>АБ "КРЕДИТ-ДНІПРО"</v>
          </cell>
          <cell r="D1914">
            <v>270</v>
          </cell>
          <cell r="E1914">
            <v>270</v>
          </cell>
          <cell r="F1914">
            <v>0</v>
          </cell>
          <cell r="G1914" t="str">
            <v>B</v>
          </cell>
          <cell r="H1914">
            <v>722</v>
          </cell>
          <cell r="I1914" t="str">
            <v>АБ "КРЕДИТ-ДНІПРО" М.ДНІПРОПЕТРОВСЬК</v>
          </cell>
          <cell r="J1914" t="str">
            <v>АБ "КРЕДИТ-ДНІПРО"</v>
          </cell>
          <cell r="K1914" t="str">
            <v>UCIX</v>
          </cell>
          <cell r="L1914" t="str">
            <v>UCIX</v>
          </cell>
          <cell r="M1914">
            <v>3</v>
          </cell>
          <cell r="N1914">
            <v>3</v>
          </cell>
          <cell r="O1914" t="str">
            <v>Управління НБУ в Дніпр.обл.</v>
          </cell>
        </row>
        <row r="1915">
          <cell r="A1915">
            <v>305750</v>
          </cell>
          <cell r="B1915">
            <v>305299</v>
          </cell>
          <cell r="D1915">
            <v>0</v>
          </cell>
          <cell r="E1915">
            <v>46</v>
          </cell>
          <cell r="F1915">
            <v>0</v>
          </cell>
          <cell r="G1915" t="str">
            <v>A</v>
          </cell>
          <cell r="H1915">
            <v>710</v>
          </cell>
          <cell r="I1915" t="str">
            <v>КРИВ.Ф.ПРИВАТБАНКУ М.КРИВИЙ РІГ,ДН.ОБЛ</v>
          </cell>
          <cell r="J1915" t="str">
            <v>Криворізька ф ПриватБанку</v>
          </cell>
          <cell r="K1915" t="str">
            <v>UCIZ</v>
          </cell>
          <cell r="L1915" t="str">
            <v>UCIZ</v>
          </cell>
          <cell r="M1915">
            <v>3</v>
          </cell>
          <cell r="N1915">
            <v>3</v>
          </cell>
          <cell r="O1915" t="str">
            <v>Управління НБУ в Дніпр.обл.</v>
          </cell>
        </row>
        <row r="1916">
          <cell r="A1916">
            <v>305813</v>
          </cell>
          <cell r="B1916">
            <v>334851</v>
          </cell>
          <cell r="D1916">
            <v>0</v>
          </cell>
          <cell r="E1916">
            <v>115</v>
          </cell>
          <cell r="F1916">
            <v>0</v>
          </cell>
          <cell r="G1916" t="str">
            <v>8</v>
          </cell>
          <cell r="H1916">
            <v>742</v>
          </cell>
          <cell r="I1916" t="str">
            <v>ФІЛІЯ ЗАТ"ПУМБ" В М.ДНІПРОПЕТРОВСЬКУ</v>
          </cell>
          <cell r="J1916" t="str">
            <v>Філія ПУМБ,Дніпропетровськ</v>
          </cell>
          <cell r="K1916" t="str">
            <v>UCJE</v>
          </cell>
          <cell r="L1916" t="str">
            <v>UCJE</v>
          </cell>
          <cell r="M1916">
            <v>3</v>
          </cell>
          <cell r="N1916">
            <v>4</v>
          </cell>
          <cell r="O1916" t="str">
            <v>Управління НБУ в Дніпр.обл.</v>
          </cell>
        </row>
        <row r="1917">
          <cell r="A1917">
            <v>305835</v>
          </cell>
          <cell r="B1917">
            <v>300131</v>
          </cell>
          <cell r="D1917">
            <v>0</v>
          </cell>
          <cell r="E1917">
            <v>17</v>
          </cell>
          <cell r="F1917">
            <v>0</v>
          </cell>
          <cell r="G1917" t="str">
            <v>8</v>
          </cell>
          <cell r="H1917">
            <v>744</v>
          </cell>
          <cell r="I1917" t="str">
            <v>Криворзьк ф.ВАТ"Б"ФІН ТА КР"М.КРИВ РІГ</v>
          </cell>
          <cell r="J1917" t="str">
            <v>КрфВАТ"Б"ФІНАНСИ ТА КРЕДИТ"</v>
          </cell>
          <cell r="K1917" t="str">
            <v>UCJG</v>
          </cell>
          <cell r="L1917" t="str">
            <v>UCJG</v>
          </cell>
          <cell r="M1917">
            <v>3</v>
          </cell>
          <cell r="N1917">
            <v>26</v>
          </cell>
          <cell r="O1917" t="str">
            <v>Управління НБУ в Дніпр.обл.</v>
          </cell>
        </row>
        <row r="1918">
          <cell r="A1918">
            <v>305868</v>
          </cell>
          <cell r="B1918">
            <v>380537</v>
          </cell>
          <cell r="D1918">
            <v>0</v>
          </cell>
          <cell r="E1918">
            <v>76</v>
          </cell>
          <cell r="F1918">
            <v>0</v>
          </cell>
          <cell r="G1918" t="str">
            <v>B</v>
          </cell>
          <cell r="H1918">
            <v>747</v>
          </cell>
          <cell r="I1918" t="str">
            <v>ДНІПР.Ф ВАТ"ВІЕЙБІБАНК"М.ДНІПРОПЕТРОВС</v>
          </cell>
          <cell r="J1918" t="str">
            <v>Дніпр.Ф.ВАТ"ВіЕйБіБанк"</v>
          </cell>
          <cell r="K1918" t="str">
            <v>UCJH</v>
          </cell>
          <cell r="L1918" t="str">
            <v>UCJH</v>
          </cell>
          <cell r="M1918">
            <v>3</v>
          </cell>
          <cell r="N1918">
            <v>26</v>
          </cell>
          <cell r="O1918" t="str">
            <v>Управління НБУ в Дніпр.обл.</v>
          </cell>
        </row>
        <row r="1919">
          <cell r="A1919">
            <v>305880</v>
          </cell>
          <cell r="B1919">
            <v>305880</v>
          </cell>
          <cell r="C1919" t="str">
            <v>ТОВ КБ "ЗЕМЕЛЬНИЙ КАПІТАЛ"</v>
          </cell>
          <cell r="D1919">
            <v>243</v>
          </cell>
          <cell r="E1919">
            <v>243</v>
          </cell>
          <cell r="F1919">
            <v>0</v>
          </cell>
          <cell r="G1919" t="str">
            <v>8</v>
          </cell>
          <cell r="H1919">
            <v>736</v>
          </cell>
          <cell r="I1919" t="str">
            <v>ТОВ КБ "ЗЕМЕЛЬНИЙ КАПІТАЛ" М.ДН-СЬК</v>
          </cell>
          <cell r="J1919" t="str">
            <v>ТОВ КБ "ЗЕМЕЛЬНИЙ КАПІТАЛ"</v>
          </cell>
          <cell r="K1919" t="str">
            <v>UCJJ</v>
          </cell>
          <cell r="L1919" t="str">
            <v>UCJJ</v>
          </cell>
          <cell r="M1919">
            <v>3</v>
          </cell>
          <cell r="N1919">
            <v>3</v>
          </cell>
          <cell r="O1919" t="str">
            <v>Управління НБУ в Дніпр.обл.</v>
          </cell>
        </row>
        <row r="1920">
          <cell r="A1920">
            <v>305954</v>
          </cell>
          <cell r="B1920">
            <v>305062</v>
          </cell>
          <cell r="D1920">
            <v>0</v>
          </cell>
          <cell r="E1920">
            <v>48</v>
          </cell>
          <cell r="F1920">
            <v>0</v>
          </cell>
          <cell r="G1920" t="str">
            <v>8</v>
          </cell>
          <cell r="H1920">
            <v>727</v>
          </cell>
          <cell r="I1920" t="str">
            <v>Ф-Я АКБ "НОВИЙ" М.СИНЕЛЬНИКОВО ДН.ОБЛ.</v>
          </cell>
          <cell r="J1920" t="str">
            <v>ФКБ "НОВИЙ",СИНЕЛЬНИКОВЕ</v>
          </cell>
          <cell r="K1920" t="str">
            <v>UCJR</v>
          </cell>
          <cell r="L1920" t="str">
            <v>UCJR</v>
          </cell>
          <cell r="M1920">
            <v>3</v>
          </cell>
          <cell r="N1920">
            <v>3</v>
          </cell>
          <cell r="O1920" t="str">
            <v>Управління НБУ в Дніпр.обл.</v>
          </cell>
        </row>
        <row r="1921">
          <cell r="A1921">
            <v>305965</v>
          </cell>
          <cell r="B1921">
            <v>305299</v>
          </cell>
          <cell r="D1921">
            <v>0</v>
          </cell>
          <cell r="E1921">
            <v>46</v>
          </cell>
          <cell r="F1921">
            <v>0</v>
          </cell>
          <cell r="G1921" t="str">
            <v>A</v>
          </cell>
          <cell r="H1921">
            <v>715</v>
          </cell>
          <cell r="I1921" t="str">
            <v>ДНІПР.Ф.ПРИВАТБАНКУ,М.ДНІПРОДЗЕРЖИНСЬК</v>
          </cell>
          <cell r="J1921" t="str">
            <v>Дніпродзержинська ф.ПриватБ</v>
          </cell>
          <cell r="K1921" t="str">
            <v>UCJT</v>
          </cell>
          <cell r="L1921" t="str">
            <v>UCJT</v>
          </cell>
          <cell r="M1921">
            <v>3</v>
          </cell>
          <cell r="N1921">
            <v>3</v>
          </cell>
          <cell r="O1921" t="str">
            <v>Управління НБУ в Дніпр.обл.</v>
          </cell>
        </row>
        <row r="1922">
          <cell r="A1922">
            <v>305987</v>
          </cell>
          <cell r="B1922">
            <v>305987</v>
          </cell>
          <cell r="C1922" t="str">
            <v>ЗАТ "ФІНАНСОВИЙ СОЮЗ БАНК"</v>
          </cell>
          <cell r="D1922">
            <v>47</v>
          </cell>
          <cell r="E1922">
            <v>47</v>
          </cell>
          <cell r="F1922">
            <v>0</v>
          </cell>
          <cell r="G1922" t="str">
            <v>8</v>
          </cell>
          <cell r="H1922">
            <v>720</v>
          </cell>
          <cell r="I1922" t="str">
            <v>ЗАТ "ФІНАНСОВИЙ СОЮЗ БАНК" М.ДН-СЬК</v>
          </cell>
          <cell r="J1922" t="str">
            <v>ЗАТ "ФІНАНСОВИЙ СОЮЗ БАНК"</v>
          </cell>
          <cell r="K1922" t="str">
            <v>UCJS</v>
          </cell>
          <cell r="L1922" t="str">
            <v>UCJS</v>
          </cell>
          <cell r="M1922">
            <v>3</v>
          </cell>
          <cell r="N1922">
            <v>3</v>
          </cell>
          <cell r="O1922" t="str">
            <v>Управління НБУ в Дніпр.обл.</v>
          </cell>
        </row>
        <row r="1923">
          <cell r="A1923">
            <v>306016</v>
          </cell>
          <cell r="B1923">
            <v>320003</v>
          </cell>
          <cell r="D1923">
            <v>0</v>
          </cell>
          <cell r="E1923">
            <v>225</v>
          </cell>
          <cell r="F1923">
            <v>0</v>
          </cell>
          <cell r="G1923" t="str">
            <v>B</v>
          </cell>
          <cell r="H1923">
            <v>817</v>
          </cell>
          <cell r="I1923" t="str">
            <v>Ф ВАТ КБ "НАДРА" Дніпропетровське РУ</v>
          </cell>
          <cell r="J1923" t="str">
            <v>Ф ВАТ КБ"Надра"Дніпр-кеРУ</v>
          </cell>
          <cell r="K1923" t="str">
            <v>UCSP</v>
          </cell>
          <cell r="L1923" t="str">
            <v>UCSP</v>
          </cell>
          <cell r="M1923">
            <v>3</v>
          </cell>
          <cell r="N1923">
            <v>26</v>
          </cell>
          <cell r="O1923" t="str">
            <v>Управління НБУ в Дніпр.обл.</v>
          </cell>
        </row>
        <row r="1924">
          <cell r="A1924">
            <v>306038</v>
          </cell>
          <cell r="B1924">
            <v>300465</v>
          </cell>
          <cell r="D1924">
            <v>0</v>
          </cell>
          <cell r="E1924">
            <v>6</v>
          </cell>
          <cell r="F1924">
            <v>0</v>
          </cell>
          <cell r="G1924" t="str">
            <v>6</v>
          </cell>
          <cell r="H1924">
            <v>604</v>
          </cell>
          <cell r="I1924" t="str">
            <v>ФАПОСТОЛІВСЬКЕ ВІДД ВАТОЩАД М.АПОСТОЛО</v>
          </cell>
          <cell r="J1924" t="str">
            <v>ФАпостолівське віддіВАТОщад</v>
          </cell>
          <cell r="K1924" t="str">
            <v>UCLC</v>
          </cell>
          <cell r="L1924" t="str">
            <v>UCLC</v>
          </cell>
          <cell r="M1924">
            <v>3</v>
          </cell>
          <cell r="N1924">
            <v>26</v>
          </cell>
          <cell r="O1924" t="str">
            <v>Управління НБУ в Дніпр.обл.</v>
          </cell>
        </row>
        <row r="1925">
          <cell r="A1925">
            <v>306072</v>
          </cell>
          <cell r="B1925">
            <v>300465</v>
          </cell>
          <cell r="D1925">
            <v>0</v>
          </cell>
          <cell r="E1925">
            <v>6</v>
          </cell>
          <cell r="F1925">
            <v>0</v>
          </cell>
          <cell r="G1925" t="str">
            <v>6</v>
          </cell>
          <cell r="H1925">
            <v>640</v>
          </cell>
          <cell r="I1925" t="str">
            <v>ФДЗЕРЖИНСЬКЕ ВІДДІЛ ВАТОЩАД М.КРИВИЙ Р</v>
          </cell>
          <cell r="J1925" t="str">
            <v>ФДзержинське відділеВАТОщад</v>
          </cell>
          <cell r="K1925" t="str">
            <v>UCLG</v>
          </cell>
          <cell r="L1925" t="str">
            <v>UCLG</v>
          </cell>
          <cell r="M1925">
            <v>3</v>
          </cell>
          <cell r="N1925">
            <v>26</v>
          </cell>
          <cell r="O1925" t="str">
            <v>Управління НБУ в Дніпр.обл.</v>
          </cell>
        </row>
        <row r="1926">
          <cell r="A1926">
            <v>306083</v>
          </cell>
          <cell r="B1926">
            <v>300465</v>
          </cell>
          <cell r="D1926">
            <v>0</v>
          </cell>
          <cell r="E1926">
            <v>6</v>
          </cell>
          <cell r="F1926">
            <v>0</v>
          </cell>
          <cell r="G1926" t="str">
            <v>6</v>
          </cell>
          <cell r="H1926">
            <v>609</v>
          </cell>
          <cell r="I1926" t="str">
            <v>ФДНІПРОДЗЕРЖИНСЬКЕ  ВАТОЩАД М.ДНІПРОДЗ</v>
          </cell>
          <cell r="J1926" t="str">
            <v>ФДніпродзержинське вВАТОщад</v>
          </cell>
          <cell r="K1926" t="str">
            <v>UCLH</v>
          </cell>
          <cell r="L1926" t="str">
            <v>UCLH</v>
          </cell>
          <cell r="M1926">
            <v>3</v>
          </cell>
          <cell r="N1926">
            <v>26</v>
          </cell>
          <cell r="O1926" t="str">
            <v>Управління НБУ в Дніпр.обл.</v>
          </cell>
        </row>
        <row r="1927">
          <cell r="A1927">
            <v>306124</v>
          </cell>
          <cell r="B1927">
            <v>300465</v>
          </cell>
          <cell r="D1927">
            <v>0</v>
          </cell>
          <cell r="E1927">
            <v>6</v>
          </cell>
          <cell r="F1927">
            <v>0</v>
          </cell>
          <cell r="G1927" t="str">
            <v>6</v>
          </cell>
          <cell r="H1927">
            <v>626</v>
          </cell>
          <cell r="I1927" t="str">
            <v>ФЖОВТНЕВЕ ВІДДІЛЕНН ВАТОЩАД М.КРИВИЙ Р</v>
          </cell>
          <cell r="J1927" t="str">
            <v>ФЖовтневе відділенняВАТОщад</v>
          </cell>
          <cell r="K1927" t="str">
            <v>UCLL</v>
          </cell>
          <cell r="L1927" t="str">
            <v>UCLL</v>
          </cell>
          <cell r="M1927">
            <v>3</v>
          </cell>
          <cell r="N1927">
            <v>26</v>
          </cell>
          <cell r="O1927" t="str">
            <v>Управління НБУ в Дніпр.обл.</v>
          </cell>
        </row>
        <row r="1928">
          <cell r="A1928">
            <v>306135</v>
          </cell>
          <cell r="B1928">
            <v>300465</v>
          </cell>
          <cell r="D1928">
            <v>0</v>
          </cell>
          <cell r="E1928">
            <v>6</v>
          </cell>
          <cell r="F1928">
            <v>0</v>
          </cell>
          <cell r="G1928" t="str">
            <v>6</v>
          </cell>
          <cell r="H1928">
            <v>614</v>
          </cell>
          <cell r="I1928" t="str">
            <v>ФЖОВТОВОДСЬКО-П`ЯТИ ВАТОЩАД М.ЖОВТІ ВО</v>
          </cell>
          <cell r="J1928" t="str">
            <v>ФЖовтоводсько-П`ятихВАТОщад</v>
          </cell>
          <cell r="K1928" t="str">
            <v>UCLM</v>
          </cell>
          <cell r="L1928" t="str">
            <v>UCLM</v>
          </cell>
          <cell r="M1928">
            <v>3</v>
          </cell>
          <cell r="N1928">
            <v>26</v>
          </cell>
          <cell r="O1928" t="str">
            <v>Управління НБУ в Дніпр.обл.</v>
          </cell>
        </row>
        <row r="1929">
          <cell r="A1929">
            <v>306168</v>
          </cell>
          <cell r="B1929">
            <v>300465</v>
          </cell>
          <cell r="D1929">
            <v>0</v>
          </cell>
          <cell r="E1929">
            <v>6</v>
          </cell>
          <cell r="F1929">
            <v>0</v>
          </cell>
          <cell r="G1929" t="str">
            <v>6</v>
          </cell>
          <cell r="H1929">
            <v>617</v>
          </cell>
          <cell r="I1929" t="str">
            <v>ФІНГУЛЕЦЬКЕ ВІДДІЛЕ ВАТОЩАД М.КРИВИЙ Р</v>
          </cell>
          <cell r="J1929" t="str">
            <v>ФІнгулецьке відділенВАТОщад</v>
          </cell>
          <cell r="K1929" t="str">
            <v>UCLP</v>
          </cell>
          <cell r="L1929" t="str">
            <v>UCLP</v>
          </cell>
          <cell r="M1929">
            <v>3</v>
          </cell>
          <cell r="N1929">
            <v>26</v>
          </cell>
          <cell r="O1929" t="str">
            <v>Управління НБУ в Дніпр.обл.</v>
          </cell>
        </row>
        <row r="1930">
          <cell r="A1930">
            <v>306180</v>
          </cell>
          <cell r="B1930">
            <v>300465</v>
          </cell>
          <cell r="D1930">
            <v>0</v>
          </cell>
          <cell r="E1930">
            <v>6</v>
          </cell>
          <cell r="F1930">
            <v>0</v>
          </cell>
          <cell r="G1930" t="str">
            <v>6</v>
          </cell>
          <cell r="H1930">
            <v>619</v>
          </cell>
          <cell r="I1930" t="str">
            <v>ФПРАВОБЕРЕЖНЕ ВІДДІ ВАТОЩАД М.ДНІПРОПЕ</v>
          </cell>
          <cell r="J1930" t="str">
            <v>ФПравобережне відділВАТОщад</v>
          </cell>
          <cell r="K1930" t="str">
            <v>UCLR</v>
          </cell>
          <cell r="L1930" t="str">
            <v>UCLR</v>
          </cell>
          <cell r="M1930">
            <v>3</v>
          </cell>
          <cell r="N1930">
            <v>26</v>
          </cell>
          <cell r="O1930" t="str">
            <v>Управління НБУ в Дніпр.обл.</v>
          </cell>
        </row>
        <row r="1931">
          <cell r="A1931">
            <v>306191</v>
          </cell>
          <cell r="B1931">
            <v>300465</v>
          </cell>
          <cell r="D1931">
            <v>0</v>
          </cell>
          <cell r="E1931">
            <v>6</v>
          </cell>
          <cell r="F1931">
            <v>0</v>
          </cell>
          <cell r="G1931" t="str">
            <v>6</v>
          </cell>
          <cell r="H1931">
            <v>610</v>
          </cell>
          <cell r="I1931" t="str">
            <v>ФКРИВОРІЗЬКЕ ВІДДІЛ ВАТОЩАД М.КРИВИЙ Р</v>
          </cell>
          <cell r="J1931" t="str">
            <v>ФКриворізьке відділеВАТОщад</v>
          </cell>
          <cell r="K1931" t="str">
            <v>UCLS</v>
          </cell>
          <cell r="L1931" t="str">
            <v>UCLS</v>
          </cell>
          <cell r="M1931">
            <v>3</v>
          </cell>
          <cell r="N1931">
            <v>26</v>
          </cell>
          <cell r="O1931" t="str">
            <v>Управління НБУ в Дніпр.обл.</v>
          </cell>
        </row>
        <row r="1932">
          <cell r="A1932">
            <v>306221</v>
          </cell>
          <cell r="B1932">
            <v>300465</v>
          </cell>
          <cell r="D1932">
            <v>0</v>
          </cell>
          <cell r="E1932">
            <v>6</v>
          </cell>
          <cell r="F1932">
            <v>0</v>
          </cell>
          <cell r="G1932" t="str">
            <v>6</v>
          </cell>
          <cell r="H1932">
            <v>623</v>
          </cell>
          <cell r="I1932" t="str">
            <v>ФМАГДАЛИНІВСЬКЕ ВІД ВАТОЩАД СМТ.МАГДАЛ</v>
          </cell>
          <cell r="J1932" t="str">
            <v>ФМагдалинівське віддВАТОщад</v>
          </cell>
          <cell r="K1932" t="str">
            <v>UCLV</v>
          </cell>
          <cell r="L1932" t="str">
            <v>UCLV</v>
          </cell>
          <cell r="M1932">
            <v>3</v>
          </cell>
          <cell r="N1932">
            <v>26</v>
          </cell>
          <cell r="O1932" t="str">
            <v>Управління НБУ в Дніпр.обл.</v>
          </cell>
        </row>
        <row r="1933">
          <cell r="A1933">
            <v>306232</v>
          </cell>
          <cell r="B1933">
            <v>300465</v>
          </cell>
          <cell r="D1933">
            <v>0</v>
          </cell>
          <cell r="E1933">
            <v>6</v>
          </cell>
          <cell r="F1933">
            <v>0</v>
          </cell>
          <cell r="G1933" t="str">
            <v>6</v>
          </cell>
          <cell r="H1933">
            <v>624</v>
          </cell>
          <cell r="I1933" t="str">
            <v>ФМАРГАНЕЦЬКЕ ВІДДІЛ ВАТОЩАД М.МАРГАНЕЦ</v>
          </cell>
          <cell r="J1933" t="str">
            <v>ФМарганецьке відділеВАТОщад</v>
          </cell>
          <cell r="K1933" t="str">
            <v>UCLW</v>
          </cell>
          <cell r="L1933" t="str">
            <v>UCLW</v>
          </cell>
          <cell r="M1933">
            <v>3</v>
          </cell>
          <cell r="N1933">
            <v>26</v>
          </cell>
          <cell r="O1933" t="str">
            <v>Управління НБУ в Дніпр.обл.</v>
          </cell>
        </row>
        <row r="1934">
          <cell r="A1934">
            <v>306276</v>
          </cell>
          <cell r="B1934">
            <v>300465</v>
          </cell>
          <cell r="D1934">
            <v>0</v>
          </cell>
          <cell r="E1934">
            <v>6</v>
          </cell>
          <cell r="F1934">
            <v>0</v>
          </cell>
          <cell r="G1934" t="str">
            <v>6</v>
          </cell>
          <cell r="H1934">
            <v>628</v>
          </cell>
          <cell r="I1934" t="str">
            <v>ФНОВОМОСКОВСЬКЕ ВІД ВАТОЩАД М.НОВОМОСК</v>
          </cell>
          <cell r="J1934" t="str">
            <v>ФНовомосковське віддВАТОщад</v>
          </cell>
          <cell r="K1934" t="str">
            <v>UCMA</v>
          </cell>
          <cell r="L1934" t="str">
            <v>UCMA</v>
          </cell>
          <cell r="M1934">
            <v>3</v>
          </cell>
          <cell r="N1934">
            <v>26</v>
          </cell>
          <cell r="O1934" t="str">
            <v>Управління НБУ в Дніпр.обл.</v>
          </cell>
        </row>
        <row r="1935">
          <cell r="A1935">
            <v>306287</v>
          </cell>
          <cell r="B1935">
            <v>300465</v>
          </cell>
          <cell r="D1935">
            <v>0</v>
          </cell>
          <cell r="E1935">
            <v>6</v>
          </cell>
          <cell r="F1935">
            <v>0</v>
          </cell>
          <cell r="G1935" t="str">
            <v>6</v>
          </cell>
          <cell r="H1935">
            <v>629</v>
          </cell>
          <cell r="I1935" t="str">
            <v>ФНІКОПОЛЬСЬКЕ ВІДДІ ВАТОЩАД М.НІКОПОЛЬ</v>
          </cell>
          <cell r="J1935" t="str">
            <v>ФНікопольське відділВАТОщад</v>
          </cell>
          <cell r="K1935" t="str">
            <v>UCMB</v>
          </cell>
          <cell r="L1935" t="str">
            <v>UCMB</v>
          </cell>
          <cell r="M1935">
            <v>3</v>
          </cell>
          <cell r="N1935">
            <v>26</v>
          </cell>
          <cell r="O1935" t="str">
            <v>Управління НБУ в Дніпр.обл.</v>
          </cell>
        </row>
        <row r="1936">
          <cell r="A1936">
            <v>306298</v>
          </cell>
          <cell r="B1936">
            <v>300465</v>
          </cell>
          <cell r="D1936">
            <v>0</v>
          </cell>
          <cell r="E1936">
            <v>6</v>
          </cell>
          <cell r="F1936">
            <v>0</v>
          </cell>
          <cell r="G1936" t="str">
            <v>6</v>
          </cell>
          <cell r="H1936">
            <v>620</v>
          </cell>
          <cell r="I1936" t="str">
            <v>ФПАВЛОГРАДСЬКЕ ВІДД ВАТОЩАД М.ПАВЛОГРА</v>
          </cell>
          <cell r="J1936" t="str">
            <v>ФПавлоградське віддіВАТОщад</v>
          </cell>
          <cell r="K1936" t="str">
            <v>UCMC</v>
          </cell>
          <cell r="L1936" t="str">
            <v>UCMC</v>
          </cell>
          <cell r="M1936">
            <v>3</v>
          </cell>
          <cell r="N1936">
            <v>26</v>
          </cell>
          <cell r="O1936" t="str">
            <v>Управління НБУ в Дніпр.обл.</v>
          </cell>
        </row>
        <row r="1937">
          <cell r="A1937">
            <v>306328</v>
          </cell>
          <cell r="B1937">
            <v>300465</v>
          </cell>
          <cell r="D1937">
            <v>0</v>
          </cell>
          <cell r="E1937">
            <v>6</v>
          </cell>
          <cell r="F1937">
            <v>0</v>
          </cell>
          <cell r="G1937" t="str">
            <v>6</v>
          </cell>
          <cell r="H1937">
            <v>633</v>
          </cell>
          <cell r="I1937" t="str">
            <v>ФПОКРОВСЬКЕ ВІДДІЛЕ ВАТОЩАД СМТ.ПОКРОВ</v>
          </cell>
          <cell r="J1937" t="str">
            <v>ФПокровське відділенВАТОщад</v>
          </cell>
          <cell r="K1937" t="str">
            <v>UCMF</v>
          </cell>
          <cell r="L1937" t="str">
            <v>UCMF</v>
          </cell>
          <cell r="M1937">
            <v>3</v>
          </cell>
          <cell r="N1937">
            <v>26</v>
          </cell>
          <cell r="O1937" t="str">
            <v>Управління НБУ в Дніпр.обл.</v>
          </cell>
        </row>
        <row r="1938">
          <cell r="A1938">
            <v>306340</v>
          </cell>
          <cell r="B1938">
            <v>300465</v>
          </cell>
          <cell r="D1938">
            <v>0</v>
          </cell>
          <cell r="E1938">
            <v>6</v>
          </cell>
          <cell r="F1938">
            <v>0</v>
          </cell>
          <cell r="G1938" t="str">
            <v>6</v>
          </cell>
          <cell r="H1938">
            <v>635</v>
          </cell>
          <cell r="I1938" t="str">
            <v>ФЛІВОБЕРЕЖНЕ ВІДДІЛ ВАТОЩАД М.ДНІПРОПЕ</v>
          </cell>
          <cell r="J1938" t="str">
            <v>ФЛівобережне відділеВАТОщад</v>
          </cell>
          <cell r="K1938" t="str">
            <v>UCMH</v>
          </cell>
          <cell r="L1938" t="str">
            <v>UCMH</v>
          </cell>
          <cell r="M1938">
            <v>3</v>
          </cell>
          <cell r="N1938">
            <v>26</v>
          </cell>
          <cell r="O1938" t="str">
            <v>Управління НБУ в Дніпр.обл.</v>
          </cell>
        </row>
        <row r="1939">
          <cell r="A1939">
            <v>306351</v>
          </cell>
          <cell r="B1939">
            <v>300465</v>
          </cell>
          <cell r="D1939">
            <v>0</v>
          </cell>
          <cell r="E1939">
            <v>6</v>
          </cell>
          <cell r="F1939">
            <v>0</v>
          </cell>
          <cell r="G1939" t="str">
            <v>6</v>
          </cell>
          <cell r="H1939">
            <v>636</v>
          </cell>
          <cell r="I1939" t="str">
            <v>ФСАКСАГАНСЬКЕ ВІДДІ ВАТОЩАД М.КРИВИЙ Р</v>
          </cell>
          <cell r="J1939" t="str">
            <v>ФСаксаганське відділВАТОщад</v>
          </cell>
          <cell r="K1939" t="str">
            <v>UCMI</v>
          </cell>
          <cell r="L1939" t="str">
            <v>UCMI</v>
          </cell>
          <cell r="M1939">
            <v>3</v>
          </cell>
          <cell r="N1939">
            <v>26</v>
          </cell>
          <cell r="O1939" t="str">
            <v>Управління НБУ в Дніпр.обл.</v>
          </cell>
        </row>
        <row r="1940">
          <cell r="A1940">
            <v>306362</v>
          </cell>
          <cell r="B1940">
            <v>300465</v>
          </cell>
          <cell r="D1940">
            <v>0</v>
          </cell>
          <cell r="E1940">
            <v>6</v>
          </cell>
          <cell r="F1940">
            <v>0</v>
          </cell>
          <cell r="G1940" t="str">
            <v>6</v>
          </cell>
          <cell r="H1940">
            <v>637</v>
          </cell>
          <cell r="I1940" t="str">
            <v>ФСИНЕЛЬНИКІВСЬКЕ ВІ ВАТОЩАД М.СИНЕЛЬНИ</v>
          </cell>
          <cell r="J1940" t="str">
            <v>ФСинельниківське відВАТОщад</v>
          </cell>
          <cell r="K1940" t="str">
            <v>UCMJ</v>
          </cell>
          <cell r="L1940" t="str">
            <v>UCMJ</v>
          </cell>
          <cell r="M1940">
            <v>3</v>
          </cell>
          <cell r="N1940">
            <v>26</v>
          </cell>
          <cell r="O1940" t="str">
            <v>Управління НБУ в Дніпр.обл.</v>
          </cell>
        </row>
        <row r="1941">
          <cell r="A1941">
            <v>306373</v>
          </cell>
          <cell r="B1941">
            <v>300465</v>
          </cell>
          <cell r="D1941">
            <v>0</v>
          </cell>
          <cell r="E1941">
            <v>6</v>
          </cell>
          <cell r="F1941">
            <v>0</v>
          </cell>
          <cell r="G1941" t="str">
            <v>6</v>
          </cell>
          <cell r="H1941">
            <v>638</v>
          </cell>
          <cell r="I1941" t="str">
            <v>ФСОЛОНЯНСЬКЕ ВІДДІЛ ВАТОЩАД СМТ.СОЛОНЕ</v>
          </cell>
          <cell r="J1941" t="str">
            <v>ФСолонянське відділеВАТОщад</v>
          </cell>
          <cell r="K1941" t="str">
            <v>UCMK</v>
          </cell>
          <cell r="L1941" t="str">
            <v>UCMK</v>
          </cell>
          <cell r="M1941">
            <v>3</v>
          </cell>
          <cell r="N1941">
            <v>26</v>
          </cell>
          <cell r="O1941" t="str">
            <v>Управління НБУ в Дніпр.обл.</v>
          </cell>
        </row>
        <row r="1942">
          <cell r="A1942">
            <v>306458</v>
          </cell>
          <cell r="B1942">
            <v>328209</v>
          </cell>
          <cell r="D1942">
            <v>0</v>
          </cell>
          <cell r="E1942">
            <v>106</v>
          </cell>
          <cell r="F1942">
            <v>0</v>
          </cell>
          <cell r="G1942" t="str">
            <v>8</v>
          </cell>
          <cell r="H1942">
            <v>806</v>
          </cell>
          <cell r="I1942" t="str">
            <v>ДН.ФАБ"ПІВДЕННИЙ",М.ДНІПРОПЕТРОВСЬК</v>
          </cell>
          <cell r="J1942" t="str">
            <v>ФАБ "ПІВДЕННИЙ" В М.ДН-ВСЬК</v>
          </cell>
          <cell r="K1942" t="str">
            <v>UCSN</v>
          </cell>
          <cell r="L1942" t="str">
            <v>UCSN</v>
          </cell>
          <cell r="M1942">
            <v>3</v>
          </cell>
          <cell r="N1942">
            <v>15</v>
          </cell>
          <cell r="O1942" t="str">
            <v>Управління НБУ в Дніпр.обл.</v>
          </cell>
        </row>
        <row r="1943">
          <cell r="A1943">
            <v>306470</v>
          </cell>
          <cell r="B1943">
            <v>305749</v>
          </cell>
          <cell r="D1943">
            <v>0</v>
          </cell>
          <cell r="E1943">
            <v>270</v>
          </cell>
          <cell r="F1943">
            <v>0</v>
          </cell>
          <cell r="G1943" t="str">
            <v>B</v>
          </cell>
          <cell r="H1943">
            <v>752</v>
          </cell>
          <cell r="I1943" t="str">
            <v>Ф.АБ"КРЕДИТ-ДНІПРО"М.НОВОМОСКОВ,ДН.ОБЛ</v>
          </cell>
          <cell r="J1943" t="str">
            <v>Новомоск.Ф.АБ Кредит-Дніпро</v>
          </cell>
          <cell r="K1943" t="str">
            <v>UCKU</v>
          </cell>
          <cell r="L1943" t="str">
            <v>UCKU</v>
          </cell>
          <cell r="M1943">
            <v>3</v>
          </cell>
          <cell r="N1943">
            <v>3</v>
          </cell>
          <cell r="O1943" t="str">
            <v>Управління НБУ в Дніпр.обл.</v>
          </cell>
        </row>
        <row r="1944">
          <cell r="A1944">
            <v>306481</v>
          </cell>
          <cell r="B1944">
            <v>334992</v>
          </cell>
          <cell r="D1944">
            <v>0</v>
          </cell>
          <cell r="E1944">
            <v>59</v>
          </cell>
          <cell r="F1944">
            <v>0</v>
          </cell>
          <cell r="G1944" t="str">
            <v>8</v>
          </cell>
          <cell r="H1944">
            <v>809</v>
          </cell>
          <cell r="I1944" t="str">
            <v>ДФВАТКБ З ІН.КАП.ПРОМЕКОНОМБАНК,М.ДН-К</v>
          </cell>
          <cell r="J1944" t="str">
            <v>ДФ ВАТ КБ "ПРОМЕКОНОМБАНК"</v>
          </cell>
          <cell r="K1944" t="str">
            <v>UCSO</v>
          </cell>
          <cell r="L1944" t="str">
            <v>UCSO</v>
          </cell>
          <cell r="M1944">
            <v>3</v>
          </cell>
          <cell r="N1944">
            <v>4</v>
          </cell>
          <cell r="O1944" t="str">
            <v>Управління НБУ в Дніпр.обл.</v>
          </cell>
        </row>
        <row r="1945">
          <cell r="A1945">
            <v>306500</v>
          </cell>
          <cell r="B1945">
            <v>306500</v>
          </cell>
          <cell r="C1945" t="str">
            <v>АБ "РАДАБАНК"</v>
          </cell>
          <cell r="D1945">
            <v>286</v>
          </cell>
          <cell r="E1945">
            <v>286</v>
          </cell>
          <cell r="F1945">
            <v>0</v>
          </cell>
          <cell r="G1945" t="str">
            <v>B</v>
          </cell>
          <cell r="H1945">
            <v>765</v>
          </cell>
          <cell r="I1945" t="str">
            <v>ЗАТ АБ"РАДАБАНК", М.ДНІПРОПЕТРОВСЬК</v>
          </cell>
          <cell r="J1945" t="str">
            <v>АБ "РАДАБАНК"</v>
          </cell>
          <cell r="K1945" t="str">
            <v>UCKY</v>
          </cell>
          <cell r="L1945" t="str">
            <v>UCKY</v>
          </cell>
          <cell r="M1945">
            <v>3</v>
          </cell>
          <cell r="N1945">
            <v>3</v>
          </cell>
          <cell r="O1945" t="str">
            <v>Управління НБУ в Дніпр.обл.</v>
          </cell>
        </row>
        <row r="1946">
          <cell r="A1946">
            <v>306566</v>
          </cell>
          <cell r="B1946">
            <v>322625</v>
          </cell>
          <cell r="D1946">
            <v>0</v>
          </cell>
          <cell r="E1946">
            <v>222</v>
          </cell>
          <cell r="F1946">
            <v>0</v>
          </cell>
          <cell r="G1946" t="str">
            <v>8</v>
          </cell>
          <cell r="H1946">
            <v>758</v>
          </cell>
          <cell r="I1946" t="str">
            <v>ДФ АБ "УКООПСПІЛКА"</v>
          </cell>
          <cell r="J1946" t="str">
            <v>ДФ АБ "Укоопспілка"</v>
          </cell>
          <cell r="K1946" t="str">
            <v>UCKR</v>
          </cell>
          <cell r="L1946" t="str">
            <v>UCKR</v>
          </cell>
          <cell r="M1946">
            <v>3</v>
          </cell>
          <cell r="N1946">
            <v>26</v>
          </cell>
          <cell r="O1946" t="str">
            <v>Управління НБУ в Дніпр.обл.</v>
          </cell>
        </row>
        <row r="1947">
          <cell r="A1947">
            <v>306704</v>
          </cell>
          <cell r="B1947">
            <v>306704</v>
          </cell>
          <cell r="C1947" t="str">
            <v>ТОВ"КЛАСИКБАНК"</v>
          </cell>
          <cell r="D1947">
            <v>276</v>
          </cell>
          <cell r="E1947">
            <v>276</v>
          </cell>
          <cell r="F1947">
            <v>0</v>
          </cell>
          <cell r="G1947" t="str">
            <v>8</v>
          </cell>
          <cell r="H1947">
            <v>756</v>
          </cell>
          <cell r="I1947" t="str">
            <v>ТОВ "КЛАСИКБАНК", М.ДНІПРОПЕТРОВСЬК</v>
          </cell>
          <cell r="J1947" t="str">
            <v>ТОВ"КЛАСИКБАНК"</v>
          </cell>
          <cell r="K1947" t="str">
            <v>UCKN</v>
          </cell>
          <cell r="L1947" t="str">
            <v>UCKN</v>
          </cell>
          <cell r="M1947">
            <v>3</v>
          </cell>
          <cell r="N1947">
            <v>3</v>
          </cell>
          <cell r="O1947" t="str">
            <v>Управління НБУ в Дніпр.обл.</v>
          </cell>
        </row>
        <row r="1948">
          <cell r="A1948">
            <v>306759</v>
          </cell>
          <cell r="B1948">
            <v>306759</v>
          </cell>
          <cell r="C1948" t="str">
            <v>ВАТ "КБ "ПРИЧОРНОМОР"Я"</v>
          </cell>
          <cell r="D1948">
            <v>183</v>
          </cell>
          <cell r="E1948">
            <v>183</v>
          </cell>
          <cell r="F1948">
            <v>0</v>
          </cell>
          <cell r="G1948" t="str">
            <v>8</v>
          </cell>
          <cell r="H1948">
            <v>748</v>
          </cell>
          <cell r="I1948" t="str">
            <v>ВАТ КБ"ПРИЧОРНОМОР"Я"М.ДНІПРОПЕТРОВСЬК</v>
          </cell>
          <cell r="J1948" t="str">
            <v>ВАТ "КБ "ПРИЧОРНОМОР"Я"</v>
          </cell>
          <cell r="K1948" t="str">
            <v>UCKQ</v>
          </cell>
          <cell r="L1948" t="str">
            <v>UCKQ</v>
          </cell>
          <cell r="M1948">
            <v>3</v>
          </cell>
          <cell r="N1948">
            <v>3</v>
          </cell>
          <cell r="O1948" t="str">
            <v>Управління НБУ в Дніпр.обл.</v>
          </cell>
        </row>
        <row r="1949">
          <cell r="A1949">
            <v>306823</v>
          </cell>
          <cell r="B1949">
            <v>300926</v>
          </cell>
          <cell r="D1949">
            <v>0</v>
          </cell>
          <cell r="E1949">
            <v>899</v>
          </cell>
          <cell r="F1949">
            <v>0</v>
          </cell>
          <cell r="G1949" t="str">
            <v>8</v>
          </cell>
          <cell r="H1949">
            <v>830</v>
          </cell>
          <cell r="I1949" t="str">
            <v>КРИВОРІЗ.ФІЛІЯ АТ"УФГ",М. КРИВИЙ РІГ</v>
          </cell>
          <cell r="J1949" t="str">
            <v>ФАТ "УФГ", М.КРИВИЙ РІГ</v>
          </cell>
          <cell r="K1949" t="str">
            <v>UCW1</v>
          </cell>
          <cell r="L1949" t="str">
            <v>U1WF</v>
          </cell>
          <cell r="M1949">
            <v>3</v>
          </cell>
          <cell r="N1949">
            <v>26</v>
          </cell>
          <cell r="O1949" t="str">
            <v>Управління НБУ в Дніпр.обл.</v>
          </cell>
        </row>
        <row r="1950">
          <cell r="A1950">
            <v>306878</v>
          </cell>
          <cell r="B1950">
            <v>322948</v>
          </cell>
          <cell r="D1950">
            <v>0</v>
          </cell>
          <cell r="E1950">
            <v>248</v>
          </cell>
          <cell r="F1950">
            <v>0</v>
          </cell>
          <cell r="G1950" t="str">
            <v>B</v>
          </cell>
          <cell r="H1950">
            <v>792</v>
          </cell>
          <cell r="I1950" t="str">
            <v>ДНІПРОП.Ф АКБ "ФОРУМ"М.ДНІПРОПЕТРОВСЬК</v>
          </cell>
          <cell r="J1950" t="str">
            <v>Дніпропетров.Ф АКБ "Форум"</v>
          </cell>
          <cell r="K1950" t="str">
            <v>UCSM</v>
          </cell>
          <cell r="L1950" t="str">
            <v>UCSM</v>
          </cell>
          <cell r="M1950">
            <v>3</v>
          </cell>
          <cell r="N1950">
            <v>26</v>
          </cell>
          <cell r="O1950" t="str">
            <v>Управління НБУ в Дніпр.обл.</v>
          </cell>
        </row>
        <row r="1951">
          <cell r="A1951">
            <v>306889</v>
          </cell>
          <cell r="B1951">
            <v>335946</v>
          </cell>
          <cell r="D1951">
            <v>0</v>
          </cell>
          <cell r="E1951">
            <v>45</v>
          </cell>
          <cell r="F1951">
            <v>0</v>
          </cell>
          <cell r="G1951" t="str">
            <v>8</v>
          </cell>
          <cell r="H1951">
            <v>793</v>
          </cell>
          <cell r="I1951" t="str">
            <v>КРИВОР.ФВАТКБ"ПІВДЕНКОМБАНК",М.КР.РІГ</v>
          </cell>
          <cell r="J1951" t="str">
            <v>КФ ВАТ КБ "ПІВДЕНКОМБАНК"</v>
          </cell>
          <cell r="K1951" t="str">
            <v>UCKZ</v>
          </cell>
          <cell r="L1951" t="str">
            <v>UCKZ</v>
          </cell>
          <cell r="M1951">
            <v>3</v>
          </cell>
          <cell r="N1951">
            <v>4</v>
          </cell>
          <cell r="O1951" t="str">
            <v>Управління НБУ в Дніпр.обл.</v>
          </cell>
        </row>
        <row r="1952">
          <cell r="A1952">
            <v>306890</v>
          </cell>
          <cell r="B1952">
            <v>300863</v>
          </cell>
          <cell r="D1952">
            <v>0</v>
          </cell>
          <cell r="E1952">
            <v>289</v>
          </cell>
          <cell r="F1952">
            <v>0</v>
          </cell>
          <cell r="G1952" t="str">
            <v>9</v>
          </cell>
          <cell r="H1952">
            <v>794</v>
          </cell>
          <cell r="I1952" t="str">
            <v>ДН.ФІЛІЯ ВАТ"КРЕДИТПРОМБАНК",М.ДН-СЬК</v>
          </cell>
          <cell r="J1952" t="str">
            <v>ДФ ВАТ "КРЕДИТПРОМБАНК"</v>
          </cell>
          <cell r="K1952" t="str">
            <v>UCSA</v>
          </cell>
          <cell r="L1952" t="str">
            <v>UCSA</v>
          </cell>
          <cell r="M1952">
            <v>3</v>
          </cell>
          <cell r="N1952">
            <v>26</v>
          </cell>
          <cell r="O1952" t="str">
            <v>Управління НБУ в Дніпр.обл.</v>
          </cell>
        </row>
        <row r="1953">
          <cell r="A1953">
            <v>306931</v>
          </cell>
          <cell r="B1953">
            <v>321767</v>
          </cell>
          <cell r="D1953">
            <v>0</v>
          </cell>
          <cell r="E1953">
            <v>42</v>
          </cell>
          <cell r="F1953">
            <v>0</v>
          </cell>
          <cell r="G1953" t="str">
            <v>B</v>
          </cell>
          <cell r="H1953">
            <v>795</v>
          </cell>
          <cell r="I1953" t="str">
            <v>ДНІП. Ф ВАТ ВТБ БАНК, ДНІПРОПЕТРОВСЬК</v>
          </cell>
          <cell r="J1953" t="str">
            <v>Дніпропетр. Ф ВАТ ВТБ Банк</v>
          </cell>
          <cell r="K1953" t="str">
            <v>UCSD</v>
          </cell>
          <cell r="L1953" t="str">
            <v>UCSD</v>
          </cell>
          <cell r="M1953">
            <v>3</v>
          </cell>
          <cell r="N1953">
            <v>26</v>
          </cell>
          <cell r="O1953" t="str">
            <v>Управління НБУ в Дніпр.обл.</v>
          </cell>
        </row>
        <row r="1954">
          <cell r="A1954">
            <v>306964</v>
          </cell>
          <cell r="B1954">
            <v>322959</v>
          </cell>
          <cell r="D1954">
            <v>0</v>
          </cell>
          <cell r="E1954">
            <v>262</v>
          </cell>
          <cell r="F1954">
            <v>0</v>
          </cell>
          <cell r="G1954" t="str">
            <v>8</v>
          </cell>
          <cell r="H1954">
            <v>769</v>
          </cell>
          <cell r="I1954" t="str">
            <v>ДН.ФАБ "ЕКСПРЕС-БАНК", М. ДНІПР-СЬК</v>
          </cell>
          <cell r="J1954" t="str">
            <v>ДНІПРОПЕТР.ФАБ"ЕКСПРЕС-БАНК</v>
          </cell>
          <cell r="K1954" t="str">
            <v>UCSG</v>
          </cell>
          <cell r="L1954" t="str">
            <v>UCSG</v>
          </cell>
          <cell r="M1954">
            <v>3</v>
          </cell>
          <cell r="N1954">
            <v>26</v>
          </cell>
          <cell r="O1954" t="str">
            <v>Управління НБУ в Дніпр.обл.</v>
          </cell>
        </row>
        <row r="1955">
          <cell r="A1955">
            <v>306975</v>
          </cell>
          <cell r="B1955">
            <v>328209</v>
          </cell>
          <cell r="D1955">
            <v>0</v>
          </cell>
          <cell r="E1955">
            <v>106</v>
          </cell>
          <cell r="F1955">
            <v>0</v>
          </cell>
          <cell r="G1955" t="str">
            <v>8</v>
          </cell>
          <cell r="H1955">
            <v>760</v>
          </cell>
          <cell r="I1955" t="str">
            <v>ФІЛІЯ АБ "ПІВДЕННИЙ", М. КРИВИЙ РІГ</v>
          </cell>
          <cell r="J1955" t="str">
            <v>ФАБ "Південний", Кривий Ріг</v>
          </cell>
          <cell r="K1955" t="str">
            <v>UCSH</v>
          </cell>
          <cell r="L1955" t="str">
            <v>UCSH</v>
          </cell>
          <cell r="M1955">
            <v>3</v>
          </cell>
          <cell r="N1955">
            <v>15</v>
          </cell>
          <cell r="O1955" t="str">
            <v>Управління НБУ в Дніпр.обл.</v>
          </cell>
        </row>
        <row r="1956">
          <cell r="A1956">
            <v>306986</v>
          </cell>
          <cell r="B1956">
            <v>351878</v>
          </cell>
          <cell r="D1956">
            <v>0</v>
          </cell>
          <cell r="E1956">
            <v>135</v>
          </cell>
          <cell r="F1956">
            <v>0</v>
          </cell>
          <cell r="G1956" t="str">
            <v>8</v>
          </cell>
          <cell r="H1956">
            <v>790</v>
          </cell>
          <cell r="I1956" t="str">
            <v>ДН.ФВАТ "ІНПРОМБАНК"</v>
          </cell>
          <cell r="J1956" t="str">
            <v>ДФ ВАТ "Інпромбанк"</v>
          </cell>
          <cell r="K1956" t="str">
            <v>UCSI</v>
          </cell>
          <cell r="L1956" t="str">
            <v>UCSI</v>
          </cell>
          <cell r="M1956">
            <v>3</v>
          </cell>
          <cell r="N1956">
            <v>20</v>
          </cell>
          <cell r="O1956" t="str">
            <v>Управління НБУ в Дніпр.обл.</v>
          </cell>
        </row>
        <row r="1957">
          <cell r="A1957">
            <v>307004</v>
          </cell>
          <cell r="B1957">
            <v>328760</v>
          </cell>
          <cell r="D1957">
            <v>0</v>
          </cell>
          <cell r="E1957">
            <v>206</v>
          </cell>
          <cell r="F1957">
            <v>0</v>
          </cell>
          <cell r="G1957" t="str">
            <v>8</v>
          </cell>
          <cell r="H1957">
            <v>899</v>
          </cell>
          <cell r="I1957" t="str">
            <v>ДНІПРОПЕТРОВ.ФІЛІЯ КБ ТОВ "МІСТО БАНК"</v>
          </cell>
          <cell r="J1957" t="str">
            <v>ДНІПР.Ф КБ ТОВ "МІСТО БАНК"</v>
          </cell>
          <cell r="K1957" t="str">
            <v>UCWE</v>
          </cell>
          <cell r="L1957" t="str">
            <v>UCWE</v>
          </cell>
          <cell r="M1957">
            <v>3</v>
          </cell>
          <cell r="N1957">
            <v>15</v>
          </cell>
          <cell r="O1957" t="str">
            <v>Управління НБУ в Дніпр.обл.</v>
          </cell>
        </row>
        <row r="1958">
          <cell r="A1958">
            <v>307015</v>
          </cell>
          <cell r="B1958">
            <v>300614</v>
          </cell>
          <cell r="D1958">
            <v>0</v>
          </cell>
          <cell r="E1958">
            <v>171</v>
          </cell>
          <cell r="F1958">
            <v>0</v>
          </cell>
          <cell r="G1958" t="str">
            <v>8</v>
          </cell>
          <cell r="H1958">
            <v>799</v>
          </cell>
          <cell r="I1958" t="str">
            <v>ДНП.Ф.АТ"ІНДЕКС-БАНК" В М.ДНІПРОПЕТР.</v>
          </cell>
          <cell r="J1958" t="str">
            <v>Дніпр.Філ.АТ"ІНДЕКС-БАНК"</v>
          </cell>
          <cell r="K1958" t="str">
            <v>UCSQ</v>
          </cell>
          <cell r="L1958" t="str">
            <v>UCSQ</v>
          </cell>
          <cell r="M1958">
            <v>3</v>
          </cell>
          <cell r="N1958">
            <v>26</v>
          </cell>
          <cell r="O1958" t="str">
            <v>Управління НБУ в Дніпр.обл.</v>
          </cell>
        </row>
        <row r="1959">
          <cell r="A1959">
            <v>307037</v>
          </cell>
          <cell r="B1959">
            <v>380292</v>
          </cell>
          <cell r="D1959">
            <v>0</v>
          </cell>
          <cell r="E1959">
            <v>237</v>
          </cell>
          <cell r="F1959">
            <v>0</v>
          </cell>
          <cell r="G1959" t="str">
            <v>8</v>
          </cell>
          <cell r="H1959">
            <v>788</v>
          </cell>
          <cell r="I1959" t="str">
            <v>ДНІПРОПЕТРОВСЬКА ФЗАТ "ЄБРФ", М.ДН-СЬК</v>
          </cell>
          <cell r="J1959" t="str">
            <v>Дніпропетров.ФЗАТ"ЄБРФ"</v>
          </cell>
          <cell r="K1959" t="str">
            <v>UCSS</v>
          </cell>
          <cell r="L1959" t="str">
            <v>UCSS</v>
          </cell>
          <cell r="M1959">
            <v>3</v>
          </cell>
          <cell r="N1959">
            <v>26</v>
          </cell>
          <cell r="O1959" t="str">
            <v>Управління НБУ в Дніпр.обл.</v>
          </cell>
        </row>
        <row r="1960">
          <cell r="A1960">
            <v>307048</v>
          </cell>
          <cell r="B1960">
            <v>325912</v>
          </cell>
          <cell r="D1960">
            <v>0</v>
          </cell>
          <cell r="E1960">
            <v>88</v>
          </cell>
          <cell r="F1960">
            <v>0</v>
          </cell>
          <cell r="G1960" t="str">
            <v>B</v>
          </cell>
          <cell r="H1960">
            <v>819</v>
          </cell>
          <cell r="I1960" t="str">
            <v>Дніпропетровська філія ВАТ"КРЕДОБАНК"</v>
          </cell>
          <cell r="J1960" t="str">
            <v>Дніпропетр.ф.ВАТ"КРЕДОБАНК"</v>
          </cell>
          <cell r="K1960" t="str">
            <v>UCST</v>
          </cell>
          <cell r="L1960" t="str">
            <v>UCST</v>
          </cell>
          <cell r="M1960">
            <v>3</v>
          </cell>
          <cell r="N1960">
            <v>13</v>
          </cell>
          <cell r="O1960" t="str">
            <v>Управління НБУ в Дніпр.обл.</v>
          </cell>
        </row>
        <row r="1961">
          <cell r="A1961">
            <v>307059</v>
          </cell>
          <cell r="B1961">
            <v>300658</v>
          </cell>
          <cell r="D1961">
            <v>0</v>
          </cell>
          <cell r="E1961">
            <v>251</v>
          </cell>
          <cell r="F1961">
            <v>0</v>
          </cell>
          <cell r="G1961" t="str">
            <v>B</v>
          </cell>
          <cell r="H1961">
            <v>777</v>
          </cell>
          <cell r="I1961" t="str">
            <v>ДНФВАТ"ПІРЕУС БАНК МКБ"ДНІПРОПЕТРОВСЬК</v>
          </cell>
          <cell r="J1961" t="str">
            <v>ДнФ ВАТ "ПІРЕУС БАНК МКБ"</v>
          </cell>
          <cell r="K1961" t="str">
            <v>UCSU</v>
          </cell>
          <cell r="L1961" t="str">
            <v>UCSU</v>
          </cell>
          <cell r="M1961">
            <v>3</v>
          </cell>
          <cell r="N1961">
            <v>26</v>
          </cell>
          <cell r="O1961" t="str">
            <v>Управління НБУ в Дніпр.обл.</v>
          </cell>
        </row>
        <row r="1962">
          <cell r="A1962">
            <v>307060</v>
          </cell>
          <cell r="B1962">
            <v>322948</v>
          </cell>
          <cell r="D1962">
            <v>0</v>
          </cell>
          <cell r="E1962">
            <v>248</v>
          </cell>
          <cell r="F1962">
            <v>0</v>
          </cell>
          <cell r="G1962" t="str">
            <v>B</v>
          </cell>
          <cell r="H1962">
            <v>812</v>
          </cell>
          <cell r="I1962" t="str">
            <v>КРИВОРІЗЬКА Ф АКБ "ФОРУМ" М.КРИВИЙ РІГ</v>
          </cell>
          <cell r="J1962" t="str">
            <v>Криворізька філ.АКБ"Форум"</v>
          </cell>
          <cell r="K1962" t="str">
            <v>UCSV</v>
          </cell>
          <cell r="L1962" t="str">
            <v>UCSV</v>
          </cell>
          <cell r="M1962">
            <v>3</v>
          </cell>
          <cell r="N1962">
            <v>26</v>
          </cell>
          <cell r="O1962" t="str">
            <v>Управління НБУ в Дніпр.обл.</v>
          </cell>
        </row>
        <row r="1963">
          <cell r="A1963">
            <v>307071</v>
          </cell>
          <cell r="B1963">
            <v>300528</v>
          </cell>
          <cell r="D1963">
            <v>0</v>
          </cell>
          <cell r="E1963">
            <v>296</v>
          </cell>
          <cell r="F1963">
            <v>0</v>
          </cell>
          <cell r="G1963" t="str">
            <v>F</v>
          </cell>
          <cell r="H1963">
            <v>825</v>
          </cell>
          <cell r="I1963" t="str">
            <v>ФІЛІЯ ЗАТ"ОТП БАНК", М.ДНІПРОПЕТРОВСЬК</v>
          </cell>
          <cell r="J1963" t="str">
            <v>Філія ЗАТ "ОТП Банк"</v>
          </cell>
          <cell r="K1963" t="str">
            <v>UCSW</v>
          </cell>
          <cell r="L1963" t="str">
            <v>UCSW</v>
          </cell>
          <cell r="M1963">
            <v>3</v>
          </cell>
          <cell r="N1963">
            <v>26</v>
          </cell>
          <cell r="O1963" t="str">
            <v>Управління НБУ в Дніпр.обл.</v>
          </cell>
        </row>
        <row r="1964">
          <cell r="A1964">
            <v>307093</v>
          </cell>
          <cell r="B1964">
            <v>328384</v>
          </cell>
          <cell r="D1964">
            <v>0</v>
          </cell>
          <cell r="E1964">
            <v>258</v>
          </cell>
          <cell r="F1964">
            <v>0</v>
          </cell>
          <cell r="G1964" t="str">
            <v>8</v>
          </cell>
          <cell r="H1964">
            <v>797</v>
          </cell>
          <cell r="I1964" t="str">
            <v>ФІЛІЯ АКБ "ІМЕКСБАНК" У М.ДНІПРОПЕТРОВ</v>
          </cell>
          <cell r="J1964" t="str">
            <v>ДНІПРОПЕТРФ АКБ "ІМЕКСБАНК"</v>
          </cell>
          <cell r="K1964" t="str">
            <v>UCSZ</v>
          </cell>
          <cell r="L1964" t="str">
            <v>UCSZ</v>
          </cell>
          <cell r="M1964">
            <v>3</v>
          </cell>
          <cell r="N1964">
            <v>15</v>
          </cell>
          <cell r="O1964" t="str">
            <v>Управління НБУ в Дніпр.обл.</v>
          </cell>
        </row>
        <row r="1965">
          <cell r="A1965">
            <v>307112</v>
          </cell>
          <cell r="B1965">
            <v>307112</v>
          </cell>
          <cell r="C1965" t="str">
            <v>ТОВ "ДІАЛОГБАНК"</v>
          </cell>
          <cell r="D1965">
            <v>117</v>
          </cell>
          <cell r="E1965">
            <v>117</v>
          </cell>
          <cell r="F1965">
            <v>0</v>
          </cell>
          <cell r="G1965" t="str">
            <v>8</v>
          </cell>
          <cell r="H1965">
            <v>826</v>
          </cell>
          <cell r="I1965" t="str">
            <v>ТОВ "ДІАЛОГБАНК", М.ДНІПРОПЕТРОВСЬК</v>
          </cell>
          <cell r="J1965" t="str">
            <v>ТОВ "ДІАЛОГБАНК"</v>
          </cell>
          <cell r="K1965" t="str">
            <v>UCSY</v>
          </cell>
          <cell r="L1965" t="str">
            <v>UCSY</v>
          </cell>
          <cell r="M1965">
            <v>3</v>
          </cell>
          <cell r="N1965">
            <v>3</v>
          </cell>
          <cell r="O1965" t="str">
            <v>Управління НБУ в Дніпр.обл.</v>
          </cell>
        </row>
        <row r="1966">
          <cell r="A1966">
            <v>307123</v>
          </cell>
          <cell r="B1966">
            <v>307123</v>
          </cell>
          <cell r="C1966" t="str">
            <v>ЗАТ "ХК БАНК"</v>
          </cell>
          <cell r="D1966">
            <v>305</v>
          </cell>
          <cell r="E1966">
            <v>305</v>
          </cell>
          <cell r="F1966">
            <v>0</v>
          </cell>
          <cell r="G1966" t="str">
            <v>9</v>
          </cell>
          <cell r="H1966">
            <v>801</v>
          </cell>
          <cell r="I1966" t="str">
            <v>ЗАТ "ХК БАНК"</v>
          </cell>
          <cell r="J1966" t="str">
            <v>ЗАТ "ХК БАНК"</v>
          </cell>
          <cell r="K1966" t="str">
            <v>UCNB</v>
          </cell>
          <cell r="L1966" t="str">
            <v>UCNB</v>
          </cell>
          <cell r="M1966">
            <v>3</v>
          </cell>
          <cell r="N1966">
            <v>3</v>
          </cell>
          <cell r="O1966" t="str">
            <v>Управління НБУ в Дніпр.обл.</v>
          </cell>
        </row>
        <row r="1967">
          <cell r="A1967">
            <v>307145</v>
          </cell>
          <cell r="B1967">
            <v>351931</v>
          </cell>
          <cell r="D1967">
            <v>0</v>
          </cell>
          <cell r="E1967">
            <v>209</v>
          </cell>
          <cell r="F1967">
            <v>0</v>
          </cell>
          <cell r="G1967" t="str">
            <v>8</v>
          </cell>
          <cell r="H1967">
            <v>803</v>
          </cell>
          <cell r="I1967" t="str">
            <v>ДН.ФАКБ"ЗОЛОТІ ВОРОТА",М.ДНІПРОП-ВСЬК</v>
          </cell>
          <cell r="J1967" t="str">
            <v>ФАКБ"ЗОЛОТІ ВОРОТА",Дн-ськ</v>
          </cell>
          <cell r="K1967" t="str">
            <v>UCND</v>
          </cell>
          <cell r="L1967" t="str">
            <v>UCND</v>
          </cell>
          <cell r="M1967">
            <v>3</v>
          </cell>
          <cell r="N1967">
            <v>20</v>
          </cell>
          <cell r="O1967" t="str">
            <v>Управління НБУ в Дніпр.обл.</v>
          </cell>
        </row>
        <row r="1968">
          <cell r="A1968">
            <v>307178</v>
          </cell>
          <cell r="B1968">
            <v>300926</v>
          </cell>
          <cell r="D1968">
            <v>0</v>
          </cell>
          <cell r="E1968">
            <v>899</v>
          </cell>
          <cell r="F1968">
            <v>0</v>
          </cell>
          <cell r="G1968" t="str">
            <v>8</v>
          </cell>
          <cell r="H1968">
            <v>822</v>
          </cell>
          <cell r="I1968" t="str">
            <v>ДНІПРОП-СЬКА ОБЛ.ФАТ"УФГ",М.ДН-ДЗЕРЖ.</v>
          </cell>
          <cell r="J1968" t="str">
            <v>Дн-ська обласна ФАТ "УФГ"</v>
          </cell>
          <cell r="K1968" t="str">
            <v>UCW3</v>
          </cell>
          <cell r="L1968" t="str">
            <v>U1WF</v>
          </cell>
          <cell r="M1968">
            <v>3</v>
          </cell>
          <cell r="N1968">
            <v>26</v>
          </cell>
          <cell r="O1968" t="str">
            <v>Управління НБУ в Дніпр.обл.</v>
          </cell>
        </row>
        <row r="1969">
          <cell r="A1969">
            <v>307189</v>
          </cell>
          <cell r="B1969">
            <v>313849</v>
          </cell>
          <cell r="D1969">
            <v>0</v>
          </cell>
          <cell r="E1969">
            <v>101</v>
          </cell>
          <cell r="F1969">
            <v>0</v>
          </cell>
          <cell r="G1969" t="str">
            <v>8</v>
          </cell>
          <cell r="H1969">
            <v>816</v>
          </cell>
          <cell r="I1969" t="str">
            <v>Дн-ка філія АКБ "ІНДУСТРІАЛБАНК"</v>
          </cell>
          <cell r="J1969" t="str">
            <v>ДФ АКБ "ІНДУСТРІАЛБАНК"</v>
          </cell>
          <cell r="K1969" t="str">
            <v>UCNJ</v>
          </cell>
          <cell r="L1969" t="str">
            <v>UCNJ</v>
          </cell>
          <cell r="M1969">
            <v>3</v>
          </cell>
          <cell r="N1969">
            <v>7</v>
          </cell>
          <cell r="O1969" t="str">
            <v>Управління НБУ в Дніпр.обл.</v>
          </cell>
        </row>
        <row r="1970">
          <cell r="A1970">
            <v>307208</v>
          </cell>
          <cell r="B1970">
            <v>321228</v>
          </cell>
          <cell r="D1970">
            <v>0</v>
          </cell>
          <cell r="E1970">
            <v>68</v>
          </cell>
          <cell r="F1970">
            <v>0</v>
          </cell>
          <cell r="G1970" t="str">
            <v>8</v>
          </cell>
          <cell r="H1970">
            <v>848</v>
          </cell>
          <cell r="I1970" t="str">
            <v>ДН.ФІЛІЯ ТОВ"УКРПРОМБАНК", М.ДН-СЬК</v>
          </cell>
          <cell r="J1970" t="str">
            <v>Дніпр.ФТОВ."Укрпромбанк"</v>
          </cell>
          <cell r="K1970" t="str">
            <v>UCNN</v>
          </cell>
          <cell r="L1970" t="str">
            <v>UCNN</v>
          </cell>
          <cell r="M1970">
            <v>3</v>
          </cell>
          <cell r="N1970">
            <v>26</v>
          </cell>
          <cell r="O1970" t="str">
            <v>Управління НБУ в Дніпр.обл.</v>
          </cell>
        </row>
        <row r="1971">
          <cell r="A1971">
            <v>307219</v>
          </cell>
          <cell r="B1971">
            <v>331100</v>
          </cell>
          <cell r="D1971">
            <v>0</v>
          </cell>
          <cell r="E1971">
            <v>198</v>
          </cell>
          <cell r="F1971">
            <v>0</v>
          </cell>
          <cell r="G1971" t="str">
            <v>8</v>
          </cell>
          <cell r="H1971">
            <v>810</v>
          </cell>
          <cell r="I1971" t="str">
            <v>ДН.ФІЛІЯ ВАТАКБ"АВТОКРАЗБАНК",М.ДН-СЬК</v>
          </cell>
          <cell r="J1971" t="str">
            <v>ДПФ ВАТ АКБ "АВТОКРАЗБАНК"</v>
          </cell>
          <cell r="K1971" t="str">
            <v>UCNM</v>
          </cell>
          <cell r="L1971" t="str">
            <v>UCNM</v>
          </cell>
          <cell r="M1971">
            <v>3</v>
          </cell>
          <cell r="N1971">
            <v>16</v>
          </cell>
          <cell r="O1971" t="str">
            <v>Управління НБУ в Дніпр.обл.</v>
          </cell>
        </row>
        <row r="1972">
          <cell r="A1972">
            <v>307220</v>
          </cell>
          <cell r="B1972">
            <v>351760</v>
          </cell>
          <cell r="D1972">
            <v>0</v>
          </cell>
          <cell r="E1972">
            <v>144</v>
          </cell>
          <cell r="F1972">
            <v>0</v>
          </cell>
          <cell r="G1972" t="str">
            <v>8</v>
          </cell>
          <cell r="H1972">
            <v>811</v>
          </cell>
          <cell r="I1972" t="str">
            <v>ДН.ФІЛІЯ АКБ "БАЗИС",М.ДНІПРОПЕТРОВСЬК</v>
          </cell>
          <cell r="J1972" t="str">
            <v>Дн-ська ФАКБ "Базис"</v>
          </cell>
          <cell r="K1972" t="str">
            <v>UCNO</v>
          </cell>
          <cell r="L1972" t="str">
            <v>UCNO</v>
          </cell>
          <cell r="M1972">
            <v>3</v>
          </cell>
          <cell r="N1972">
            <v>20</v>
          </cell>
          <cell r="O1972" t="str">
            <v>Управління НБУ в Дніпр.обл.</v>
          </cell>
        </row>
        <row r="1973">
          <cell r="A1973">
            <v>307231</v>
          </cell>
          <cell r="B1973">
            <v>300131</v>
          </cell>
          <cell r="D1973">
            <v>0</v>
          </cell>
          <cell r="E1973">
            <v>17</v>
          </cell>
          <cell r="F1973">
            <v>0</v>
          </cell>
          <cell r="G1973" t="str">
            <v>8</v>
          </cell>
          <cell r="H1973">
            <v>854</v>
          </cell>
          <cell r="I1973" t="str">
            <v>Ф"ДРРУ"ВАТ"Б"ФІН ТА КР"М.ДНІПРОПЕТРОВС</v>
          </cell>
          <cell r="J1973" t="str">
            <v>Ф"ДРРУ"Банк"Фін та Кред"</v>
          </cell>
          <cell r="K1973" t="str">
            <v>UCNP</v>
          </cell>
          <cell r="L1973" t="str">
            <v>UCNP</v>
          </cell>
          <cell r="M1973">
            <v>3</v>
          </cell>
          <cell r="N1973">
            <v>26</v>
          </cell>
          <cell r="O1973" t="str">
            <v>Управління НБУ в Дніпр.обл.</v>
          </cell>
        </row>
        <row r="1974">
          <cell r="A1974">
            <v>307242</v>
          </cell>
          <cell r="B1974">
            <v>320995</v>
          </cell>
          <cell r="D1974">
            <v>0</v>
          </cell>
          <cell r="E1974">
            <v>228</v>
          </cell>
          <cell r="F1974">
            <v>0</v>
          </cell>
          <cell r="G1974" t="str">
            <v>8</v>
          </cell>
          <cell r="H1974">
            <v>800</v>
          </cell>
          <cell r="I1974" t="str">
            <v>КРИВОРІЗ.ФІЛІЯ ВАТ"УБРП",М.КРИВИЙ РІГ</v>
          </cell>
          <cell r="J1974" t="str">
            <v>Криворізька філія ВАТ "УБРП</v>
          </cell>
          <cell r="K1974" t="str">
            <v>UCNQ</v>
          </cell>
          <cell r="L1974" t="str">
            <v>UCNQ</v>
          </cell>
          <cell r="M1974">
            <v>3</v>
          </cell>
          <cell r="N1974">
            <v>26</v>
          </cell>
          <cell r="O1974" t="str">
            <v>Управління НБУ в Дніпр.обл.</v>
          </cell>
        </row>
        <row r="1975">
          <cell r="A1975">
            <v>307253</v>
          </cell>
          <cell r="B1975">
            <v>300089</v>
          </cell>
          <cell r="D1975">
            <v>0</v>
          </cell>
          <cell r="E1975">
            <v>26</v>
          </cell>
          <cell r="F1975">
            <v>0</v>
          </cell>
          <cell r="G1975" t="str">
            <v>8</v>
          </cell>
          <cell r="H1975">
            <v>814</v>
          </cell>
          <cell r="I1975" t="str">
            <v>Ф.АКБ "ТРАНСБАНК" М.ДНІПРОПЕТРОВСЬК</v>
          </cell>
          <cell r="J1975" t="str">
            <v>Філ.АКБ"Трансб"м.Дніпропетр</v>
          </cell>
          <cell r="K1975" t="str">
            <v>UCNR</v>
          </cell>
          <cell r="L1975" t="str">
            <v>UCNR</v>
          </cell>
          <cell r="M1975">
            <v>3</v>
          </cell>
          <cell r="N1975">
            <v>26</v>
          </cell>
          <cell r="O1975" t="str">
            <v>Управління НБУ в Дніпр.обл.</v>
          </cell>
        </row>
        <row r="1976">
          <cell r="A1976">
            <v>307264</v>
          </cell>
          <cell r="B1976">
            <v>351931</v>
          </cell>
          <cell r="D1976">
            <v>0</v>
          </cell>
          <cell r="E1976">
            <v>209</v>
          </cell>
          <cell r="F1976">
            <v>0</v>
          </cell>
          <cell r="G1976" t="str">
            <v>8</v>
          </cell>
          <cell r="H1976">
            <v>831</v>
          </cell>
          <cell r="I1976" t="str">
            <v>КРИВ. ФАКБ "ЗОЛОТІ ВОРОТА",М.КР. РІГ</v>
          </cell>
          <cell r="J1976" t="str">
            <v>ФАКБ"Золоті ворота",Кр.Ріг</v>
          </cell>
          <cell r="K1976" t="str">
            <v>UCUP</v>
          </cell>
          <cell r="L1976" t="str">
            <v>UCUP</v>
          </cell>
          <cell r="M1976">
            <v>3</v>
          </cell>
          <cell r="N1976">
            <v>20</v>
          </cell>
          <cell r="O1976" t="str">
            <v>Управління НБУ в Дніпр.обл.</v>
          </cell>
        </row>
        <row r="1977">
          <cell r="A1977">
            <v>307286</v>
          </cell>
          <cell r="B1977">
            <v>380399</v>
          </cell>
          <cell r="D1977">
            <v>0</v>
          </cell>
          <cell r="E1977">
            <v>315</v>
          </cell>
          <cell r="F1977">
            <v>0</v>
          </cell>
          <cell r="G1977" t="str">
            <v>8</v>
          </cell>
          <cell r="H1977">
            <v>992</v>
          </cell>
          <cell r="I1977" t="str">
            <v>Ф."ДН.ДИР.ТОВУКБ "КАМБІО",М.ДН-СЬК</v>
          </cell>
          <cell r="J1977" t="str">
            <v>Ф."Дн-ська дир.УКБ"КАМБІО"</v>
          </cell>
          <cell r="K1977" t="str">
            <v>UCWG</v>
          </cell>
          <cell r="L1977" t="str">
            <v>UCWG</v>
          </cell>
          <cell r="M1977">
            <v>3</v>
          </cell>
          <cell r="N1977">
            <v>26</v>
          </cell>
          <cell r="O1977" t="str">
            <v>Управління НБУ в Дніпр.обл.</v>
          </cell>
        </row>
        <row r="1978">
          <cell r="A1978">
            <v>307297</v>
          </cell>
          <cell r="B1978">
            <v>328168</v>
          </cell>
          <cell r="D1978">
            <v>0</v>
          </cell>
          <cell r="E1978">
            <v>105</v>
          </cell>
          <cell r="F1978">
            <v>0</v>
          </cell>
          <cell r="G1978" t="str">
            <v>B</v>
          </cell>
          <cell r="H1978">
            <v>964</v>
          </cell>
          <cell r="I1978" t="str">
            <v>ФIЛIЯ ВАТ "МТБ" У М.ДНIПРОПЕТРОВСЬКУ</v>
          </cell>
          <cell r="J1978" t="str">
            <v>ФВАТ "МТБ", ДНІПРОПЕТРОВСЬК</v>
          </cell>
          <cell r="K1978" t="str">
            <v>UCWH</v>
          </cell>
          <cell r="L1978" t="str">
            <v>UCWH</v>
          </cell>
          <cell r="M1978">
            <v>3</v>
          </cell>
          <cell r="N1978">
            <v>15</v>
          </cell>
          <cell r="O1978" t="str">
            <v>Управління НБУ в Дніпр.обл.</v>
          </cell>
        </row>
        <row r="1979">
          <cell r="A1979">
            <v>307305</v>
          </cell>
          <cell r="B1979">
            <v>307305</v>
          </cell>
          <cell r="C1979" t="str">
            <v>ВАТ АКБ "СИГМАБАНК"</v>
          </cell>
          <cell r="D1979">
            <v>323</v>
          </cell>
          <cell r="E1979">
            <v>323</v>
          </cell>
          <cell r="F1979">
            <v>0</v>
          </cell>
          <cell r="G1979" t="str">
            <v>8</v>
          </cell>
          <cell r="H1979">
            <v>959</v>
          </cell>
          <cell r="I1979" t="str">
            <v>ВАТ АКБ"СИГМАБАНК"М.ДНІПРОПЕТРОВСЬК</v>
          </cell>
          <cell r="J1979" t="str">
            <v>ВАТ АКБ "СИГМАБАНК"</v>
          </cell>
          <cell r="K1979" t="str">
            <v>UCWI</v>
          </cell>
          <cell r="L1979" t="str">
            <v>UCWI</v>
          </cell>
          <cell r="M1979">
            <v>3</v>
          </cell>
          <cell r="N1979">
            <v>3</v>
          </cell>
          <cell r="O1979" t="str">
            <v>Управління НБУ в Дніпр.обл.</v>
          </cell>
        </row>
        <row r="1980">
          <cell r="A1980">
            <v>307316</v>
          </cell>
          <cell r="B1980">
            <v>306759</v>
          </cell>
          <cell r="D1980">
            <v>0</v>
          </cell>
          <cell r="E1980">
            <v>183</v>
          </cell>
          <cell r="F1980">
            <v>0</v>
          </cell>
          <cell r="G1980" t="str">
            <v>8</v>
          </cell>
          <cell r="H1980">
            <v>862</v>
          </cell>
          <cell r="I1980" t="str">
            <v>ДН.ФВАТ КБ "ПРИЧОРНОМОР"Я" М.ДН-СЬК</v>
          </cell>
          <cell r="J1980" t="str">
            <v>Дн.ФВАТ КБ "Причорномор"я"</v>
          </cell>
          <cell r="K1980" t="str">
            <v>UCNV</v>
          </cell>
          <cell r="L1980" t="str">
            <v>UCNV</v>
          </cell>
          <cell r="M1980">
            <v>3</v>
          </cell>
          <cell r="N1980">
            <v>3</v>
          </cell>
          <cell r="O1980" t="str">
            <v>Управління НБУ в Дніпр.обл.</v>
          </cell>
        </row>
        <row r="1981">
          <cell r="A1981">
            <v>307338</v>
          </cell>
          <cell r="B1981">
            <v>334828</v>
          </cell>
          <cell r="D1981">
            <v>0</v>
          </cell>
          <cell r="E1981">
            <v>57</v>
          </cell>
          <cell r="F1981">
            <v>0</v>
          </cell>
          <cell r="G1981" t="str">
            <v>8</v>
          </cell>
          <cell r="H1981">
            <v>965</v>
          </cell>
          <cell r="I1981" t="str">
            <v>ФІЛІЯ N4 ВАТ "АКБ "КАПІТАЛ"У М.ДН-СЬКУ</v>
          </cell>
          <cell r="J1981" t="str">
            <v>Ф.N4"АКБ Капітал"Дн-ськ</v>
          </cell>
          <cell r="K1981" t="str">
            <v>UCWK</v>
          </cell>
          <cell r="L1981" t="str">
            <v>UCWK</v>
          </cell>
          <cell r="M1981">
            <v>3</v>
          </cell>
          <cell r="N1981">
            <v>4</v>
          </cell>
          <cell r="O1981" t="str">
            <v>Управління НБУ в Дніпр.обл.</v>
          </cell>
        </row>
        <row r="1982">
          <cell r="A1982">
            <v>307349</v>
          </cell>
          <cell r="B1982">
            <v>305987</v>
          </cell>
          <cell r="D1982">
            <v>0</v>
          </cell>
          <cell r="E1982">
            <v>47</v>
          </cell>
          <cell r="F1982">
            <v>0</v>
          </cell>
          <cell r="G1982" t="str">
            <v>8</v>
          </cell>
          <cell r="H1982">
            <v>979</v>
          </cell>
          <cell r="I1982" t="str">
            <v>ДНІПРОПЕТРОВСЬКА ФЗАТ"ФСБАНК",М.ДН-СЬК</v>
          </cell>
          <cell r="J1982" t="str">
            <v>Дніпропетров.Ф.ЗАТ "ФСБанк"</v>
          </cell>
          <cell r="K1982" t="str">
            <v>UCWL</v>
          </cell>
          <cell r="L1982" t="str">
            <v>UCWL</v>
          </cell>
          <cell r="M1982">
            <v>3</v>
          </cell>
          <cell r="N1982">
            <v>3</v>
          </cell>
          <cell r="O1982" t="str">
            <v>Управління НБУ в Дніпр.обл.</v>
          </cell>
        </row>
        <row r="1983">
          <cell r="A1983">
            <v>307350</v>
          </cell>
          <cell r="B1983">
            <v>307350</v>
          </cell>
          <cell r="C1983" t="str">
            <v>ЗАТ"АКБ "КОНКОРД"</v>
          </cell>
          <cell r="D1983">
            <v>326</v>
          </cell>
          <cell r="E1983">
            <v>326</v>
          </cell>
          <cell r="F1983">
            <v>0</v>
          </cell>
          <cell r="G1983" t="str">
            <v>8</v>
          </cell>
          <cell r="H1983">
            <v>433</v>
          </cell>
          <cell r="I1983" t="str">
            <v>ЗАТ"АКБ"КОНКОРД" У М.ДНІПРОПЕТРОВСЬКУ</v>
          </cell>
          <cell r="J1983" t="str">
            <v>ЗАТ"АКБ "КОНКОРД"</v>
          </cell>
          <cell r="K1983" t="str">
            <v>UCWM</v>
          </cell>
          <cell r="L1983" t="str">
            <v>UCWM</v>
          </cell>
          <cell r="M1983">
            <v>3</v>
          </cell>
          <cell r="N1983">
            <v>3</v>
          </cell>
          <cell r="O1983" t="str">
            <v>Управління НБУ в Дніпр.обл.</v>
          </cell>
        </row>
        <row r="1984">
          <cell r="A1984">
            <v>307361</v>
          </cell>
          <cell r="B1984">
            <v>321466</v>
          </cell>
          <cell r="D1984">
            <v>0</v>
          </cell>
          <cell r="E1984">
            <v>74</v>
          </cell>
          <cell r="F1984">
            <v>0</v>
          </cell>
          <cell r="G1984" t="str">
            <v>8</v>
          </cell>
          <cell r="H1984">
            <v>503</v>
          </cell>
          <cell r="I1984" t="str">
            <v>ДНІПР.ФВАТКБ"НАЦ.СТАНДАРТ"М.ДНІПРОПЕТР</v>
          </cell>
          <cell r="J1984" t="str">
            <v>Дніпр.ФВАТКБ"Нац.стандарт"</v>
          </cell>
          <cell r="K1984" t="str">
            <v>UCFJ</v>
          </cell>
          <cell r="L1984" t="str">
            <v>UCFJ</v>
          </cell>
          <cell r="M1984">
            <v>3</v>
          </cell>
          <cell r="N1984">
            <v>26</v>
          </cell>
          <cell r="O1984" t="str">
            <v>Управління НБУ в Дніпр.обл.</v>
          </cell>
        </row>
        <row r="1985">
          <cell r="A1985">
            <v>307372</v>
          </cell>
          <cell r="B1985">
            <v>300670</v>
          </cell>
          <cell r="D1985">
            <v>0</v>
          </cell>
          <cell r="E1985">
            <v>202</v>
          </cell>
          <cell r="F1985">
            <v>0</v>
          </cell>
          <cell r="G1985" t="str">
            <v>8</v>
          </cell>
          <cell r="H1985">
            <v>204</v>
          </cell>
          <cell r="I1985" t="str">
            <v>ДН.Ф. ВАТКБ"ХРЕЩАТИК"М.ДНІПРОПЕТРОВСЬК</v>
          </cell>
          <cell r="J1985" t="str">
            <v>Дн.ф. ВАТ КБ "Хрещатик"</v>
          </cell>
          <cell r="K1985" t="str">
            <v>UCOM</v>
          </cell>
          <cell r="L1985" t="str">
            <v>UCOM</v>
          </cell>
          <cell r="M1985">
            <v>3</v>
          </cell>
          <cell r="N1985">
            <v>26</v>
          </cell>
          <cell r="O1985" t="str">
            <v>Управління НБУ в Дніпр.обл.</v>
          </cell>
        </row>
        <row r="1986">
          <cell r="A1986">
            <v>307394</v>
          </cell>
          <cell r="B1986">
            <v>307394</v>
          </cell>
          <cell r="C1986" t="str">
            <v>ВАТ "АКТАБАНК"</v>
          </cell>
          <cell r="D1986">
            <v>390</v>
          </cell>
          <cell r="E1986">
            <v>390</v>
          </cell>
          <cell r="F1986">
            <v>0</v>
          </cell>
          <cell r="G1986" t="str">
            <v>8</v>
          </cell>
          <cell r="H1986">
            <v>305</v>
          </cell>
          <cell r="I1986" t="str">
            <v>ВАТ "АКТАБАНК"</v>
          </cell>
          <cell r="J1986" t="str">
            <v>ВАТ "АКТАБАНК"</v>
          </cell>
          <cell r="K1986" t="str">
            <v>UCXL</v>
          </cell>
          <cell r="L1986" t="str">
            <v>UCXL</v>
          </cell>
          <cell r="M1986">
            <v>3</v>
          </cell>
          <cell r="N1986">
            <v>3</v>
          </cell>
          <cell r="O1986" t="str">
            <v>Управління НБУ в Дніпр.обл.</v>
          </cell>
        </row>
        <row r="1987">
          <cell r="A1987">
            <v>307402</v>
          </cell>
          <cell r="B1987">
            <v>300272</v>
          </cell>
          <cell r="D1987">
            <v>0</v>
          </cell>
          <cell r="E1987">
            <v>31</v>
          </cell>
          <cell r="F1987">
            <v>0</v>
          </cell>
          <cell r="G1987" t="str">
            <v>B</v>
          </cell>
          <cell r="H1987">
            <v>205</v>
          </cell>
          <cell r="I1987" t="str">
            <v>ФІЛІЯ АБ"ЕНЕРГОБАНК"М.ДНІПРОПЕТРОВСЬК</v>
          </cell>
          <cell r="J1987" t="str">
            <v>ФАБ "Енергобанк"м.Дніпропет</v>
          </cell>
          <cell r="K1987" t="str">
            <v>UCXQ</v>
          </cell>
          <cell r="L1987" t="str">
            <v>UCXQ</v>
          </cell>
          <cell r="M1987">
            <v>3</v>
          </cell>
          <cell r="N1987">
            <v>26</v>
          </cell>
          <cell r="O1987" t="str">
            <v>Управління НБУ в Дніпр.обл.</v>
          </cell>
        </row>
        <row r="1988">
          <cell r="A1988">
            <v>307413</v>
          </cell>
          <cell r="B1988">
            <v>300904</v>
          </cell>
          <cell r="D1988">
            <v>0</v>
          </cell>
          <cell r="E1988">
            <v>304</v>
          </cell>
          <cell r="F1988">
            <v>0</v>
          </cell>
          <cell r="G1988" t="str">
            <v>8</v>
          </cell>
          <cell r="H1988">
            <v>505</v>
          </cell>
          <cell r="I1988" t="str">
            <v>ДНІПРОПЕТР.ФІЛІЯ ТОВ"ФОРТУНА-БАНК"</v>
          </cell>
          <cell r="J1988" t="str">
            <v>Дніпро ф"Фортуна-банк"</v>
          </cell>
          <cell r="K1988" t="str">
            <v>UCXR</v>
          </cell>
          <cell r="L1988" t="str">
            <v>UCXR</v>
          </cell>
          <cell r="M1988">
            <v>3</v>
          </cell>
          <cell r="N1988">
            <v>26</v>
          </cell>
          <cell r="O1988" t="str">
            <v>Управління НБУ в Дніпр.обл.</v>
          </cell>
        </row>
        <row r="1989">
          <cell r="A1989">
            <v>307770</v>
          </cell>
          <cell r="B1989">
            <v>307770</v>
          </cell>
          <cell r="C1989" t="str">
            <v>ЗАТ "А-БАНК"</v>
          </cell>
          <cell r="D1989">
            <v>96</v>
          </cell>
          <cell r="E1989">
            <v>96</v>
          </cell>
          <cell r="F1989">
            <v>0</v>
          </cell>
          <cell r="G1989" t="str">
            <v>8</v>
          </cell>
          <cell r="H1989">
            <v>304</v>
          </cell>
          <cell r="I1989" t="str">
            <v>ЗАТ "А-БАНК"М.ДНІПРОПЕТРОВСЬК</v>
          </cell>
          <cell r="J1989" t="str">
            <v>ЗАТ "А-БАНК"</v>
          </cell>
          <cell r="K1989" t="str">
            <v>UCOU</v>
          </cell>
          <cell r="L1989" t="str">
            <v>UCOU</v>
          </cell>
          <cell r="M1989">
            <v>3</v>
          </cell>
          <cell r="N1989">
            <v>3</v>
          </cell>
          <cell r="O1989" t="str">
            <v>Управління НБУ в Дніпр.обл.</v>
          </cell>
        </row>
        <row r="1990">
          <cell r="A1990">
            <v>308047</v>
          </cell>
          <cell r="B1990">
            <v>380537</v>
          </cell>
          <cell r="D1990">
            <v>0</v>
          </cell>
          <cell r="E1990">
            <v>76</v>
          </cell>
          <cell r="F1990">
            <v>0</v>
          </cell>
          <cell r="G1990" t="str">
            <v>B</v>
          </cell>
          <cell r="H1990">
            <v>935</v>
          </cell>
          <cell r="I1990" t="str">
            <v>КРИМ.Ф. ВАТ"ВІЕЙБІБАНК"М.СІМФЕРОПОЛЬ</v>
          </cell>
          <cell r="J1990" t="str">
            <v>Крим.Ф.ВАТ"ВІЕЙБІБАНК"</v>
          </cell>
          <cell r="K1990" t="str">
            <v>ULUQ</v>
          </cell>
          <cell r="L1990" t="str">
            <v>ULUQ</v>
          </cell>
          <cell r="M1990">
            <v>11</v>
          </cell>
          <cell r="N1990">
            <v>26</v>
          </cell>
          <cell r="O1990" t="str">
            <v>ГУ НБУ В АРК М.СІМФЕРОПОЛЬ</v>
          </cell>
        </row>
        <row r="1991">
          <cell r="A1991">
            <v>308070</v>
          </cell>
          <cell r="B1991">
            <v>325569</v>
          </cell>
          <cell r="D1991">
            <v>0</v>
          </cell>
          <cell r="E1991">
            <v>93</v>
          </cell>
          <cell r="F1991">
            <v>0</v>
          </cell>
          <cell r="G1991" t="str">
            <v>8</v>
          </cell>
          <cell r="H1991">
            <v>200</v>
          </cell>
          <cell r="I1991" t="str">
            <v>Сімферопольська ф-я ВАТ СКБ "Дністер"</v>
          </cell>
          <cell r="J1991" t="str">
            <v>Сімф.ф-я ВАТ СКБ "Дністер"</v>
          </cell>
          <cell r="K1991" t="str">
            <v>ULFA</v>
          </cell>
          <cell r="L1991" t="str">
            <v>ULFA</v>
          </cell>
          <cell r="M1991">
            <v>11</v>
          </cell>
          <cell r="N1991">
            <v>13</v>
          </cell>
          <cell r="O1991" t="str">
            <v>ГУ НБУ В АРК М.СІМФЕРОПОЛЬ</v>
          </cell>
        </row>
        <row r="1992">
          <cell r="A1992">
            <v>308092</v>
          </cell>
          <cell r="B1992">
            <v>334851</v>
          </cell>
          <cell r="D1992">
            <v>0</v>
          </cell>
          <cell r="E1992">
            <v>115</v>
          </cell>
          <cell r="F1992">
            <v>0</v>
          </cell>
          <cell r="G1992" t="str">
            <v>8</v>
          </cell>
          <cell r="H1992">
            <v>204</v>
          </cell>
          <cell r="I1992" t="str">
            <v>ФІЛІЯ ЗАТ "ПУМБ" В М. СЕВАСТОПОЛІ</v>
          </cell>
          <cell r="J1992" t="str">
            <v>Філія ПУМБ в м.Севастополі</v>
          </cell>
          <cell r="K1992" t="str">
            <v>ULOA</v>
          </cell>
          <cell r="L1992" t="str">
            <v>ULOA</v>
          </cell>
          <cell r="M1992">
            <v>29</v>
          </cell>
          <cell r="N1992">
            <v>4</v>
          </cell>
          <cell r="O1992" t="str">
            <v>Севастополь</v>
          </cell>
        </row>
        <row r="1993">
          <cell r="A1993">
            <v>308100</v>
          </cell>
          <cell r="B1993">
            <v>351588</v>
          </cell>
          <cell r="D1993">
            <v>0</v>
          </cell>
          <cell r="E1993">
            <v>124</v>
          </cell>
          <cell r="F1993">
            <v>0</v>
          </cell>
          <cell r="G1993" t="str">
            <v>8</v>
          </cell>
          <cell r="H1993">
            <v>205</v>
          </cell>
          <cell r="I1993" t="str">
            <v>Севастопольська філія ВАТ РЕАЛ БАНК</v>
          </cell>
          <cell r="J1993" t="str">
            <v>Севастоп. філ. ВАТ РЕАЛБАНК</v>
          </cell>
          <cell r="K1993" t="str">
            <v>ULVV</v>
          </cell>
          <cell r="L1993" t="str">
            <v>ULVV</v>
          </cell>
          <cell r="M1993">
            <v>29</v>
          </cell>
          <cell r="N1993">
            <v>20</v>
          </cell>
          <cell r="O1993" t="str">
            <v>Севастополь</v>
          </cell>
        </row>
        <row r="1994">
          <cell r="A1994">
            <v>308304</v>
          </cell>
          <cell r="B1994">
            <v>328384</v>
          </cell>
          <cell r="D1994">
            <v>0</v>
          </cell>
          <cell r="E1994">
            <v>258</v>
          </cell>
          <cell r="F1994">
            <v>0</v>
          </cell>
          <cell r="G1994" t="str">
            <v>8</v>
          </cell>
          <cell r="H1994">
            <v>453</v>
          </cell>
          <cell r="I1994" t="str">
            <v>ФІЛІЯ АКБ "ІМЕКСБАНК" В АРК</v>
          </cell>
          <cell r="J1994" t="str">
            <v>Ф АКБ "ІМЕКСБАНК" В АРК</v>
          </cell>
          <cell r="K1994" t="str">
            <v>ULUX</v>
          </cell>
          <cell r="L1994" t="str">
            <v>ULUX</v>
          </cell>
          <cell r="M1994">
            <v>11</v>
          </cell>
          <cell r="N1994">
            <v>15</v>
          </cell>
          <cell r="O1994" t="str">
            <v>ГУ НБУ В АРК М.СІМФЕРОПОЛЬ</v>
          </cell>
        </row>
        <row r="1995">
          <cell r="A1995">
            <v>311034</v>
          </cell>
          <cell r="B1995">
            <v>300001</v>
          </cell>
          <cell r="D1995">
            <v>0</v>
          </cell>
          <cell r="E1995">
            <v>1</v>
          </cell>
          <cell r="F1995">
            <v>0</v>
          </cell>
          <cell r="G1995" t="str">
            <v>1</v>
          </cell>
          <cell r="H1995">
            <v>105</v>
          </cell>
          <cell r="I1995" t="str">
            <v>УПРАВЛІННЯ НБУ В ЖИТОМИРСЬКИЙ ОБЛАСТІ</v>
          </cell>
          <cell r="J1995" t="str">
            <v>Упр. НБУ в Житомир. обл.</v>
          </cell>
          <cell r="K1995" t="str">
            <v>UEH0</v>
          </cell>
          <cell r="L1995" t="str">
            <v>UEH0</v>
          </cell>
          <cell r="M1995">
            <v>5</v>
          </cell>
          <cell r="N1995">
            <v>27</v>
          </cell>
          <cell r="O1995" t="str">
            <v>Управління НБУ в Житом.обл.</v>
          </cell>
        </row>
        <row r="1996">
          <cell r="A1996">
            <v>311056</v>
          </cell>
          <cell r="B1996">
            <v>300012</v>
          </cell>
          <cell r="D1996">
            <v>0</v>
          </cell>
          <cell r="E1996">
            <v>3</v>
          </cell>
          <cell r="F1996">
            <v>0</v>
          </cell>
          <cell r="G1996" t="str">
            <v>3</v>
          </cell>
          <cell r="H1996">
            <v>312</v>
          </cell>
          <cell r="I1996" t="str">
            <v>Ф."ВІДДІЛ. ПРОМІНВЕСТБАНКУ, М.ЖИТОМИР"</v>
          </cell>
          <cell r="J1996" t="str">
            <v>Ф."ВІДДІЛЕН.ПІБ,М. ЖИТОМИР"</v>
          </cell>
          <cell r="K1996" t="str">
            <v>UEAA</v>
          </cell>
          <cell r="L1996" t="str">
            <v>UEA0</v>
          </cell>
          <cell r="M1996">
            <v>5</v>
          </cell>
          <cell r="N1996">
            <v>26</v>
          </cell>
          <cell r="O1996" t="str">
            <v>Управління НБУ в Житом.обл.</v>
          </cell>
        </row>
        <row r="1997">
          <cell r="A1997">
            <v>311272</v>
          </cell>
          <cell r="B1997">
            <v>300023</v>
          </cell>
          <cell r="D1997">
            <v>0</v>
          </cell>
          <cell r="E1997">
            <v>5</v>
          </cell>
          <cell r="F1997">
            <v>0</v>
          </cell>
          <cell r="G1997" t="str">
            <v>5</v>
          </cell>
          <cell r="H1997">
            <v>523</v>
          </cell>
          <cell r="I1997" t="str">
            <v>ЖИТОМИРСЬКА ОБЛ.Ф.АКБ"УСБ"М.ЖИТОМИР</v>
          </cell>
          <cell r="J1997" t="str">
            <v>Житомирська обл.ФАКБ"УСБ"</v>
          </cell>
          <cell r="K1997" t="str">
            <v>UECA</v>
          </cell>
          <cell r="L1997" t="str">
            <v>UECA</v>
          </cell>
          <cell r="M1997">
            <v>5</v>
          </cell>
          <cell r="N1997">
            <v>26</v>
          </cell>
          <cell r="O1997" t="str">
            <v>Управління НБУ в Житом.обл.</v>
          </cell>
        </row>
        <row r="1998">
          <cell r="A1998">
            <v>311324</v>
          </cell>
          <cell r="B1998">
            <v>322313</v>
          </cell>
          <cell r="D1998">
            <v>0</v>
          </cell>
          <cell r="E1998">
            <v>2</v>
          </cell>
          <cell r="F1998">
            <v>0</v>
          </cell>
          <cell r="G1998" t="str">
            <v>2</v>
          </cell>
          <cell r="H1998">
            <v>206</v>
          </cell>
          <cell r="I1998" t="str">
            <v>Ф-Я ВАТ "УКРЕКСІМБАНК", М.ЖИТОМИР</v>
          </cell>
          <cell r="J1998" t="str">
            <v>Ф-я Укрексімбанк, Житомир</v>
          </cell>
          <cell r="K1998" t="str">
            <v>UEGA</v>
          </cell>
          <cell r="L1998" t="str">
            <v>UEGA</v>
          </cell>
          <cell r="M1998">
            <v>5</v>
          </cell>
          <cell r="N1998">
            <v>26</v>
          </cell>
          <cell r="O1998" t="str">
            <v>Управління НБУ в Житом.обл.</v>
          </cell>
        </row>
        <row r="1999">
          <cell r="A1999">
            <v>311346</v>
          </cell>
          <cell r="B1999">
            <v>321767</v>
          </cell>
          <cell r="D1999">
            <v>0</v>
          </cell>
          <cell r="E1999">
            <v>42</v>
          </cell>
          <cell r="F1999">
            <v>0</v>
          </cell>
          <cell r="G1999" t="str">
            <v>B</v>
          </cell>
          <cell r="H1999">
            <v>716</v>
          </cell>
          <cell r="I1999" t="str">
            <v>ЖИТОМИРСЬКА Ф ВАТ ВТБ Банк , М.ЖИТОМИР</v>
          </cell>
          <cell r="J1999" t="str">
            <v>Житомирська Ф ВАТ ВТБ Банк</v>
          </cell>
          <cell r="K1999" t="str">
            <v>UEIQ</v>
          </cell>
          <cell r="L1999" t="str">
            <v>UEIQ</v>
          </cell>
          <cell r="M1999">
            <v>5</v>
          </cell>
          <cell r="N1999">
            <v>26</v>
          </cell>
          <cell r="O1999" t="str">
            <v>Управління НБУ в Житом.обл.</v>
          </cell>
        </row>
        <row r="2000">
          <cell r="A2000">
            <v>311391</v>
          </cell>
          <cell r="B2000">
            <v>300012</v>
          </cell>
          <cell r="D2000">
            <v>0</v>
          </cell>
          <cell r="E2000">
            <v>3</v>
          </cell>
          <cell r="F2000">
            <v>0</v>
          </cell>
          <cell r="G2000" t="str">
            <v>3</v>
          </cell>
          <cell r="H2000">
            <v>317</v>
          </cell>
          <cell r="I2000" t="str">
            <v>Ф."В.ПІБ В М.КОРОСТЕНЬ ЖИТОМИРСЬК.ОБЛ"</v>
          </cell>
          <cell r="J2000" t="str">
            <v>Ф-Я ВІД.ПІБ В М.КОРОСТЕНЬ</v>
          </cell>
          <cell r="K2000" t="str">
            <v>UEAC</v>
          </cell>
          <cell r="L2000" t="str">
            <v>UEA0</v>
          </cell>
          <cell r="M2000">
            <v>5</v>
          </cell>
          <cell r="N2000">
            <v>26</v>
          </cell>
          <cell r="O2000" t="str">
            <v>Управління НБУ в Житом.обл.</v>
          </cell>
        </row>
        <row r="2001">
          <cell r="A2001">
            <v>311409</v>
          </cell>
          <cell r="B2001">
            <v>305299</v>
          </cell>
          <cell r="D2001">
            <v>0</v>
          </cell>
          <cell r="E2001">
            <v>46</v>
          </cell>
          <cell r="F2001">
            <v>0</v>
          </cell>
          <cell r="G2001" t="str">
            <v>A</v>
          </cell>
          <cell r="H2001">
            <v>719</v>
          </cell>
          <cell r="I2001" t="str">
            <v>ЖИТОМИРСЬКА ФІЛ. ПРИВАТБАНКУ,М.ЖИТОМИР</v>
          </cell>
          <cell r="J2001" t="str">
            <v>Житомирська ф-яПриватБанку</v>
          </cell>
          <cell r="K2001" t="str">
            <v>UEIR</v>
          </cell>
          <cell r="L2001" t="str">
            <v>UEIR</v>
          </cell>
          <cell r="M2001">
            <v>5</v>
          </cell>
          <cell r="N2001">
            <v>3</v>
          </cell>
          <cell r="O2001" t="str">
            <v>Управління НБУ в Житом.обл.</v>
          </cell>
        </row>
        <row r="2002">
          <cell r="A2002">
            <v>311432</v>
          </cell>
          <cell r="B2002">
            <v>300078</v>
          </cell>
          <cell r="D2002">
            <v>0</v>
          </cell>
          <cell r="E2002">
            <v>15</v>
          </cell>
          <cell r="F2002">
            <v>0</v>
          </cell>
          <cell r="G2002" t="str">
            <v>8</v>
          </cell>
          <cell r="H2002">
            <v>709</v>
          </cell>
          <cell r="I2002" t="str">
            <v>ФІЛІЯ АТ "ГРАДОБАНК" У М.ЖИТОМИРІ</v>
          </cell>
          <cell r="J2002" t="str">
            <v>ФАТ  "ГРАДОБАНК", Житомир</v>
          </cell>
          <cell r="K2002" t="str">
            <v>UEIU</v>
          </cell>
          <cell r="L2002" t="str">
            <v>UEIU</v>
          </cell>
          <cell r="M2002">
            <v>5</v>
          </cell>
          <cell r="N2002">
            <v>26</v>
          </cell>
          <cell r="O2002" t="str">
            <v>Управління НБУ в Житом.обл.</v>
          </cell>
        </row>
        <row r="2003">
          <cell r="A2003">
            <v>311528</v>
          </cell>
          <cell r="B2003">
            <v>300335</v>
          </cell>
          <cell r="D2003">
            <v>0</v>
          </cell>
          <cell r="E2003">
            <v>36</v>
          </cell>
          <cell r="F2003">
            <v>0</v>
          </cell>
          <cell r="G2003" t="str">
            <v>7</v>
          </cell>
          <cell r="H2003">
            <v>718</v>
          </cell>
          <cell r="I2003" t="str">
            <v>ЖИТ.ОД"РАЙФФАЙЗЕН БАНК АВАЛЬ"М.ЖИТОМИР</v>
          </cell>
          <cell r="J2003" t="str">
            <v>ОД "Райффайзен Банк Аваль"</v>
          </cell>
          <cell r="K2003" t="str">
            <v>UEIZ</v>
          </cell>
          <cell r="L2003" t="str">
            <v>UEIZ</v>
          </cell>
          <cell r="M2003">
            <v>5</v>
          </cell>
          <cell r="N2003">
            <v>26</v>
          </cell>
          <cell r="O2003" t="str">
            <v>Управління НБУ в Житом.обл.</v>
          </cell>
        </row>
        <row r="2004">
          <cell r="A2004">
            <v>311584</v>
          </cell>
          <cell r="B2004">
            <v>300142</v>
          </cell>
          <cell r="D2004">
            <v>0</v>
          </cell>
          <cell r="E2004">
            <v>18</v>
          </cell>
          <cell r="F2004">
            <v>0</v>
          </cell>
          <cell r="G2004" t="str">
            <v>8</v>
          </cell>
          <cell r="H2004">
            <v>714</v>
          </cell>
          <cell r="I2004" t="str">
            <v>ЖИТОМИРСЬКА ФАТ"УКРIHБАHК" М.ЖИТОМИР</v>
          </cell>
          <cell r="J2004" t="str">
            <v>Житомирська ФАТ"Укрінбанк"</v>
          </cell>
          <cell r="K2004" t="str">
            <v>UEJD</v>
          </cell>
          <cell r="L2004" t="str">
            <v>UEJD</v>
          </cell>
          <cell r="M2004">
            <v>5</v>
          </cell>
          <cell r="N2004">
            <v>26</v>
          </cell>
          <cell r="O2004" t="str">
            <v>Управління НБУ в Житом.обл.</v>
          </cell>
        </row>
        <row r="2005">
          <cell r="A2005">
            <v>311603</v>
          </cell>
          <cell r="B2005">
            <v>300272</v>
          </cell>
          <cell r="D2005">
            <v>0</v>
          </cell>
          <cell r="E2005">
            <v>31</v>
          </cell>
          <cell r="F2005">
            <v>0</v>
          </cell>
          <cell r="G2005" t="str">
            <v>B</v>
          </cell>
          <cell r="H2005">
            <v>726</v>
          </cell>
          <cell r="I2005" t="str">
            <v>ФІЛІЯ АБ "ЕНЕРГОБАНК" У М.ЖИТОМИРІ</v>
          </cell>
          <cell r="J2005" t="str">
            <v>ФАБ"Енергобанк"вм.Житомирі</v>
          </cell>
          <cell r="K2005" t="str">
            <v>UEJE</v>
          </cell>
          <cell r="L2005" t="str">
            <v>UEJE</v>
          </cell>
          <cell r="M2005">
            <v>5</v>
          </cell>
          <cell r="N2005">
            <v>26</v>
          </cell>
          <cell r="O2005" t="str">
            <v>Управління НБУ в Житом.обл.</v>
          </cell>
        </row>
        <row r="2006">
          <cell r="A2006">
            <v>311647</v>
          </cell>
          <cell r="B2006">
            <v>300465</v>
          </cell>
          <cell r="D2006">
            <v>0</v>
          </cell>
          <cell r="E2006">
            <v>6</v>
          </cell>
          <cell r="F2006">
            <v>0</v>
          </cell>
          <cell r="G2006" t="str">
            <v>6</v>
          </cell>
          <cell r="H2006">
            <v>603</v>
          </cell>
          <cell r="I2006" t="str">
            <v>ФЖИТОМИРСЬКЕ ОБЛАСНЕ ВАТОЩАД М.ЖИТОМИР</v>
          </cell>
          <cell r="J2006" t="str">
            <v>ФЖитомирське обласнеВАТОщад</v>
          </cell>
          <cell r="K2006" t="str">
            <v>UELA</v>
          </cell>
          <cell r="L2006" t="str">
            <v>UELA</v>
          </cell>
          <cell r="M2006">
            <v>5</v>
          </cell>
          <cell r="N2006">
            <v>26</v>
          </cell>
          <cell r="O2006" t="str">
            <v>Управління НБУ в Житом.обл.</v>
          </cell>
        </row>
        <row r="2007">
          <cell r="A2007">
            <v>311670</v>
          </cell>
          <cell r="B2007">
            <v>303484</v>
          </cell>
          <cell r="D2007">
            <v>0</v>
          </cell>
          <cell r="E2007">
            <v>273</v>
          </cell>
          <cell r="F2007">
            <v>0</v>
          </cell>
          <cell r="G2007" t="str">
            <v>8</v>
          </cell>
          <cell r="H2007">
            <v>749</v>
          </cell>
          <cell r="I2007" t="str">
            <v>Житомирська Ф.КБ"Західінкомбанк"ТзОВ</v>
          </cell>
          <cell r="J2007" t="str">
            <v>ЖФ КБ "Західінкомбанк" ТзОВ</v>
          </cell>
          <cell r="K2007" t="str">
            <v>UEJJ</v>
          </cell>
          <cell r="L2007" t="str">
            <v>UEJJ</v>
          </cell>
          <cell r="M2007">
            <v>5</v>
          </cell>
          <cell r="N2007">
            <v>2</v>
          </cell>
          <cell r="O2007" t="str">
            <v>Управління НБУ в Житом.обл.</v>
          </cell>
        </row>
        <row r="2008">
          <cell r="A2008">
            <v>311692</v>
          </cell>
          <cell r="B2008">
            <v>322625</v>
          </cell>
          <cell r="D2008">
            <v>0</v>
          </cell>
          <cell r="E2008">
            <v>222</v>
          </cell>
          <cell r="F2008">
            <v>0</v>
          </cell>
          <cell r="G2008" t="str">
            <v>8</v>
          </cell>
          <cell r="H2008">
            <v>738</v>
          </cell>
          <cell r="I2008" t="str">
            <v>ЖФ АБ"УКООПСПІЛКА"</v>
          </cell>
          <cell r="J2008" t="str">
            <v>ЖФ АБ "Укоопспілка"</v>
          </cell>
          <cell r="K2008" t="str">
            <v>UEIO</v>
          </cell>
          <cell r="L2008" t="str">
            <v>UEIO</v>
          </cell>
          <cell r="M2008">
            <v>5</v>
          </cell>
          <cell r="N2008">
            <v>26</v>
          </cell>
          <cell r="O2008" t="str">
            <v>Управління НБУ в Житом.обл.</v>
          </cell>
        </row>
        <row r="2009">
          <cell r="A2009">
            <v>311711</v>
          </cell>
          <cell r="B2009">
            <v>300012</v>
          </cell>
          <cell r="D2009">
            <v>0</v>
          </cell>
          <cell r="E2009">
            <v>3</v>
          </cell>
          <cell r="F2009">
            <v>0</v>
          </cell>
          <cell r="G2009" t="str">
            <v>3</v>
          </cell>
          <cell r="H2009">
            <v>304</v>
          </cell>
          <cell r="I2009" t="str">
            <v>Ф."В.ПІБ В М.НОВ-ВОЛИНСЬК ЖИТОМИР.ОБЛ"</v>
          </cell>
          <cell r="J2009" t="str">
            <v>Ф-Я ВІД.ПІБ В М.НОВОГР-ВОЛ.</v>
          </cell>
          <cell r="K2009" t="str">
            <v>UEAG</v>
          </cell>
          <cell r="L2009" t="str">
            <v>UEA0</v>
          </cell>
          <cell r="M2009">
            <v>5</v>
          </cell>
          <cell r="N2009">
            <v>26</v>
          </cell>
          <cell r="O2009" t="str">
            <v>Управління НБУ в Житом.обл.</v>
          </cell>
        </row>
        <row r="2010">
          <cell r="A2010">
            <v>311722</v>
          </cell>
          <cell r="B2010">
            <v>320702</v>
          </cell>
          <cell r="D2010">
            <v>0</v>
          </cell>
          <cell r="E2010">
            <v>277</v>
          </cell>
          <cell r="F2010">
            <v>0</v>
          </cell>
          <cell r="G2010" t="str">
            <v>8</v>
          </cell>
          <cell r="H2010">
            <v>741</v>
          </cell>
          <cell r="I2010" t="str">
            <v>Ф.АКБ"НАЦ. КРЕДИТ" В М.ЖИТОМИР</v>
          </cell>
          <cell r="J2010" t="str">
            <v>ФАКБ "Нац.Кред" в м.Житомир</v>
          </cell>
          <cell r="K2010" t="str">
            <v>UECD</v>
          </cell>
          <cell r="L2010" t="str">
            <v>UECD</v>
          </cell>
          <cell r="M2010">
            <v>5</v>
          </cell>
          <cell r="N2010">
            <v>26</v>
          </cell>
          <cell r="O2010" t="str">
            <v>Управління НБУ в Житом.обл.</v>
          </cell>
        </row>
        <row r="2011">
          <cell r="A2011">
            <v>311744</v>
          </cell>
          <cell r="B2011">
            <v>305299</v>
          </cell>
          <cell r="D2011">
            <v>0</v>
          </cell>
          <cell r="E2011">
            <v>46</v>
          </cell>
          <cell r="F2011">
            <v>0</v>
          </cell>
          <cell r="G2011" t="str">
            <v>A</v>
          </cell>
          <cell r="H2011">
            <v>730</v>
          </cell>
          <cell r="I2011" t="str">
            <v>ЖИТОМИРСЬКЕ РУ ПРИВАТБАНКУ М.ЖИТОМИР</v>
          </cell>
          <cell r="J2011" t="str">
            <v>Житомирське РУ ПРИВАТБАНКУ</v>
          </cell>
          <cell r="K2011" t="str">
            <v>UEJO</v>
          </cell>
          <cell r="L2011" t="str">
            <v>UEJO</v>
          </cell>
          <cell r="M2011">
            <v>5</v>
          </cell>
          <cell r="N2011">
            <v>3</v>
          </cell>
          <cell r="O2011" t="str">
            <v>Управління НБУ в Житом.обл.</v>
          </cell>
        </row>
        <row r="2012">
          <cell r="A2012">
            <v>311755</v>
          </cell>
          <cell r="B2012">
            <v>300614</v>
          </cell>
          <cell r="D2012">
            <v>0</v>
          </cell>
          <cell r="E2012">
            <v>171</v>
          </cell>
          <cell r="F2012">
            <v>0</v>
          </cell>
          <cell r="G2012" t="str">
            <v>8</v>
          </cell>
          <cell r="H2012">
            <v>731</v>
          </cell>
          <cell r="I2012" t="str">
            <v>Ф.ЖИТ.Д.АТ"ІНДЕКС-БАНК"В М.ЖИТОМИР</v>
          </cell>
          <cell r="J2012" t="str">
            <v>Ф-я Жит.дир.АТ"ІНДЕКС-БАНК"</v>
          </cell>
          <cell r="K2012" t="str">
            <v>UEJP</v>
          </cell>
          <cell r="L2012" t="str">
            <v>UEJP</v>
          </cell>
          <cell r="M2012">
            <v>5</v>
          </cell>
          <cell r="N2012">
            <v>26</v>
          </cell>
          <cell r="O2012" t="str">
            <v>Управління НБУ в Житом.обл.</v>
          </cell>
        </row>
        <row r="2013">
          <cell r="A2013">
            <v>311788</v>
          </cell>
          <cell r="B2013">
            <v>320702</v>
          </cell>
          <cell r="D2013">
            <v>0</v>
          </cell>
          <cell r="E2013">
            <v>277</v>
          </cell>
          <cell r="F2013">
            <v>0</v>
          </cell>
          <cell r="G2013" t="str">
            <v>8</v>
          </cell>
          <cell r="H2013">
            <v>705</v>
          </cell>
          <cell r="I2013" t="str">
            <v>ФАКБ"НАЦ.КРЕДИТ" В М.МАЛИН</v>
          </cell>
          <cell r="J2013" t="str">
            <v>ФАКБ "НК" в м.Малин</v>
          </cell>
          <cell r="K2013" t="str">
            <v>UEJM</v>
          </cell>
          <cell r="L2013" t="str">
            <v>UEJM</v>
          </cell>
          <cell r="M2013">
            <v>5</v>
          </cell>
          <cell r="N2013">
            <v>26</v>
          </cell>
          <cell r="O2013" t="str">
            <v>Управління НБУ в Житом.обл.</v>
          </cell>
        </row>
        <row r="2014">
          <cell r="A2014">
            <v>311799</v>
          </cell>
          <cell r="B2014">
            <v>321228</v>
          </cell>
          <cell r="D2014">
            <v>0</v>
          </cell>
          <cell r="E2014">
            <v>68</v>
          </cell>
          <cell r="F2014">
            <v>0</v>
          </cell>
          <cell r="G2014" t="str">
            <v>8</v>
          </cell>
          <cell r="H2014">
            <v>751</v>
          </cell>
          <cell r="I2014" t="str">
            <v>ЖИТОМИРСЬКАФ.ТОВ"УКРПРОМБАНК"М.ЖИТОМИР</v>
          </cell>
          <cell r="J2014" t="str">
            <v>Житом.ф-я ТОВ"Укрпромбанк"</v>
          </cell>
          <cell r="K2014" t="str">
            <v>UEJX</v>
          </cell>
          <cell r="L2014" t="str">
            <v>UEJX</v>
          </cell>
          <cell r="M2014">
            <v>5</v>
          </cell>
          <cell r="N2014">
            <v>26</v>
          </cell>
          <cell r="O2014" t="str">
            <v>Управління НБУ в Житом.обл.</v>
          </cell>
        </row>
        <row r="2015">
          <cell r="A2015">
            <v>311807</v>
          </cell>
          <cell r="B2015">
            <v>322498</v>
          </cell>
          <cell r="D2015">
            <v>0</v>
          </cell>
          <cell r="E2015">
            <v>203</v>
          </cell>
          <cell r="F2015">
            <v>0</v>
          </cell>
          <cell r="G2015" t="str">
            <v>8</v>
          </cell>
          <cell r="H2015">
            <v>746</v>
          </cell>
          <cell r="I2015" t="str">
            <v>ЖИТОМИРЬКА Ф. АКБ "КИЇВ" У М.ЖИТОМИРІ</v>
          </cell>
          <cell r="J2015" t="str">
            <v>Житомирьска ф-я АКБ "КИЇВ"</v>
          </cell>
          <cell r="K2015" t="str">
            <v>UEKA</v>
          </cell>
          <cell r="L2015" t="str">
            <v>UEKA</v>
          </cell>
          <cell r="M2015">
            <v>5</v>
          </cell>
          <cell r="N2015">
            <v>26</v>
          </cell>
          <cell r="O2015" t="str">
            <v>Управління НБУ в Житом.обл.</v>
          </cell>
        </row>
        <row r="2016">
          <cell r="A2016">
            <v>311818</v>
          </cell>
          <cell r="B2016">
            <v>320003</v>
          </cell>
          <cell r="D2016">
            <v>0</v>
          </cell>
          <cell r="E2016">
            <v>225</v>
          </cell>
          <cell r="F2016">
            <v>0</v>
          </cell>
          <cell r="G2016" t="str">
            <v>B</v>
          </cell>
          <cell r="H2016">
            <v>763</v>
          </cell>
          <cell r="I2016" t="str">
            <v>Ф.ВАТ КБ "НАДРА" ЖИТОМ.РУ У М.ЖИТОМ.</v>
          </cell>
          <cell r="J2016" t="str">
            <v>ФВАТ КБ"Надра"Житомир.РУ</v>
          </cell>
          <cell r="K2016" t="str">
            <v>UEKE</v>
          </cell>
          <cell r="L2016" t="str">
            <v>UEKE</v>
          </cell>
          <cell r="M2016">
            <v>5</v>
          </cell>
          <cell r="N2016">
            <v>26</v>
          </cell>
          <cell r="O2016" t="str">
            <v>Управління НБУ в Житом.обл.</v>
          </cell>
        </row>
        <row r="2017">
          <cell r="A2017">
            <v>311830</v>
          </cell>
          <cell r="B2017">
            <v>328384</v>
          </cell>
          <cell r="D2017">
            <v>0</v>
          </cell>
          <cell r="E2017">
            <v>258</v>
          </cell>
          <cell r="F2017">
            <v>0</v>
          </cell>
          <cell r="G2017" t="str">
            <v>8</v>
          </cell>
          <cell r="H2017">
            <v>794</v>
          </cell>
          <cell r="I2017" t="str">
            <v>ФІЛІЯ АКБ "ІМЕКСБАНК" У М.ЖИТОМИРІ</v>
          </cell>
          <cell r="J2017" t="str">
            <v>ЖИТОМИРСЬКАФ АКБ"ІМЕКСБАНК"</v>
          </cell>
          <cell r="K2017" t="str">
            <v>UEKM</v>
          </cell>
          <cell r="L2017" t="str">
            <v>UEKM</v>
          </cell>
          <cell r="M2017">
            <v>5</v>
          </cell>
          <cell r="N2017">
            <v>15</v>
          </cell>
          <cell r="O2017" t="str">
            <v>Управління НБУ в Житом.обл.</v>
          </cell>
        </row>
        <row r="2018">
          <cell r="A2018">
            <v>311841</v>
          </cell>
          <cell r="B2018">
            <v>322948</v>
          </cell>
          <cell r="D2018">
            <v>0</v>
          </cell>
          <cell r="E2018">
            <v>248</v>
          </cell>
          <cell r="F2018">
            <v>0</v>
          </cell>
          <cell r="G2018" t="str">
            <v>B</v>
          </cell>
          <cell r="H2018">
            <v>903</v>
          </cell>
          <cell r="I2018" t="str">
            <v>ЖИТОМИРСЬКА ФІЛІЯ АКБ"ФОРУМ" М.ЖИТОМИР</v>
          </cell>
          <cell r="J2018" t="str">
            <v>Житомирська філ.АКБ "Форум"</v>
          </cell>
          <cell r="K2018" t="str">
            <v>UEFA</v>
          </cell>
          <cell r="L2018" t="str">
            <v>UEFA</v>
          </cell>
          <cell r="M2018">
            <v>5</v>
          </cell>
          <cell r="N2018">
            <v>26</v>
          </cell>
          <cell r="O2018" t="str">
            <v>Управління НБУ в Житом.обл.</v>
          </cell>
        </row>
        <row r="2019">
          <cell r="A2019">
            <v>311852</v>
          </cell>
          <cell r="B2019">
            <v>325912</v>
          </cell>
          <cell r="D2019">
            <v>0</v>
          </cell>
          <cell r="E2019">
            <v>88</v>
          </cell>
          <cell r="F2019">
            <v>0</v>
          </cell>
          <cell r="G2019" t="str">
            <v>B</v>
          </cell>
          <cell r="H2019">
            <v>204</v>
          </cell>
          <cell r="I2019" t="str">
            <v>Житомирська філія ВАТ "КРЕДОБАНК"</v>
          </cell>
          <cell r="J2019" t="str">
            <v>Житомирська філія ВАТ "КРЕД</v>
          </cell>
          <cell r="K2019" t="str">
            <v>UEFB</v>
          </cell>
          <cell r="L2019" t="str">
            <v>UEFB</v>
          </cell>
          <cell r="M2019">
            <v>5</v>
          </cell>
          <cell r="N2019">
            <v>13</v>
          </cell>
          <cell r="O2019" t="str">
            <v>Управління НБУ в Житом.обл.</v>
          </cell>
        </row>
        <row r="2020">
          <cell r="A2020">
            <v>311863</v>
          </cell>
          <cell r="B2020">
            <v>300249</v>
          </cell>
          <cell r="D2020">
            <v>0</v>
          </cell>
          <cell r="E2020">
            <v>37</v>
          </cell>
          <cell r="F2020">
            <v>0</v>
          </cell>
          <cell r="G2020" t="str">
            <v>8</v>
          </cell>
          <cell r="H2020">
            <v>804</v>
          </cell>
          <cell r="I2020" t="str">
            <v>ЖИТОМ.ФІЛ. АБ"БРОКБІЗНЕСБАНК"М.ЖИТОМИР</v>
          </cell>
          <cell r="J2020" t="str">
            <v>Жит.філ.АБ "БРОКБІЗНЕСБАНК"</v>
          </cell>
          <cell r="K2020" t="str">
            <v>UEFC</v>
          </cell>
          <cell r="L2020" t="str">
            <v>UEFC</v>
          </cell>
          <cell r="M2020">
            <v>5</v>
          </cell>
          <cell r="N2020">
            <v>26</v>
          </cell>
          <cell r="O2020" t="str">
            <v>Управління НБУ в Житом.обл.</v>
          </cell>
        </row>
        <row r="2021">
          <cell r="A2021">
            <v>311874</v>
          </cell>
          <cell r="B2021">
            <v>300670</v>
          </cell>
          <cell r="D2021">
            <v>0</v>
          </cell>
          <cell r="E2021">
            <v>202</v>
          </cell>
          <cell r="F2021">
            <v>0</v>
          </cell>
          <cell r="G2021" t="str">
            <v>8</v>
          </cell>
          <cell r="H2021">
            <v>904</v>
          </cell>
          <cell r="I2021" t="str">
            <v>ЖИТОМИРСЬКАФВАТКБ"ХРЕЩАТИК"М.ЖИТОМИР</v>
          </cell>
          <cell r="J2021" t="str">
            <v>ЖитомирськаФВАТКБ"Хрещатик"</v>
          </cell>
          <cell r="K2021" t="str">
            <v>UEFD</v>
          </cell>
          <cell r="L2021" t="str">
            <v>UEFD</v>
          </cell>
          <cell r="M2021">
            <v>5</v>
          </cell>
          <cell r="N2021">
            <v>26</v>
          </cell>
          <cell r="O2021" t="str">
            <v>Управління НБУ в Житом.обл.</v>
          </cell>
        </row>
        <row r="2022">
          <cell r="A2022">
            <v>311937</v>
          </cell>
          <cell r="B2022">
            <v>380537</v>
          </cell>
          <cell r="D2022">
            <v>0</v>
          </cell>
          <cell r="E2022">
            <v>76</v>
          </cell>
          <cell r="F2022">
            <v>0</v>
          </cell>
          <cell r="G2022" t="str">
            <v>B</v>
          </cell>
          <cell r="H2022">
            <v>788</v>
          </cell>
          <cell r="I2022" t="str">
            <v>ЖИТОМИРСЬКА Ф. "ВІЕЙБІБАНК" М.ЖИТОМИР</v>
          </cell>
          <cell r="J2022" t="str">
            <v>Житомирська Ф "ВіЕйБіБанк"</v>
          </cell>
          <cell r="K2022" t="str">
            <v>UEKN</v>
          </cell>
          <cell r="L2022" t="str">
            <v>UEKN</v>
          </cell>
          <cell r="M2022">
            <v>5</v>
          </cell>
          <cell r="N2022">
            <v>26</v>
          </cell>
          <cell r="O2022" t="str">
            <v>Управління НБУ в Житом.обл.</v>
          </cell>
        </row>
        <row r="2023">
          <cell r="A2023">
            <v>312011</v>
          </cell>
          <cell r="B2023">
            <v>300023</v>
          </cell>
          <cell r="D2023">
            <v>0</v>
          </cell>
          <cell r="E2023">
            <v>5</v>
          </cell>
          <cell r="F2023">
            <v>0</v>
          </cell>
          <cell r="G2023" t="str">
            <v>5</v>
          </cell>
          <cell r="H2023">
            <v>506</v>
          </cell>
          <cell r="I2023" t="str">
            <v>ЗАКАРПАТСЬКА ОБЛ.Ф.АКБ"УСБ" М.УЖГОРОД</v>
          </cell>
          <cell r="J2023" t="str">
            <v>Закарп.обл.філія АКБ "УСБ"</v>
          </cell>
          <cell r="K2023" t="str">
            <v>UFCA</v>
          </cell>
          <cell r="L2023" t="str">
            <v>UFCA</v>
          </cell>
          <cell r="M2023">
            <v>6</v>
          </cell>
          <cell r="N2023">
            <v>26</v>
          </cell>
          <cell r="O2023" t="str">
            <v>Управління НБУ в Закарп.обл</v>
          </cell>
        </row>
        <row r="2024">
          <cell r="A2024">
            <v>312152</v>
          </cell>
          <cell r="B2024">
            <v>300001</v>
          </cell>
          <cell r="D2024">
            <v>0</v>
          </cell>
          <cell r="E2024">
            <v>1</v>
          </cell>
          <cell r="F2024">
            <v>0</v>
          </cell>
          <cell r="G2024" t="str">
            <v>1</v>
          </cell>
          <cell r="H2024">
            <v>103</v>
          </cell>
          <cell r="I2024" t="str">
            <v>УПРАВЛІННЯ НБУ В ЗАКАРПАТСЬКІЙ ОБЛАСТІ</v>
          </cell>
          <cell r="J2024" t="str">
            <v>Упр. НБУ в Закарпат.обл</v>
          </cell>
          <cell r="K2024" t="str">
            <v>UFHA</v>
          </cell>
          <cell r="L2024" t="str">
            <v>UFH0</v>
          </cell>
          <cell r="M2024">
            <v>6</v>
          </cell>
          <cell r="N2024">
            <v>27</v>
          </cell>
          <cell r="O2024" t="str">
            <v>Управління НБУ в Закарп.обл</v>
          </cell>
        </row>
        <row r="2025">
          <cell r="A2025">
            <v>312163</v>
          </cell>
          <cell r="B2025">
            <v>300012</v>
          </cell>
          <cell r="D2025">
            <v>0</v>
          </cell>
          <cell r="E2025">
            <v>3</v>
          </cell>
          <cell r="F2025">
            <v>0</v>
          </cell>
          <cell r="G2025" t="str">
            <v>3</v>
          </cell>
          <cell r="H2025">
            <v>306</v>
          </cell>
          <cell r="I2025" t="str">
            <v>Ф."ВІДДІЛ. ПРОМІНВЕСТБАНКУ, М.УЖГОРОД"</v>
          </cell>
          <cell r="J2025" t="str">
            <v>Ф."ВІДДІЛЕН. ПІБ,М.УЖГОРОД"</v>
          </cell>
          <cell r="K2025" t="str">
            <v>UFAA</v>
          </cell>
          <cell r="L2025" t="str">
            <v>UFA0</v>
          </cell>
          <cell r="M2025">
            <v>6</v>
          </cell>
          <cell r="N2025">
            <v>26</v>
          </cell>
          <cell r="O2025" t="str">
            <v>Управління НБУ в Закарп.обл</v>
          </cell>
        </row>
        <row r="2026">
          <cell r="A2026">
            <v>312174</v>
          </cell>
          <cell r="B2026">
            <v>300012</v>
          </cell>
          <cell r="D2026">
            <v>0</v>
          </cell>
          <cell r="E2026">
            <v>3</v>
          </cell>
          <cell r="F2026">
            <v>0</v>
          </cell>
          <cell r="G2026" t="str">
            <v>3</v>
          </cell>
          <cell r="H2026">
            <v>307</v>
          </cell>
          <cell r="I2026" t="str">
            <v>Ф."ВІД.ПІБ В М.МУКАЧЕВО ЗАКАРПАТ.ОБЛ."</v>
          </cell>
          <cell r="J2026" t="str">
            <v>Ф-Я ВІД.ПІБ В М.МУКАЧЕВО</v>
          </cell>
          <cell r="K2026" t="str">
            <v>UFAB</v>
          </cell>
          <cell r="L2026" t="str">
            <v>UFA0</v>
          </cell>
          <cell r="M2026">
            <v>6</v>
          </cell>
          <cell r="N2026">
            <v>26</v>
          </cell>
          <cell r="O2026" t="str">
            <v>Управління НБУ в Закарп.обл</v>
          </cell>
        </row>
        <row r="2027">
          <cell r="A2027">
            <v>312204</v>
          </cell>
          <cell r="B2027">
            <v>300012</v>
          </cell>
          <cell r="D2027">
            <v>0</v>
          </cell>
          <cell r="E2027">
            <v>3</v>
          </cell>
          <cell r="F2027">
            <v>0</v>
          </cell>
          <cell r="G2027" t="str">
            <v>3</v>
          </cell>
          <cell r="H2027">
            <v>310</v>
          </cell>
          <cell r="I2027" t="str">
            <v>Ф-Я "ВІД.ПІБ В М.РАХІВ ЗАКАРПАТ.ОБЛ."</v>
          </cell>
          <cell r="J2027" t="str">
            <v>Ф-Я ВІД.ПІБ В М.РАХІВ</v>
          </cell>
          <cell r="K2027" t="str">
            <v>UFAD</v>
          </cell>
          <cell r="L2027" t="str">
            <v>UFA0</v>
          </cell>
          <cell r="M2027">
            <v>6</v>
          </cell>
          <cell r="N2027">
            <v>26</v>
          </cell>
          <cell r="O2027" t="str">
            <v>Управління НБУ в Закарп.обл</v>
          </cell>
        </row>
        <row r="2028">
          <cell r="A2028">
            <v>312215</v>
          </cell>
          <cell r="B2028">
            <v>300012</v>
          </cell>
          <cell r="D2028">
            <v>0</v>
          </cell>
          <cell r="E2028">
            <v>3</v>
          </cell>
          <cell r="F2028">
            <v>0</v>
          </cell>
          <cell r="G2028" t="str">
            <v>3</v>
          </cell>
          <cell r="H2028">
            <v>308</v>
          </cell>
          <cell r="I2028" t="str">
            <v>Ф-Я "ВІД.ПІБ В М.ТЯЧІВ ЗАКАРПАТ.ОБЛ."</v>
          </cell>
          <cell r="J2028" t="str">
            <v>Ф-Я ВІД.ПІБ В М.ТЯЧІВ</v>
          </cell>
          <cell r="K2028" t="str">
            <v>UFAE</v>
          </cell>
          <cell r="L2028" t="str">
            <v>UFA0</v>
          </cell>
          <cell r="M2028">
            <v>6</v>
          </cell>
          <cell r="N2028">
            <v>26</v>
          </cell>
          <cell r="O2028" t="str">
            <v>Управління НБУ в Закарп.обл</v>
          </cell>
        </row>
        <row r="2029">
          <cell r="A2029">
            <v>312226</v>
          </cell>
          <cell r="B2029">
            <v>322313</v>
          </cell>
          <cell r="D2029">
            <v>0</v>
          </cell>
          <cell r="E2029">
            <v>2</v>
          </cell>
          <cell r="F2029">
            <v>0</v>
          </cell>
          <cell r="G2029" t="str">
            <v>2</v>
          </cell>
          <cell r="H2029">
            <v>208</v>
          </cell>
          <cell r="I2029" t="str">
            <v>Ф-Я ВАТ "УКРЕКСІМБАНКУ",УЖГОРОД</v>
          </cell>
          <cell r="J2029" t="str">
            <v>Ф-я Укрексімбанк,Ужгород</v>
          </cell>
          <cell r="K2029" t="str">
            <v>UFGA</v>
          </cell>
          <cell r="L2029" t="str">
            <v>UFGA</v>
          </cell>
          <cell r="M2029">
            <v>6</v>
          </cell>
          <cell r="N2029">
            <v>26</v>
          </cell>
          <cell r="O2029" t="str">
            <v>Управління НБУ в Закарп.обл</v>
          </cell>
        </row>
        <row r="2030">
          <cell r="A2030">
            <v>312237</v>
          </cell>
          <cell r="B2030">
            <v>325912</v>
          </cell>
          <cell r="D2030">
            <v>0</v>
          </cell>
          <cell r="E2030">
            <v>88</v>
          </cell>
          <cell r="F2030">
            <v>0</v>
          </cell>
          <cell r="G2030" t="str">
            <v>B</v>
          </cell>
          <cell r="H2030">
            <v>704</v>
          </cell>
          <cell r="I2030" t="str">
            <v>Закарпатська філія ВАТ "КРЕДОБАНК"</v>
          </cell>
          <cell r="J2030" t="str">
            <v>Закарп.філія ВАТ"КРЕДОБАНК"</v>
          </cell>
          <cell r="K2030" t="str">
            <v>UFIB</v>
          </cell>
          <cell r="L2030" t="str">
            <v>UFIB</v>
          </cell>
          <cell r="M2030">
            <v>6</v>
          </cell>
          <cell r="N2030">
            <v>13</v>
          </cell>
          <cell r="O2030" t="str">
            <v>Управління НБУ в Закарп.обл</v>
          </cell>
        </row>
        <row r="2031">
          <cell r="A2031">
            <v>312248</v>
          </cell>
          <cell r="B2031">
            <v>312248</v>
          </cell>
          <cell r="C2031" t="str">
            <v>КБ "КООПІНВЕСТБАНК"</v>
          </cell>
          <cell r="D2031">
            <v>143</v>
          </cell>
          <cell r="E2031">
            <v>143</v>
          </cell>
          <cell r="F2031">
            <v>0</v>
          </cell>
          <cell r="G2031" t="str">
            <v>8</v>
          </cell>
          <cell r="H2031">
            <v>705</v>
          </cell>
          <cell r="I2031" t="str">
            <v>ТОВ КБ "КООПІНВЕСТБАНК", М.УЖГОРОД</v>
          </cell>
          <cell r="J2031" t="str">
            <v>КБ "КООПІНВЕСТБАНК"</v>
          </cell>
          <cell r="K2031" t="str">
            <v>UFIG</v>
          </cell>
          <cell r="L2031" t="str">
            <v>UFIG</v>
          </cell>
          <cell r="M2031">
            <v>6</v>
          </cell>
          <cell r="N2031">
            <v>6</v>
          </cell>
          <cell r="O2031" t="str">
            <v>Управління НБУ в Закарп.обл</v>
          </cell>
        </row>
        <row r="2032">
          <cell r="A2032">
            <v>312334</v>
          </cell>
          <cell r="B2032">
            <v>312334</v>
          </cell>
          <cell r="C2032" t="str">
            <v>"ЛІСБАНК"</v>
          </cell>
          <cell r="D2032">
            <v>14</v>
          </cell>
          <cell r="E2032">
            <v>14</v>
          </cell>
          <cell r="F2032">
            <v>0</v>
          </cell>
          <cell r="G2032" t="str">
            <v>8</v>
          </cell>
          <cell r="H2032">
            <v>701</v>
          </cell>
          <cell r="I2032" t="str">
            <v>ЗАКАРПАТСЬКИЙ АКБ "ЛІСБАНК" УЖГОРОД</v>
          </cell>
          <cell r="J2032" t="str">
            <v>"ЛІСБАНК"</v>
          </cell>
          <cell r="K2032" t="str">
            <v>UFIA</v>
          </cell>
          <cell r="L2032" t="str">
            <v>UFIA</v>
          </cell>
          <cell r="M2032">
            <v>6</v>
          </cell>
          <cell r="N2032">
            <v>6</v>
          </cell>
          <cell r="O2032" t="str">
            <v>Управління НБУ в Закарп.обл</v>
          </cell>
        </row>
        <row r="2033">
          <cell r="A2033">
            <v>312345</v>
          </cell>
          <cell r="B2033">
            <v>300335</v>
          </cell>
          <cell r="D2033">
            <v>0</v>
          </cell>
          <cell r="E2033">
            <v>36</v>
          </cell>
          <cell r="F2033">
            <v>0</v>
          </cell>
          <cell r="G2033" t="str">
            <v>7</v>
          </cell>
          <cell r="H2033">
            <v>702</v>
          </cell>
          <cell r="I2033" t="str">
            <v>ДИР-Я"РАЙФФАЙЗЕН БАНК АВАЛЬ",М.УЖГОРОД</v>
          </cell>
          <cell r="J2033" t="str">
            <v>Дир-я Райффайзен Банк Аваль</v>
          </cell>
          <cell r="K2033" t="str">
            <v>UFIF</v>
          </cell>
          <cell r="L2033" t="str">
            <v>UFIF</v>
          </cell>
          <cell r="M2033">
            <v>6</v>
          </cell>
          <cell r="N2033">
            <v>26</v>
          </cell>
          <cell r="O2033" t="str">
            <v>Управління НБУ в Закарп.обл</v>
          </cell>
        </row>
        <row r="2034">
          <cell r="A2034">
            <v>312356</v>
          </cell>
          <cell r="B2034">
            <v>300465</v>
          </cell>
          <cell r="D2034">
            <v>0</v>
          </cell>
          <cell r="E2034">
            <v>6</v>
          </cell>
          <cell r="F2034">
            <v>0</v>
          </cell>
          <cell r="G2034" t="str">
            <v>6</v>
          </cell>
          <cell r="H2034">
            <v>602</v>
          </cell>
          <cell r="I2034" t="str">
            <v>ФЗАКАРПАТСЬКЕ ОБЛАСН ВАТОЩАД М.УЖГОРОД</v>
          </cell>
          <cell r="J2034" t="str">
            <v>ФЗакарпатське обласнВАТОщад</v>
          </cell>
          <cell r="K2034" t="str">
            <v>UFLA</v>
          </cell>
          <cell r="L2034" t="str">
            <v>UFLA</v>
          </cell>
          <cell r="M2034">
            <v>6</v>
          </cell>
          <cell r="N2034">
            <v>26</v>
          </cell>
          <cell r="O2034" t="str">
            <v>Управління НБУ в Закарп.обл</v>
          </cell>
        </row>
        <row r="2035">
          <cell r="A2035">
            <v>312378</v>
          </cell>
          <cell r="B2035">
            <v>305299</v>
          </cell>
          <cell r="D2035">
            <v>0</v>
          </cell>
          <cell r="E2035">
            <v>46</v>
          </cell>
          <cell r="F2035">
            <v>0</v>
          </cell>
          <cell r="G2035" t="str">
            <v>A</v>
          </cell>
          <cell r="H2035">
            <v>718</v>
          </cell>
          <cell r="I2035" t="str">
            <v>ЗАКАРПАТСЬКЕ РУ ПРИВАТБАНКУ, М.УЖГОРОД</v>
          </cell>
          <cell r="J2035" t="str">
            <v>Закарпатське РУ ПриватБанку</v>
          </cell>
          <cell r="K2035" t="str">
            <v>UFIZ</v>
          </cell>
          <cell r="L2035" t="str">
            <v>UFIZ</v>
          </cell>
          <cell r="M2035">
            <v>6</v>
          </cell>
          <cell r="N2035">
            <v>3</v>
          </cell>
          <cell r="O2035" t="str">
            <v>Управління НБУ в Закарп.обл</v>
          </cell>
        </row>
        <row r="2036">
          <cell r="A2036">
            <v>312390</v>
          </cell>
          <cell r="B2036">
            <v>300078</v>
          </cell>
          <cell r="D2036">
            <v>0</v>
          </cell>
          <cell r="E2036">
            <v>15</v>
          </cell>
          <cell r="F2036">
            <v>0</v>
          </cell>
          <cell r="G2036" t="str">
            <v>8</v>
          </cell>
          <cell r="H2036">
            <v>710</v>
          </cell>
          <cell r="I2036" t="str">
            <v>Ф-Я КИЇВ. АТ "ГРАДОБАНК" М. УЖГОРОД</v>
          </cell>
          <cell r="J2036" t="str">
            <v>ФАТ  "ГРАДОБАНК" Ужгород</v>
          </cell>
          <cell r="K2036" t="str">
            <v>UFIN</v>
          </cell>
          <cell r="L2036" t="str">
            <v>UFIN</v>
          </cell>
          <cell r="M2036">
            <v>6</v>
          </cell>
          <cell r="N2036">
            <v>26</v>
          </cell>
          <cell r="O2036" t="str">
            <v>Управління НБУ в Закарп.обл</v>
          </cell>
        </row>
        <row r="2037">
          <cell r="A2037">
            <v>312453</v>
          </cell>
          <cell r="B2037">
            <v>300012</v>
          </cell>
          <cell r="D2037">
            <v>0</v>
          </cell>
          <cell r="E2037">
            <v>3</v>
          </cell>
          <cell r="F2037">
            <v>0</v>
          </cell>
          <cell r="G2037" t="str">
            <v>3</v>
          </cell>
          <cell r="H2037">
            <v>319</v>
          </cell>
          <cell r="I2037" t="str">
            <v>Ф-Я "ВІД.ПІБ В М.ХУСТ ЗАКАРПАТ.ОБЛ."</v>
          </cell>
          <cell r="J2037" t="str">
            <v>Ф.ВІД.ПІБ В М.ХУСТ ЗАКАРП.</v>
          </cell>
          <cell r="K2037" t="str">
            <v>UFAJ</v>
          </cell>
          <cell r="L2037" t="str">
            <v>UFA0</v>
          </cell>
          <cell r="M2037">
            <v>6</v>
          </cell>
          <cell r="N2037">
            <v>26</v>
          </cell>
          <cell r="O2037" t="str">
            <v>Управління НБУ в Закарп.обл</v>
          </cell>
        </row>
        <row r="2038">
          <cell r="A2038">
            <v>312527</v>
          </cell>
          <cell r="B2038">
            <v>300012</v>
          </cell>
          <cell r="D2038">
            <v>0</v>
          </cell>
          <cell r="E2038">
            <v>3</v>
          </cell>
          <cell r="F2038">
            <v>0</v>
          </cell>
          <cell r="G2038" t="str">
            <v>3</v>
          </cell>
          <cell r="H2038">
            <v>313</v>
          </cell>
          <cell r="I2038" t="str">
            <v>Ф-Я "ВІД.ПІБ В М.ЧОП ЗАКАРПАТ.ОБЛ."</v>
          </cell>
          <cell r="J2038" t="str">
            <v>Ф.ВІД.ПІБ В М.ЧОП ЗАКАРП.</v>
          </cell>
          <cell r="K2038" t="str">
            <v>UFAI</v>
          </cell>
          <cell r="L2038" t="str">
            <v>UFA0</v>
          </cell>
          <cell r="M2038">
            <v>6</v>
          </cell>
          <cell r="N2038">
            <v>26</v>
          </cell>
          <cell r="O2038" t="str">
            <v>Управління НБУ в Закарп.обл</v>
          </cell>
        </row>
        <row r="2039">
          <cell r="A2039">
            <v>312538</v>
          </cell>
          <cell r="B2039">
            <v>320003</v>
          </cell>
          <cell r="D2039">
            <v>0</v>
          </cell>
          <cell r="E2039">
            <v>225</v>
          </cell>
          <cell r="F2039">
            <v>0</v>
          </cell>
          <cell r="G2039" t="str">
            <v>B</v>
          </cell>
          <cell r="H2039">
            <v>734</v>
          </cell>
          <cell r="I2039" t="str">
            <v>Ф ВАТ КБ"НАДРА" УЖГОРОД.РУ М.УЖГОРОД</v>
          </cell>
          <cell r="J2039" t="str">
            <v>ВАТКБ"Надра"Ужгородське РУ</v>
          </cell>
          <cell r="K2039" t="str">
            <v>UFJE</v>
          </cell>
          <cell r="L2039" t="str">
            <v>UFJE</v>
          </cell>
          <cell r="M2039">
            <v>6</v>
          </cell>
          <cell r="N2039">
            <v>26</v>
          </cell>
          <cell r="O2039" t="str">
            <v>Управління НБУ в Закарп.обл</v>
          </cell>
        </row>
        <row r="2040">
          <cell r="A2040">
            <v>312549</v>
          </cell>
          <cell r="B2040">
            <v>300926</v>
          </cell>
          <cell r="D2040">
            <v>0</v>
          </cell>
          <cell r="E2040">
            <v>899</v>
          </cell>
          <cell r="F2040">
            <v>0</v>
          </cell>
          <cell r="G2040" t="str">
            <v>8</v>
          </cell>
          <cell r="H2040">
            <v>735</v>
          </cell>
          <cell r="I2040" t="str">
            <v>ФІЛІЯ АТ "УФГ", М.МУКАЧЕВО</v>
          </cell>
          <cell r="J2040" t="str">
            <v>Філія АТ "УФГ", м.Мукачеве</v>
          </cell>
          <cell r="K2040" t="str">
            <v>UFW2</v>
          </cell>
          <cell r="L2040" t="str">
            <v>U1WF</v>
          </cell>
          <cell r="M2040">
            <v>6</v>
          </cell>
          <cell r="N2040">
            <v>26</v>
          </cell>
          <cell r="O2040" t="str">
            <v>Управління НБУ в Закарп.обл</v>
          </cell>
        </row>
        <row r="2041">
          <cell r="A2041">
            <v>312602</v>
          </cell>
          <cell r="B2041">
            <v>321228</v>
          </cell>
          <cell r="D2041">
            <v>0</v>
          </cell>
          <cell r="E2041">
            <v>68</v>
          </cell>
          <cell r="F2041">
            <v>0</v>
          </cell>
          <cell r="G2041" t="str">
            <v>8</v>
          </cell>
          <cell r="H2041">
            <v>738</v>
          </cell>
          <cell r="I2041" t="str">
            <v>ЗАК.Ф-Я ТОВ "УКРПРОМБАНК",  М.УЖГОРОД</v>
          </cell>
          <cell r="J2041" t="str">
            <v>Закарпат.ФТОВ "Укрпромбанк"</v>
          </cell>
          <cell r="K2041" t="str">
            <v>UFJL</v>
          </cell>
          <cell r="L2041" t="str">
            <v>UFJL</v>
          </cell>
          <cell r="M2041">
            <v>6</v>
          </cell>
          <cell r="N2041">
            <v>26</v>
          </cell>
          <cell r="O2041" t="str">
            <v>Управління НБУ в Закарп.обл</v>
          </cell>
        </row>
        <row r="2042">
          <cell r="A2042">
            <v>312613</v>
          </cell>
          <cell r="B2042">
            <v>300926</v>
          </cell>
          <cell r="D2042">
            <v>0</v>
          </cell>
          <cell r="E2042">
            <v>899</v>
          </cell>
          <cell r="F2042">
            <v>0</v>
          </cell>
          <cell r="G2042" t="str">
            <v>8</v>
          </cell>
          <cell r="H2042">
            <v>739</v>
          </cell>
          <cell r="I2042" t="str">
            <v>ЗАКАРПАТ. ОБЛАСНА ФАТ "УФГ", М.УЖГОРОД</v>
          </cell>
          <cell r="J2042" t="str">
            <v>Закарпатська обл. ФАТ "УФГ"</v>
          </cell>
          <cell r="K2042" t="str">
            <v>UFW1</v>
          </cell>
          <cell r="L2042" t="str">
            <v>U1WF</v>
          </cell>
          <cell r="M2042">
            <v>6</v>
          </cell>
          <cell r="N2042">
            <v>26</v>
          </cell>
          <cell r="O2042" t="str">
            <v>Управління НБУ в Закарп.обл</v>
          </cell>
        </row>
        <row r="2043">
          <cell r="A2043">
            <v>312624</v>
          </cell>
          <cell r="B2043">
            <v>320702</v>
          </cell>
          <cell r="D2043">
            <v>0</v>
          </cell>
          <cell r="E2043">
            <v>277</v>
          </cell>
          <cell r="F2043">
            <v>0</v>
          </cell>
          <cell r="G2043" t="str">
            <v>8</v>
          </cell>
          <cell r="H2043">
            <v>730</v>
          </cell>
          <cell r="I2043" t="str">
            <v>ЗАКАР.ФАКБ"НАЦ.КРЕДИТ", УЖГ</v>
          </cell>
          <cell r="J2043" t="str">
            <v>Зак.ФАКБ"НК" м.Ужг.</v>
          </cell>
          <cell r="K2043" t="str">
            <v>UFJD</v>
          </cell>
          <cell r="L2043" t="str">
            <v>UFJD</v>
          </cell>
          <cell r="M2043">
            <v>6</v>
          </cell>
          <cell r="N2043">
            <v>26</v>
          </cell>
          <cell r="O2043" t="str">
            <v>Управління НБУ в Закарп.обл</v>
          </cell>
        </row>
        <row r="2044">
          <cell r="A2044">
            <v>312635</v>
          </cell>
          <cell r="B2044">
            <v>322658</v>
          </cell>
          <cell r="D2044">
            <v>0</v>
          </cell>
          <cell r="E2044">
            <v>217</v>
          </cell>
          <cell r="F2044">
            <v>0</v>
          </cell>
          <cell r="G2044" t="str">
            <v>8</v>
          </cell>
          <cell r="H2044">
            <v>744</v>
          </cell>
          <cell r="I2044" t="str">
            <v>УЖГОРОДСЬКА ФІЛІЯ АКБ "СЄБ",М.УЖГОРОД</v>
          </cell>
          <cell r="J2044" t="str">
            <v>Ужгородська ФАКБ "СЄБ"</v>
          </cell>
          <cell r="K2044" t="str">
            <v>UFJM</v>
          </cell>
          <cell r="L2044" t="str">
            <v>UFJM</v>
          </cell>
          <cell r="M2044">
            <v>6</v>
          </cell>
          <cell r="N2044">
            <v>26</v>
          </cell>
          <cell r="O2044" t="str">
            <v>Управління НБУ в Закарп.обл</v>
          </cell>
        </row>
        <row r="2045">
          <cell r="A2045">
            <v>312646</v>
          </cell>
          <cell r="B2045">
            <v>300012</v>
          </cell>
          <cell r="D2045">
            <v>0</v>
          </cell>
          <cell r="E2045">
            <v>3</v>
          </cell>
          <cell r="F2045">
            <v>0</v>
          </cell>
          <cell r="G2045" t="str">
            <v>3</v>
          </cell>
          <cell r="H2045">
            <v>312</v>
          </cell>
          <cell r="I2045" t="str">
            <v>Ф-Я "ВІД.ПІБ В М.ІРШАВА ЗАКАРПАТ.ОБЛ."</v>
          </cell>
          <cell r="J2045" t="str">
            <v>Ф-Я ВІД.ПІБ В М.ІРШАВА</v>
          </cell>
          <cell r="K2045" t="str">
            <v>UFAH</v>
          </cell>
          <cell r="L2045" t="str">
            <v>UFA0</v>
          </cell>
          <cell r="M2045">
            <v>6</v>
          </cell>
          <cell r="N2045">
            <v>26</v>
          </cell>
          <cell r="O2045" t="str">
            <v>Управління НБУ в Закарп.обл</v>
          </cell>
        </row>
        <row r="2046">
          <cell r="A2046">
            <v>312657</v>
          </cell>
          <cell r="B2046">
            <v>300528</v>
          </cell>
          <cell r="D2046">
            <v>0</v>
          </cell>
          <cell r="E2046">
            <v>296</v>
          </cell>
          <cell r="F2046">
            <v>0</v>
          </cell>
          <cell r="G2046" t="str">
            <v>F</v>
          </cell>
          <cell r="H2046">
            <v>733</v>
          </cell>
          <cell r="I2046" t="str">
            <v>ФІЛІЯ ЗАТ "ОТП БАНК" В М.УЖГОРОДІ</v>
          </cell>
          <cell r="J2046" t="str">
            <v>Філія ЗАТ "ОТП Банк"</v>
          </cell>
          <cell r="K2046" t="str">
            <v>UFJN</v>
          </cell>
          <cell r="L2046" t="str">
            <v>UFJN</v>
          </cell>
          <cell r="M2046">
            <v>6</v>
          </cell>
          <cell r="N2046">
            <v>26</v>
          </cell>
          <cell r="O2046" t="str">
            <v>Управління НБУ в Закарп.обл</v>
          </cell>
        </row>
        <row r="2047">
          <cell r="A2047">
            <v>312668</v>
          </cell>
          <cell r="B2047">
            <v>300249</v>
          </cell>
          <cell r="D2047">
            <v>0</v>
          </cell>
          <cell r="E2047">
            <v>37</v>
          </cell>
          <cell r="F2047">
            <v>0</v>
          </cell>
          <cell r="G2047" t="str">
            <v>8</v>
          </cell>
          <cell r="H2047">
            <v>776</v>
          </cell>
          <cell r="I2047" t="str">
            <v>ЗАКАРПАТ.ФАБ"БРОКБІЗНЕСБАНК" М.УЖГОРОД</v>
          </cell>
          <cell r="J2047" t="str">
            <v>Закарп.ФАБ "БРОКБІЗНЕСБАНК"</v>
          </cell>
          <cell r="K2047" t="str">
            <v>UFKP</v>
          </cell>
          <cell r="L2047" t="str">
            <v>UFKP</v>
          </cell>
          <cell r="M2047">
            <v>6</v>
          </cell>
          <cell r="N2047">
            <v>26</v>
          </cell>
          <cell r="O2047" t="str">
            <v>Управління НБУ в Закарп.обл</v>
          </cell>
        </row>
        <row r="2048">
          <cell r="A2048">
            <v>312679</v>
          </cell>
          <cell r="B2048">
            <v>300658</v>
          </cell>
          <cell r="D2048">
            <v>0</v>
          </cell>
          <cell r="E2048">
            <v>251</v>
          </cell>
          <cell r="F2048">
            <v>0</v>
          </cell>
          <cell r="G2048" t="str">
            <v>B</v>
          </cell>
          <cell r="H2048">
            <v>777</v>
          </cell>
          <cell r="I2048" t="str">
            <v>ЗФ ВАТ"ПІРЕУС БАНК МКБ",М.УЖГОРОД</v>
          </cell>
          <cell r="J2048" t="str">
            <v>ЗФ ВАТ "ПІРЕУС БАНК МКБ"</v>
          </cell>
          <cell r="K2048" t="str">
            <v>UFKQ</v>
          </cell>
          <cell r="L2048" t="str">
            <v>UFKQ</v>
          </cell>
          <cell r="M2048">
            <v>6</v>
          </cell>
          <cell r="N2048">
            <v>26</v>
          </cell>
          <cell r="O2048" t="str">
            <v>Управління НБУ в Закарп.обл</v>
          </cell>
        </row>
        <row r="2049">
          <cell r="A2049">
            <v>312680</v>
          </cell>
          <cell r="B2049">
            <v>300670</v>
          </cell>
          <cell r="D2049">
            <v>0</v>
          </cell>
          <cell r="E2049">
            <v>202</v>
          </cell>
          <cell r="F2049">
            <v>0</v>
          </cell>
          <cell r="G2049" t="str">
            <v>8</v>
          </cell>
          <cell r="H2049">
            <v>794</v>
          </cell>
          <cell r="I2049" t="str">
            <v>ЗАКАРПАТ.Ф.ВАТ КБ"ХРЕЩАТИК", М.УЖГОРОД</v>
          </cell>
          <cell r="J2049" t="str">
            <v>Закарпат.ФВАТ КБ "Хрещатик"</v>
          </cell>
          <cell r="K2049" t="str">
            <v>UFKW</v>
          </cell>
          <cell r="L2049" t="str">
            <v>UFKW</v>
          </cell>
          <cell r="M2049">
            <v>6</v>
          </cell>
          <cell r="N2049">
            <v>26</v>
          </cell>
          <cell r="O2049" t="str">
            <v>Управління НБУ в Закарп.обл</v>
          </cell>
        </row>
        <row r="2050">
          <cell r="A2050">
            <v>312691</v>
          </cell>
          <cell r="B2050">
            <v>328384</v>
          </cell>
          <cell r="D2050">
            <v>0</v>
          </cell>
          <cell r="E2050">
            <v>258</v>
          </cell>
          <cell r="F2050">
            <v>0</v>
          </cell>
          <cell r="G2050" t="str">
            <v>8</v>
          </cell>
          <cell r="H2050">
            <v>795</v>
          </cell>
          <cell r="I2050" t="str">
            <v>ЗАКАРПАТСЬКА ФАКБ"ІМЕКСБАНК",М.УЖГОРОД</v>
          </cell>
          <cell r="J2050" t="str">
            <v>ЗАКАРПАТСЬКАФАКБ"ІМЕКСБАНК"</v>
          </cell>
          <cell r="K2050" t="str">
            <v>UFKX</v>
          </cell>
          <cell r="L2050" t="str">
            <v>UFKX</v>
          </cell>
          <cell r="M2050">
            <v>6</v>
          </cell>
          <cell r="N2050">
            <v>15</v>
          </cell>
          <cell r="O2050" t="str">
            <v>Управління НБУ в Закарп.обл</v>
          </cell>
        </row>
        <row r="2051">
          <cell r="A2051">
            <v>312710</v>
          </cell>
          <cell r="B2051">
            <v>300272</v>
          </cell>
          <cell r="D2051">
            <v>0</v>
          </cell>
          <cell r="E2051">
            <v>31</v>
          </cell>
          <cell r="F2051">
            <v>0</v>
          </cell>
          <cell r="G2051" t="str">
            <v>B</v>
          </cell>
          <cell r="H2051">
            <v>803</v>
          </cell>
          <cell r="I2051" t="str">
            <v>ФІЛІЯ АБ "ЕНЕРГОБАНК" В М.УЖГОРОД</v>
          </cell>
          <cell r="J2051" t="str">
            <v>ФілАБ"Енергобанк"в мУжгород</v>
          </cell>
          <cell r="K2051" t="str">
            <v>UFFB</v>
          </cell>
          <cell r="L2051" t="str">
            <v>UFFB</v>
          </cell>
          <cell r="M2051">
            <v>6</v>
          </cell>
          <cell r="N2051">
            <v>26</v>
          </cell>
          <cell r="O2051" t="str">
            <v>Управління НБУ в Закарп.обл</v>
          </cell>
        </row>
        <row r="2052">
          <cell r="A2052">
            <v>312743</v>
          </cell>
          <cell r="B2052">
            <v>300614</v>
          </cell>
          <cell r="D2052">
            <v>0</v>
          </cell>
          <cell r="E2052">
            <v>171</v>
          </cell>
          <cell r="F2052">
            <v>0</v>
          </cell>
          <cell r="G2052" t="str">
            <v>8</v>
          </cell>
          <cell r="H2052">
            <v>700</v>
          </cell>
          <cell r="I2052" t="str">
            <v>Ф."ЗАКАР.ДИР."АТ"ІНДЕКС-БАНК"М.УЖГОРОД</v>
          </cell>
          <cell r="J2052" t="str">
            <v>Ф."Закар.дир."ІНДЕКС-БАНК"</v>
          </cell>
          <cell r="K2052" t="str">
            <v>UFKT</v>
          </cell>
          <cell r="L2052" t="str">
            <v>UFKT</v>
          </cell>
          <cell r="M2052">
            <v>6</v>
          </cell>
          <cell r="N2052">
            <v>26</v>
          </cell>
          <cell r="O2052" t="str">
            <v>Управління НБУ в Закарп.обл</v>
          </cell>
        </row>
        <row r="2053">
          <cell r="A2053">
            <v>312754</v>
          </cell>
          <cell r="B2053">
            <v>322948</v>
          </cell>
          <cell r="D2053">
            <v>0</v>
          </cell>
          <cell r="E2053">
            <v>248</v>
          </cell>
          <cell r="F2053">
            <v>0</v>
          </cell>
          <cell r="G2053" t="str">
            <v>B</v>
          </cell>
          <cell r="H2053">
            <v>785</v>
          </cell>
          <cell r="I2053" t="str">
            <v>УЖГОРОДСЬКА ФАКБ "ФОРУМ" М.УЖГОРОД</v>
          </cell>
          <cell r="J2053" t="str">
            <v>Ужгородська Ф АКБ "Форум"</v>
          </cell>
          <cell r="K2053" t="str">
            <v>UFKV</v>
          </cell>
          <cell r="L2053" t="str">
            <v>UFKV</v>
          </cell>
          <cell r="M2053">
            <v>6</v>
          </cell>
          <cell r="N2053">
            <v>26</v>
          </cell>
          <cell r="O2053" t="str">
            <v>Управління НБУ в Закарп.обл</v>
          </cell>
        </row>
        <row r="2054">
          <cell r="A2054">
            <v>312776</v>
          </cell>
          <cell r="B2054">
            <v>320478</v>
          </cell>
          <cell r="D2054">
            <v>0</v>
          </cell>
          <cell r="E2054">
            <v>274</v>
          </cell>
          <cell r="F2054">
            <v>0</v>
          </cell>
          <cell r="G2054" t="str">
            <v>8</v>
          </cell>
          <cell r="H2054">
            <v>729</v>
          </cell>
          <cell r="I2054" t="str">
            <v>УЖГОР. ФВАТ АБ "УКРГАЗБАНК", М.УЖГОРОД</v>
          </cell>
          <cell r="J2054" t="str">
            <v>УФ ВАТ АБ "УКРГАЗБАНК"</v>
          </cell>
          <cell r="K2054" t="str">
            <v>UFJB</v>
          </cell>
          <cell r="L2054" t="str">
            <v>UFJB</v>
          </cell>
          <cell r="M2054">
            <v>6</v>
          </cell>
          <cell r="N2054">
            <v>26</v>
          </cell>
          <cell r="O2054" t="str">
            <v>Управління НБУ в Закарп.обл</v>
          </cell>
        </row>
        <row r="2055">
          <cell r="A2055">
            <v>312787</v>
          </cell>
          <cell r="B2055">
            <v>321767</v>
          </cell>
          <cell r="D2055">
            <v>0</v>
          </cell>
          <cell r="E2055">
            <v>42</v>
          </cell>
          <cell r="F2055">
            <v>0</v>
          </cell>
          <cell r="G2055" t="str">
            <v>B</v>
          </cell>
          <cell r="H2055">
            <v>759</v>
          </cell>
          <cell r="I2055" t="str">
            <v>УЖГОРОДСЬКА Ф ВАТ ВТБ БАНК, М.УЖГОРОД</v>
          </cell>
          <cell r="J2055" t="str">
            <v>Ужгородська Ф ВАТ ВТБ Банк</v>
          </cell>
          <cell r="K2055" t="str">
            <v>UFKA</v>
          </cell>
          <cell r="L2055" t="str">
            <v>UFKA</v>
          </cell>
          <cell r="M2055">
            <v>6</v>
          </cell>
          <cell r="N2055">
            <v>26</v>
          </cell>
          <cell r="O2055" t="str">
            <v>Управління НБУ в Закарп.обл</v>
          </cell>
        </row>
        <row r="2056">
          <cell r="A2056">
            <v>312817</v>
          </cell>
          <cell r="B2056">
            <v>380537</v>
          </cell>
          <cell r="D2056">
            <v>0</v>
          </cell>
          <cell r="E2056">
            <v>76</v>
          </cell>
          <cell r="F2056">
            <v>0</v>
          </cell>
          <cell r="G2056" t="str">
            <v>B</v>
          </cell>
          <cell r="H2056">
            <v>791</v>
          </cell>
          <cell r="I2056" t="str">
            <v>ЗАКАР.ФІЛІЯ ВАТ"ВІЕЙБІБАНК"М.УЖГОРОД</v>
          </cell>
          <cell r="J2056" t="str">
            <v>Закар.Ф.ВАТ"ВІЕЙБІБАНК"</v>
          </cell>
          <cell r="K2056" t="str">
            <v>UFKU</v>
          </cell>
          <cell r="L2056" t="str">
            <v>UFKU</v>
          </cell>
          <cell r="M2056">
            <v>6</v>
          </cell>
          <cell r="N2056">
            <v>26</v>
          </cell>
          <cell r="O2056" t="str">
            <v>Управління НБУ в Закарп.обл</v>
          </cell>
        </row>
        <row r="2057">
          <cell r="A2057">
            <v>313009</v>
          </cell>
          <cell r="B2057">
            <v>313009</v>
          </cell>
          <cell r="C2057" t="str">
            <v>ВАТ "МОТОР-БАНК"</v>
          </cell>
          <cell r="D2057">
            <v>381</v>
          </cell>
          <cell r="E2057">
            <v>381</v>
          </cell>
          <cell r="F2057">
            <v>0</v>
          </cell>
          <cell r="G2057" t="str">
            <v>8</v>
          </cell>
          <cell r="H2057">
            <v>503</v>
          </cell>
          <cell r="I2057" t="str">
            <v>ВАТ "МОТОР-БАНК", М. ЗАПОРІЖЖЯ</v>
          </cell>
          <cell r="J2057" t="str">
            <v>ВАТ "МОТОР-БАНК"</v>
          </cell>
          <cell r="K2057" t="str">
            <v>UGFA</v>
          </cell>
          <cell r="L2057" t="str">
            <v>UGFA</v>
          </cell>
          <cell r="M2057">
            <v>7</v>
          </cell>
          <cell r="N2057">
            <v>7</v>
          </cell>
          <cell r="O2057" t="str">
            <v>Управління НБУ в Запор.обл.</v>
          </cell>
        </row>
        <row r="2058">
          <cell r="A2058">
            <v>313010</v>
          </cell>
          <cell r="B2058">
            <v>300023</v>
          </cell>
          <cell r="D2058">
            <v>0</v>
          </cell>
          <cell r="E2058">
            <v>5</v>
          </cell>
          <cell r="F2058">
            <v>0</v>
          </cell>
          <cell r="G2058" t="str">
            <v>5</v>
          </cell>
          <cell r="H2058">
            <v>550</v>
          </cell>
          <cell r="I2058" t="str">
            <v>ЗАПОРІЗЬКА ОФ АКБ"УСБ" М.ЗАПОРІЖЖЯ</v>
          </cell>
          <cell r="J2058" t="str">
            <v>Запоріж.обл.філія АКБ"УСБ"</v>
          </cell>
          <cell r="K2058" t="str">
            <v>UGCA</v>
          </cell>
          <cell r="L2058" t="str">
            <v>UGCA</v>
          </cell>
          <cell r="M2058">
            <v>7</v>
          </cell>
          <cell r="N2058">
            <v>26</v>
          </cell>
          <cell r="O2058" t="str">
            <v>Управління НБУ в Запор.обл.</v>
          </cell>
        </row>
        <row r="2059">
          <cell r="A2059">
            <v>313043</v>
          </cell>
          <cell r="B2059">
            <v>300012</v>
          </cell>
          <cell r="D2059">
            <v>0</v>
          </cell>
          <cell r="E2059">
            <v>3</v>
          </cell>
          <cell r="F2059">
            <v>0</v>
          </cell>
          <cell r="G2059" t="str">
            <v>3</v>
          </cell>
          <cell r="H2059">
            <v>322</v>
          </cell>
          <cell r="I2059" t="str">
            <v>Ф."В.ПІБ В М.МЕЛІТОПОЛЬ ЗАПОРІЗЬК.ОБЛ"</v>
          </cell>
          <cell r="J2059" t="str">
            <v>Ф."ВІД.ПІБ В М.МЕЛІТОПОЛЬ"</v>
          </cell>
          <cell r="K2059" t="str">
            <v>UGAD</v>
          </cell>
          <cell r="L2059" t="str">
            <v>UGAD</v>
          </cell>
          <cell r="M2059">
            <v>7</v>
          </cell>
          <cell r="N2059">
            <v>26</v>
          </cell>
          <cell r="O2059" t="str">
            <v>Управління НБУ в Запор.обл.</v>
          </cell>
        </row>
        <row r="2060">
          <cell r="A2060">
            <v>313054</v>
          </cell>
          <cell r="B2060">
            <v>300012</v>
          </cell>
          <cell r="D2060">
            <v>0</v>
          </cell>
          <cell r="E2060">
            <v>3</v>
          </cell>
          <cell r="F2060">
            <v>0</v>
          </cell>
          <cell r="G2060" t="str">
            <v>3</v>
          </cell>
          <cell r="H2060">
            <v>323</v>
          </cell>
          <cell r="I2060" t="str">
            <v>Ф."В.ПІБ В М.ДНІПРОРУДНЕ ЗАПОРІЗ.ОБЛ."</v>
          </cell>
          <cell r="J2060" t="str">
            <v>Ф."ВІД.ПІБ В М.ДНІПРОРУДНЕ"</v>
          </cell>
          <cell r="K2060" t="str">
            <v>UGAE</v>
          </cell>
          <cell r="L2060" t="str">
            <v>UGAE</v>
          </cell>
          <cell r="M2060">
            <v>7</v>
          </cell>
          <cell r="N2060">
            <v>26</v>
          </cell>
          <cell r="O2060" t="str">
            <v>Управління НБУ в Запор.обл.</v>
          </cell>
        </row>
        <row r="2061">
          <cell r="A2061">
            <v>313098</v>
          </cell>
          <cell r="B2061">
            <v>300012</v>
          </cell>
          <cell r="D2061">
            <v>0</v>
          </cell>
          <cell r="E2061">
            <v>3</v>
          </cell>
          <cell r="F2061">
            <v>0</v>
          </cell>
          <cell r="G2061" t="str">
            <v>3</v>
          </cell>
          <cell r="H2061">
            <v>327</v>
          </cell>
          <cell r="I2061" t="str">
            <v>Ф."В.ПІБ В М.ЕНЕРГОДАР ЗАПОРІЗЬК.ОБЛ."</v>
          </cell>
          <cell r="J2061" t="str">
            <v>Ф.ВІД.ПІБ В М.ЕНЕРГОДАР ЗАП</v>
          </cell>
          <cell r="K2061" t="str">
            <v>UGAF</v>
          </cell>
          <cell r="L2061" t="str">
            <v>UGAF</v>
          </cell>
          <cell r="M2061">
            <v>7</v>
          </cell>
          <cell r="N2061">
            <v>26</v>
          </cell>
          <cell r="O2061" t="str">
            <v>Управління НБУ в Запор.обл.</v>
          </cell>
        </row>
        <row r="2062">
          <cell r="A2062">
            <v>313117</v>
          </cell>
          <cell r="B2062">
            <v>300012</v>
          </cell>
          <cell r="D2062">
            <v>0</v>
          </cell>
          <cell r="E2062">
            <v>3</v>
          </cell>
          <cell r="F2062">
            <v>0</v>
          </cell>
          <cell r="G2062" t="str">
            <v>3</v>
          </cell>
          <cell r="H2062">
            <v>326</v>
          </cell>
          <cell r="I2062" t="str">
            <v>Ф."В.ПІБ В М.БЕРДЯНСЬК ЗАПОРІЗЬК.ОБЛ."</v>
          </cell>
          <cell r="J2062" t="str">
            <v>Ф. "ВІД.ПІБ В М.БЕРДЯНСЬК"</v>
          </cell>
          <cell r="K2062" t="str">
            <v>UGAH</v>
          </cell>
          <cell r="L2062" t="str">
            <v>UGAH</v>
          </cell>
          <cell r="M2062">
            <v>7</v>
          </cell>
          <cell r="N2062">
            <v>26</v>
          </cell>
          <cell r="O2062" t="str">
            <v>Управління НБУ в Запор.обл.</v>
          </cell>
        </row>
        <row r="2063">
          <cell r="A2063">
            <v>313184</v>
          </cell>
          <cell r="B2063">
            <v>300142</v>
          </cell>
          <cell r="D2063">
            <v>0</v>
          </cell>
          <cell r="E2063">
            <v>18</v>
          </cell>
          <cell r="F2063">
            <v>0</v>
          </cell>
          <cell r="G2063" t="str">
            <v>8</v>
          </cell>
          <cell r="H2063">
            <v>714</v>
          </cell>
          <cell r="I2063" t="str">
            <v>ЗАПОРІЗЬКА ФАТ"УКРІНБАНК" М.ЗАПОРІЖЖЯ</v>
          </cell>
          <cell r="J2063" t="str">
            <v>Запорізька ФАТ"Укрінбанк"</v>
          </cell>
          <cell r="K2063" t="str">
            <v>UGIL</v>
          </cell>
          <cell r="L2063" t="str">
            <v>UGIL</v>
          </cell>
          <cell r="M2063">
            <v>7</v>
          </cell>
          <cell r="N2063">
            <v>26</v>
          </cell>
          <cell r="O2063" t="str">
            <v>Управління НБУ в Запор.обл.</v>
          </cell>
        </row>
        <row r="2064">
          <cell r="A2064">
            <v>313281</v>
          </cell>
          <cell r="B2064">
            <v>320940</v>
          </cell>
          <cell r="D2064">
            <v>0</v>
          </cell>
          <cell r="E2064">
            <v>43</v>
          </cell>
          <cell r="F2064">
            <v>0</v>
          </cell>
          <cell r="G2064" t="str">
            <v>8</v>
          </cell>
          <cell r="H2064">
            <v>708</v>
          </cell>
          <cell r="I2064" t="str">
            <v>МЕЛІТОП.ФАБ "АВТОЗАЗБАНК" М.МЕЛІТОПОЛЬ</v>
          </cell>
          <cell r="J2064" t="str">
            <v>Мелітоп.ФАБ"АвтоЗАЗбанк"</v>
          </cell>
          <cell r="K2064" t="str">
            <v>UGIH</v>
          </cell>
          <cell r="L2064" t="str">
            <v>UGIH</v>
          </cell>
          <cell r="M2064">
            <v>7</v>
          </cell>
          <cell r="N2064">
            <v>26</v>
          </cell>
          <cell r="O2064" t="str">
            <v>Управління НБУ в Запор.обл.</v>
          </cell>
        </row>
        <row r="2065">
          <cell r="A2065">
            <v>313355</v>
          </cell>
          <cell r="B2065">
            <v>300012</v>
          </cell>
          <cell r="D2065">
            <v>0</v>
          </cell>
          <cell r="E2065">
            <v>3</v>
          </cell>
          <cell r="F2065">
            <v>0</v>
          </cell>
          <cell r="G2065" t="str">
            <v>3</v>
          </cell>
          <cell r="H2065">
            <v>324</v>
          </cell>
          <cell r="I2065" t="str">
            <v>Ф."ВІДДІЛ.ПРОМІНВЕСТБАНКУ,М.ЗАПОРІЖЖЯ"</v>
          </cell>
          <cell r="J2065" t="str">
            <v>Ф."ВІДДІЛ. ПІБ,М.ЗАПОРІЖЖЯ"</v>
          </cell>
          <cell r="K2065" t="str">
            <v>UGAA</v>
          </cell>
          <cell r="L2065" t="str">
            <v>UGAA</v>
          </cell>
          <cell r="M2065">
            <v>7</v>
          </cell>
          <cell r="N2065">
            <v>26</v>
          </cell>
          <cell r="O2065" t="str">
            <v>Управління НБУ в Запор.обл.</v>
          </cell>
        </row>
        <row r="2066">
          <cell r="A2066">
            <v>313377</v>
          </cell>
          <cell r="B2066">
            <v>300001</v>
          </cell>
          <cell r="D2066">
            <v>0</v>
          </cell>
          <cell r="E2066">
            <v>1</v>
          </cell>
          <cell r="F2066">
            <v>0</v>
          </cell>
          <cell r="G2066" t="str">
            <v>1</v>
          </cell>
          <cell r="H2066">
            <v>36</v>
          </cell>
          <cell r="I2066" t="str">
            <v>УПРАВЛІННЯ НБУ В ЗАПОРІЗЬКІЙ ОБЛАСТІ</v>
          </cell>
          <cell r="J2066" t="str">
            <v>Упр. НБУ в Запорізькій обл.</v>
          </cell>
          <cell r="K2066" t="str">
            <v>UGHA</v>
          </cell>
          <cell r="L2066" t="str">
            <v>UGH0</v>
          </cell>
          <cell r="M2066">
            <v>7</v>
          </cell>
          <cell r="N2066">
            <v>27</v>
          </cell>
          <cell r="O2066" t="str">
            <v>Управління НБУ в Запор.обл.</v>
          </cell>
        </row>
        <row r="2067">
          <cell r="A2067">
            <v>313399</v>
          </cell>
          <cell r="B2067">
            <v>305299</v>
          </cell>
          <cell r="D2067">
            <v>0</v>
          </cell>
          <cell r="E2067">
            <v>46</v>
          </cell>
          <cell r="F2067">
            <v>0</v>
          </cell>
          <cell r="G2067" t="str">
            <v>A</v>
          </cell>
          <cell r="H2067">
            <v>722</v>
          </cell>
          <cell r="I2067" t="str">
            <v>ЗАПОРІЗЬКЕ РУ ПРИВАТБАНКУ, М.ЗАПОРІЖЖЯ</v>
          </cell>
          <cell r="J2067" t="str">
            <v>Запорізьке РУ ПриватБанку</v>
          </cell>
          <cell r="K2067" t="str">
            <v>UGIP</v>
          </cell>
          <cell r="L2067" t="str">
            <v>UGIP</v>
          </cell>
          <cell r="M2067">
            <v>7</v>
          </cell>
          <cell r="N2067">
            <v>3</v>
          </cell>
          <cell r="O2067" t="str">
            <v>Управління НБУ в Запор.обл.</v>
          </cell>
        </row>
        <row r="2068">
          <cell r="A2068">
            <v>313407</v>
          </cell>
          <cell r="B2068">
            <v>320940</v>
          </cell>
          <cell r="D2068">
            <v>0</v>
          </cell>
          <cell r="E2068">
            <v>43</v>
          </cell>
          <cell r="F2068">
            <v>0</v>
          </cell>
          <cell r="G2068" t="str">
            <v>8</v>
          </cell>
          <cell r="H2068">
            <v>704</v>
          </cell>
          <cell r="I2068" t="str">
            <v>ФАБ "АВТОЗАЗБАНК" В М.ЗАПОРІЖЖЯ</v>
          </cell>
          <cell r="J2068" t="str">
            <v>ФАБ"АвтоЗАЗбанк"вмЗапоріжжя</v>
          </cell>
          <cell r="K2068" t="str">
            <v>UGIB</v>
          </cell>
          <cell r="L2068" t="str">
            <v>UGIB</v>
          </cell>
          <cell r="M2068">
            <v>7</v>
          </cell>
          <cell r="N2068">
            <v>26</v>
          </cell>
          <cell r="O2068" t="str">
            <v>Управління НБУ в Запор.обл.</v>
          </cell>
        </row>
        <row r="2069">
          <cell r="A2069">
            <v>313582</v>
          </cell>
          <cell r="B2069">
            <v>313582</v>
          </cell>
          <cell r="C2069" t="str">
            <v>АБ "МЕТАЛУРГ"</v>
          </cell>
          <cell r="D2069">
            <v>205</v>
          </cell>
          <cell r="E2069">
            <v>205</v>
          </cell>
          <cell r="F2069">
            <v>0</v>
          </cell>
          <cell r="G2069" t="str">
            <v>8</v>
          </cell>
          <cell r="H2069">
            <v>712</v>
          </cell>
          <cell r="I2069" t="str">
            <v>АБ "МЕТАЛУРГ", М.ЗАПОРІЖЖЯ</v>
          </cell>
          <cell r="J2069" t="str">
            <v>АБ "МЕТАЛУРГ"</v>
          </cell>
          <cell r="K2069" t="str">
            <v>UGIQ</v>
          </cell>
          <cell r="L2069" t="str">
            <v>UGIQ</v>
          </cell>
          <cell r="M2069">
            <v>7</v>
          </cell>
          <cell r="N2069">
            <v>7</v>
          </cell>
          <cell r="O2069" t="str">
            <v>Управління НБУ в Запор.обл.</v>
          </cell>
        </row>
        <row r="2070">
          <cell r="A2070">
            <v>313623</v>
          </cell>
          <cell r="B2070">
            <v>334851</v>
          </cell>
          <cell r="D2070">
            <v>0</v>
          </cell>
          <cell r="E2070">
            <v>115</v>
          </cell>
          <cell r="F2070">
            <v>0</v>
          </cell>
          <cell r="G2070" t="str">
            <v>8</v>
          </cell>
          <cell r="H2070">
            <v>739</v>
          </cell>
          <cell r="I2070" t="str">
            <v>ФІЛІЯ ЗАТ"ПУМБ" В М.ЗАПОРІЖЖІ</v>
          </cell>
          <cell r="J2070" t="str">
            <v>Філія ПУМБ в м.Запоріжжі</v>
          </cell>
          <cell r="K2070" t="str">
            <v>UGJF</v>
          </cell>
          <cell r="L2070" t="str">
            <v>UGJF</v>
          </cell>
          <cell r="M2070">
            <v>7</v>
          </cell>
          <cell r="N2070">
            <v>4</v>
          </cell>
          <cell r="O2070" t="str">
            <v>Управління НБУ в Запор.обл.</v>
          </cell>
        </row>
        <row r="2071">
          <cell r="A2071">
            <v>313708</v>
          </cell>
          <cell r="B2071">
            <v>322603</v>
          </cell>
          <cell r="D2071">
            <v>0</v>
          </cell>
          <cell r="E2071">
            <v>216</v>
          </cell>
          <cell r="F2071">
            <v>0</v>
          </cell>
          <cell r="G2071" t="str">
            <v>8</v>
          </cell>
          <cell r="H2071">
            <v>705</v>
          </cell>
          <cell r="I2071" t="str">
            <v>ЗФ ВАТ БАНКУ "БІГ ЕНЕРГІЯ" М.ЗАПОРІЖЖЯ</v>
          </cell>
          <cell r="J2071" t="str">
            <v>ЗФ ВАТ Банку "БІГ Енергія"</v>
          </cell>
          <cell r="K2071" t="str">
            <v>UGJH</v>
          </cell>
          <cell r="L2071" t="str">
            <v>UGJH</v>
          </cell>
          <cell r="M2071">
            <v>7</v>
          </cell>
          <cell r="N2071">
            <v>26</v>
          </cell>
          <cell r="O2071" t="str">
            <v>Управління НБУ в Запор.обл.</v>
          </cell>
        </row>
        <row r="2072">
          <cell r="A2072">
            <v>313731</v>
          </cell>
          <cell r="B2072">
            <v>300131</v>
          </cell>
          <cell r="D2072">
            <v>0</v>
          </cell>
          <cell r="E2072">
            <v>17</v>
          </cell>
          <cell r="F2072">
            <v>0</v>
          </cell>
          <cell r="G2072" t="str">
            <v>8</v>
          </cell>
          <cell r="H2072">
            <v>740</v>
          </cell>
          <cell r="I2072" t="str">
            <v>Ф"ЗРУ"ВАТ"Б"ФІН ТА КР"М.ЗАПОРІЖ</v>
          </cell>
          <cell r="J2072" t="str">
            <v>Ф"ЗРУ"ВАТ"Б"Фін. та Кред"</v>
          </cell>
          <cell r="K2072" t="str">
            <v>UGJO</v>
          </cell>
          <cell r="L2072" t="str">
            <v>UGJO</v>
          </cell>
          <cell r="M2072">
            <v>7</v>
          </cell>
          <cell r="N2072">
            <v>26</v>
          </cell>
          <cell r="O2072" t="str">
            <v>Управління НБУ в Запор.обл.</v>
          </cell>
        </row>
        <row r="2073">
          <cell r="A2073">
            <v>313742</v>
          </cell>
          <cell r="B2073">
            <v>321767</v>
          </cell>
          <cell r="D2073">
            <v>0</v>
          </cell>
          <cell r="E2073">
            <v>42</v>
          </cell>
          <cell r="F2073">
            <v>0</v>
          </cell>
          <cell r="G2073" t="str">
            <v>B</v>
          </cell>
          <cell r="H2073">
            <v>738</v>
          </cell>
          <cell r="I2073" t="str">
            <v>ЗАПОРІЗЬКА Ф ВАТ ВТБ БАНК, М.ЗАПОРІЖЖЯ</v>
          </cell>
          <cell r="J2073" t="str">
            <v>Запорізька Ф ВАТ ВТБ Ба</v>
          </cell>
          <cell r="K2073" t="str">
            <v>UGJP</v>
          </cell>
          <cell r="L2073" t="str">
            <v>UGJP</v>
          </cell>
          <cell r="M2073">
            <v>7</v>
          </cell>
          <cell r="N2073">
            <v>26</v>
          </cell>
          <cell r="O2073" t="str">
            <v>Управління НБУ в Запор.обл.</v>
          </cell>
        </row>
        <row r="2074">
          <cell r="A2074">
            <v>313753</v>
          </cell>
          <cell r="B2074">
            <v>328209</v>
          </cell>
          <cell r="D2074">
            <v>0</v>
          </cell>
          <cell r="E2074">
            <v>106</v>
          </cell>
          <cell r="F2074">
            <v>0</v>
          </cell>
          <cell r="G2074" t="str">
            <v>8</v>
          </cell>
          <cell r="H2074">
            <v>742</v>
          </cell>
          <cell r="I2074" t="str">
            <v>ФІЛІЯ АБ "ПІВДЕННИЙ" В М. ЗАПОРІЖЖІ</v>
          </cell>
          <cell r="J2074" t="str">
            <v>ФАБ"ПІВДЕННИЙ"в м.Запоріжжі</v>
          </cell>
          <cell r="K2074" t="str">
            <v>UGJR</v>
          </cell>
          <cell r="L2074" t="str">
            <v>UGJR</v>
          </cell>
          <cell r="M2074">
            <v>7</v>
          </cell>
          <cell r="N2074">
            <v>15</v>
          </cell>
          <cell r="O2074" t="str">
            <v>Управління НБУ в Запор.обл.</v>
          </cell>
        </row>
        <row r="2075">
          <cell r="A2075">
            <v>313764</v>
          </cell>
          <cell r="B2075">
            <v>322603</v>
          </cell>
          <cell r="D2075">
            <v>0</v>
          </cell>
          <cell r="E2075">
            <v>216</v>
          </cell>
          <cell r="F2075">
            <v>0</v>
          </cell>
          <cell r="G2075" t="str">
            <v>8</v>
          </cell>
          <cell r="H2075">
            <v>701</v>
          </cell>
          <cell r="I2075" t="str">
            <v>ЕФ ВАТ БАНКУ "БІГ ЕНЕРГІЯ" М.ЕНЕРГОДАР</v>
          </cell>
          <cell r="J2075" t="str">
            <v>ЕФ ВАТ Банку "БІГ Енергія"</v>
          </cell>
          <cell r="K2075" t="str">
            <v>UGJJ</v>
          </cell>
          <cell r="L2075" t="str">
            <v>UGJJ</v>
          </cell>
          <cell r="M2075">
            <v>7</v>
          </cell>
          <cell r="N2075">
            <v>26</v>
          </cell>
          <cell r="O2075" t="str">
            <v>Управління НБУ в Запор.обл.</v>
          </cell>
        </row>
        <row r="2076">
          <cell r="A2076">
            <v>313775</v>
          </cell>
          <cell r="B2076">
            <v>320702</v>
          </cell>
          <cell r="D2076">
            <v>0</v>
          </cell>
          <cell r="E2076">
            <v>277</v>
          </cell>
          <cell r="F2076">
            <v>0</v>
          </cell>
          <cell r="G2076" t="str">
            <v>8</v>
          </cell>
          <cell r="H2076">
            <v>702</v>
          </cell>
          <cell r="I2076" t="str">
            <v>ОЛЕКС.ФАКБ"НАЦ.КРЕДИТ"В М.ЗАП.</v>
          </cell>
          <cell r="J2076" t="str">
            <v>Ол.ФАКБ"НК"м.Зап.</v>
          </cell>
          <cell r="K2076" t="str">
            <v>UGJM</v>
          </cell>
          <cell r="L2076" t="str">
            <v>UGJM</v>
          </cell>
          <cell r="M2076">
            <v>7</v>
          </cell>
          <cell r="N2076">
            <v>26</v>
          </cell>
          <cell r="O2076" t="str">
            <v>Управління НБУ в Запор.обл.</v>
          </cell>
        </row>
        <row r="2077">
          <cell r="A2077">
            <v>313797</v>
          </cell>
          <cell r="B2077">
            <v>313797</v>
          </cell>
          <cell r="C2077" t="str">
            <v>"СЛОВ"ЯНСЬКИЙ"</v>
          </cell>
          <cell r="D2077">
            <v>64</v>
          </cell>
          <cell r="E2077">
            <v>64</v>
          </cell>
          <cell r="F2077">
            <v>0</v>
          </cell>
          <cell r="G2077" t="str">
            <v>8</v>
          </cell>
          <cell r="H2077">
            <v>733</v>
          </cell>
          <cell r="I2077" t="str">
            <v>КАБ"СЛОВ"ЯНСЬКИЙ" М.ЗАПОРІЖЖЯ</v>
          </cell>
          <cell r="J2077" t="str">
            <v>"СЛОВ"ЯНСЬКИЙ"</v>
          </cell>
          <cell r="K2077" t="str">
            <v>UGIA</v>
          </cell>
          <cell r="L2077" t="str">
            <v>UGIA</v>
          </cell>
          <cell r="M2077">
            <v>7</v>
          </cell>
          <cell r="N2077">
            <v>7</v>
          </cell>
          <cell r="O2077" t="str">
            <v>Управління НБУ в Запор.обл.</v>
          </cell>
        </row>
        <row r="2078">
          <cell r="A2078">
            <v>313827</v>
          </cell>
          <cell r="B2078">
            <v>300335</v>
          </cell>
          <cell r="D2078">
            <v>0</v>
          </cell>
          <cell r="E2078">
            <v>36</v>
          </cell>
          <cell r="F2078">
            <v>0</v>
          </cell>
          <cell r="G2078" t="str">
            <v>7</v>
          </cell>
          <cell r="H2078">
            <v>746</v>
          </cell>
          <cell r="I2078" t="str">
            <v>ЗОД"РАЙФФАЙЗЕН БАНК АВАЛЬ",М.ЗАПОРІЖЖЯ</v>
          </cell>
          <cell r="J2078" t="str">
            <v>ЗОД "Райффайзен Банк Аваль"</v>
          </cell>
          <cell r="K2078" t="str">
            <v>UGIE</v>
          </cell>
          <cell r="L2078" t="str">
            <v>UGIE</v>
          </cell>
          <cell r="M2078">
            <v>7</v>
          </cell>
          <cell r="N2078">
            <v>26</v>
          </cell>
          <cell r="O2078" t="str">
            <v>Управління НБУ в Запор.обл.</v>
          </cell>
        </row>
        <row r="2079">
          <cell r="A2079">
            <v>313849</v>
          </cell>
          <cell r="B2079">
            <v>313849</v>
          </cell>
          <cell r="C2079" t="str">
            <v>АКБ "ІНДУСТРІАЛБАНК"</v>
          </cell>
          <cell r="D2079">
            <v>101</v>
          </cell>
          <cell r="E2079">
            <v>101</v>
          </cell>
          <cell r="F2079">
            <v>0</v>
          </cell>
          <cell r="G2079" t="str">
            <v>8</v>
          </cell>
          <cell r="H2079">
            <v>748</v>
          </cell>
          <cell r="I2079" t="str">
            <v>АКБ "ІНДУСТРІАЛБАНК" М.ЗАПОРІЖЖЯ</v>
          </cell>
          <cell r="J2079" t="str">
            <v>АКБ "ІНДУСТРІАЛБАНК"</v>
          </cell>
          <cell r="K2079" t="str">
            <v>UGJI</v>
          </cell>
          <cell r="L2079" t="str">
            <v>UGJI</v>
          </cell>
          <cell r="M2079">
            <v>7</v>
          </cell>
          <cell r="N2079">
            <v>7</v>
          </cell>
          <cell r="O2079" t="str">
            <v>Управління НБУ в Запор.обл.</v>
          </cell>
        </row>
        <row r="2080">
          <cell r="A2080">
            <v>313850</v>
          </cell>
          <cell r="B2080">
            <v>300272</v>
          </cell>
          <cell r="D2080">
            <v>0</v>
          </cell>
          <cell r="E2080">
            <v>31</v>
          </cell>
          <cell r="F2080">
            <v>0</v>
          </cell>
          <cell r="G2080" t="str">
            <v>B</v>
          </cell>
          <cell r="H2080">
            <v>749</v>
          </cell>
          <cell r="I2080" t="str">
            <v>ФІЛІЯ АБ "ЕНЕРГОБАНК" В М.ЗАПОРІЖЖІ</v>
          </cell>
          <cell r="J2080" t="str">
            <v>ФАБ"Енергобанк"вм.Запоріжжі</v>
          </cell>
          <cell r="K2080" t="str">
            <v>UGJK</v>
          </cell>
          <cell r="L2080" t="str">
            <v>UGJK</v>
          </cell>
          <cell r="M2080">
            <v>7</v>
          </cell>
          <cell r="N2080">
            <v>26</v>
          </cell>
          <cell r="O2080" t="str">
            <v>Управління НБУ в Запор.обл.</v>
          </cell>
        </row>
        <row r="2081">
          <cell r="A2081">
            <v>313861</v>
          </cell>
          <cell r="B2081">
            <v>300614</v>
          </cell>
          <cell r="D2081">
            <v>0</v>
          </cell>
          <cell r="E2081">
            <v>171</v>
          </cell>
          <cell r="F2081">
            <v>0</v>
          </cell>
          <cell r="G2081" t="str">
            <v>8</v>
          </cell>
          <cell r="H2081">
            <v>753</v>
          </cell>
          <cell r="I2081" t="str">
            <v>ФІЛ."ЗАП.ДИР."АТ"ІНДЕКС-БАНК"М.ЗАПОРІЖ</v>
          </cell>
          <cell r="J2081" t="str">
            <v>ФІЛ.ЗАП.ДИР.АТ"ІНДЕКС-БАНК"</v>
          </cell>
          <cell r="K2081" t="str">
            <v>UGJT</v>
          </cell>
          <cell r="L2081" t="str">
            <v>UGJT</v>
          </cell>
          <cell r="M2081">
            <v>7</v>
          </cell>
          <cell r="N2081">
            <v>26</v>
          </cell>
          <cell r="O2081" t="str">
            <v>Управління НБУ в Запор.обл.</v>
          </cell>
        </row>
        <row r="2082">
          <cell r="A2082">
            <v>313872</v>
          </cell>
          <cell r="B2082">
            <v>300528</v>
          </cell>
          <cell r="D2082">
            <v>0</v>
          </cell>
          <cell r="E2082">
            <v>296</v>
          </cell>
          <cell r="F2082">
            <v>0</v>
          </cell>
          <cell r="G2082" t="str">
            <v>F</v>
          </cell>
          <cell r="H2082">
            <v>741</v>
          </cell>
          <cell r="I2082" t="str">
            <v>ФІЛІЯ ЗАТ "ОТП БАНК", М.ЗАПОРІЖЖЯ</v>
          </cell>
          <cell r="J2082" t="str">
            <v>Філія ЗАТ "ОТП Банк"</v>
          </cell>
          <cell r="K2082" t="str">
            <v>UGJU</v>
          </cell>
          <cell r="L2082" t="str">
            <v>UGJU</v>
          </cell>
          <cell r="M2082">
            <v>7</v>
          </cell>
          <cell r="N2082">
            <v>26</v>
          </cell>
          <cell r="O2082" t="str">
            <v>Управління НБУ в Запор.обл.</v>
          </cell>
        </row>
        <row r="2083">
          <cell r="A2083">
            <v>313883</v>
          </cell>
          <cell r="B2083">
            <v>353489</v>
          </cell>
          <cell r="D2083">
            <v>0</v>
          </cell>
          <cell r="E2083">
            <v>133</v>
          </cell>
          <cell r="F2083">
            <v>0</v>
          </cell>
          <cell r="G2083" t="str">
            <v>B</v>
          </cell>
          <cell r="H2083">
            <v>801</v>
          </cell>
          <cell r="I2083" t="str">
            <v>ЗАПОРІЗЬКА ФІЛІЯ АБ "ПРИВАТІНВЕСТ"</v>
          </cell>
          <cell r="J2083" t="str">
            <v>Запорізька філ.Приватінвест</v>
          </cell>
          <cell r="K2083" t="str">
            <v>UGJV</v>
          </cell>
          <cell r="L2083" t="str">
            <v>UGJV</v>
          </cell>
          <cell r="M2083">
            <v>7</v>
          </cell>
          <cell r="N2083">
            <v>24</v>
          </cell>
          <cell r="O2083" t="str">
            <v>Управління НБУ в Запор.обл.</v>
          </cell>
        </row>
        <row r="2084">
          <cell r="A2084">
            <v>313894</v>
          </cell>
          <cell r="B2084">
            <v>328384</v>
          </cell>
          <cell r="D2084">
            <v>0</v>
          </cell>
          <cell r="E2084">
            <v>258</v>
          </cell>
          <cell r="F2084">
            <v>0</v>
          </cell>
          <cell r="G2084" t="str">
            <v>8</v>
          </cell>
          <cell r="H2084">
            <v>743</v>
          </cell>
          <cell r="I2084" t="str">
            <v>ФІЛІЯ АКБ "ІМЕКСБАНК" У М.ЗАПОРІЖЖЯ</v>
          </cell>
          <cell r="J2084" t="str">
            <v>ЗАПОРІЗЬКАФ АКБ"ІМЕКСБАНК"</v>
          </cell>
          <cell r="K2084" t="str">
            <v>UGJW</v>
          </cell>
          <cell r="L2084" t="str">
            <v>UGJW</v>
          </cell>
          <cell r="M2084">
            <v>7</v>
          </cell>
          <cell r="N2084">
            <v>15</v>
          </cell>
          <cell r="O2084" t="str">
            <v>Управління НБУ в Запор.обл.</v>
          </cell>
        </row>
        <row r="2085">
          <cell r="A2085">
            <v>313913</v>
          </cell>
          <cell r="B2085">
            <v>322948</v>
          </cell>
          <cell r="D2085">
            <v>0</v>
          </cell>
          <cell r="E2085">
            <v>248</v>
          </cell>
          <cell r="F2085">
            <v>0</v>
          </cell>
          <cell r="G2085" t="str">
            <v>B</v>
          </cell>
          <cell r="H2085">
            <v>755</v>
          </cell>
          <cell r="I2085" t="str">
            <v>ЗАПОРІЗЬКА Ф АКБ "ФОРУМ" М.ЗАПОРІЖЖЯ</v>
          </cell>
          <cell r="J2085" t="str">
            <v>Запорізька філія АКБ"Форум"</v>
          </cell>
          <cell r="K2085" t="str">
            <v>UGJY</v>
          </cell>
          <cell r="L2085" t="str">
            <v>UGJY</v>
          </cell>
          <cell r="M2085">
            <v>7</v>
          </cell>
          <cell r="N2085">
            <v>26</v>
          </cell>
          <cell r="O2085" t="str">
            <v>Управління НБУ в Запор.обл.</v>
          </cell>
        </row>
        <row r="2086">
          <cell r="A2086">
            <v>313935</v>
          </cell>
          <cell r="B2086">
            <v>321228</v>
          </cell>
          <cell r="D2086">
            <v>0</v>
          </cell>
          <cell r="E2086">
            <v>68</v>
          </cell>
          <cell r="F2086">
            <v>0</v>
          </cell>
          <cell r="G2086" t="str">
            <v>8</v>
          </cell>
          <cell r="H2086">
            <v>744</v>
          </cell>
          <cell r="I2086" t="str">
            <v>ЗАП.ФІЛІЯ ТОВ"УКРПРОМБАНК",М.ЗАПОРІЖЖЯ</v>
          </cell>
          <cell r="J2086" t="str">
            <v>ЗФ ТОВ "УКРПРОМБАНК"</v>
          </cell>
          <cell r="K2086" t="str">
            <v>UGKA</v>
          </cell>
          <cell r="L2086" t="str">
            <v>UGKA</v>
          </cell>
          <cell r="M2086">
            <v>7</v>
          </cell>
          <cell r="N2086">
            <v>26</v>
          </cell>
          <cell r="O2086" t="str">
            <v>Управління НБУ в Запор.обл.</v>
          </cell>
        </row>
        <row r="2087">
          <cell r="A2087">
            <v>313957</v>
          </cell>
          <cell r="B2087">
            <v>300465</v>
          </cell>
          <cell r="D2087">
            <v>0</v>
          </cell>
          <cell r="E2087">
            <v>6</v>
          </cell>
          <cell r="F2087">
            <v>0</v>
          </cell>
          <cell r="G2087" t="str">
            <v>6</v>
          </cell>
          <cell r="H2087">
            <v>603</v>
          </cell>
          <cell r="I2087" t="str">
            <v>ФЗАПОРІЗЬКЕ ОБЛАСНЕ ВАТОЩАД М.ЗАПОРІЖЖ</v>
          </cell>
          <cell r="J2087" t="str">
            <v>ФЗапорізьке обласне ВАТОщад</v>
          </cell>
          <cell r="K2087" t="str">
            <v>UGLA</v>
          </cell>
          <cell r="L2087" t="str">
            <v>UGLA</v>
          </cell>
          <cell r="M2087">
            <v>7</v>
          </cell>
          <cell r="N2087">
            <v>26</v>
          </cell>
          <cell r="O2087" t="str">
            <v>Управління НБУ в Запор.обл.</v>
          </cell>
        </row>
        <row r="2088">
          <cell r="A2088">
            <v>313968</v>
          </cell>
          <cell r="B2088">
            <v>320003</v>
          </cell>
          <cell r="D2088">
            <v>0</v>
          </cell>
          <cell r="E2088">
            <v>225</v>
          </cell>
          <cell r="F2088">
            <v>0</v>
          </cell>
          <cell r="G2088" t="str">
            <v>B</v>
          </cell>
          <cell r="H2088">
            <v>763</v>
          </cell>
          <cell r="I2088" t="str">
            <v>Ф ВАТ КБ "НАДРА" Запорізьке РУ</v>
          </cell>
          <cell r="J2088" t="str">
            <v>Ф ВАТ КБ"Надра"ЗапорізькеРУ</v>
          </cell>
          <cell r="K2088" t="str">
            <v>UGKC</v>
          </cell>
          <cell r="L2088" t="str">
            <v>UGKC</v>
          </cell>
          <cell r="M2088">
            <v>7</v>
          </cell>
          <cell r="N2088">
            <v>26</v>
          </cell>
          <cell r="O2088" t="str">
            <v>Управління НБУ в Запор.обл.</v>
          </cell>
        </row>
        <row r="2089">
          <cell r="A2089">
            <v>313979</v>
          </cell>
          <cell r="B2089">
            <v>322313</v>
          </cell>
          <cell r="D2089">
            <v>0</v>
          </cell>
          <cell r="E2089">
            <v>2</v>
          </cell>
          <cell r="F2089">
            <v>0</v>
          </cell>
          <cell r="G2089" t="str">
            <v>2</v>
          </cell>
          <cell r="H2089">
            <v>201</v>
          </cell>
          <cell r="I2089" t="str">
            <v>Ф-Я "УКРЕКСІМБАНК",ЗАПОРІЖЖЯ</v>
          </cell>
          <cell r="J2089" t="str">
            <v>Ф-я Укрексімбанк,Запоріжжя</v>
          </cell>
          <cell r="K2089" t="str">
            <v>UGGA</v>
          </cell>
          <cell r="L2089" t="str">
            <v>UGGA</v>
          </cell>
          <cell r="M2089">
            <v>7</v>
          </cell>
          <cell r="N2089">
            <v>26</v>
          </cell>
          <cell r="O2089" t="str">
            <v>Управління НБУ в Запор.обл.</v>
          </cell>
        </row>
        <row r="2090">
          <cell r="A2090">
            <v>313991</v>
          </cell>
          <cell r="B2090">
            <v>300089</v>
          </cell>
          <cell r="D2090">
            <v>0</v>
          </cell>
          <cell r="E2090">
            <v>26</v>
          </cell>
          <cell r="F2090">
            <v>0</v>
          </cell>
          <cell r="G2090" t="str">
            <v>8</v>
          </cell>
          <cell r="H2090">
            <v>766</v>
          </cell>
          <cell r="I2090" t="str">
            <v>ФІЛ.АКБ "ТРАНСБАНК" М.ЗАПОРІЖЖЯ</v>
          </cell>
          <cell r="J2090" t="str">
            <v>ФАКБ "Трансбанк", Запоріжжя</v>
          </cell>
          <cell r="K2090" t="str">
            <v>UGKH</v>
          </cell>
          <cell r="L2090" t="str">
            <v>UGKH</v>
          </cell>
          <cell r="M2090">
            <v>7</v>
          </cell>
          <cell r="N2090">
            <v>26</v>
          </cell>
          <cell r="O2090" t="str">
            <v>Управління НБУ в Запор.обл.</v>
          </cell>
        </row>
        <row r="2091">
          <cell r="A2091">
            <v>315018</v>
          </cell>
          <cell r="B2091">
            <v>300023</v>
          </cell>
          <cell r="D2091">
            <v>0</v>
          </cell>
          <cell r="E2091">
            <v>5</v>
          </cell>
          <cell r="F2091">
            <v>0</v>
          </cell>
          <cell r="G2091" t="str">
            <v>5</v>
          </cell>
          <cell r="H2091">
            <v>503</v>
          </cell>
          <cell r="I2091" t="str">
            <v>ХМЕЛЬН.ОБЛ.Ф АКБ"УКРСОЦБАНК"У М.ХМ-Й</v>
          </cell>
          <cell r="J2091" t="str">
            <v>Хмельн обл.ФАКБ"Укрсоцбанк"</v>
          </cell>
          <cell r="K2091" t="str">
            <v>UWCA</v>
          </cell>
          <cell r="L2091" t="str">
            <v>UWCA</v>
          </cell>
          <cell r="M2091">
            <v>22</v>
          </cell>
          <cell r="N2091">
            <v>26</v>
          </cell>
          <cell r="O2091" t="str">
            <v>Управ.НБУ у  Хмельницьк.обл.</v>
          </cell>
        </row>
        <row r="2092">
          <cell r="A2092">
            <v>315063</v>
          </cell>
          <cell r="B2092">
            <v>300249</v>
          </cell>
          <cell r="D2092">
            <v>0</v>
          </cell>
          <cell r="E2092">
            <v>37</v>
          </cell>
          <cell r="F2092">
            <v>0</v>
          </cell>
          <cell r="G2092" t="str">
            <v>8</v>
          </cell>
          <cell r="H2092">
            <v>742</v>
          </cell>
          <cell r="I2092" t="str">
            <v>СЛАВУТСЬКА Ф АБ"БРОКБІЗНЕСБ" М.СЛАВУТА</v>
          </cell>
          <cell r="J2092" t="str">
            <v>Славут.ф АБ"БРОКБІЗНЕСБАНК"</v>
          </cell>
          <cell r="K2092" t="str">
            <v>UWJR</v>
          </cell>
          <cell r="L2092" t="str">
            <v>UWJR</v>
          </cell>
          <cell r="M2092">
            <v>22</v>
          </cell>
          <cell r="N2092">
            <v>26</v>
          </cell>
          <cell r="O2092" t="str">
            <v>Управ.НБУ у  Хмельницьк.обл.</v>
          </cell>
        </row>
        <row r="2093">
          <cell r="A2093">
            <v>315137</v>
          </cell>
          <cell r="B2093">
            <v>320003</v>
          </cell>
          <cell r="D2093">
            <v>0</v>
          </cell>
          <cell r="E2093">
            <v>225</v>
          </cell>
          <cell r="F2093">
            <v>0</v>
          </cell>
          <cell r="G2093" t="str">
            <v>B</v>
          </cell>
          <cell r="H2093">
            <v>759</v>
          </cell>
          <cell r="I2093" t="str">
            <v>Ф.ВАТ КБ"НАДРА" ХМЕЛ.РУ М.ХМЕЛЬН.</v>
          </cell>
          <cell r="J2093" t="str">
            <v>ФВАТКБ"Надра"Хмельницьке РУ</v>
          </cell>
          <cell r="K2093" t="str">
            <v>UWJV</v>
          </cell>
          <cell r="L2093" t="str">
            <v>UWJV</v>
          </cell>
          <cell r="M2093">
            <v>22</v>
          </cell>
          <cell r="N2093">
            <v>26</v>
          </cell>
          <cell r="O2093" t="str">
            <v>Управ.НБУ у  Хмельницьк.обл.</v>
          </cell>
        </row>
        <row r="2094">
          <cell r="A2094">
            <v>315193</v>
          </cell>
          <cell r="B2094">
            <v>321228</v>
          </cell>
          <cell r="D2094">
            <v>0</v>
          </cell>
          <cell r="E2094">
            <v>68</v>
          </cell>
          <cell r="F2094">
            <v>0</v>
          </cell>
          <cell r="G2094" t="str">
            <v>8</v>
          </cell>
          <cell r="H2094">
            <v>755</v>
          </cell>
          <cell r="I2094" t="str">
            <v>ХМЕЛ.Ф.ТОВ"УКРПРОМБАНК",М.ХМЕЛЬНИЦЬКИЙ</v>
          </cell>
          <cell r="J2094" t="str">
            <v>Хмельнф.ТОВ"Укрпромбанк"</v>
          </cell>
          <cell r="K2094" t="str">
            <v>UWJX</v>
          </cell>
          <cell r="L2094" t="str">
            <v>UWJX</v>
          </cell>
          <cell r="M2094">
            <v>22</v>
          </cell>
          <cell r="N2094">
            <v>26</v>
          </cell>
          <cell r="O2094" t="str">
            <v>Управ.НБУ у  Хмельницьк.обл.</v>
          </cell>
        </row>
        <row r="2095">
          <cell r="A2095">
            <v>315278</v>
          </cell>
          <cell r="B2095">
            <v>300012</v>
          </cell>
          <cell r="D2095">
            <v>0</v>
          </cell>
          <cell r="E2095">
            <v>3</v>
          </cell>
          <cell r="F2095">
            <v>0</v>
          </cell>
          <cell r="G2095" t="str">
            <v>3</v>
          </cell>
          <cell r="H2095">
            <v>314</v>
          </cell>
          <cell r="I2095" t="str">
            <v>Ф."ВІД.ПРОМІНВЕСТБАНКУ,М.ХМЕЛЬНИЦЬКИЙ"</v>
          </cell>
          <cell r="J2095" t="str">
            <v>Ф."ВІД.ПІБ,М. ХМЕЛЬНИЦЬКИЙ"</v>
          </cell>
          <cell r="K2095" t="str">
            <v>UWAA</v>
          </cell>
          <cell r="L2095" t="str">
            <v>UWA0</v>
          </cell>
          <cell r="M2095">
            <v>22</v>
          </cell>
          <cell r="N2095">
            <v>26</v>
          </cell>
          <cell r="O2095" t="str">
            <v>Управ.НБУ у  Хмельницьк.обл.</v>
          </cell>
        </row>
        <row r="2096">
          <cell r="A2096">
            <v>315397</v>
          </cell>
          <cell r="B2096">
            <v>300142</v>
          </cell>
          <cell r="D2096">
            <v>0</v>
          </cell>
          <cell r="E2096">
            <v>18</v>
          </cell>
          <cell r="F2096">
            <v>0</v>
          </cell>
          <cell r="G2096" t="str">
            <v>8</v>
          </cell>
          <cell r="H2096">
            <v>704</v>
          </cell>
          <cell r="I2096" t="str">
            <v>ХМЕЛЬН.ФАТ"УКРІНБАНК" М.ХМЕЛЬНИЦЬКИЙ</v>
          </cell>
          <cell r="J2096" t="str">
            <v>Хмельницька ФАТ "Укрінбанк"</v>
          </cell>
          <cell r="K2096" t="str">
            <v>UWID</v>
          </cell>
          <cell r="L2096" t="str">
            <v>UWID</v>
          </cell>
          <cell r="M2096">
            <v>22</v>
          </cell>
          <cell r="N2096">
            <v>26</v>
          </cell>
          <cell r="O2096" t="str">
            <v>Управ.НБУ у  Хмельницьк.обл.</v>
          </cell>
        </row>
        <row r="2097">
          <cell r="A2097">
            <v>315405</v>
          </cell>
          <cell r="B2097">
            <v>305299</v>
          </cell>
          <cell r="D2097">
            <v>0</v>
          </cell>
          <cell r="E2097">
            <v>46</v>
          </cell>
          <cell r="F2097">
            <v>0</v>
          </cell>
          <cell r="G2097" t="str">
            <v>A</v>
          </cell>
          <cell r="H2097">
            <v>715</v>
          </cell>
          <cell r="I2097" t="str">
            <v>ХМЕЛЬНИЦ.Ф.ПРИВАТБАНКУ М.ХМЕЛЬНИЦЬКИЙ</v>
          </cell>
          <cell r="J2097" t="str">
            <v>Хмельницька ф-я"ПриватБанк"</v>
          </cell>
          <cell r="K2097" t="str">
            <v>UWJK</v>
          </cell>
          <cell r="L2097" t="str">
            <v>UWJK</v>
          </cell>
          <cell r="M2097">
            <v>22</v>
          </cell>
          <cell r="N2097">
            <v>3</v>
          </cell>
          <cell r="O2097" t="str">
            <v>Управ.НБУ у  Хмельницьк.обл.</v>
          </cell>
        </row>
        <row r="2098">
          <cell r="A2098">
            <v>315416</v>
          </cell>
          <cell r="B2098">
            <v>300012</v>
          </cell>
          <cell r="D2098">
            <v>0</v>
          </cell>
          <cell r="E2098">
            <v>3</v>
          </cell>
          <cell r="F2098">
            <v>0</v>
          </cell>
          <cell r="G2098" t="str">
            <v>3</v>
          </cell>
          <cell r="H2098">
            <v>325</v>
          </cell>
          <cell r="I2098" t="str">
            <v>Ф."В.ПІБ В М.КАМ`ЯНЕЦЬ-ПОД.ХМЕЛЬН.ОБЛ"</v>
          </cell>
          <cell r="J2098" t="str">
            <v>Ф.від.ПІБ в м.Кам.-Под.Хм.</v>
          </cell>
          <cell r="K2098" t="str">
            <v>UWAD</v>
          </cell>
          <cell r="L2098" t="str">
            <v>UWAD</v>
          </cell>
          <cell r="M2098">
            <v>22</v>
          </cell>
          <cell r="N2098">
            <v>26</v>
          </cell>
          <cell r="O2098" t="str">
            <v>Управ.НБУ у  Хмельницьк.обл.</v>
          </cell>
        </row>
        <row r="2099">
          <cell r="A2099">
            <v>315427</v>
          </cell>
          <cell r="B2099">
            <v>322625</v>
          </cell>
          <cell r="D2099">
            <v>0</v>
          </cell>
          <cell r="E2099">
            <v>222</v>
          </cell>
          <cell r="F2099">
            <v>0</v>
          </cell>
          <cell r="G2099" t="str">
            <v>8</v>
          </cell>
          <cell r="H2099">
            <v>717</v>
          </cell>
          <cell r="I2099" t="str">
            <v>ІФ АБ"УКООПСПІЛКА"</v>
          </cell>
          <cell r="J2099" t="str">
            <v>ІФ АБ "Укоопспілка"</v>
          </cell>
          <cell r="K2099" t="str">
            <v>UWIN</v>
          </cell>
          <cell r="L2099" t="str">
            <v>UWIN</v>
          </cell>
          <cell r="M2099">
            <v>22</v>
          </cell>
          <cell r="N2099">
            <v>26</v>
          </cell>
          <cell r="O2099" t="str">
            <v>Управ.НБУ у  Хмельницьк.обл.</v>
          </cell>
        </row>
        <row r="2100">
          <cell r="A2100">
            <v>315438</v>
          </cell>
          <cell r="B2100">
            <v>300001</v>
          </cell>
          <cell r="D2100">
            <v>0</v>
          </cell>
          <cell r="E2100">
            <v>1</v>
          </cell>
          <cell r="F2100">
            <v>0</v>
          </cell>
          <cell r="G2100" t="str">
            <v>1</v>
          </cell>
          <cell r="H2100">
            <v>138</v>
          </cell>
          <cell r="I2100" t="str">
            <v>УПРАВЛІННЯ НБУ У ХМЕЛЬНИЦЬКІЙ ОБЛАСТІ</v>
          </cell>
          <cell r="J2100" t="str">
            <v>Упр. НБУ у  Хмельницьк.обл.</v>
          </cell>
          <cell r="K2100" t="str">
            <v>UWHA</v>
          </cell>
          <cell r="L2100" t="str">
            <v>UWH0</v>
          </cell>
          <cell r="M2100">
            <v>22</v>
          </cell>
          <cell r="N2100">
            <v>27</v>
          </cell>
          <cell r="O2100" t="str">
            <v>Управ.НБУ у  Хмельницьк.обл.</v>
          </cell>
        </row>
        <row r="2101">
          <cell r="A2101">
            <v>315450</v>
          </cell>
          <cell r="B2101">
            <v>300012</v>
          </cell>
          <cell r="D2101">
            <v>0</v>
          </cell>
          <cell r="E2101">
            <v>3</v>
          </cell>
          <cell r="F2101">
            <v>0</v>
          </cell>
          <cell r="G2101" t="str">
            <v>3</v>
          </cell>
          <cell r="H2101">
            <v>303</v>
          </cell>
          <cell r="I2101" t="str">
            <v>Ф."ВІД.ПІБ В М.ШЕПЕТІВКА ХМЕЛЬН.ОБЛ."</v>
          </cell>
          <cell r="J2101" t="str">
            <v>Ф.від ПІБ в м.Шепетівка Хм.</v>
          </cell>
          <cell r="K2101" t="str">
            <v>UWAE</v>
          </cell>
          <cell r="L2101" t="str">
            <v>UWAE</v>
          </cell>
          <cell r="M2101">
            <v>22</v>
          </cell>
          <cell r="N2101">
            <v>26</v>
          </cell>
          <cell r="O2101" t="str">
            <v>Управ.НБУ у  Хмельницьк.обл.</v>
          </cell>
        </row>
        <row r="2102">
          <cell r="A2102">
            <v>315472</v>
          </cell>
          <cell r="B2102">
            <v>300012</v>
          </cell>
          <cell r="D2102">
            <v>0</v>
          </cell>
          <cell r="E2102">
            <v>3</v>
          </cell>
          <cell r="F2102">
            <v>0</v>
          </cell>
          <cell r="G2102" t="str">
            <v>3</v>
          </cell>
          <cell r="H2102">
            <v>321</v>
          </cell>
          <cell r="I2102" t="str">
            <v>Ф."ВІД.ПІБ В М.СЛАВУТА ХМЕЛЬН.ОБЛ."</v>
          </cell>
          <cell r="J2102" t="str">
            <v>Філія від.ПІБ в М.СЛАВУТА</v>
          </cell>
          <cell r="K2102" t="str">
            <v>UWAC</v>
          </cell>
          <cell r="L2102" t="str">
            <v>UWAC</v>
          </cell>
          <cell r="M2102">
            <v>22</v>
          </cell>
          <cell r="N2102">
            <v>26</v>
          </cell>
          <cell r="O2102" t="str">
            <v>Управ.НБУ у  Хмельницьк.обл.</v>
          </cell>
        </row>
        <row r="2103">
          <cell r="A2103">
            <v>315483</v>
          </cell>
          <cell r="B2103">
            <v>300012</v>
          </cell>
          <cell r="D2103">
            <v>0</v>
          </cell>
          <cell r="E2103">
            <v>3</v>
          </cell>
          <cell r="F2103">
            <v>0</v>
          </cell>
          <cell r="G2103" t="str">
            <v>3</v>
          </cell>
          <cell r="H2103">
            <v>306</v>
          </cell>
          <cell r="I2103" t="str">
            <v>Ф."ВІД.ПІБ В М.ГОРОДОК ХМЕЛЬН.ОБЛ."</v>
          </cell>
          <cell r="J2103" t="str">
            <v>Ф-я від.ПІБ в м.Городок</v>
          </cell>
          <cell r="K2103" t="str">
            <v>UWAG</v>
          </cell>
          <cell r="L2103" t="str">
            <v>UWAG</v>
          </cell>
          <cell r="M2103">
            <v>22</v>
          </cell>
          <cell r="N2103">
            <v>26</v>
          </cell>
          <cell r="O2103" t="str">
            <v>Управ.НБУ у  Хмельницьк.обл.</v>
          </cell>
        </row>
        <row r="2104">
          <cell r="A2104">
            <v>315494</v>
          </cell>
          <cell r="B2104">
            <v>300926</v>
          </cell>
          <cell r="D2104">
            <v>0</v>
          </cell>
          <cell r="E2104">
            <v>899</v>
          </cell>
          <cell r="F2104">
            <v>0</v>
          </cell>
          <cell r="G2104" t="str">
            <v>8</v>
          </cell>
          <cell r="H2104">
            <v>743</v>
          </cell>
          <cell r="I2104" t="str">
            <v>ХМ.ОБЛ.ФІЛІЯ АТ "УФГ"У М.ХМЕЛЬНИЦЬКИЙ</v>
          </cell>
          <cell r="J2104" t="str">
            <v>Хмельницька обл.ф-я АТ"УФГ"</v>
          </cell>
          <cell r="K2104" t="str">
            <v>UWW1</v>
          </cell>
          <cell r="L2104" t="str">
            <v>U1WF</v>
          </cell>
          <cell r="M2104">
            <v>22</v>
          </cell>
          <cell r="N2104">
            <v>26</v>
          </cell>
          <cell r="O2104" t="str">
            <v>Управ.НБУ у  Хмельницьк.обл.</v>
          </cell>
        </row>
        <row r="2105">
          <cell r="A2105">
            <v>315568</v>
          </cell>
          <cell r="B2105">
            <v>322625</v>
          </cell>
          <cell r="D2105">
            <v>0</v>
          </cell>
          <cell r="E2105">
            <v>222</v>
          </cell>
          <cell r="F2105">
            <v>0</v>
          </cell>
          <cell r="G2105" t="str">
            <v>8</v>
          </cell>
          <cell r="H2105">
            <v>705</v>
          </cell>
          <cell r="I2105" t="str">
            <v>ХРФ" УКООПСПІЛКА"</v>
          </cell>
          <cell r="J2105" t="str">
            <v>ХРФ "Укоопспілка"</v>
          </cell>
          <cell r="K2105" t="str">
            <v>UWIG</v>
          </cell>
          <cell r="L2105" t="str">
            <v>UWIG</v>
          </cell>
          <cell r="M2105">
            <v>22</v>
          </cell>
          <cell r="N2105">
            <v>26</v>
          </cell>
          <cell r="O2105" t="str">
            <v>Управ.НБУ у  Хмельницьк.обл.</v>
          </cell>
        </row>
        <row r="2106">
          <cell r="A2106">
            <v>315591</v>
          </cell>
          <cell r="B2106">
            <v>321767</v>
          </cell>
          <cell r="D2106">
            <v>0</v>
          </cell>
          <cell r="E2106">
            <v>42</v>
          </cell>
          <cell r="F2106">
            <v>0</v>
          </cell>
          <cell r="G2106" t="str">
            <v>B</v>
          </cell>
          <cell r="H2106">
            <v>766</v>
          </cell>
          <cell r="I2106" t="str">
            <v>ХМЕЛЬН. Ф ВАТ ВТБ БАНК, ХМЕЛЬНИЦЬКИЙ</v>
          </cell>
          <cell r="J2106" t="str">
            <v>Хмельницька Ф ВАТ ВТБ Банк</v>
          </cell>
          <cell r="K2106" t="str">
            <v>UWKM</v>
          </cell>
          <cell r="L2106" t="str">
            <v>UWKM</v>
          </cell>
          <cell r="M2106">
            <v>22</v>
          </cell>
          <cell r="N2106">
            <v>26</v>
          </cell>
          <cell r="O2106" t="str">
            <v>Управ.НБУ у  Хмельницьк.обл.</v>
          </cell>
        </row>
        <row r="2107">
          <cell r="A2107">
            <v>315609</v>
          </cell>
          <cell r="B2107">
            <v>322313</v>
          </cell>
          <cell r="D2107">
            <v>0</v>
          </cell>
          <cell r="E2107">
            <v>2</v>
          </cell>
          <cell r="F2107">
            <v>0</v>
          </cell>
          <cell r="G2107" t="str">
            <v>2</v>
          </cell>
          <cell r="H2107">
            <v>201</v>
          </cell>
          <cell r="I2107" t="str">
            <v>Ф-Я ВАТ "УКРЕКСІМБАНК",ХМЕЛЬНИЦЬКИЙ</v>
          </cell>
          <cell r="J2107" t="str">
            <v>Ф-я Укрексімбанк,Хмельницьк</v>
          </cell>
          <cell r="K2107" t="str">
            <v>UWGA</v>
          </cell>
          <cell r="L2107" t="str">
            <v>UWGA</v>
          </cell>
          <cell r="M2107">
            <v>22</v>
          </cell>
          <cell r="N2107">
            <v>26</v>
          </cell>
          <cell r="O2107" t="str">
            <v>Управ.НБУ у  Хмельницьк.обл.</v>
          </cell>
        </row>
        <row r="2108">
          <cell r="A2108">
            <v>315643</v>
          </cell>
          <cell r="B2108">
            <v>320702</v>
          </cell>
          <cell r="D2108">
            <v>0</v>
          </cell>
          <cell r="E2108">
            <v>277</v>
          </cell>
          <cell r="F2108">
            <v>0</v>
          </cell>
          <cell r="G2108" t="str">
            <v>8</v>
          </cell>
          <cell r="H2108">
            <v>739</v>
          </cell>
          <cell r="I2108" t="str">
            <v>ФАКБ "НАЦ.КРЕДИТ" В М.ПОЛОННЕ</v>
          </cell>
          <cell r="J2108" t="str">
            <v>ФАКБ "НК" в м.Пол.</v>
          </cell>
          <cell r="K2108" t="str">
            <v>UWJL</v>
          </cell>
          <cell r="L2108" t="str">
            <v>UWJL</v>
          </cell>
          <cell r="M2108">
            <v>22</v>
          </cell>
          <cell r="N2108">
            <v>26</v>
          </cell>
          <cell r="O2108" t="str">
            <v>Управ.НБУ у  Хмельницьк.обл.</v>
          </cell>
        </row>
        <row r="2109">
          <cell r="A2109">
            <v>315654</v>
          </cell>
          <cell r="B2109">
            <v>325912</v>
          </cell>
          <cell r="D2109">
            <v>0</v>
          </cell>
          <cell r="E2109">
            <v>88</v>
          </cell>
          <cell r="F2109">
            <v>0</v>
          </cell>
          <cell r="G2109" t="str">
            <v>B</v>
          </cell>
          <cell r="H2109">
            <v>727</v>
          </cell>
          <cell r="I2109" t="str">
            <v>Хмельницька філія ВАТ "КРЕДОБАНК"</v>
          </cell>
          <cell r="J2109" t="str">
            <v>Хмельн. ф-я ВАТ "КРЕДОБАНК"</v>
          </cell>
          <cell r="K2109" t="str">
            <v>UWIV</v>
          </cell>
          <cell r="L2109" t="str">
            <v>UWIV</v>
          </cell>
          <cell r="M2109">
            <v>22</v>
          </cell>
          <cell r="N2109">
            <v>13</v>
          </cell>
          <cell r="O2109" t="str">
            <v>Управ.НБУ у  Хмельницьк.обл.</v>
          </cell>
        </row>
        <row r="2110">
          <cell r="A2110">
            <v>315717</v>
          </cell>
          <cell r="B2110">
            <v>353489</v>
          </cell>
          <cell r="D2110">
            <v>0</v>
          </cell>
          <cell r="E2110">
            <v>133</v>
          </cell>
          <cell r="F2110">
            <v>0</v>
          </cell>
          <cell r="G2110" t="str">
            <v>8</v>
          </cell>
          <cell r="H2110">
            <v>746</v>
          </cell>
          <cell r="I2110" t="str">
            <v>ХМЕЛЬНИЦЬКА ФІЛІЯ АБ "ПРИВАТІНВЕСТ"</v>
          </cell>
          <cell r="J2110" t="str">
            <v>Хмельницька ф. Приватінвест</v>
          </cell>
          <cell r="K2110" t="str">
            <v>UWJP</v>
          </cell>
          <cell r="L2110" t="str">
            <v>UWJP</v>
          </cell>
          <cell r="M2110">
            <v>22</v>
          </cell>
          <cell r="N2110">
            <v>24</v>
          </cell>
          <cell r="O2110" t="str">
            <v>Управ.НБУ у  Хмельницьк.обл.</v>
          </cell>
        </row>
        <row r="2111">
          <cell r="A2111">
            <v>315739</v>
          </cell>
          <cell r="B2111">
            <v>322948</v>
          </cell>
          <cell r="D2111">
            <v>0</v>
          </cell>
          <cell r="E2111">
            <v>248</v>
          </cell>
          <cell r="F2111">
            <v>0</v>
          </cell>
          <cell r="G2111" t="str">
            <v>B</v>
          </cell>
          <cell r="H2111">
            <v>764</v>
          </cell>
          <cell r="I2111" t="str">
            <v>ХМЕЛЬНИЦЬКА ФАКБ"ФОРУМ" М.ХМЕЛЬНИЦЬКИЙ</v>
          </cell>
          <cell r="J2111" t="str">
            <v>Хмельницька Ф АКБ "Форум"</v>
          </cell>
          <cell r="K2111" t="str">
            <v>UWKN</v>
          </cell>
          <cell r="L2111" t="str">
            <v>UWKN</v>
          </cell>
          <cell r="M2111">
            <v>22</v>
          </cell>
          <cell r="N2111">
            <v>26</v>
          </cell>
          <cell r="O2111" t="str">
            <v>Управ.НБУ у  Хмельницьк.обл.</v>
          </cell>
        </row>
        <row r="2112">
          <cell r="A2112">
            <v>315784</v>
          </cell>
          <cell r="B2112">
            <v>300465</v>
          </cell>
          <cell r="D2112">
            <v>0</v>
          </cell>
          <cell r="E2112">
            <v>6</v>
          </cell>
          <cell r="F2112">
            <v>0</v>
          </cell>
          <cell r="G2112" t="str">
            <v>6</v>
          </cell>
          <cell r="H2112">
            <v>600</v>
          </cell>
          <cell r="I2112" t="str">
            <v>ФХМЕЛЬНИЦЬКЕ ОБЛАСН ВАТОЩАД М.ХМЕЛЬНИЦ</v>
          </cell>
          <cell r="J2112" t="str">
            <v>ФХмельницьке обласнеВАТОщад</v>
          </cell>
          <cell r="K2112" t="str">
            <v>UWLA</v>
          </cell>
          <cell r="L2112" t="str">
            <v>UWLA</v>
          </cell>
          <cell r="M2112">
            <v>22</v>
          </cell>
          <cell r="N2112">
            <v>26</v>
          </cell>
          <cell r="O2112" t="str">
            <v>Управ.НБУ у  Хмельницьк.обл.</v>
          </cell>
        </row>
        <row r="2113">
          <cell r="A2113">
            <v>315795</v>
          </cell>
          <cell r="B2113">
            <v>328384</v>
          </cell>
          <cell r="D2113">
            <v>0</v>
          </cell>
          <cell r="E2113">
            <v>258</v>
          </cell>
          <cell r="F2113">
            <v>0</v>
          </cell>
          <cell r="G2113" t="str">
            <v>8</v>
          </cell>
          <cell r="H2113">
            <v>786</v>
          </cell>
          <cell r="I2113" t="str">
            <v>ФІЛІЯ АКБ "ІМЕКСБАНК", М.ХМЕЛЬНИЦЬКИЙ</v>
          </cell>
          <cell r="J2113" t="str">
            <v>ХМЕЛЬНИЦЬКФ АКБ "ІМЕКСБАНК"</v>
          </cell>
          <cell r="K2113" t="str">
            <v>UWKQ</v>
          </cell>
          <cell r="L2113" t="str">
            <v>UWKQ</v>
          </cell>
          <cell r="M2113">
            <v>22</v>
          </cell>
          <cell r="N2113">
            <v>15</v>
          </cell>
          <cell r="O2113" t="str">
            <v>Управ.НБУ у  Хмельницьк.обл.</v>
          </cell>
        </row>
        <row r="2114">
          <cell r="A2114">
            <v>315803</v>
          </cell>
          <cell r="B2114">
            <v>300670</v>
          </cell>
          <cell r="D2114">
            <v>0</v>
          </cell>
          <cell r="E2114">
            <v>202</v>
          </cell>
          <cell r="F2114">
            <v>0</v>
          </cell>
          <cell r="G2114" t="str">
            <v>8</v>
          </cell>
          <cell r="H2114">
            <v>903</v>
          </cell>
          <cell r="I2114" t="str">
            <v>ХМЕЛЬНИЦЬКАФВАТКБ"ХРЕЩАТИК"М.ХМЕЛЬНИЦ</v>
          </cell>
          <cell r="J2114" t="str">
            <v>ХмельницькаФВАТКБ"хрещатик"</v>
          </cell>
          <cell r="K2114" t="str">
            <v>UWFB</v>
          </cell>
          <cell r="L2114" t="str">
            <v>UWFB</v>
          </cell>
          <cell r="M2114">
            <v>22</v>
          </cell>
          <cell r="N2114">
            <v>26</v>
          </cell>
          <cell r="O2114" t="str">
            <v>Управ.НБУ у  Хмельницьк.обл.</v>
          </cell>
        </row>
        <row r="2115">
          <cell r="A2115">
            <v>315858</v>
          </cell>
          <cell r="B2115">
            <v>300249</v>
          </cell>
          <cell r="D2115">
            <v>0</v>
          </cell>
          <cell r="E2115">
            <v>37</v>
          </cell>
          <cell r="F2115">
            <v>0</v>
          </cell>
          <cell r="G2115" t="str">
            <v>8</v>
          </cell>
          <cell r="H2115">
            <v>747</v>
          </cell>
          <cell r="I2115" t="str">
            <v>ХМ.ФАБ "БРОКБІЗНЕСБАНК" М.ХМЕЛЬНИЦЬКИЙ</v>
          </cell>
          <cell r="J2115" t="str">
            <v>ХФ АБ "БРОКБІЗНЕСБАНК"</v>
          </cell>
          <cell r="K2115" t="str">
            <v>UWJO</v>
          </cell>
          <cell r="L2115" t="str">
            <v>UWJO</v>
          </cell>
          <cell r="M2115">
            <v>22</v>
          </cell>
          <cell r="N2115">
            <v>26</v>
          </cell>
          <cell r="O2115" t="str">
            <v>Управ.НБУ у  Хмельницьк.обл.</v>
          </cell>
        </row>
        <row r="2116">
          <cell r="A2116">
            <v>315966</v>
          </cell>
          <cell r="B2116">
            <v>300335</v>
          </cell>
          <cell r="D2116">
            <v>0</v>
          </cell>
          <cell r="E2116">
            <v>36</v>
          </cell>
          <cell r="F2116">
            <v>0</v>
          </cell>
          <cell r="G2116" t="str">
            <v>7</v>
          </cell>
          <cell r="H2116">
            <v>732</v>
          </cell>
          <cell r="I2116" t="str">
            <v>ХОД"РАЙФФАЙЗЕН БАНК АВАЛЬ"ХМЕЛЬНИЦЬКИЙ</v>
          </cell>
          <cell r="J2116" t="str">
            <v>ХОД"РАЙФФАЙЗЕН БАНК АВАЛЬ"</v>
          </cell>
          <cell r="K2116" t="str">
            <v>UWJE</v>
          </cell>
          <cell r="L2116" t="str">
            <v>UWJE</v>
          </cell>
          <cell r="M2116">
            <v>22</v>
          </cell>
          <cell r="N2116">
            <v>26</v>
          </cell>
          <cell r="O2116" t="str">
            <v>Управ.НБУ у  Хмельницьк.обл.</v>
          </cell>
        </row>
        <row r="2117">
          <cell r="A2117">
            <v>315977</v>
          </cell>
          <cell r="B2117">
            <v>380537</v>
          </cell>
          <cell r="D2117">
            <v>0</v>
          </cell>
          <cell r="E2117">
            <v>76</v>
          </cell>
          <cell r="F2117">
            <v>0</v>
          </cell>
          <cell r="G2117" t="str">
            <v>B</v>
          </cell>
          <cell r="H2117">
            <v>791</v>
          </cell>
          <cell r="I2117" t="str">
            <v>ХМ.Ф. ВАТ"ВІЕЙБІБАНК"М.ХМЕЛЬНИЦЬКИЙ</v>
          </cell>
          <cell r="J2117" t="str">
            <v>Хм.Ф.ВАТ"ВІЕЙБІБАНК"</v>
          </cell>
          <cell r="K2117" t="str">
            <v>UWKP</v>
          </cell>
          <cell r="L2117" t="str">
            <v>UWKP</v>
          </cell>
          <cell r="M2117">
            <v>22</v>
          </cell>
          <cell r="N2117">
            <v>26</v>
          </cell>
          <cell r="O2117" t="str">
            <v>Управ.НБУ у  Хмельницьк.обл.</v>
          </cell>
        </row>
        <row r="2118">
          <cell r="A2118">
            <v>315999</v>
          </cell>
          <cell r="B2118">
            <v>300614</v>
          </cell>
          <cell r="D2118">
            <v>0</v>
          </cell>
          <cell r="E2118">
            <v>171</v>
          </cell>
          <cell r="F2118">
            <v>0</v>
          </cell>
          <cell r="G2118" t="str">
            <v>8</v>
          </cell>
          <cell r="H2118">
            <v>777</v>
          </cell>
          <cell r="I2118" t="str">
            <v>ФІЛ.ХМ.Д АТ"ІНДЕКС-БАНК"В М.ХМЕЛЬНИЦ</v>
          </cell>
          <cell r="J2118" t="str">
            <v>Філ"Хмел.Д"ІНДЕКС-БАНК"</v>
          </cell>
          <cell r="K2118" t="str">
            <v>UWKO</v>
          </cell>
          <cell r="L2118" t="str">
            <v>UWKO</v>
          </cell>
          <cell r="M2118">
            <v>22</v>
          </cell>
          <cell r="N2118">
            <v>26</v>
          </cell>
          <cell r="O2118" t="str">
            <v>Управ.НБУ у  Хмельницьк.обл.</v>
          </cell>
        </row>
        <row r="2119">
          <cell r="A2119">
            <v>319014</v>
          </cell>
          <cell r="B2119">
            <v>322658</v>
          </cell>
          <cell r="D2119">
            <v>0</v>
          </cell>
          <cell r="E2119">
            <v>217</v>
          </cell>
          <cell r="F2119">
            <v>0</v>
          </cell>
          <cell r="G2119" t="str">
            <v>8</v>
          </cell>
          <cell r="H2119">
            <v>932</v>
          </cell>
          <cell r="I2119" t="str">
            <v>ФАКБ"СЄБ", М. БІЛА ЦЕРКВА</v>
          </cell>
          <cell r="J2119" t="str">
            <v>Білоцерківська ФАКБ "СЄБ"</v>
          </cell>
          <cell r="K2119" t="str">
            <v>UJJH</v>
          </cell>
          <cell r="L2119" t="str">
            <v>UJJH</v>
          </cell>
          <cell r="M2119">
            <v>9</v>
          </cell>
          <cell r="N2119">
            <v>26</v>
          </cell>
        </row>
        <row r="2120">
          <cell r="A2120">
            <v>319036</v>
          </cell>
          <cell r="B2120">
            <v>319092</v>
          </cell>
          <cell r="D2120">
            <v>0</v>
          </cell>
          <cell r="E2120">
            <v>280</v>
          </cell>
          <cell r="F2120">
            <v>0</v>
          </cell>
          <cell r="G2120" t="str">
            <v>B</v>
          </cell>
          <cell r="H2120">
            <v>950</v>
          </cell>
          <cell r="I2120" t="str">
            <v>ФАБ "КИЇВСЬКА РУСЬ" У М. БОГУСЛАВІ</v>
          </cell>
          <cell r="J2120" t="str">
            <v>ФАБ"Київська Русь",Богуслав</v>
          </cell>
          <cell r="K2120" t="str">
            <v>UJJJ</v>
          </cell>
          <cell r="L2120" t="str">
            <v>UJJJ</v>
          </cell>
          <cell r="M2120">
            <v>9</v>
          </cell>
          <cell r="N2120">
            <v>26</v>
          </cell>
        </row>
        <row r="2121">
          <cell r="A2121">
            <v>319058</v>
          </cell>
          <cell r="B2121">
            <v>300249</v>
          </cell>
          <cell r="D2121">
            <v>0</v>
          </cell>
          <cell r="E2121">
            <v>37</v>
          </cell>
          <cell r="F2121">
            <v>0</v>
          </cell>
          <cell r="G2121" t="str">
            <v>8</v>
          </cell>
          <cell r="H2121">
            <v>965</v>
          </cell>
          <cell r="I2121" t="str">
            <v>БІЛОЦЕРК.ФАБ"БРОКБІЗНЕСБ", БІЛА-ЦЕРКВА</v>
          </cell>
          <cell r="J2121" t="str">
            <v>Білоцер.ФАБ"БРОКБІЗНЕСБАНК"</v>
          </cell>
          <cell r="K2121" t="str">
            <v>UJIO</v>
          </cell>
          <cell r="L2121" t="str">
            <v>UJIO</v>
          </cell>
          <cell r="M2121">
            <v>9</v>
          </cell>
          <cell r="N2121">
            <v>26</v>
          </cell>
        </row>
        <row r="2122">
          <cell r="A2122">
            <v>319081</v>
          </cell>
          <cell r="B2122">
            <v>351652</v>
          </cell>
          <cell r="D2122">
            <v>0</v>
          </cell>
          <cell r="E2122">
            <v>125</v>
          </cell>
          <cell r="F2122">
            <v>0</v>
          </cell>
          <cell r="G2122" t="str">
            <v>8</v>
          </cell>
          <cell r="H2122">
            <v>708</v>
          </cell>
          <cell r="I2122" t="str">
            <v>КИЇВСЬКА Ф. ХАК "ЗЕМБАНК" У М.ВИШНЕВЕ</v>
          </cell>
          <cell r="J2122" t="str">
            <v>Київська філія ХАК"Зембанк"</v>
          </cell>
          <cell r="K2122" t="str">
            <v>UJIF</v>
          </cell>
          <cell r="L2122" t="str">
            <v>UJIF</v>
          </cell>
          <cell r="M2122">
            <v>9</v>
          </cell>
          <cell r="N2122">
            <v>20</v>
          </cell>
        </row>
        <row r="2123">
          <cell r="A2123">
            <v>319092</v>
          </cell>
          <cell r="B2123">
            <v>319092</v>
          </cell>
          <cell r="C2123" t="str">
            <v>АБ "КИЇВСЬКА РУСЬ"</v>
          </cell>
          <cell r="D2123">
            <v>280</v>
          </cell>
          <cell r="E2123">
            <v>280</v>
          </cell>
          <cell r="F2123">
            <v>0</v>
          </cell>
          <cell r="G2123" t="str">
            <v>B</v>
          </cell>
          <cell r="H2123">
            <v>871</v>
          </cell>
          <cell r="I2123" t="str">
            <v>АБ "КИЇВСЬКА РУСЬ" У М.КИЄВІ</v>
          </cell>
          <cell r="J2123" t="str">
            <v>АБ "КИЇВСЬКА РУСЬ"</v>
          </cell>
          <cell r="K2123" t="str">
            <v>UIWF</v>
          </cell>
          <cell r="L2123" t="str">
            <v>UIWF</v>
          </cell>
          <cell r="M2123">
            <v>26</v>
          </cell>
          <cell r="N2123">
            <v>26</v>
          </cell>
          <cell r="O2123" t="str">
            <v>ГУ НБУ по м.Києву і області</v>
          </cell>
        </row>
        <row r="2124">
          <cell r="A2124">
            <v>320003</v>
          </cell>
          <cell r="B2124">
            <v>320003</v>
          </cell>
          <cell r="C2124" t="str">
            <v>ВАТ КБ "НАДРА"</v>
          </cell>
          <cell r="D2124">
            <v>225</v>
          </cell>
          <cell r="E2124">
            <v>225</v>
          </cell>
          <cell r="F2124">
            <v>0</v>
          </cell>
          <cell r="G2124" t="str">
            <v>B</v>
          </cell>
          <cell r="H2124">
            <v>801</v>
          </cell>
          <cell r="I2124" t="str">
            <v>ВАТ КБ "НАДРА" У М.КИЄВI</v>
          </cell>
          <cell r="J2124" t="str">
            <v>ВАТ КБ "НАДРА"</v>
          </cell>
          <cell r="K2124" t="str">
            <v>UINH</v>
          </cell>
          <cell r="L2124" t="str">
            <v>UINH</v>
          </cell>
          <cell r="M2124">
            <v>26</v>
          </cell>
          <cell r="N2124">
            <v>26</v>
          </cell>
          <cell r="O2124" t="str">
            <v>ГУ НБУ по м.Києву і області</v>
          </cell>
        </row>
        <row r="2125">
          <cell r="A2125">
            <v>320036</v>
          </cell>
          <cell r="B2125">
            <v>300465</v>
          </cell>
          <cell r="D2125">
            <v>0</v>
          </cell>
          <cell r="E2125">
            <v>6</v>
          </cell>
          <cell r="F2125">
            <v>0</v>
          </cell>
          <cell r="G2125" t="str">
            <v>6</v>
          </cell>
          <cell r="H2125">
            <v>655</v>
          </cell>
          <cell r="I2125" t="str">
            <v>ФІВАНКІВСЬКЕ ВІДДІЛ ВАТОЩАД СМТ.ІВАНКІ</v>
          </cell>
          <cell r="J2125" t="str">
            <v>ФІванківське відділеВАТОщад</v>
          </cell>
          <cell r="K2125" t="str">
            <v>UJLL</v>
          </cell>
          <cell r="L2125" t="str">
            <v>UJLL</v>
          </cell>
          <cell r="M2125">
            <v>9</v>
          </cell>
          <cell r="N2125">
            <v>26</v>
          </cell>
        </row>
        <row r="2126">
          <cell r="A2126">
            <v>320047</v>
          </cell>
          <cell r="B2126">
            <v>300465</v>
          </cell>
          <cell r="D2126">
            <v>0</v>
          </cell>
          <cell r="E2126">
            <v>6</v>
          </cell>
          <cell r="F2126">
            <v>0</v>
          </cell>
          <cell r="G2126" t="str">
            <v>6</v>
          </cell>
          <cell r="H2126">
            <v>603</v>
          </cell>
          <cell r="I2126" t="str">
            <v>ФБІЛОЦЕРКІВСЬКЕ ВІД ВАТОЩАД М.БІЛА ЦЕР</v>
          </cell>
          <cell r="J2126" t="str">
            <v>ФБілоцерківське віддВАТОщад</v>
          </cell>
          <cell r="K2126" t="str">
            <v>UJLD</v>
          </cell>
          <cell r="L2126" t="str">
            <v>UJLD</v>
          </cell>
          <cell r="M2126">
            <v>9</v>
          </cell>
          <cell r="N2126">
            <v>26</v>
          </cell>
        </row>
        <row r="2127">
          <cell r="A2127">
            <v>320058</v>
          </cell>
          <cell r="B2127">
            <v>300465</v>
          </cell>
          <cell r="D2127">
            <v>0</v>
          </cell>
          <cell r="E2127">
            <v>6</v>
          </cell>
          <cell r="F2127">
            <v>0</v>
          </cell>
          <cell r="G2127" t="str">
            <v>6</v>
          </cell>
          <cell r="H2127">
            <v>615</v>
          </cell>
          <cell r="I2127" t="str">
            <v>ФКАГАРЛИЦЬКЕ ВІДДІЛ ВАТОЩАД М.КАГАРЛИК</v>
          </cell>
          <cell r="J2127" t="str">
            <v>ФКагарлицьке відділеВАТОщад</v>
          </cell>
          <cell r="K2127" t="str">
            <v>UJLN</v>
          </cell>
          <cell r="L2127" t="str">
            <v>UJLN</v>
          </cell>
          <cell r="M2127">
            <v>9</v>
          </cell>
          <cell r="N2127">
            <v>26</v>
          </cell>
        </row>
        <row r="2128">
          <cell r="A2128">
            <v>320069</v>
          </cell>
          <cell r="B2128">
            <v>300465</v>
          </cell>
          <cell r="D2128">
            <v>0</v>
          </cell>
          <cell r="E2128">
            <v>6</v>
          </cell>
          <cell r="F2128">
            <v>0</v>
          </cell>
          <cell r="G2128" t="str">
            <v>6</v>
          </cell>
          <cell r="H2128">
            <v>632</v>
          </cell>
          <cell r="I2128" t="str">
            <v>ФКИЄВО-СВЯТОШИНСЬКЕ В ВАТОЩАД М.БОЯРКА</v>
          </cell>
          <cell r="J2128" t="str">
            <v>ФКиєво-Святошинське ВАТОщад</v>
          </cell>
          <cell r="K2128" t="str">
            <v>UJLO</v>
          </cell>
          <cell r="L2128" t="str">
            <v>UJLO</v>
          </cell>
          <cell r="M2128">
            <v>9</v>
          </cell>
          <cell r="N2128">
            <v>26</v>
          </cell>
        </row>
        <row r="2129">
          <cell r="A2129">
            <v>320070</v>
          </cell>
          <cell r="B2129">
            <v>300465</v>
          </cell>
          <cell r="D2129">
            <v>0</v>
          </cell>
          <cell r="E2129">
            <v>6</v>
          </cell>
          <cell r="F2129">
            <v>0</v>
          </cell>
          <cell r="G2129" t="str">
            <v>6</v>
          </cell>
          <cell r="H2129">
            <v>617</v>
          </cell>
          <cell r="I2129" t="str">
            <v>ФМАКАРІВСЬКЕ ВІДДІЛ ВАТОЩАД СМТ.МАКАРІ</v>
          </cell>
          <cell r="J2129" t="str">
            <v>ФМакарівське відділеВАТОщад</v>
          </cell>
          <cell r="K2129" t="str">
            <v>UJLP</v>
          </cell>
          <cell r="L2129" t="str">
            <v>UJLP</v>
          </cell>
          <cell r="M2129">
            <v>9</v>
          </cell>
          <cell r="N2129">
            <v>26</v>
          </cell>
        </row>
        <row r="2130">
          <cell r="A2130">
            <v>320081</v>
          </cell>
          <cell r="B2130">
            <v>300465</v>
          </cell>
          <cell r="D2130">
            <v>0</v>
          </cell>
          <cell r="E2130">
            <v>6</v>
          </cell>
          <cell r="F2130">
            <v>0</v>
          </cell>
          <cell r="G2130" t="str">
            <v>6</v>
          </cell>
          <cell r="H2130">
            <v>618</v>
          </cell>
          <cell r="I2130" t="str">
            <v>ФБОРОДЯНСЬКЕ ВІДДІЛ ВАТОЩАД СМТ.БОРОДЯ</v>
          </cell>
          <cell r="J2130" t="str">
            <v>ФБородянське відділеВАТОщад</v>
          </cell>
          <cell r="K2130" t="str">
            <v>UJLG</v>
          </cell>
          <cell r="L2130" t="str">
            <v>UJLG</v>
          </cell>
          <cell r="M2130">
            <v>9</v>
          </cell>
          <cell r="N2130">
            <v>26</v>
          </cell>
        </row>
        <row r="2131">
          <cell r="A2131">
            <v>320092</v>
          </cell>
          <cell r="B2131">
            <v>300465</v>
          </cell>
          <cell r="D2131">
            <v>0</v>
          </cell>
          <cell r="E2131">
            <v>6</v>
          </cell>
          <cell r="F2131">
            <v>0</v>
          </cell>
          <cell r="G2131" t="str">
            <v>6</v>
          </cell>
          <cell r="H2131">
            <v>608</v>
          </cell>
          <cell r="I2131" t="str">
            <v>ФБОГУСЛАВСЬКЕ ВІДДІ ВАТОЩАД М.БОГУСЛАВ</v>
          </cell>
          <cell r="J2131" t="str">
            <v>ФБогуславське відділВАТОщад</v>
          </cell>
          <cell r="K2131" t="str">
            <v>UJLE</v>
          </cell>
          <cell r="L2131" t="str">
            <v>UJLE</v>
          </cell>
          <cell r="M2131">
            <v>9</v>
          </cell>
          <cell r="N2131">
            <v>26</v>
          </cell>
        </row>
        <row r="2132">
          <cell r="A2132">
            <v>320100</v>
          </cell>
          <cell r="B2132">
            <v>300465</v>
          </cell>
          <cell r="D2132">
            <v>0</v>
          </cell>
          <cell r="E2132">
            <v>6</v>
          </cell>
          <cell r="F2132">
            <v>0</v>
          </cell>
          <cell r="G2132" t="str">
            <v>6</v>
          </cell>
          <cell r="H2132">
            <v>604</v>
          </cell>
          <cell r="I2132" t="str">
            <v>ФПЕРЕЯСЛАВ-ХМЕЛЬНИЦ ВАТОЩАД М.ПЕРЕЯСЛА</v>
          </cell>
          <cell r="J2132" t="str">
            <v>ФПереяслав-ХмельницьВАТОщад</v>
          </cell>
          <cell r="K2132" t="str">
            <v>UJLS</v>
          </cell>
          <cell r="L2132" t="str">
            <v>UJLS</v>
          </cell>
          <cell r="M2132">
            <v>9</v>
          </cell>
          <cell r="N2132">
            <v>26</v>
          </cell>
        </row>
        <row r="2133">
          <cell r="A2133">
            <v>320122</v>
          </cell>
          <cell r="B2133">
            <v>300465</v>
          </cell>
          <cell r="D2133">
            <v>0</v>
          </cell>
          <cell r="E2133">
            <v>6</v>
          </cell>
          <cell r="F2133">
            <v>0</v>
          </cell>
          <cell r="G2133" t="str">
            <v>6</v>
          </cell>
          <cell r="H2133">
            <v>606</v>
          </cell>
          <cell r="I2133" t="str">
            <v>ФБРОВАРСЬКЕ ВІДДІЛЕН ВАТОЩАД М.БРОВАРИ</v>
          </cell>
          <cell r="J2133" t="str">
            <v>ФБроварське відділенВАТОщад</v>
          </cell>
          <cell r="K2133" t="str">
            <v>UJLH</v>
          </cell>
          <cell r="L2133" t="str">
            <v>UJLH</v>
          </cell>
          <cell r="M2133">
            <v>9</v>
          </cell>
          <cell r="N2133">
            <v>26</v>
          </cell>
        </row>
        <row r="2134">
          <cell r="A2134">
            <v>320133</v>
          </cell>
          <cell r="B2134">
            <v>300465</v>
          </cell>
          <cell r="D2134">
            <v>0</v>
          </cell>
          <cell r="E2134">
            <v>6</v>
          </cell>
          <cell r="F2134">
            <v>0</v>
          </cell>
          <cell r="G2134" t="str">
            <v>6</v>
          </cell>
          <cell r="H2134">
            <v>610</v>
          </cell>
          <cell r="I2134" t="str">
            <v>ФБОРИСПІЛЬСЬКЕ ВІДД ВАТОЩАД М.БОРИСПІЛ</v>
          </cell>
          <cell r="J2134" t="str">
            <v>ФБориспільське віддіВАТОщад</v>
          </cell>
          <cell r="K2134" t="str">
            <v>UJLF</v>
          </cell>
          <cell r="L2134" t="str">
            <v>UJLF</v>
          </cell>
          <cell r="M2134">
            <v>9</v>
          </cell>
          <cell r="N2134">
            <v>26</v>
          </cell>
        </row>
        <row r="2135">
          <cell r="A2135">
            <v>320155</v>
          </cell>
          <cell r="B2135">
            <v>300465</v>
          </cell>
          <cell r="D2135">
            <v>0</v>
          </cell>
          <cell r="E2135">
            <v>6</v>
          </cell>
          <cell r="F2135">
            <v>0</v>
          </cell>
          <cell r="G2135" t="str">
            <v>6</v>
          </cell>
          <cell r="H2135">
            <v>654</v>
          </cell>
          <cell r="I2135" t="str">
            <v>ФВИШГОРОДСЬКЕ ВІДДІ ВАТОЩАД М.ВИШГОРОД</v>
          </cell>
          <cell r="J2135" t="str">
            <v>ФВишгородське відділВАТОщад</v>
          </cell>
          <cell r="K2135" t="str">
            <v>UJLK</v>
          </cell>
          <cell r="L2135" t="str">
            <v>UJLK</v>
          </cell>
          <cell r="M2135">
            <v>9</v>
          </cell>
          <cell r="N2135">
            <v>26</v>
          </cell>
        </row>
        <row r="2136">
          <cell r="A2136">
            <v>320166</v>
          </cell>
          <cell r="B2136">
            <v>300465</v>
          </cell>
          <cell r="D2136">
            <v>0</v>
          </cell>
          <cell r="E2136">
            <v>6</v>
          </cell>
          <cell r="F2136">
            <v>0</v>
          </cell>
          <cell r="G2136" t="str">
            <v>6</v>
          </cell>
          <cell r="H2136">
            <v>626</v>
          </cell>
          <cell r="I2136" t="str">
            <v>ФТЕТІЇВСЬКЕ ВІДДІЛЕНН ВАТОЩАД М.ТЕТІЇВ</v>
          </cell>
          <cell r="J2136" t="str">
            <v>ФТетіївське відділенВАТОщад</v>
          </cell>
          <cell r="K2136" t="str">
            <v>UJLY</v>
          </cell>
          <cell r="L2136" t="str">
            <v>UJLY</v>
          </cell>
          <cell r="M2136">
            <v>9</v>
          </cell>
          <cell r="N2136">
            <v>26</v>
          </cell>
        </row>
        <row r="2137">
          <cell r="A2137">
            <v>320177</v>
          </cell>
          <cell r="B2137">
            <v>300465</v>
          </cell>
          <cell r="D2137">
            <v>0</v>
          </cell>
          <cell r="E2137">
            <v>6</v>
          </cell>
          <cell r="F2137">
            <v>0</v>
          </cell>
          <cell r="G2137" t="str">
            <v>6</v>
          </cell>
          <cell r="H2137">
            <v>614</v>
          </cell>
          <cell r="I2137" t="str">
            <v>ФІРПІНСЬКЕ ВІДДІЛЕННЯ ВАТОЩАД М.ІРПІНЬ</v>
          </cell>
          <cell r="J2137" t="str">
            <v>ФІрпінське відділеннВАТОщад</v>
          </cell>
          <cell r="K2137" t="str">
            <v>UJLM</v>
          </cell>
          <cell r="L2137" t="str">
            <v>UJLM</v>
          </cell>
          <cell r="M2137">
            <v>9</v>
          </cell>
          <cell r="N2137">
            <v>26</v>
          </cell>
        </row>
        <row r="2138">
          <cell r="A2138">
            <v>320188</v>
          </cell>
          <cell r="B2138">
            <v>300465</v>
          </cell>
          <cell r="D2138">
            <v>0</v>
          </cell>
          <cell r="E2138">
            <v>6</v>
          </cell>
          <cell r="F2138">
            <v>0</v>
          </cell>
          <cell r="G2138" t="str">
            <v>6</v>
          </cell>
          <cell r="H2138">
            <v>628</v>
          </cell>
          <cell r="I2138" t="str">
            <v>ФМИРОНІВСЬКЕ ВІДДІЛ ВАТОЩАД М.МИРОНІВК</v>
          </cell>
          <cell r="J2138" t="str">
            <v>ФМиронівське відділеВАТОщад</v>
          </cell>
          <cell r="K2138" t="str">
            <v>UJLQ</v>
          </cell>
          <cell r="L2138" t="str">
            <v>UJLQ</v>
          </cell>
          <cell r="M2138">
            <v>9</v>
          </cell>
          <cell r="N2138">
            <v>26</v>
          </cell>
        </row>
        <row r="2139">
          <cell r="A2139">
            <v>320199</v>
          </cell>
          <cell r="B2139">
            <v>300465</v>
          </cell>
          <cell r="D2139">
            <v>0</v>
          </cell>
          <cell r="E2139">
            <v>6</v>
          </cell>
          <cell r="F2139">
            <v>0</v>
          </cell>
          <cell r="G2139" t="str">
            <v>6</v>
          </cell>
          <cell r="H2139">
            <v>629</v>
          </cell>
          <cell r="I2139" t="str">
            <v>ФОБУХІВСЬКЕ ВІДДІЛЕНН ВАТОЩАД М.ОБУХІВ</v>
          </cell>
          <cell r="J2139" t="str">
            <v>ФОбухівське відділенВАТОщад</v>
          </cell>
          <cell r="K2139" t="str">
            <v>UJLR</v>
          </cell>
          <cell r="L2139" t="str">
            <v>UJLR</v>
          </cell>
          <cell r="M2139">
            <v>9</v>
          </cell>
          <cell r="N2139">
            <v>26</v>
          </cell>
        </row>
        <row r="2140">
          <cell r="A2140">
            <v>320207</v>
          </cell>
          <cell r="B2140">
            <v>300465</v>
          </cell>
          <cell r="D2140">
            <v>0</v>
          </cell>
          <cell r="E2140">
            <v>6</v>
          </cell>
          <cell r="F2140">
            <v>0</v>
          </cell>
          <cell r="G2140" t="str">
            <v>6</v>
          </cell>
          <cell r="H2140">
            <v>616</v>
          </cell>
          <cell r="I2140" t="str">
            <v>ФФАСТІВСЬКЕ ВІДДІЛЕНН ВАТОЩАД М.ФАСТІВ</v>
          </cell>
          <cell r="J2140" t="str">
            <v>ФФастівське відділенВАТОщад</v>
          </cell>
          <cell r="K2140" t="str">
            <v>UJLZ</v>
          </cell>
          <cell r="L2140" t="str">
            <v>UJLZ</v>
          </cell>
          <cell r="M2140">
            <v>9</v>
          </cell>
          <cell r="N2140">
            <v>26</v>
          </cell>
        </row>
        <row r="2141">
          <cell r="A2141">
            <v>320218</v>
          </cell>
          <cell r="B2141">
            <v>300465</v>
          </cell>
          <cell r="D2141">
            <v>0</v>
          </cell>
          <cell r="E2141">
            <v>6</v>
          </cell>
          <cell r="F2141">
            <v>0</v>
          </cell>
          <cell r="G2141" t="str">
            <v>6</v>
          </cell>
          <cell r="H2141">
            <v>646</v>
          </cell>
          <cell r="I2141" t="str">
            <v>ФСВЯТОШИНСЬКЕ ВІДДІЛЕНН ВАТОЩАД М.КИЇВ</v>
          </cell>
          <cell r="J2141" t="str">
            <v>ФСвятошинське відділВАТОщад</v>
          </cell>
          <cell r="K2141" t="str">
            <v>UILM</v>
          </cell>
          <cell r="L2141" t="str">
            <v>UILM</v>
          </cell>
          <cell r="M2141">
            <v>26</v>
          </cell>
          <cell r="N2141">
            <v>26</v>
          </cell>
          <cell r="O2141" t="str">
            <v>ГУ НБУ по м.Києву і області</v>
          </cell>
        </row>
        <row r="2142">
          <cell r="A2142">
            <v>320229</v>
          </cell>
          <cell r="B2142">
            <v>300465</v>
          </cell>
          <cell r="D2142">
            <v>0</v>
          </cell>
          <cell r="E2142">
            <v>6</v>
          </cell>
          <cell r="F2142">
            <v>0</v>
          </cell>
          <cell r="G2142" t="str">
            <v>6</v>
          </cell>
          <cell r="H2142">
            <v>634</v>
          </cell>
          <cell r="I2142" t="str">
            <v>ФОБОЛОНСЬКЕ ВІДДІЛЕННЯ  ВАТОЩАД М.КИЇВ</v>
          </cell>
          <cell r="J2142" t="str">
            <v>ФОболонське відділенВАТОщад</v>
          </cell>
          <cell r="K2142" t="str">
            <v>UILN</v>
          </cell>
          <cell r="L2142" t="str">
            <v>UILN</v>
          </cell>
          <cell r="M2142">
            <v>26</v>
          </cell>
          <cell r="N2142">
            <v>26</v>
          </cell>
          <cell r="O2142" t="str">
            <v>ГУ НБУ по м.Києву і області</v>
          </cell>
        </row>
        <row r="2143">
          <cell r="A2143">
            <v>320230</v>
          </cell>
          <cell r="B2143">
            <v>300465</v>
          </cell>
          <cell r="D2143">
            <v>0</v>
          </cell>
          <cell r="E2143">
            <v>6</v>
          </cell>
          <cell r="F2143">
            <v>0</v>
          </cell>
          <cell r="G2143" t="str">
            <v>6</v>
          </cell>
          <cell r="H2143">
            <v>648</v>
          </cell>
          <cell r="I2143" t="str">
            <v>ФДЕСНЯНСЬКЕ ВІДДІЛЕННЯ  ВАТОЩАД М.КИЇВ</v>
          </cell>
          <cell r="J2143" t="str">
            <v>ФДеснянське відділенВАТОщад</v>
          </cell>
          <cell r="K2143" t="str">
            <v>UILO</v>
          </cell>
          <cell r="L2143" t="str">
            <v>UILO</v>
          </cell>
          <cell r="M2143">
            <v>26</v>
          </cell>
          <cell r="N2143">
            <v>26</v>
          </cell>
          <cell r="O2143" t="str">
            <v>ГУ НБУ по м.Києву і області</v>
          </cell>
        </row>
        <row r="2144">
          <cell r="A2144">
            <v>320241</v>
          </cell>
          <cell r="B2144">
            <v>300465</v>
          </cell>
          <cell r="D2144">
            <v>0</v>
          </cell>
          <cell r="E2144">
            <v>6</v>
          </cell>
          <cell r="F2144">
            <v>0</v>
          </cell>
          <cell r="G2144" t="str">
            <v>6</v>
          </cell>
          <cell r="H2144">
            <v>636</v>
          </cell>
          <cell r="I2144" t="str">
            <v>ФПЕЧЕРСЬКЕ ВІДДІЛЕННЯ № ВАТОЩАД М.КИЇВ</v>
          </cell>
          <cell r="J2144" t="str">
            <v>ФПечерське відділеннВАТОщад</v>
          </cell>
          <cell r="K2144" t="str">
            <v>UILC</v>
          </cell>
          <cell r="L2144" t="str">
            <v>UILC</v>
          </cell>
          <cell r="M2144">
            <v>26</v>
          </cell>
          <cell r="N2144">
            <v>26</v>
          </cell>
          <cell r="O2144" t="str">
            <v>ГУ НБУ по м.Києву і області</v>
          </cell>
        </row>
        <row r="2145">
          <cell r="A2145">
            <v>320252</v>
          </cell>
          <cell r="B2145">
            <v>300465</v>
          </cell>
          <cell r="D2145">
            <v>0</v>
          </cell>
          <cell r="E2145">
            <v>6</v>
          </cell>
          <cell r="F2145">
            <v>0</v>
          </cell>
          <cell r="G2145" t="str">
            <v>6</v>
          </cell>
          <cell r="H2145">
            <v>611</v>
          </cell>
          <cell r="I2145" t="str">
            <v>ФРОКИТНЯНСЬКЕ ВІДДІ ВАТОЩАД СМТ.РОКИТН</v>
          </cell>
          <cell r="J2145" t="str">
            <v>ФРокитнянське відділВАТОщад</v>
          </cell>
          <cell r="K2145" t="str">
            <v>UJLU</v>
          </cell>
          <cell r="L2145" t="str">
            <v>UJLU</v>
          </cell>
          <cell r="M2145">
            <v>9</v>
          </cell>
          <cell r="N2145">
            <v>26</v>
          </cell>
        </row>
        <row r="2146">
          <cell r="A2146">
            <v>320263</v>
          </cell>
          <cell r="B2146">
            <v>300465</v>
          </cell>
          <cell r="D2146">
            <v>0</v>
          </cell>
          <cell r="E2146">
            <v>6</v>
          </cell>
          <cell r="F2146">
            <v>0</v>
          </cell>
          <cell r="G2146" t="str">
            <v>6</v>
          </cell>
          <cell r="H2146">
            <v>607</v>
          </cell>
          <cell r="I2146" t="str">
            <v>ФВАСИЛЬКІВСЬКЕ ВІДД ВАТОЩАД М.ВАСИЛЬКІ</v>
          </cell>
          <cell r="J2146" t="str">
            <v>ФВасильківське віддіВАТОщад</v>
          </cell>
          <cell r="K2146" t="str">
            <v>UJLI</v>
          </cell>
          <cell r="L2146" t="str">
            <v>UJLI</v>
          </cell>
          <cell r="M2146">
            <v>9</v>
          </cell>
          <cell r="N2146">
            <v>26</v>
          </cell>
        </row>
        <row r="2147">
          <cell r="A2147">
            <v>320304</v>
          </cell>
          <cell r="B2147">
            <v>300465</v>
          </cell>
          <cell r="D2147">
            <v>0</v>
          </cell>
          <cell r="E2147">
            <v>6</v>
          </cell>
          <cell r="F2147">
            <v>0</v>
          </cell>
          <cell r="G2147" t="str">
            <v>6</v>
          </cell>
          <cell r="H2147">
            <v>642</v>
          </cell>
          <cell r="I2147" t="str">
            <v>ФГОЛОСІЇВСЬКЕ ВІДДІЛЕНН ВАТОЩАД М.КИЇВ</v>
          </cell>
          <cell r="J2147" t="str">
            <v>ФГолосіївське відділВАТОщад</v>
          </cell>
          <cell r="K2147" t="str">
            <v>UILI</v>
          </cell>
          <cell r="L2147" t="str">
            <v>UILI</v>
          </cell>
          <cell r="M2147">
            <v>26</v>
          </cell>
          <cell r="N2147">
            <v>26</v>
          </cell>
          <cell r="O2147" t="str">
            <v>ГУ НБУ по м.Києву і області</v>
          </cell>
        </row>
        <row r="2148">
          <cell r="A2148">
            <v>320315</v>
          </cell>
          <cell r="B2148">
            <v>300465</v>
          </cell>
          <cell r="D2148">
            <v>0</v>
          </cell>
          <cell r="E2148">
            <v>6</v>
          </cell>
          <cell r="F2148">
            <v>0</v>
          </cell>
          <cell r="G2148" t="str">
            <v>6</v>
          </cell>
          <cell r="H2148">
            <v>625</v>
          </cell>
          <cell r="I2148" t="str">
            <v>ФЯГОТИНСЬКЕ ВІДДІЛЕНН ВАТОЩАД М.ЯГОТИН</v>
          </cell>
          <cell r="J2148" t="str">
            <v>ФЯготинське відділенВАТОщад</v>
          </cell>
          <cell r="K2148" t="str">
            <v>UJLA</v>
          </cell>
          <cell r="L2148" t="str">
            <v>UJLA</v>
          </cell>
          <cell r="M2148">
            <v>9</v>
          </cell>
          <cell r="N2148">
            <v>26</v>
          </cell>
        </row>
        <row r="2149">
          <cell r="A2149">
            <v>320326</v>
          </cell>
          <cell r="B2149">
            <v>300465</v>
          </cell>
          <cell r="D2149">
            <v>0</v>
          </cell>
          <cell r="E2149">
            <v>6</v>
          </cell>
          <cell r="F2149">
            <v>0</v>
          </cell>
          <cell r="G2149" t="str">
            <v>6</v>
          </cell>
          <cell r="H2149">
            <v>644</v>
          </cell>
          <cell r="I2149" t="str">
            <v>ФСОЛОМ`ЯНСЬКЕ ВІДДІЛЕНН ВАТОЩАД М.КИЇВ</v>
          </cell>
          <cell r="J2149" t="str">
            <v>ФСолом`янське відділВАТОщад</v>
          </cell>
          <cell r="K2149" t="str">
            <v>UILK</v>
          </cell>
          <cell r="L2149" t="str">
            <v>UILK</v>
          </cell>
          <cell r="M2149">
            <v>26</v>
          </cell>
          <cell r="N2149">
            <v>26</v>
          </cell>
          <cell r="O2149" t="str">
            <v>ГУ НБУ по м.Києву і області</v>
          </cell>
        </row>
        <row r="2150">
          <cell r="A2150">
            <v>320337</v>
          </cell>
          <cell r="B2150">
            <v>300465</v>
          </cell>
          <cell r="D2150">
            <v>0</v>
          </cell>
          <cell r="E2150">
            <v>6</v>
          </cell>
          <cell r="F2150">
            <v>0</v>
          </cell>
          <cell r="G2150" t="str">
            <v>6</v>
          </cell>
          <cell r="H2150">
            <v>645</v>
          </cell>
          <cell r="I2150" t="str">
            <v>ФДНІПРОВСЬКЕ ВІДДІЛЕННЯ ВАТОЩАД М.КИЇВ</v>
          </cell>
          <cell r="J2150" t="str">
            <v>ФДніпровське відділеВАТОщад</v>
          </cell>
          <cell r="K2150" t="str">
            <v>UILL</v>
          </cell>
          <cell r="L2150" t="str">
            <v>UILL</v>
          </cell>
          <cell r="M2150">
            <v>26</v>
          </cell>
          <cell r="N2150">
            <v>26</v>
          </cell>
          <cell r="O2150" t="str">
            <v>ГУ НБУ по м.Києву і області</v>
          </cell>
        </row>
        <row r="2151">
          <cell r="A2151">
            <v>320371</v>
          </cell>
          <cell r="B2151">
            <v>320371</v>
          </cell>
          <cell r="C2151" t="str">
            <v>ВАТ"БАНК "УКРАЇН.КАПІТАЛ"</v>
          </cell>
          <cell r="D2151">
            <v>146</v>
          </cell>
          <cell r="E2151">
            <v>146</v>
          </cell>
          <cell r="F2151">
            <v>0</v>
          </cell>
          <cell r="G2151" t="str">
            <v>8</v>
          </cell>
          <cell r="H2151">
            <v>854</v>
          </cell>
          <cell r="I2151" t="str">
            <v>ВАТ"БАНК"УКРАЇНСЬКИЙ КАПІТАЛ"У М.КИЄВІ</v>
          </cell>
          <cell r="J2151" t="str">
            <v>ВАТ"БАНК "УКРАЇН.КАПІТАЛ"</v>
          </cell>
          <cell r="K2151" t="str">
            <v>UIYV</v>
          </cell>
          <cell r="L2151" t="str">
            <v>UIYV</v>
          </cell>
          <cell r="M2151">
            <v>26</v>
          </cell>
          <cell r="N2151">
            <v>26</v>
          </cell>
          <cell r="O2151" t="str">
            <v>ГУ НБУ по м.Києву і області</v>
          </cell>
        </row>
        <row r="2152">
          <cell r="A2152">
            <v>320382</v>
          </cell>
          <cell r="B2152">
            <v>300465</v>
          </cell>
          <cell r="D2152">
            <v>0</v>
          </cell>
          <cell r="E2152">
            <v>6</v>
          </cell>
          <cell r="F2152">
            <v>0</v>
          </cell>
          <cell r="G2152" t="str">
            <v>6</v>
          </cell>
          <cell r="H2152">
            <v>637</v>
          </cell>
          <cell r="I2152" t="str">
            <v>ФПОДІЛЬСЬКЕ ВІДДІЛЕННЯ  ВАТОЩАД М.КИЇВ</v>
          </cell>
          <cell r="J2152" t="str">
            <v>ФПодільське відділенВАТОщад</v>
          </cell>
          <cell r="K2152" t="str">
            <v>UILD</v>
          </cell>
          <cell r="L2152" t="str">
            <v>UILD</v>
          </cell>
          <cell r="M2152">
            <v>26</v>
          </cell>
          <cell r="N2152">
            <v>26</v>
          </cell>
          <cell r="O2152" t="str">
            <v>ГУ НБУ по м.Києву і області</v>
          </cell>
        </row>
        <row r="2153">
          <cell r="A2153">
            <v>320401</v>
          </cell>
          <cell r="B2153">
            <v>322498</v>
          </cell>
          <cell r="D2153">
            <v>0</v>
          </cell>
          <cell r="E2153">
            <v>203</v>
          </cell>
          <cell r="F2153">
            <v>0</v>
          </cell>
          <cell r="G2153" t="str">
            <v>8</v>
          </cell>
          <cell r="H2153">
            <v>782</v>
          </cell>
          <cell r="I2153" t="str">
            <v>ПОДІЛЬСЬКА ФІЛІЯ АКБ "КИЇВ" М.КИЇВ</v>
          </cell>
          <cell r="J2153" t="str">
            <v>Подільська ФАКБ "Київ"</v>
          </cell>
          <cell r="K2153" t="str">
            <v>UIYZ</v>
          </cell>
          <cell r="L2153" t="str">
            <v>UIYZ</v>
          </cell>
          <cell r="M2153">
            <v>26</v>
          </cell>
          <cell r="N2153">
            <v>26</v>
          </cell>
          <cell r="O2153" t="str">
            <v>ГУ НБУ по м.Києву і області</v>
          </cell>
        </row>
        <row r="2154">
          <cell r="A2154">
            <v>320445</v>
          </cell>
          <cell r="B2154">
            <v>300465</v>
          </cell>
          <cell r="D2154">
            <v>0</v>
          </cell>
          <cell r="E2154">
            <v>6</v>
          </cell>
          <cell r="F2154">
            <v>0</v>
          </cell>
          <cell r="G2154" t="str">
            <v>6</v>
          </cell>
          <cell r="H2154">
            <v>643</v>
          </cell>
          <cell r="I2154" t="str">
            <v>ФШЕВЧЕНКІВСЬКЕ ВІДДІЛЕН ВАТОЩАД М.КИЇВ</v>
          </cell>
          <cell r="J2154" t="str">
            <v>ФШевченківське віддіВАТОщад</v>
          </cell>
          <cell r="K2154" t="str">
            <v>UILJ</v>
          </cell>
          <cell r="L2154" t="str">
            <v>UILJ</v>
          </cell>
          <cell r="M2154">
            <v>26</v>
          </cell>
          <cell r="N2154">
            <v>26</v>
          </cell>
          <cell r="O2154" t="str">
            <v>ГУ НБУ по м.Києву і області</v>
          </cell>
        </row>
        <row r="2155">
          <cell r="A2155">
            <v>320456</v>
          </cell>
          <cell r="B2155">
            <v>300658</v>
          </cell>
          <cell r="D2155">
            <v>0</v>
          </cell>
          <cell r="E2155">
            <v>251</v>
          </cell>
          <cell r="F2155">
            <v>0</v>
          </cell>
          <cell r="G2155" t="str">
            <v>B</v>
          </cell>
          <cell r="H2155">
            <v>875</v>
          </cell>
          <cell r="I2155" t="str">
            <v>ДФ ВАТ "ПІРЕУС БАНК МКБ",М.КИЇВ</v>
          </cell>
          <cell r="J2155" t="str">
            <v>ДФ ВАТ "ПІРЕУС БАНК МКБ"</v>
          </cell>
          <cell r="K2155" t="str">
            <v>UIZA</v>
          </cell>
          <cell r="L2155" t="str">
            <v>UIZA</v>
          </cell>
          <cell r="M2155">
            <v>26</v>
          </cell>
          <cell r="N2155">
            <v>26</v>
          </cell>
          <cell r="O2155" t="str">
            <v>ГУ НБУ по м.Києву і області</v>
          </cell>
        </row>
        <row r="2156">
          <cell r="A2156">
            <v>320467</v>
          </cell>
          <cell r="B2156">
            <v>322294</v>
          </cell>
          <cell r="D2156">
            <v>0</v>
          </cell>
          <cell r="E2156">
            <v>67</v>
          </cell>
          <cell r="F2156">
            <v>0</v>
          </cell>
          <cell r="G2156" t="str">
            <v>8</v>
          </cell>
          <cell r="H2156">
            <v>821</v>
          </cell>
          <cell r="I2156" t="str">
            <v>БОРЩАГІВСЬКА Ф.ВАТ"КБ"ЕКСПОБАНК"М.КИЇВ</v>
          </cell>
          <cell r="J2156" t="str">
            <v>Борщагів.фВАТ"КБ"Експобанк"</v>
          </cell>
          <cell r="K2156" t="str">
            <v>UIZE</v>
          </cell>
          <cell r="L2156" t="str">
            <v>UIZE</v>
          </cell>
          <cell r="M2156">
            <v>26</v>
          </cell>
          <cell r="N2156">
            <v>26</v>
          </cell>
          <cell r="O2156" t="str">
            <v>ГУ НБУ по м.Києву і області</v>
          </cell>
        </row>
        <row r="2157">
          <cell r="A2157">
            <v>320478</v>
          </cell>
          <cell r="B2157">
            <v>320478</v>
          </cell>
          <cell r="C2157" t="str">
            <v>ВАТ АБ "УКРГАЗБАНК"</v>
          </cell>
          <cell r="D2157">
            <v>274</v>
          </cell>
          <cell r="E2157">
            <v>274</v>
          </cell>
          <cell r="F2157">
            <v>0</v>
          </cell>
          <cell r="G2157" t="str">
            <v>8</v>
          </cell>
          <cell r="H2157">
            <v>864</v>
          </cell>
          <cell r="I2157" t="str">
            <v>ВАТ АБ "УКРГАЗБАНК" У М.КИЄВІ</v>
          </cell>
          <cell r="J2157" t="str">
            <v>ВАТ АБ "УКРГАЗБАНК"</v>
          </cell>
          <cell r="K2157" t="str">
            <v>UIZF</v>
          </cell>
          <cell r="L2157" t="str">
            <v>UIZF</v>
          </cell>
          <cell r="M2157">
            <v>26</v>
          </cell>
          <cell r="N2157">
            <v>26</v>
          </cell>
          <cell r="O2157" t="str">
            <v>ГУ НБУ по м.Києву і області</v>
          </cell>
        </row>
        <row r="2158">
          <cell r="A2158">
            <v>320519</v>
          </cell>
          <cell r="B2158">
            <v>380537</v>
          </cell>
          <cell r="D2158">
            <v>0</v>
          </cell>
          <cell r="E2158">
            <v>76</v>
          </cell>
          <cell r="F2158">
            <v>0</v>
          </cell>
          <cell r="G2158" t="str">
            <v>B</v>
          </cell>
          <cell r="H2158">
            <v>894</v>
          </cell>
          <cell r="I2158" t="str">
            <v>ДРУГА КФ ВАТ "ВІЕЙБІ БАНК" М.КИЇВ</v>
          </cell>
          <cell r="J2158" t="str">
            <v>Друга Київ.Ф ВАТ"ВіЕйБіБанк</v>
          </cell>
          <cell r="K2158" t="str">
            <v>UIZO</v>
          </cell>
          <cell r="L2158" t="str">
            <v>UIZO</v>
          </cell>
          <cell r="M2158">
            <v>26</v>
          </cell>
          <cell r="N2158">
            <v>26</v>
          </cell>
          <cell r="O2158" t="str">
            <v>ГУ НБУ по м.Києву і області</v>
          </cell>
        </row>
        <row r="2159">
          <cell r="A2159">
            <v>320553</v>
          </cell>
          <cell r="B2159">
            <v>300465</v>
          </cell>
          <cell r="D2159">
            <v>0</v>
          </cell>
          <cell r="E2159">
            <v>6</v>
          </cell>
          <cell r="F2159">
            <v>0</v>
          </cell>
          <cell r="G2159" t="str">
            <v>6</v>
          </cell>
          <cell r="H2159">
            <v>641</v>
          </cell>
          <cell r="I2159" t="str">
            <v>ФДАРНИЦЬКЕ ВІДДІЛЕННЯ № ВАТОЩАД М.КИЇВ</v>
          </cell>
          <cell r="J2159" t="str">
            <v>ФДарницьке відділеннВАТОщад</v>
          </cell>
          <cell r="K2159" t="str">
            <v>UILH</v>
          </cell>
          <cell r="L2159" t="str">
            <v>UILH</v>
          </cell>
          <cell r="M2159">
            <v>26</v>
          </cell>
          <cell r="N2159">
            <v>26</v>
          </cell>
          <cell r="O2159" t="str">
            <v>ГУ НБУ по м.Києву і області</v>
          </cell>
        </row>
        <row r="2160">
          <cell r="A2160">
            <v>320564</v>
          </cell>
          <cell r="B2160">
            <v>320003</v>
          </cell>
          <cell r="D2160">
            <v>0</v>
          </cell>
          <cell r="E2160">
            <v>225</v>
          </cell>
          <cell r="F2160">
            <v>0</v>
          </cell>
          <cell r="G2160" t="str">
            <v>B</v>
          </cell>
          <cell r="H2160">
            <v>857</v>
          </cell>
          <cell r="I2160" t="str">
            <v>РЕГ.УПР. ВАТ КБ "НАДРА" У М.КИЄВI</v>
          </cell>
          <cell r="J2160" t="str">
            <v>ФАКБ "НАДРА" Київське РУ</v>
          </cell>
          <cell r="K2160" t="str">
            <v>UIZB</v>
          </cell>
          <cell r="L2160" t="str">
            <v>UIZB</v>
          </cell>
          <cell r="M2160">
            <v>26</v>
          </cell>
          <cell r="N2160">
            <v>26</v>
          </cell>
          <cell r="O2160" t="str">
            <v>ГУ НБУ по м.Києву і області</v>
          </cell>
        </row>
        <row r="2161">
          <cell r="A2161">
            <v>320597</v>
          </cell>
          <cell r="B2161">
            <v>322294</v>
          </cell>
          <cell r="D2161">
            <v>0</v>
          </cell>
          <cell r="E2161">
            <v>67</v>
          </cell>
          <cell r="F2161">
            <v>0</v>
          </cell>
          <cell r="G2161" t="str">
            <v>8</v>
          </cell>
          <cell r="H2161">
            <v>892</v>
          </cell>
          <cell r="I2161" t="str">
            <v>ПОДІЛЬСЬКА Ф.ВАТ"КБ"ЕКСПОБАНК",М.КИЇВ</v>
          </cell>
          <cell r="J2161" t="str">
            <v>Подільс.ф.ВАТ"КБ"Експобанк"</v>
          </cell>
          <cell r="K2161" t="str">
            <v>UIZM</v>
          </cell>
          <cell r="L2161" t="str">
            <v>UIZM</v>
          </cell>
          <cell r="M2161">
            <v>26</v>
          </cell>
          <cell r="N2161">
            <v>26</v>
          </cell>
          <cell r="O2161" t="str">
            <v>ГУ НБУ по м.Києву і області</v>
          </cell>
        </row>
        <row r="2162">
          <cell r="A2162">
            <v>320605</v>
          </cell>
          <cell r="B2162">
            <v>322498</v>
          </cell>
          <cell r="D2162">
            <v>0</v>
          </cell>
          <cell r="E2162">
            <v>203</v>
          </cell>
          <cell r="F2162">
            <v>0</v>
          </cell>
          <cell r="G2162" t="str">
            <v>8</v>
          </cell>
          <cell r="H2162">
            <v>786</v>
          </cell>
          <cell r="I2162" t="str">
            <v>ОБОЛОНСЬКА ФІЛІЯ АКБ "КИЇВ"  М.КИЇВ</v>
          </cell>
          <cell r="J2162" t="str">
            <v>Оболонська філія АКБ "Київ"</v>
          </cell>
          <cell r="K2162" t="str">
            <v>UIZH</v>
          </cell>
          <cell r="L2162" t="str">
            <v>UIZH</v>
          </cell>
          <cell r="M2162">
            <v>26</v>
          </cell>
          <cell r="N2162">
            <v>26</v>
          </cell>
          <cell r="O2162" t="str">
            <v>ГУ НБУ по м.Києву і області</v>
          </cell>
        </row>
        <row r="2163">
          <cell r="A2163">
            <v>320627</v>
          </cell>
          <cell r="B2163">
            <v>320627</v>
          </cell>
          <cell r="C2163" t="str">
            <v>ЗАТ "СБЕРБАНК РОСІЇ"</v>
          </cell>
          <cell r="D2163">
            <v>299</v>
          </cell>
          <cell r="E2163">
            <v>299</v>
          </cell>
          <cell r="F2163">
            <v>0</v>
          </cell>
          <cell r="G2163" t="str">
            <v>9</v>
          </cell>
          <cell r="H2163">
            <v>935</v>
          </cell>
          <cell r="I2163" t="str">
            <v>ЗАТ "СБЕРБАНК РОСІЇ"</v>
          </cell>
          <cell r="J2163" t="str">
            <v>ЗАТ "СБЕРБАНК РОСІЇ"</v>
          </cell>
          <cell r="K2163" t="str">
            <v>UINI</v>
          </cell>
          <cell r="L2163" t="str">
            <v>UINI</v>
          </cell>
          <cell r="M2163">
            <v>26</v>
          </cell>
          <cell r="N2163">
            <v>26</v>
          </cell>
          <cell r="O2163" t="str">
            <v>ГУ НБУ по м.Києву і області</v>
          </cell>
        </row>
        <row r="2164">
          <cell r="A2164">
            <v>320649</v>
          </cell>
          <cell r="B2164">
            <v>305299</v>
          </cell>
          <cell r="D2164">
            <v>0</v>
          </cell>
          <cell r="E2164">
            <v>46</v>
          </cell>
          <cell r="F2164">
            <v>0</v>
          </cell>
          <cell r="G2164" t="str">
            <v>A</v>
          </cell>
          <cell r="H2164">
            <v>865</v>
          </cell>
          <cell r="I2164" t="str">
            <v>Ф"РОЗРАХ.ЦЕНТР"ЗАТКБ ПРИВАТБАНКУ, КИЇВ</v>
          </cell>
          <cell r="J2164" t="str">
            <v>Ф-Я РОЗРАХ.ЦЕНТР ПРИВАТБАНК</v>
          </cell>
          <cell r="K2164" t="str">
            <v>UIZX</v>
          </cell>
          <cell r="L2164" t="str">
            <v>UIZX</v>
          </cell>
          <cell r="M2164">
            <v>26</v>
          </cell>
          <cell r="N2164">
            <v>3</v>
          </cell>
          <cell r="O2164" t="str">
            <v>ГУ НБУ по м.Києву і області</v>
          </cell>
        </row>
        <row r="2165">
          <cell r="A2165">
            <v>320650</v>
          </cell>
          <cell r="B2165">
            <v>320650</v>
          </cell>
          <cell r="C2165" t="str">
            <v>ЗАТ "СВЕДБАНК ІНВЕСТ"</v>
          </cell>
          <cell r="D2165">
            <v>282</v>
          </cell>
          <cell r="E2165">
            <v>282</v>
          </cell>
          <cell r="F2165">
            <v>0</v>
          </cell>
          <cell r="G2165" t="str">
            <v>8</v>
          </cell>
          <cell r="H2165">
            <v>879</v>
          </cell>
          <cell r="I2165" t="str">
            <v>ЗАТ "СВЕДБАНК ІНВЕСТ"</v>
          </cell>
          <cell r="J2165" t="str">
            <v>ЗАТ "СВЕДБАНК ІНВЕСТ"</v>
          </cell>
          <cell r="K2165" t="str">
            <v>UISK</v>
          </cell>
          <cell r="L2165" t="str">
            <v>UISK</v>
          </cell>
          <cell r="M2165">
            <v>26</v>
          </cell>
          <cell r="N2165">
            <v>26</v>
          </cell>
          <cell r="O2165" t="str">
            <v>ГУ НБУ по м.Києву і області</v>
          </cell>
        </row>
        <row r="2166">
          <cell r="A2166">
            <v>320702</v>
          </cell>
          <cell r="B2166">
            <v>320702</v>
          </cell>
          <cell r="C2166" t="str">
            <v>АКБ "НАЦІОНАЛЬНИЙ КРЕДИТ"</v>
          </cell>
          <cell r="D2166">
            <v>277</v>
          </cell>
          <cell r="E2166">
            <v>277</v>
          </cell>
          <cell r="F2166">
            <v>0</v>
          </cell>
          <cell r="G2166" t="str">
            <v>8</v>
          </cell>
          <cell r="H2166">
            <v>868</v>
          </cell>
          <cell r="I2166" t="str">
            <v>АКБ "НАЦІОНАЛЬНИЙ КРЕДИТ", М.КИЇВ</v>
          </cell>
          <cell r="J2166" t="str">
            <v>АКБ "НАЦІОНАЛЬНИЙ КРЕДИТ"</v>
          </cell>
          <cell r="K2166" t="str">
            <v>UISA</v>
          </cell>
          <cell r="L2166" t="str">
            <v>UISA</v>
          </cell>
          <cell r="M2166">
            <v>26</v>
          </cell>
          <cell r="N2166">
            <v>26</v>
          </cell>
          <cell r="O2166" t="str">
            <v>ГУ НБУ по м.Києву і області</v>
          </cell>
        </row>
        <row r="2167">
          <cell r="A2167">
            <v>320735</v>
          </cell>
          <cell r="B2167">
            <v>320735</v>
          </cell>
          <cell r="C2167" t="str">
            <v>АКБ "ІНТЕГРАЛ"</v>
          </cell>
          <cell r="D2167">
            <v>30</v>
          </cell>
          <cell r="E2167">
            <v>30</v>
          </cell>
          <cell r="F2167">
            <v>0</v>
          </cell>
          <cell r="G2167" t="str">
            <v>8</v>
          </cell>
          <cell r="H2167">
            <v>861</v>
          </cell>
          <cell r="I2167" t="str">
            <v>АКБ "ІНТЕГРАЛ" У М.КИЄВІ</v>
          </cell>
          <cell r="J2167" t="str">
            <v>АКБ "ІНТЕГРАЛ"</v>
          </cell>
          <cell r="K2167" t="str">
            <v>UIZN</v>
          </cell>
          <cell r="L2167" t="str">
            <v>UIZN</v>
          </cell>
          <cell r="M2167">
            <v>26</v>
          </cell>
          <cell r="N2167">
            <v>26</v>
          </cell>
          <cell r="O2167" t="str">
            <v>ГУ НБУ по м.Києву і області</v>
          </cell>
        </row>
        <row r="2168">
          <cell r="A2168">
            <v>320779</v>
          </cell>
          <cell r="B2168">
            <v>324485</v>
          </cell>
          <cell r="D2168">
            <v>0</v>
          </cell>
          <cell r="E2168">
            <v>81</v>
          </cell>
          <cell r="F2168">
            <v>0</v>
          </cell>
          <cell r="G2168" t="str">
            <v>8</v>
          </cell>
          <cell r="H2168">
            <v>881</v>
          </cell>
          <cell r="I2168" t="str">
            <v>КИЇВСЬКА ФІЛІЯ ВАТ "ЄБРЗ", М.КИЇВ</v>
          </cell>
          <cell r="J2168" t="str">
            <v>Київська філія ВАТ "ЄБРЗ"</v>
          </cell>
          <cell r="K2168" t="str">
            <v>UISN</v>
          </cell>
          <cell r="L2168" t="str">
            <v>UISN</v>
          </cell>
          <cell r="M2168">
            <v>26</v>
          </cell>
          <cell r="N2168">
            <v>11</v>
          </cell>
          <cell r="O2168" t="str">
            <v>ГУ НБУ по м.Києву і області</v>
          </cell>
        </row>
        <row r="2169">
          <cell r="A2169">
            <v>320780</v>
          </cell>
          <cell r="B2169">
            <v>300410</v>
          </cell>
          <cell r="D2169">
            <v>0</v>
          </cell>
          <cell r="E2169">
            <v>4</v>
          </cell>
          <cell r="F2169">
            <v>0</v>
          </cell>
          <cell r="G2169" t="str">
            <v>4</v>
          </cell>
          <cell r="H2169">
            <v>417</v>
          </cell>
          <cell r="I2169" t="str">
            <v>РЕГ.УПОВН.ЛІКВІД.ПО КИЄВУ І ОБЛ.</v>
          </cell>
          <cell r="J2169" t="str">
            <v>Рег.уповн.ліквід.,Київ і об</v>
          </cell>
          <cell r="K2169" t="str">
            <v>UIE0</v>
          </cell>
          <cell r="L2169" t="str">
            <v>UJE0</v>
          </cell>
          <cell r="M2169">
            <v>9</v>
          </cell>
          <cell r="N2169">
            <v>27</v>
          </cell>
        </row>
        <row r="2170">
          <cell r="A2170">
            <v>320810</v>
          </cell>
          <cell r="B2170">
            <v>322498</v>
          </cell>
          <cell r="D2170">
            <v>0</v>
          </cell>
          <cell r="E2170">
            <v>203</v>
          </cell>
          <cell r="F2170">
            <v>0</v>
          </cell>
          <cell r="G2170" t="str">
            <v>8</v>
          </cell>
          <cell r="H2170">
            <v>938</v>
          </cell>
          <cell r="I2170" t="str">
            <v>ХАРКІВСЬКА ФІЛІЯ АКБ "КИЇВ", М.КИЇВ</v>
          </cell>
          <cell r="J2170" t="str">
            <v>ХАРКІВСЬКА ФАКБ "КИЇВ"</v>
          </cell>
          <cell r="K2170" t="str">
            <v>UINA</v>
          </cell>
          <cell r="L2170" t="str">
            <v>UINA</v>
          </cell>
          <cell r="M2170">
            <v>26</v>
          </cell>
          <cell r="N2170">
            <v>26</v>
          </cell>
          <cell r="O2170" t="str">
            <v>ГУ НБУ по м.Києву і області</v>
          </cell>
        </row>
        <row r="2171">
          <cell r="A2171">
            <v>320843</v>
          </cell>
          <cell r="B2171">
            <v>320843</v>
          </cell>
          <cell r="C2171" t="str">
            <v>ВАТ АБ "УКРГАЗПРОМБАНК"</v>
          </cell>
          <cell r="D2171">
            <v>278</v>
          </cell>
          <cell r="E2171">
            <v>278</v>
          </cell>
          <cell r="F2171">
            <v>0</v>
          </cell>
          <cell r="G2171" t="str">
            <v>8</v>
          </cell>
          <cell r="H2171">
            <v>869</v>
          </cell>
          <cell r="I2171" t="str">
            <v>АБ "УКРГАЗПРОМБАНК" У М.КИЄВІ</v>
          </cell>
          <cell r="J2171" t="str">
            <v>ВАТ АБ "УКРГАЗПРОМБАНК"</v>
          </cell>
          <cell r="K2171" t="str">
            <v>UISE</v>
          </cell>
          <cell r="L2171" t="str">
            <v>UISE</v>
          </cell>
          <cell r="M2171">
            <v>26</v>
          </cell>
          <cell r="N2171">
            <v>26</v>
          </cell>
          <cell r="O2171" t="str">
            <v>ГУ НБУ по м.Києву і області</v>
          </cell>
        </row>
        <row r="2172">
          <cell r="A2172">
            <v>320854</v>
          </cell>
          <cell r="B2172">
            <v>320854</v>
          </cell>
          <cell r="C2172" t="str">
            <v>"ДІАМАНТБАНК"</v>
          </cell>
          <cell r="D2172">
            <v>232</v>
          </cell>
          <cell r="E2172">
            <v>232</v>
          </cell>
          <cell r="F2172">
            <v>0</v>
          </cell>
          <cell r="G2172" t="str">
            <v>8</v>
          </cell>
          <cell r="H2172">
            <v>945</v>
          </cell>
          <cell r="I2172" t="str">
            <v>АБ "ДІАМАНТБАНК" У М.КИЄВІ</v>
          </cell>
          <cell r="J2172" t="str">
            <v>"ДІАМАНТБАНК"</v>
          </cell>
          <cell r="K2172" t="str">
            <v>UINB</v>
          </cell>
          <cell r="L2172" t="str">
            <v>UINB</v>
          </cell>
          <cell r="M2172">
            <v>26</v>
          </cell>
          <cell r="N2172">
            <v>26</v>
          </cell>
          <cell r="O2172" t="str">
            <v>ГУ НБУ по м.Києву і області</v>
          </cell>
        </row>
        <row r="2173">
          <cell r="A2173">
            <v>320876</v>
          </cell>
          <cell r="B2173">
            <v>335946</v>
          </cell>
          <cell r="D2173">
            <v>0</v>
          </cell>
          <cell r="E2173">
            <v>45</v>
          </cell>
          <cell r="F2173">
            <v>0</v>
          </cell>
          <cell r="G2173" t="str">
            <v>8</v>
          </cell>
          <cell r="H2173">
            <v>888</v>
          </cell>
          <cell r="I2173" t="str">
            <v>КИЇВСЬКА ФВАТКБ"ПІВДЕНКОМБАНК", М.КИЇВ</v>
          </cell>
          <cell r="J2173" t="str">
            <v>КФ ВАТКБ"ПІВДЕНКОМБАНК"</v>
          </cell>
          <cell r="K2173" t="str">
            <v>UISS</v>
          </cell>
          <cell r="L2173" t="str">
            <v>UISS</v>
          </cell>
          <cell r="M2173">
            <v>26</v>
          </cell>
          <cell r="N2173">
            <v>4</v>
          </cell>
          <cell r="O2173" t="str">
            <v>ГУ НБУ по м.Києву і області</v>
          </cell>
        </row>
        <row r="2174">
          <cell r="A2174">
            <v>320898</v>
          </cell>
          <cell r="B2174">
            <v>305749</v>
          </cell>
          <cell r="D2174">
            <v>0</v>
          </cell>
          <cell r="E2174">
            <v>270</v>
          </cell>
          <cell r="F2174">
            <v>0</v>
          </cell>
          <cell r="G2174" t="str">
            <v>B</v>
          </cell>
          <cell r="H2174">
            <v>880</v>
          </cell>
          <cell r="I2174" t="str">
            <v>КИЇВСЬКА Ф.Б "КРЕДИТ-ДНІПРО", М.КИЇВ</v>
          </cell>
          <cell r="J2174" t="str">
            <v>Київська Ф.Б"Кредит-Дніпро"</v>
          </cell>
          <cell r="K2174" t="str">
            <v>UISL</v>
          </cell>
          <cell r="L2174" t="str">
            <v>UISL</v>
          </cell>
          <cell r="M2174">
            <v>26</v>
          </cell>
          <cell r="N2174">
            <v>3</v>
          </cell>
          <cell r="O2174" t="str">
            <v>ГУ НБУ по м.Києву і області</v>
          </cell>
        </row>
        <row r="2175">
          <cell r="A2175">
            <v>320906</v>
          </cell>
          <cell r="B2175">
            <v>331768</v>
          </cell>
          <cell r="D2175">
            <v>0</v>
          </cell>
          <cell r="E2175">
            <v>294</v>
          </cell>
          <cell r="F2175">
            <v>0</v>
          </cell>
          <cell r="G2175" t="str">
            <v>8</v>
          </cell>
          <cell r="H2175">
            <v>407</v>
          </cell>
          <cell r="I2175" t="str">
            <v>КИЇВСЬКА ФІЛІЯ АК"ПФБ"</v>
          </cell>
          <cell r="J2175" t="str">
            <v>Київська філія АК"ПФБ"</v>
          </cell>
          <cell r="K2175" t="str">
            <v>UISX</v>
          </cell>
          <cell r="L2175" t="str">
            <v>UISX</v>
          </cell>
          <cell r="M2175">
            <v>26</v>
          </cell>
          <cell r="N2175">
            <v>16</v>
          </cell>
          <cell r="O2175" t="str">
            <v>ГУ НБУ по м.Києву і області</v>
          </cell>
        </row>
        <row r="2176">
          <cell r="A2176">
            <v>320917</v>
          </cell>
          <cell r="B2176">
            <v>328209</v>
          </cell>
          <cell r="D2176">
            <v>0</v>
          </cell>
          <cell r="E2176">
            <v>106</v>
          </cell>
          <cell r="F2176">
            <v>0</v>
          </cell>
          <cell r="G2176" t="str">
            <v>8</v>
          </cell>
          <cell r="H2176">
            <v>876</v>
          </cell>
          <cell r="I2176" t="str">
            <v>ФІЛІЯ АБ "ПІВДЕННИЙ" В М.КИЄВІ</v>
          </cell>
          <cell r="J2176" t="str">
            <v>ФАБ "ПІВДЕННИЙ" В М. Києві</v>
          </cell>
          <cell r="K2176" t="str">
            <v>UISI</v>
          </cell>
          <cell r="L2176" t="str">
            <v>UISI</v>
          </cell>
          <cell r="M2176">
            <v>26</v>
          </cell>
          <cell r="N2176">
            <v>15</v>
          </cell>
          <cell r="O2176" t="str">
            <v>ГУ НБУ по м.Києву і області</v>
          </cell>
        </row>
        <row r="2177">
          <cell r="A2177">
            <v>320939</v>
          </cell>
          <cell r="B2177">
            <v>322498</v>
          </cell>
          <cell r="D2177">
            <v>0</v>
          </cell>
          <cell r="E2177">
            <v>203</v>
          </cell>
          <cell r="F2177">
            <v>0</v>
          </cell>
          <cell r="G2177" t="str">
            <v>8</v>
          </cell>
          <cell r="H2177">
            <v>924</v>
          </cell>
          <cell r="I2177" t="str">
            <v>СВЯТОШИНСЬКА ФІЛІЯ АКБ "КИЇВ" М.КИЇВ</v>
          </cell>
          <cell r="J2177" t="str">
            <v>Святошинська філіяАКБ"Київ"</v>
          </cell>
          <cell r="K2177" t="str">
            <v>UIWV</v>
          </cell>
          <cell r="L2177" t="str">
            <v>UIWV</v>
          </cell>
          <cell r="M2177">
            <v>26</v>
          </cell>
          <cell r="N2177">
            <v>26</v>
          </cell>
          <cell r="O2177" t="str">
            <v>ГУ НБУ по м.Києву і області</v>
          </cell>
        </row>
        <row r="2178">
          <cell r="A2178">
            <v>320940</v>
          </cell>
          <cell r="B2178">
            <v>320940</v>
          </cell>
          <cell r="C2178" t="str">
            <v>ВАТ "БАНК КІПРУ"</v>
          </cell>
          <cell r="D2178">
            <v>43</v>
          </cell>
          <cell r="E2178">
            <v>43</v>
          </cell>
          <cell r="F2178">
            <v>0</v>
          </cell>
          <cell r="G2178" t="str">
            <v>8</v>
          </cell>
          <cell r="H2178">
            <v>941</v>
          </cell>
          <cell r="I2178" t="str">
            <v>ВАТ "БАНК КІПРУ"</v>
          </cell>
          <cell r="J2178" t="str">
            <v>ВАТ "БАНК КІПРУ"</v>
          </cell>
          <cell r="K2178" t="str">
            <v>UINC</v>
          </cell>
          <cell r="L2178" t="str">
            <v>UINC</v>
          </cell>
          <cell r="M2178">
            <v>26</v>
          </cell>
          <cell r="N2178">
            <v>26</v>
          </cell>
          <cell r="O2178" t="str">
            <v>ГУ НБУ по м.Києву і області</v>
          </cell>
        </row>
        <row r="2179">
          <cell r="A2179">
            <v>320951</v>
          </cell>
          <cell r="B2179">
            <v>303484</v>
          </cell>
          <cell r="D2179">
            <v>0</v>
          </cell>
          <cell r="E2179">
            <v>273</v>
          </cell>
          <cell r="F2179">
            <v>0</v>
          </cell>
          <cell r="G2179" t="str">
            <v>8</v>
          </cell>
          <cell r="H2179">
            <v>939</v>
          </cell>
          <cell r="I2179" t="str">
            <v>Київська філія КБ "Західінкомбанк"ТзОВ</v>
          </cell>
          <cell r="J2179" t="str">
            <v>КФ КБ "Західінкомбанк" ТзОВ</v>
          </cell>
          <cell r="K2179" t="str">
            <v>UIND</v>
          </cell>
          <cell r="L2179" t="str">
            <v>UIND</v>
          </cell>
          <cell r="M2179">
            <v>26</v>
          </cell>
          <cell r="N2179">
            <v>2</v>
          </cell>
          <cell r="O2179" t="str">
            <v>ГУ НБУ по м.Києву і області</v>
          </cell>
        </row>
        <row r="2180">
          <cell r="A2180">
            <v>320962</v>
          </cell>
          <cell r="B2180">
            <v>313849</v>
          </cell>
          <cell r="D2180">
            <v>0</v>
          </cell>
          <cell r="E2180">
            <v>101</v>
          </cell>
          <cell r="F2180">
            <v>0</v>
          </cell>
          <cell r="G2180" t="str">
            <v>8</v>
          </cell>
          <cell r="H2180">
            <v>884</v>
          </cell>
          <cell r="I2180" t="str">
            <v>Київська філія АКБ "ІНДУСТРІАЛБАНК"</v>
          </cell>
          <cell r="J2180" t="str">
            <v>КФ АКБ "ІНДУСТРІАЛБАНК"</v>
          </cell>
          <cell r="K2180" t="str">
            <v>UISP</v>
          </cell>
          <cell r="L2180" t="str">
            <v>UISP</v>
          </cell>
          <cell r="M2180">
            <v>26</v>
          </cell>
          <cell r="N2180">
            <v>7</v>
          </cell>
          <cell r="O2180" t="str">
            <v>ГУ НБУ по м.Києву і області</v>
          </cell>
        </row>
        <row r="2181">
          <cell r="A2181">
            <v>320973</v>
          </cell>
          <cell r="B2181">
            <v>320003</v>
          </cell>
          <cell r="D2181">
            <v>0</v>
          </cell>
          <cell r="E2181">
            <v>225</v>
          </cell>
          <cell r="F2181">
            <v>0</v>
          </cell>
          <cell r="G2181" t="str">
            <v>B</v>
          </cell>
          <cell r="H2181">
            <v>898</v>
          </cell>
          <cell r="I2181" t="str">
            <v>ШЕВЧЕНКІВСЬКА ФВАТ КБ"НАДРА" У М.КИЄВІ</v>
          </cell>
          <cell r="J2181" t="str">
            <v>ШФ ВАТ КБ "Надра"</v>
          </cell>
          <cell r="K2181" t="str">
            <v>UING</v>
          </cell>
          <cell r="L2181" t="str">
            <v>UING</v>
          </cell>
          <cell r="M2181">
            <v>26</v>
          </cell>
          <cell r="N2181">
            <v>26</v>
          </cell>
          <cell r="O2181" t="str">
            <v>ГУ НБУ по м.Києву і області</v>
          </cell>
        </row>
        <row r="2182">
          <cell r="A2182">
            <v>320984</v>
          </cell>
          <cell r="B2182">
            <v>320984</v>
          </cell>
          <cell r="C2182" t="str">
            <v>ЗАТ "ПроКредит БАНК"</v>
          </cell>
          <cell r="D2182">
            <v>298</v>
          </cell>
          <cell r="E2182">
            <v>298</v>
          </cell>
          <cell r="F2182">
            <v>0</v>
          </cell>
          <cell r="G2182" t="str">
            <v>9</v>
          </cell>
          <cell r="H2182">
            <v>958</v>
          </cell>
          <cell r="I2182" t="str">
            <v>ЗАТ "ПРОКРЕДИТ БАНК" У М.КИЄВІ</v>
          </cell>
          <cell r="J2182" t="str">
            <v>ЗАТ "ПроКредит БАНК"</v>
          </cell>
          <cell r="K2182" t="str">
            <v>UINF</v>
          </cell>
          <cell r="L2182" t="str">
            <v>UINF</v>
          </cell>
          <cell r="M2182">
            <v>26</v>
          </cell>
          <cell r="N2182">
            <v>26</v>
          </cell>
          <cell r="O2182" t="str">
            <v>ГУ НБУ по м.Києву і області</v>
          </cell>
        </row>
        <row r="2183">
          <cell r="A2183">
            <v>320995</v>
          </cell>
          <cell r="B2183">
            <v>320995</v>
          </cell>
          <cell r="C2183" t="str">
            <v>ВАТ "БГ БАНК"</v>
          </cell>
          <cell r="D2183">
            <v>228</v>
          </cell>
          <cell r="E2183">
            <v>228</v>
          </cell>
          <cell r="F2183">
            <v>0</v>
          </cell>
          <cell r="G2183" t="str">
            <v>B</v>
          </cell>
          <cell r="H2183">
            <v>946</v>
          </cell>
          <cell r="I2183" t="str">
            <v>ВАТ "БГ БАНК"</v>
          </cell>
          <cell r="J2183" t="str">
            <v>ВАТ "БГ БАНК"</v>
          </cell>
          <cell r="K2183" t="str">
            <v>UINJ</v>
          </cell>
          <cell r="L2183" t="str">
            <v>UINJ</v>
          </cell>
          <cell r="M2183">
            <v>26</v>
          </cell>
          <cell r="N2183">
            <v>26</v>
          </cell>
          <cell r="O2183" t="str">
            <v>ГУ НБУ по м.Києву і області</v>
          </cell>
        </row>
        <row r="2184">
          <cell r="A2184">
            <v>321024</v>
          </cell>
          <cell r="B2184">
            <v>300001</v>
          </cell>
          <cell r="D2184">
            <v>0</v>
          </cell>
          <cell r="E2184">
            <v>1</v>
          </cell>
          <cell r="F2184">
            <v>0</v>
          </cell>
          <cell r="G2184" t="str">
            <v>1</v>
          </cell>
          <cell r="H2184">
            <v>105</v>
          </cell>
          <cell r="I2184" t="str">
            <v>ГОЛОВНЕ УПР. НБУ ПО М.КИЄВУ І КИЇВ.ОБЛ</v>
          </cell>
          <cell r="J2184" t="str">
            <v>ГУ НБУ по м.Києву і області</v>
          </cell>
          <cell r="K2184" t="str">
            <v>UIHA</v>
          </cell>
          <cell r="L2184" t="str">
            <v>UIHA</v>
          </cell>
          <cell r="M2184">
            <v>26</v>
          </cell>
          <cell r="N2184">
            <v>27</v>
          </cell>
          <cell r="O2184" t="str">
            <v>ГУ НБУ по м.Києву і області</v>
          </cell>
        </row>
        <row r="2185">
          <cell r="A2185">
            <v>321057</v>
          </cell>
          <cell r="B2185">
            <v>300012</v>
          </cell>
          <cell r="D2185">
            <v>0</v>
          </cell>
          <cell r="E2185">
            <v>3</v>
          </cell>
          <cell r="F2185">
            <v>0</v>
          </cell>
          <cell r="G2185" t="str">
            <v>3</v>
          </cell>
          <cell r="H2185">
            <v>313</v>
          </cell>
          <cell r="I2185" t="str">
            <v>Ф-Я"ВІД.ПІБ В М.БІЛА ЦЕРКВА КИЇВ.ОБЛ."</v>
          </cell>
          <cell r="J2185" t="str">
            <v>Ф-Я ВІД.ПІБ В М.Б.ЦЕРКВА</v>
          </cell>
          <cell r="K2185" t="str">
            <v>UJAD</v>
          </cell>
          <cell r="L2185" t="str">
            <v>UJA0</v>
          </cell>
          <cell r="M2185">
            <v>9</v>
          </cell>
          <cell r="N2185">
            <v>26</v>
          </cell>
        </row>
        <row r="2186">
          <cell r="A2186">
            <v>321121</v>
          </cell>
          <cell r="B2186">
            <v>300335</v>
          </cell>
          <cell r="D2186">
            <v>0</v>
          </cell>
          <cell r="E2186">
            <v>36</v>
          </cell>
          <cell r="F2186">
            <v>0</v>
          </cell>
          <cell r="G2186" t="str">
            <v>7</v>
          </cell>
          <cell r="H2186">
            <v>795</v>
          </cell>
          <cell r="I2186" t="str">
            <v>БЦФ "РАЙФФАЙЗЕН БАНК АВАЛЬ",М.Б.ЦЕРКВА</v>
          </cell>
          <cell r="J2186" t="str">
            <v>БЦФ "РАЙФФАЙЗЕН БАНК АВАЛЬ"</v>
          </cell>
          <cell r="K2186" t="str">
            <v>UJIT</v>
          </cell>
          <cell r="L2186" t="str">
            <v>UJIT</v>
          </cell>
          <cell r="M2186">
            <v>9</v>
          </cell>
          <cell r="N2186">
            <v>26</v>
          </cell>
        </row>
        <row r="2187">
          <cell r="A2187">
            <v>321143</v>
          </cell>
          <cell r="B2187">
            <v>300012</v>
          </cell>
          <cell r="D2187">
            <v>0</v>
          </cell>
          <cell r="E2187">
            <v>3</v>
          </cell>
          <cell r="F2187">
            <v>0</v>
          </cell>
          <cell r="G2187" t="str">
            <v>3</v>
          </cell>
          <cell r="H2187">
            <v>335</v>
          </cell>
          <cell r="I2187" t="str">
            <v>Ф."ВІД.ПІБ В М.ВИШГОРОД КИЇВСЬКОЇ ОБЛ"</v>
          </cell>
          <cell r="J2187" t="str">
            <v>Ф.ВІД.ПІБ В М.ВИШГОРОД КИЇВ</v>
          </cell>
          <cell r="K2187" t="str">
            <v>UJAI</v>
          </cell>
          <cell r="L2187" t="str">
            <v>UJA0</v>
          </cell>
          <cell r="M2187">
            <v>9</v>
          </cell>
          <cell r="N2187">
            <v>26</v>
          </cell>
        </row>
        <row r="2188">
          <cell r="A2188">
            <v>321154</v>
          </cell>
          <cell r="B2188">
            <v>300012</v>
          </cell>
          <cell r="D2188">
            <v>0</v>
          </cell>
          <cell r="E2188">
            <v>3</v>
          </cell>
          <cell r="F2188">
            <v>0</v>
          </cell>
          <cell r="G2188" t="str">
            <v>3</v>
          </cell>
          <cell r="H2188">
            <v>323</v>
          </cell>
          <cell r="I2188" t="str">
            <v>Ф-Я"ВІД.ПІБ В М.СЛАВУТИЧ КИЇВСЬК.ОБЛ."</v>
          </cell>
          <cell r="J2188" t="str">
            <v>Ф-я "ВІД.ПІБ В М.СЛАВУТИЧ"</v>
          </cell>
          <cell r="K2188" t="str">
            <v>UJAG</v>
          </cell>
          <cell r="L2188" t="str">
            <v>UJA0</v>
          </cell>
          <cell r="M2188">
            <v>9</v>
          </cell>
          <cell r="N2188">
            <v>26</v>
          </cell>
        </row>
        <row r="2189">
          <cell r="A2189">
            <v>321228</v>
          </cell>
          <cell r="B2189">
            <v>321228</v>
          </cell>
          <cell r="C2189" t="str">
            <v>TОB "УКРПРОМБАНК"</v>
          </cell>
          <cell r="D2189">
            <v>68</v>
          </cell>
          <cell r="E2189">
            <v>68</v>
          </cell>
          <cell r="F2189">
            <v>0</v>
          </cell>
          <cell r="G2189" t="str">
            <v>8</v>
          </cell>
          <cell r="H2189">
            <v>750</v>
          </cell>
          <cell r="I2189" t="str">
            <v>ТОВ "УКРПРОМБАНК" У М.КИЄВІ</v>
          </cell>
          <cell r="J2189" t="str">
            <v>TОB "УКРПРОМБАНК"</v>
          </cell>
          <cell r="K2189" t="str">
            <v>UIWC</v>
          </cell>
          <cell r="L2189" t="str">
            <v>UIWC</v>
          </cell>
          <cell r="M2189">
            <v>26</v>
          </cell>
          <cell r="N2189">
            <v>26</v>
          </cell>
          <cell r="O2189" t="str">
            <v>ГУ НБУ по м.Києву і області</v>
          </cell>
        </row>
        <row r="2190">
          <cell r="A2190">
            <v>321262</v>
          </cell>
          <cell r="B2190">
            <v>300012</v>
          </cell>
          <cell r="D2190">
            <v>0</v>
          </cell>
          <cell r="E2190">
            <v>3</v>
          </cell>
          <cell r="F2190">
            <v>0</v>
          </cell>
          <cell r="G2190" t="str">
            <v>3</v>
          </cell>
          <cell r="H2190">
            <v>305</v>
          </cell>
          <cell r="I2190" t="str">
            <v>Ф-Я"ВІД.ПІБ В М.УКРАЇНКА КИЇВСЬК.ОБЛ."</v>
          </cell>
          <cell r="J2190" t="str">
            <v>Ф-Я ВІД.ПІБ В М.УКРАЇНКА</v>
          </cell>
          <cell r="K2190" t="str">
            <v>UJAB</v>
          </cell>
          <cell r="L2190" t="str">
            <v>UJA0</v>
          </cell>
          <cell r="M2190">
            <v>9</v>
          </cell>
          <cell r="N2190">
            <v>26</v>
          </cell>
        </row>
        <row r="2191">
          <cell r="A2191">
            <v>321284</v>
          </cell>
          <cell r="B2191">
            <v>300078</v>
          </cell>
          <cell r="D2191">
            <v>0</v>
          </cell>
          <cell r="E2191">
            <v>15</v>
          </cell>
          <cell r="F2191">
            <v>0</v>
          </cell>
          <cell r="G2191" t="str">
            <v>8</v>
          </cell>
          <cell r="H2191">
            <v>756</v>
          </cell>
          <cell r="I2191" t="str">
            <v>Ф-Я КИЇВ. АТ "ГРАДОБАНК" В М. СЛАВУТИЧ</v>
          </cell>
          <cell r="J2191" t="str">
            <v>ФАТ  "ГРАДОБАНК"  Славутич</v>
          </cell>
          <cell r="K2191" t="str">
            <v>UJIE</v>
          </cell>
          <cell r="L2191" t="str">
            <v>UJIE</v>
          </cell>
          <cell r="M2191">
            <v>9</v>
          </cell>
          <cell r="N2191">
            <v>26</v>
          </cell>
        </row>
        <row r="2192">
          <cell r="A2192">
            <v>321325</v>
          </cell>
          <cell r="B2192">
            <v>321767</v>
          </cell>
          <cell r="D2192">
            <v>0</v>
          </cell>
          <cell r="E2192">
            <v>42</v>
          </cell>
          <cell r="F2192">
            <v>0</v>
          </cell>
          <cell r="G2192" t="str">
            <v>B</v>
          </cell>
          <cell r="H2192">
            <v>917</v>
          </cell>
          <cell r="I2192" t="str">
            <v>БІЛОЦЕР. Ф ВАТ ВТБ БАНК, М. Б. ЦЕРКВА</v>
          </cell>
          <cell r="J2192" t="str">
            <v>Білоцерк. Ф ВАТ ВТБ Банк</v>
          </cell>
          <cell r="K2192" t="str">
            <v>UJIG</v>
          </cell>
          <cell r="L2192" t="str">
            <v>UJIG</v>
          </cell>
          <cell r="M2192">
            <v>9</v>
          </cell>
          <cell r="N2192">
            <v>26</v>
          </cell>
        </row>
        <row r="2193">
          <cell r="A2193">
            <v>321422</v>
          </cell>
          <cell r="B2193">
            <v>300012</v>
          </cell>
          <cell r="D2193">
            <v>0</v>
          </cell>
          <cell r="E2193">
            <v>3</v>
          </cell>
          <cell r="F2193">
            <v>0</v>
          </cell>
          <cell r="G2193" t="str">
            <v>3</v>
          </cell>
          <cell r="H2193">
            <v>321</v>
          </cell>
          <cell r="I2193" t="str">
            <v>Ф-Я"ВІД.ПІБ В М.ФАСТІВ КИЇВСЬКОЇ ОБЛ."</v>
          </cell>
          <cell r="J2193" t="str">
            <v>Ф.ВІД.ПІБ В М.ФАСТІВ,КИЇВ</v>
          </cell>
          <cell r="K2193" t="str">
            <v>UJAF</v>
          </cell>
          <cell r="L2193" t="str">
            <v>UJA0</v>
          </cell>
          <cell r="M2193">
            <v>9</v>
          </cell>
          <cell r="N2193">
            <v>26</v>
          </cell>
        </row>
        <row r="2194">
          <cell r="A2194">
            <v>321433</v>
          </cell>
          <cell r="B2194">
            <v>300012</v>
          </cell>
          <cell r="D2194">
            <v>0</v>
          </cell>
          <cell r="E2194">
            <v>3</v>
          </cell>
          <cell r="F2194">
            <v>0</v>
          </cell>
          <cell r="G2194" t="str">
            <v>3</v>
          </cell>
          <cell r="H2194">
            <v>306</v>
          </cell>
          <cell r="I2194" t="str">
            <v>Ф-Я."ВІД.ПІБ В М.БРОВАРИ КИЇВСЬК.ОБЛ."</v>
          </cell>
          <cell r="J2194" t="str">
            <v>Ф. ВІД.ПІБ в м.Бровари</v>
          </cell>
          <cell r="K2194" t="str">
            <v>UJAC</v>
          </cell>
          <cell r="L2194" t="str">
            <v>UJA0</v>
          </cell>
          <cell r="M2194">
            <v>9</v>
          </cell>
          <cell r="N2194">
            <v>26</v>
          </cell>
        </row>
        <row r="2195">
          <cell r="A2195">
            <v>321466</v>
          </cell>
          <cell r="B2195">
            <v>321466</v>
          </cell>
          <cell r="C2195" t="str">
            <v>ВАТКБ"Національний стандарт</v>
          </cell>
          <cell r="D2195">
            <v>74</v>
          </cell>
          <cell r="E2195">
            <v>74</v>
          </cell>
          <cell r="F2195">
            <v>0</v>
          </cell>
          <cell r="G2195" t="str">
            <v>8</v>
          </cell>
          <cell r="H2195">
            <v>758</v>
          </cell>
          <cell r="I2195" t="str">
            <v>ВАТ КБ "НАЦІОНАЛЬНИЙ СТАНДАРТ", М.КИЇВ</v>
          </cell>
          <cell r="J2195" t="str">
            <v>ВАТКБ"Національний стандарт</v>
          </cell>
          <cell r="K2195" t="str">
            <v>UIWD</v>
          </cell>
          <cell r="L2195" t="str">
            <v>UIWD</v>
          </cell>
          <cell r="M2195">
            <v>26</v>
          </cell>
          <cell r="N2195">
            <v>26</v>
          </cell>
          <cell r="O2195" t="str">
            <v>ГУ НБУ по м.Києву і області</v>
          </cell>
        </row>
        <row r="2196">
          <cell r="A2196">
            <v>321477</v>
          </cell>
          <cell r="B2196">
            <v>321477</v>
          </cell>
          <cell r="C2196" t="str">
            <v>АБ "Старокиївський банк"</v>
          </cell>
          <cell r="D2196">
            <v>75</v>
          </cell>
          <cell r="E2196">
            <v>75</v>
          </cell>
          <cell r="F2196">
            <v>0</v>
          </cell>
          <cell r="G2196" t="str">
            <v>8</v>
          </cell>
          <cell r="H2196">
            <v>733</v>
          </cell>
          <cell r="I2196" t="str">
            <v>АБ "СТАРОКИЇВСЬКИЙ БАНК" У М.КИЄВІ</v>
          </cell>
          <cell r="J2196" t="str">
            <v>АБ "Старокиївський банк"</v>
          </cell>
          <cell r="K2196" t="str">
            <v>UIJI</v>
          </cell>
          <cell r="L2196" t="str">
            <v>UIJI</v>
          </cell>
          <cell r="M2196">
            <v>26</v>
          </cell>
          <cell r="N2196">
            <v>26</v>
          </cell>
          <cell r="O2196" t="str">
            <v>ГУ НБУ по м.Києву і області</v>
          </cell>
        </row>
        <row r="2197">
          <cell r="A2197">
            <v>321637</v>
          </cell>
          <cell r="B2197">
            <v>380537</v>
          </cell>
          <cell r="D2197">
            <v>0</v>
          </cell>
          <cell r="E2197">
            <v>76</v>
          </cell>
          <cell r="F2197">
            <v>0</v>
          </cell>
          <cell r="G2197" t="str">
            <v>B</v>
          </cell>
          <cell r="H2197">
            <v>762</v>
          </cell>
          <cell r="I2197" t="str">
            <v>ПЕРША КИЇВ.ФІЛ.ВАТ"ВІЕЙБІ БАНК",М.КИЇВ</v>
          </cell>
          <cell r="J2197" t="str">
            <v>Перша Київ.ФВАТ"ВіЕйБіБанк"</v>
          </cell>
          <cell r="K2197" t="str">
            <v>UIJJ</v>
          </cell>
          <cell r="L2197" t="str">
            <v>UIJJ</v>
          </cell>
          <cell r="M2197">
            <v>26</v>
          </cell>
          <cell r="N2197">
            <v>26</v>
          </cell>
          <cell r="O2197" t="str">
            <v>ГУ НБУ по м.Києву і області</v>
          </cell>
        </row>
        <row r="2198">
          <cell r="A2198">
            <v>321659</v>
          </cell>
          <cell r="B2198">
            <v>321659</v>
          </cell>
          <cell r="C2198" t="str">
            <v>АБ "АЛЛОНЖ"</v>
          </cell>
          <cell r="D2198">
            <v>156</v>
          </cell>
          <cell r="E2198">
            <v>156</v>
          </cell>
          <cell r="F2198">
            <v>0</v>
          </cell>
          <cell r="G2198" t="str">
            <v>8</v>
          </cell>
          <cell r="H2198">
            <v>777</v>
          </cell>
          <cell r="I2198" t="str">
            <v>АКЦІОНЕРНИЙ БАНК "АЛЛОНЖ" ,М.КИЇВ</v>
          </cell>
          <cell r="J2198" t="str">
            <v>АБ "АЛЛОНЖ"</v>
          </cell>
          <cell r="K2198" t="str">
            <v>UIJZ</v>
          </cell>
          <cell r="L2198" t="str">
            <v>UIJZ</v>
          </cell>
          <cell r="M2198">
            <v>26</v>
          </cell>
          <cell r="N2198">
            <v>26</v>
          </cell>
          <cell r="O2198" t="str">
            <v>ГУ НБУ по м.Києву і області</v>
          </cell>
        </row>
        <row r="2199">
          <cell r="A2199">
            <v>321712</v>
          </cell>
          <cell r="B2199">
            <v>321712</v>
          </cell>
          <cell r="C2199" t="str">
            <v>ВАТ "РОДОВІД БАНК"</v>
          </cell>
          <cell r="D2199">
            <v>66</v>
          </cell>
          <cell r="E2199">
            <v>66</v>
          </cell>
          <cell r="F2199">
            <v>0</v>
          </cell>
          <cell r="G2199" t="str">
            <v>B</v>
          </cell>
          <cell r="H2199">
            <v>712</v>
          </cell>
          <cell r="I2199" t="str">
            <v>ВАТ"РОДОВІД БАНК" КИЇВ</v>
          </cell>
          <cell r="J2199" t="str">
            <v>ВАТ "РОДОВІД БАНК"</v>
          </cell>
          <cell r="K2199" t="str">
            <v>UIIM</v>
          </cell>
          <cell r="L2199" t="str">
            <v>UIIM</v>
          </cell>
          <cell r="M2199">
            <v>26</v>
          </cell>
          <cell r="N2199">
            <v>26</v>
          </cell>
          <cell r="O2199" t="str">
            <v>ГУ НБУ по м.Києву і області</v>
          </cell>
        </row>
        <row r="2200">
          <cell r="A2200">
            <v>321723</v>
          </cell>
          <cell r="B2200">
            <v>321723</v>
          </cell>
          <cell r="C2200" t="str">
            <v>ВАТ "БТА Банк"</v>
          </cell>
          <cell r="D2200">
            <v>129</v>
          </cell>
          <cell r="E2200">
            <v>129</v>
          </cell>
          <cell r="F2200">
            <v>0</v>
          </cell>
          <cell r="G2200" t="str">
            <v>8</v>
          </cell>
          <cell r="H2200">
            <v>771</v>
          </cell>
          <cell r="I2200" t="str">
            <v>ВАТ "БТА БАНК", М.КИЇВ</v>
          </cell>
          <cell r="J2200" t="str">
            <v>ВАТ "БТА Банк"</v>
          </cell>
          <cell r="K2200" t="str">
            <v>UIJU</v>
          </cell>
          <cell r="L2200" t="str">
            <v>UIJU</v>
          </cell>
          <cell r="M2200">
            <v>26</v>
          </cell>
          <cell r="N2200">
            <v>26</v>
          </cell>
          <cell r="O2200" t="str">
            <v>ГУ НБУ по м.Києву і області</v>
          </cell>
        </row>
        <row r="2201">
          <cell r="A2201">
            <v>321756</v>
          </cell>
          <cell r="B2201">
            <v>300142</v>
          </cell>
          <cell r="D2201">
            <v>0</v>
          </cell>
          <cell r="E2201">
            <v>18</v>
          </cell>
          <cell r="F2201">
            <v>0</v>
          </cell>
          <cell r="G2201" t="str">
            <v>8</v>
          </cell>
          <cell r="H2201">
            <v>787</v>
          </cell>
          <cell r="I2201" t="str">
            <v>СВЯТОШИНСЬКА ФАТ"УКРІНБАНК" М.КИЇВ</v>
          </cell>
          <cell r="J2201" t="str">
            <v>Святошинська ФАТ"Укрінбанк"</v>
          </cell>
          <cell r="K2201" t="str">
            <v>UIJT</v>
          </cell>
          <cell r="L2201" t="str">
            <v>UIJT</v>
          </cell>
          <cell r="M2201">
            <v>26</v>
          </cell>
          <cell r="N2201">
            <v>26</v>
          </cell>
          <cell r="O2201" t="str">
            <v>ГУ НБУ по м.Києву і області</v>
          </cell>
        </row>
        <row r="2202">
          <cell r="A2202">
            <v>321767</v>
          </cell>
          <cell r="B2202">
            <v>321767</v>
          </cell>
          <cell r="C2202" t="str">
            <v>ВАТ ВТБ БАНК</v>
          </cell>
          <cell r="D2202">
            <v>42</v>
          </cell>
          <cell r="E2202">
            <v>42</v>
          </cell>
          <cell r="F2202">
            <v>0</v>
          </cell>
          <cell r="G2202" t="str">
            <v>B</v>
          </cell>
          <cell r="H2202">
            <v>775</v>
          </cell>
          <cell r="I2202" t="str">
            <v>ВАТ ВТБ БАНК  В М.КИЄВІ</v>
          </cell>
          <cell r="J2202" t="str">
            <v>ВАТ ВТБ БАНК</v>
          </cell>
          <cell r="K2202" t="str">
            <v>UIJR</v>
          </cell>
          <cell r="L2202" t="str">
            <v>UIJR</v>
          </cell>
          <cell r="M2202">
            <v>26</v>
          </cell>
          <cell r="N2202">
            <v>26</v>
          </cell>
          <cell r="O2202" t="str">
            <v>ГУ НБУ по м.Києву і області</v>
          </cell>
        </row>
        <row r="2203">
          <cell r="A2203">
            <v>321808</v>
          </cell>
          <cell r="B2203">
            <v>300142</v>
          </cell>
          <cell r="D2203">
            <v>0</v>
          </cell>
          <cell r="E2203">
            <v>18</v>
          </cell>
          <cell r="F2203">
            <v>0</v>
          </cell>
          <cell r="G2203" t="str">
            <v>8</v>
          </cell>
          <cell r="H2203">
            <v>776</v>
          </cell>
          <cell r="I2203" t="str">
            <v>БРОВАРСЬКА ФАТ"УКРІНБАНК" М.БРОВАРИ</v>
          </cell>
          <cell r="J2203" t="str">
            <v>Броварська ФАТ"Укрінбанк"</v>
          </cell>
          <cell r="K2203" t="str">
            <v>UJIR</v>
          </cell>
          <cell r="L2203" t="str">
            <v>UJIR</v>
          </cell>
          <cell r="M2203">
            <v>9</v>
          </cell>
          <cell r="N2203">
            <v>26</v>
          </cell>
        </row>
        <row r="2204">
          <cell r="A2204">
            <v>321842</v>
          </cell>
          <cell r="B2204">
            <v>305299</v>
          </cell>
          <cell r="D2204">
            <v>0</v>
          </cell>
          <cell r="E2204">
            <v>46</v>
          </cell>
          <cell r="F2204">
            <v>0</v>
          </cell>
          <cell r="G2204" t="str">
            <v>A</v>
          </cell>
          <cell r="H2204">
            <v>770</v>
          </cell>
          <cell r="I2204" t="str">
            <v>КИЇВСЬКЕ ГРУ ПРИВАТБАНКУ ,М. КИЇВ</v>
          </cell>
          <cell r="J2204" t="str">
            <v>КИЇВСЬКЕ ГРУ ПРИВАТБАНКУ</v>
          </cell>
          <cell r="K2204" t="str">
            <v>UIJN</v>
          </cell>
          <cell r="L2204" t="str">
            <v>UIJN</v>
          </cell>
          <cell r="M2204">
            <v>26</v>
          </cell>
          <cell r="N2204">
            <v>3</v>
          </cell>
          <cell r="O2204" t="str">
            <v>ГУ НБУ по м.Києву і області</v>
          </cell>
        </row>
        <row r="2205">
          <cell r="A2205">
            <v>321897</v>
          </cell>
          <cell r="B2205">
            <v>325912</v>
          </cell>
          <cell r="D2205">
            <v>0</v>
          </cell>
          <cell r="E2205">
            <v>88</v>
          </cell>
          <cell r="F2205">
            <v>0</v>
          </cell>
          <cell r="G2205" t="str">
            <v>B</v>
          </cell>
          <cell r="H2205">
            <v>805</v>
          </cell>
          <cell r="I2205" t="str">
            <v>Київська філія ВАТ "КРЕДОБАНК"</v>
          </cell>
          <cell r="J2205" t="str">
            <v>Київська Ф-я ВАТ"КРЕДОБАНК"</v>
          </cell>
          <cell r="K2205" t="str">
            <v>UIKB</v>
          </cell>
          <cell r="L2205" t="str">
            <v>UIKB</v>
          </cell>
          <cell r="M2205">
            <v>26</v>
          </cell>
          <cell r="N2205">
            <v>13</v>
          </cell>
          <cell r="O2205" t="str">
            <v>ГУ НБУ по м.Києву і області</v>
          </cell>
        </row>
        <row r="2206">
          <cell r="A2206">
            <v>321916</v>
          </cell>
          <cell r="B2206">
            <v>331100</v>
          </cell>
          <cell r="D2206">
            <v>0</v>
          </cell>
          <cell r="E2206">
            <v>198</v>
          </cell>
          <cell r="F2206">
            <v>0</v>
          </cell>
          <cell r="G2206" t="str">
            <v>8</v>
          </cell>
          <cell r="H2206">
            <v>833</v>
          </cell>
          <cell r="I2206" t="str">
            <v>БФВАТ"АКБ  АВТОКРАЗБАНК" М.БІЛА ЦЕРКВА</v>
          </cell>
          <cell r="J2206" t="str">
            <v>БФ "ВАТ АКБ АВТОКРАЗБАНК"</v>
          </cell>
          <cell r="K2206" t="str">
            <v>UJIK</v>
          </cell>
          <cell r="L2206" t="str">
            <v>UJIK</v>
          </cell>
          <cell r="M2206">
            <v>9</v>
          </cell>
          <cell r="N2206">
            <v>16</v>
          </cell>
        </row>
        <row r="2207">
          <cell r="A2207">
            <v>321983</v>
          </cell>
          <cell r="B2207">
            <v>321983</v>
          </cell>
          <cell r="C2207" t="str">
            <v>АКБ "ПРАВЕКС-БАНК"</v>
          </cell>
          <cell r="D2207">
            <v>153</v>
          </cell>
          <cell r="E2207">
            <v>153</v>
          </cell>
          <cell r="F2207">
            <v>0</v>
          </cell>
          <cell r="G2207" t="str">
            <v>9</v>
          </cell>
          <cell r="H2207">
            <v>768</v>
          </cell>
          <cell r="I2207" t="str">
            <v>АКБ  "ПРАВЕКС-БАНК", М.КИЇВ</v>
          </cell>
          <cell r="J2207" t="str">
            <v>АКБ "ПРАВЕКС-БАНК"</v>
          </cell>
          <cell r="K2207" t="str">
            <v>UIWE</v>
          </cell>
          <cell r="L2207" t="str">
            <v>UIWE</v>
          </cell>
          <cell r="M2207">
            <v>26</v>
          </cell>
          <cell r="N2207">
            <v>26</v>
          </cell>
          <cell r="O2207" t="str">
            <v>ГУ НБУ по м.Києву і області</v>
          </cell>
        </row>
        <row r="2208">
          <cell r="A2208">
            <v>322001</v>
          </cell>
          <cell r="B2208">
            <v>322001</v>
          </cell>
          <cell r="C2208" t="str">
            <v>ВАТ "УНІВЕРСАЛ БАНК"</v>
          </cell>
          <cell r="D2208">
            <v>242</v>
          </cell>
          <cell r="E2208">
            <v>242</v>
          </cell>
          <cell r="F2208">
            <v>0</v>
          </cell>
          <cell r="G2208" t="str">
            <v>B</v>
          </cell>
          <cell r="H2208">
            <v>603</v>
          </cell>
          <cell r="I2208" t="str">
            <v>ВАТ "УНІВЕРСАЛ БАНК"</v>
          </cell>
          <cell r="J2208" t="str">
            <v>ВАТ "УНІВЕРСАЛ БАНК"</v>
          </cell>
          <cell r="K2208" t="str">
            <v>UIFZ</v>
          </cell>
          <cell r="L2208" t="str">
            <v>UIFZ</v>
          </cell>
          <cell r="M2208">
            <v>26</v>
          </cell>
          <cell r="N2208">
            <v>26</v>
          </cell>
          <cell r="O2208" t="str">
            <v>ГУ НБУ по м.Києву і області</v>
          </cell>
        </row>
        <row r="2209">
          <cell r="A2209">
            <v>322012</v>
          </cell>
          <cell r="B2209">
            <v>300023</v>
          </cell>
          <cell r="D2209">
            <v>0</v>
          </cell>
          <cell r="E2209">
            <v>5</v>
          </cell>
          <cell r="F2209">
            <v>0</v>
          </cell>
          <cell r="G2209" t="str">
            <v>5</v>
          </cell>
          <cell r="H2209">
            <v>510</v>
          </cell>
          <cell r="I2209" t="str">
            <v>КМФ АКБ "УСБ"М.КИЇВ</v>
          </cell>
          <cell r="J2209" t="str">
            <v>КМФ АКБ "УСБ"</v>
          </cell>
          <cell r="K2209" t="str">
            <v>UICA</v>
          </cell>
          <cell r="L2209" t="str">
            <v>UICA</v>
          </cell>
          <cell r="M2209">
            <v>26</v>
          </cell>
          <cell r="N2209">
            <v>26</v>
          </cell>
          <cell r="O2209" t="str">
            <v>ГУ НБУ по м.Києву і області</v>
          </cell>
        </row>
        <row r="2210">
          <cell r="A2210">
            <v>322067</v>
          </cell>
          <cell r="B2210">
            <v>300012</v>
          </cell>
          <cell r="D2210">
            <v>0</v>
          </cell>
          <cell r="E2210">
            <v>3</v>
          </cell>
          <cell r="F2210">
            <v>0</v>
          </cell>
          <cell r="G2210" t="str">
            <v>3</v>
          </cell>
          <cell r="H2210">
            <v>355</v>
          </cell>
          <cell r="I2210" t="str">
            <v>ФІЛІЯ "ЖОВТНЕВЕ ВІД.ПІБ В М.КИЇВ"</v>
          </cell>
          <cell r="J2210" t="str">
            <v>Ф.ЖОВТНЕВЕ ВІД.ПІБ В М.КИЇВ</v>
          </cell>
          <cell r="K2210" t="str">
            <v>UIAN</v>
          </cell>
          <cell r="L2210" t="str">
            <v>UIA0</v>
          </cell>
          <cell r="M2210">
            <v>26</v>
          </cell>
          <cell r="N2210">
            <v>26</v>
          </cell>
          <cell r="O2210" t="str">
            <v>ГУ НБУ по м.Києву і області</v>
          </cell>
        </row>
        <row r="2211">
          <cell r="A2211">
            <v>322108</v>
          </cell>
          <cell r="B2211">
            <v>300012</v>
          </cell>
          <cell r="D2211">
            <v>0</v>
          </cell>
          <cell r="E2211">
            <v>3</v>
          </cell>
          <cell r="F2211">
            <v>0</v>
          </cell>
          <cell r="G2211" t="str">
            <v>3</v>
          </cell>
          <cell r="H2211">
            <v>314</v>
          </cell>
          <cell r="I2211" t="str">
            <v>ФІЛІЯ "ЛЕНІНГРАДСЬКЕ ВІД.ПІБ В М.КИЇВ"</v>
          </cell>
          <cell r="J2211" t="str">
            <v>Ф.ЛЕНІНГР.ВІД.ПІБ В М.КИЇВ</v>
          </cell>
          <cell r="K2211" t="str">
            <v>UIAB</v>
          </cell>
          <cell r="L2211" t="str">
            <v>UIA0</v>
          </cell>
          <cell r="M2211">
            <v>26</v>
          </cell>
          <cell r="N2211">
            <v>26</v>
          </cell>
          <cell r="O2211" t="str">
            <v>ГУ НБУ по м.Києву і області</v>
          </cell>
        </row>
        <row r="2212">
          <cell r="A2212">
            <v>322119</v>
          </cell>
          <cell r="B2212">
            <v>300012</v>
          </cell>
          <cell r="D2212">
            <v>0</v>
          </cell>
          <cell r="E2212">
            <v>3</v>
          </cell>
          <cell r="F2212">
            <v>0</v>
          </cell>
          <cell r="G2212" t="str">
            <v>3</v>
          </cell>
          <cell r="H2212">
            <v>315</v>
          </cell>
          <cell r="I2212" t="str">
            <v>ФІЛІЯ "ЛІВОБЕРЕЖНЕ ВІД.ПІБ В М.КИЇВ"</v>
          </cell>
          <cell r="J2212" t="str">
            <v>Ф.ЛІВОБЕРЕЖ.ВІД.ПІБ,М.КИЇВ</v>
          </cell>
          <cell r="K2212" t="str">
            <v>UIAC</v>
          </cell>
          <cell r="L2212" t="str">
            <v>UIA0</v>
          </cell>
          <cell r="M2212">
            <v>26</v>
          </cell>
          <cell r="N2212">
            <v>26</v>
          </cell>
          <cell r="O2212" t="str">
            <v>ГУ НБУ по м.Києву і області</v>
          </cell>
        </row>
        <row r="2213">
          <cell r="A2213">
            <v>322142</v>
          </cell>
          <cell r="B2213">
            <v>300012</v>
          </cell>
          <cell r="D2213">
            <v>0</v>
          </cell>
          <cell r="E2213">
            <v>3</v>
          </cell>
          <cell r="F2213">
            <v>0</v>
          </cell>
          <cell r="G2213" t="str">
            <v>3</v>
          </cell>
          <cell r="H2213">
            <v>318</v>
          </cell>
          <cell r="I2213" t="str">
            <v>ФІЛІЯ "ДНІПРОВСЬКЕ ВІД.ПІБ В М.КИЇВ"</v>
          </cell>
          <cell r="J2213" t="str">
            <v>Ф.ДНІПРОВ.ВІД.ПІБ В М.КИЇВ</v>
          </cell>
          <cell r="K2213" t="str">
            <v>UIAD</v>
          </cell>
          <cell r="L2213" t="str">
            <v>UIA0</v>
          </cell>
          <cell r="M2213">
            <v>26</v>
          </cell>
          <cell r="N2213">
            <v>26</v>
          </cell>
          <cell r="O2213" t="str">
            <v>ГУ НБУ по м.Києву і області</v>
          </cell>
        </row>
        <row r="2214">
          <cell r="A2214">
            <v>322153</v>
          </cell>
          <cell r="B2214">
            <v>300012</v>
          </cell>
          <cell r="D2214">
            <v>0</v>
          </cell>
          <cell r="E2214">
            <v>3</v>
          </cell>
          <cell r="F2214">
            <v>0</v>
          </cell>
          <cell r="G2214" t="str">
            <v>3</v>
          </cell>
          <cell r="H2214">
            <v>319</v>
          </cell>
          <cell r="I2214" t="str">
            <v>ФІЛІЯ "ЗАЛІЗНИЧНЕ ВІД.ПІБ В М.КИЇВ"</v>
          </cell>
          <cell r="J2214" t="str">
            <v>Ф.ЗАЛІЗНИЧ.ВІД.ПІБ В М.КИЇВ</v>
          </cell>
          <cell r="K2214" t="str">
            <v>UIAE</v>
          </cell>
          <cell r="L2214" t="str">
            <v>UIA0</v>
          </cell>
          <cell r="M2214">
            <v>26</v>
          </cell>
          <cell r="N2214">
            <v>26</v>
          </cell>
          <cell r="O2214" t="str">
            <v>ГУ НБУ по м.Києву і області</v>
          </cell>
        </row>
        <row r="2215">
          <cell r="A2215">
            <v>322175</v>
          </cell>
          <cell r="B2215">
            <v>300012</v>
          </cell>
          <cell r="D2215">
            <v>0</v>
          </cell>
          <cell r="E2215">
            <v>3</v>
          </cell>
          <cell r="F2215">
            <v>0</v>
          </cell>
          <cell r="G2215" t="str">
            <v>3</v>
          </cell>
          <cell r="H2215">
            <v>324</v>
          </cell>
          <cell r="I2215" t="str">
            <v>ФІЛІЯ "МОСКОВСЬКЕ ВІД.ПІБ В М.КИЇВ"</v>
          </cell>
          <cell r="J2215" t="str">
            <v>Ф.МОСКОВСЬКЕ ВІД.ПІБ,М.КИЇВ</v>
          </cell>
          <cell r="K2215" t="str">
            <v>UIAF</v>
          </cell>
          <cell r="L2215" t="str">
            <v>UIA0</v>
          </cell>
          <cell r="M2215">
            <v>26</v>
          </cell>
          <cell r="N2215">
            <v>26</v>
          </cell>
          <cell r="O2215" t="str">
            <v>ГУ НБУ по м.Києву і області</v>
          </cell>
        </row>
        <row r="2216">
          <cell r="A2216">
            <v>322197</v>
          </cell>
          <cell r="B2216">
            <v>300012</v>
          </cell>
          <cell r="D2216">
            <v>0</v>
          </cell>
          <cell r="E2216">
            <v>3</v>
          </cell>
          <cell r="F2216">
            <v>0</v>
          </cell>
          <cell r="G2216" t="str">
            <v>3</v>
          </cell>
          <cell r="H2216">
            <v>342</v>
          </cell>
          <cell r="I2216" t="str">
            <v>ФІЛІЯ "ПОДІЛЬСЬКЕ ВІД.ПІБ В М.КИЇВ"</v>
          </cell>
          <cell r="J2216" t="str">
            <v>Ф.ПОДІЛЬСЬКЕ ВІД.ПІБ,М.КИЇВ</v>
          </cell>
          <cell r="K2216" t="str">
            <v>UIAM</v>
          </cell>
          <cell r="L2216" t="str">
            <v>UIA0</v>
          </cell>
          <cell r="M2216">
            <v>26</v>
          </cell>
          <cell r="N2216">
            <v>26</v>
          </cell>
          <cell r="O2216" t="str">
            <v>ГУ НБУ по м.Києву і області</v>
          </cell>
        </row>
        <row r="2217">
          <cell r="A2217">
            <v>322205</v>
          </cell>
          <cell r="B2217">
            <v>300012</v>
          </cell>
          <cell r="D2217">
            <v>0</v>
          </cell>
          <cell r="E2217">
            <v>3</v>
          </cell>
          <cell r="F2217">
            <v>0</v>
          </cell>
          <cell r="G2217" t="str">
            <v>3</v>
          </cell>
          <cell r="H2217">
            <v>337</v>
          </cell>
          <cell r="I2217" t="str">
            <v>ФІЛІЯ "ХАРКІВСЬКЕ ВІД.ПІБ В М.КИЇВ"</v>
          </cell>
          <cell r="J2217" t="str">
            <v>Ф.ХАРКІВСЬКЕ ВІД.ПІБ,М.КИЇВ</v>
          </cell>
          <cell r="K2217" t="str">
            <v>UIAO</v>
          </cell>
          <cell r="L2217" t="str">
            <v>UIA0</v>
          </cell>
          <cell r="M2217">
            <v>26</v>
          </cell>
          <cell r="N2217">
            <v>26</v>
          </cell>
          <cell r="O2217" t="str">
            <v>ГУ НБУ по м.Києву і області</v>
          </cell>
        </row>
        <row r="2218">
          <cell r="A2218">
            <v>322216</v>
          </cell>
          <cell r="B2218">
            <v>300012</v>
          </cell>
          <cell r="D2218">
            <v>0</v>
          </cell>
          <cell r="E2218">
            <v>3</v>
          </cell>
          <cell r="F2218">
            <v>0</v>
          </cell>
          <cell r="G2218" t="str">
            <v>3</v>
          </cell>
          <cell r="H2218">
            <v>309</v>
          </cell>
          <cell r="I2218" t="str">
            <v>ФІЛІЯ "ШЕВЧЕНКІВСЬКЕ ВІД.ПІБ В М.КИЇВ"</v>
          </cell>
          <cell r="J2218" t="str">
            <v>Ф-я Шевченків.від.ПІБ,Київ</v>
          </cell>
          <cell r="K2218" t="str">
            <v>UIAI</v>
          </cell>
          <cell r="L2218" t="str">
            <v>UIA0</v>
          </cell>
          <cell r="M2218">
            <v>26</v>
          </cell>
          <cell r="N2218">
            <v>26</v>
          </cell>
          <cell r="O2218" t="str">
            <v>ГУ НБУ по м.Києву і області</v>
          </cell>
        </row>
        <row r="2219">
          <cell r="A2219">
            <v>322227</v>
          </cell>
          <cell r="B2219">
            <v>300012</v>
          </cell>
          <cell r="D2219">
            <v>0</v>
          </cell>
          <cell r="E2219">
            <v>3</v>
          </cell>
          <cell r="F2219">
            <v>0</v>
          </cell>
          <cell r="G2219" t="str">
            <v>3</v>
          </cell>
          <cell r="H2219">
            <v>339</v>
          </cell>
          <cell r="I2219" t="str">
            <v>ФІЛІЯ"СТАРОКИЇВСЬКЕ ВІД.ПІБ В М.КИЇВ"</v>
          </cell>
          <cell r="J2219" t="str">
            <v>Ф-я"СТАРОКИЄВ.ВІД.ПІБ КИЇВ"</v>
          </cell>
          <cell r="K2219" t="str">
            <v>UIAL</v>
          </cell>
          <cell r="L2219" t="str">
            <v>UIA0</v>
          </cell>
          <cell r="M2219">
            <v>26</v>
          </cell>
          <cell r="N2219">
            <v>26</v>
          </cell>
          <cell r="O2219" t="str">
            <v>ГУ НБУ по м.Києву і області</v>
          </cell>
        </row>
        <row r="2220">
          <cell r="A2220">
            <v>322250</v>
          </cell>
          <cell r="B2220">
            <v>300012</v>
          </cell>
          <cell r="D2220">
            <v>0</v>
          </cell>
          <cell r="E2220">
            <v>3</v>
          </cell>
          <cell r="F2220">
            <v>0</v>
          </cell>
          <cell r="G2220" t="str">
            <v>3</v>
          </cell>
          <cell r="H2220">
            <v>332</v>
          </cell>
          <cell r="I2220" t="str">
            <v>Ф."КИЇВСЬКЕ МІСЬКЕ ВІД. ПІБ В М.КИЇВ"</v>
          </cell>
          <cell r="J2220" t="str">
            <v>Ф-Я КИЇВСЬКЕ МІСЬКЕ ВІД.ПІБ</v>
          </cell>
          <cell r="K2220" t="str">
            <v>UIAA</v>
          </cell>
          <cell r="L2220" t="str">
            <v>UIA0</v>
          </cell>
          <cell r="M2220">
            <v>26</v>
          </cell>
          <cell r="N2220">
            <v>26</v>
          </cell>
          <cell r="O2220" t="str">
            <v>ГУ НБУ по м.Києву і області</v>
          </cell>
        </row>
        <row r="2221">
          <cell r="A2221">
            <v>322283</v>
          </cell>
          <cell r="B2221">
            <v>300012</v>
          </cell>
          <cell r="D2221">
            <v>0</v>
          </cell>
          <cell r="E2221">
            <v>3</v>
          </cell>
          <cell r="F2221">
            <v>0</v>
          </cell>
          <cell r="G2221" t="str">
            <v>3</v>
          </cell>
          <cell r="H2221">
            <v>348</v>
          </cell>
          <cell r="I2221" t="str">
            <v>ФІЛІЯ "ВАТУТІНСЬКЕ ВІД.ПІБ В М.КИЇВ"</v>
          </cell>
          <cell r="J2221" t="str">
            <v>Ф-Я ВАТУТІН.ВІД.ПІБ, М.КИЇВ</v>
          </cell>
          <cell r="K2221" t="str">
            <v>UIAP</v>
          </cell>
          <cell r="L2221" t="str">
            <v>UIA0</v>
          </cell>
          <cell r="M2221">
            <v>26</v>
          </cell>
          <cell r="N2221">
            <v>26</v>
          </cell>
          <cell r="O2221" t="str">
            <v>ГУ НБУ по м.Києву і області</v>
          </cell>
        </row>
        <row r="2222">
          <cell r="A2222">
            <v>322294</v>
          </cell>
          <cell r="B2222">
            <v>322294</v>
          </cell>
          <cell r="C2222" t="str">
            <v>ВАТ "КБ "ЕКСПОБАНК"</v>
          </cell>
          <cell r="D2222">
            <v>67</v>
          </cell>
          <cell r="E2222">
            <v>67</v>
          </cell>
          <cell r="F2222">
            <v>0</v>
          </cell>
          <cell r="G2222" t="str">
            <v>8</v>
          </cell>
          <cell r="H2222">
            <v>730</v>
          </cell>
          <cell r="I2222" t="str">
            <v>ВАТ "КБ "ЕКСПОБАНК"</v>
          </cell>
          <cell r="J2222" t="str">
            <v>ВАТ "КБ "ЕКСПОБАНК"</v>
          </cell>
          <cell r="K2222" t="str">
            <v>UIIX</v>
          </cell>
          <cell r="L2222" t="str">
            <v>UIIX</v>
          </cell>
          <cell r="M2222">
            <v>26</v>
          </cell>
          <cell r="N2222">
            <v>26</v>
          </cell>
          <cell r="O2222" t="str">
            <v>ГУ НБУ по м.Києву і області</v>
          </cell>
        </row>
        <row r="2223">
          <cell r="A2223">
            <v>322302</v>
          </cell>
          <cell r="B2223">
            <v>322302</v>
          </cell>
          <cell r="C2223" t="str">
            <v>ВАТ "АГРОКОМБАНК"</v>
          </cell>
          <cell r="D2223">
            <v>241</v>
          </cell>
          <cell r="E2223">
            <v>241</v>
          </cell>
          <cell r="F2223">
            <v>0</v>
          </cell>
          <cell r="G2223" t="str">
            <v>8</v>
          </cell>
          <cell r="H2223">
            <v>839</v>
          </cell>
          <cell r="I2223" t="str">
            <v>ВАТ "АГРОКОМБАНК" У М. КИЄВІ</v>
          </cell>
          <cell r="J2223" t="str">
            <v>ВАТ "АГРОКОМБАНК"</v>
          </cell>
          <cell r="K2223" t="str">
            <v>UIXQ</v>
          </cell>
          <cell r="L2223" t="str">
            <v>UIXQ</v>
          </cell>
          <cell r="M2223">
            <v>26</v>
          </cell>
          <cell r="N2223">
            <v>26</v>
          </cell>
          <cell r="O2223" t="str">
            <v>ГУ НБУ по м.Києву і області</v>
          </cell>
        </row>
        <row r="2224">
          <cell r="A2224">
            <v>322313</v>
          </cell>
          <cell r="B2224">
            <v>322313</v>
          </cell>
          <cell r="C2224" t="str">
            <v>ВАТ "УКРЕКСІМБАНК"</v>
          </cell>
          <cell r="D2224">
            <v>2</v>
          </cell>
          <cell r="E2224">
            <v>2</v>
          </cell>
          <cell r="F2224">
            <v>0</v>
          </cell>
          <cell r="G2224" t="str">
            <v>2</v>
          </cell>
          <cell r="H2224">
            <v>205</v>
          </cell>
          <cell r="I2224" t="str">
            <v>ВАТ "УКРЕКСІМБАНК" У М.КИЄВІ</v>
          </cell>
          <cell r="J2224" t="str">
            <v>ВАТ "УКРЕКСІМБАНК"</v>
          </cell>
          <cell r="K2224" t="str">
            <v>UIG0</v>
          </cell>
          <cell r="L2224" t="str">
            <v>UIG0</v>
          </cell>
          <cell r="M2224">
            <v>26</v>
          </cell>
          <cell r="N2224">
            <v>26</v>
          </cell>
          <cell r="O2224" t="str">
            <v>ГУ НБУ по м.Києву і області</v>
          </cell>
        </row>
        <row r="2225">
          <cell r="A2225">
            <v>322324</v>
          </cell>
          <cell r="B2225">
            <v>322324</v>
          </cell>
          <cell r="C2225" t="str">
            <v>ВАТБанк"Олімпійська Україна</v>
          </cell>
          <cell r="D2225">
            <v>127</v>
          </cell>
          <cell r="E2225">
            <v>127</v>
          </cell>
          <cell r="F2225">
            <v>0</v>
          </cell>
          <cell r="G2225" t="str">
            <v>8</v>
          </cell>
          <cell r="H2225">
            <v>815</v>
          </cell>
          <cell r="I2225" t="str">
            <v>ВАТБАНК"ОЛІМПІЙСЬКА УКРАЇНА" У М.КИЄВІ</v>
          </cell>
          <cell r="J2225" t="str">
            <v>ВАТБанк"Олімпійська Україна</v>
          </cell>
          <cell r="K2225" t="str">
            <v>UIKT</v>
          </cell>
          <cell r="L2225" t="str">
            <v>UIKT</v>
          </cell>
          <cell r="M2225">
            <v>26</v>
          </cell>
          <cell r="N2225">
            <v>26</v>
          </cell>
          <cell r="O2225" t="str">
            <v>ГУ НБУ по м.Києву і області</v>
          </cell>
        </row>
        <row r="2226">
          <cell r="A2226">
            <v>322335</v>
          </cell>
          <cell r="B2226">
            <v>322335</v>
          </cell>
          <cell r="C2226" t="str">
            <v>АКБ "АРКАДА"</v>
          </cell>
          <cell r="D2226">
            <v>191</v>
          </cell>
          <cell r="E2226">
            <v>191</v>
          </cell>
          <cell r="F2226">
            <v>0</v>
          </cell>
          <cell r="G2226" t="str">
            <v>8</v>
          </cell>
          <cell r="H2226">
            <v>816</v>
          </cell>
          <cell r="I2226" t="str">
            <v>АКБ "АРКАДА" У М.КИЄВІ</v>
          </cell>
          <cell r="J2226" t="str">
            <v>АКБ "АРКАДА"</v>
          </cell>
          <cell r="K2226" t="str">
            <v>UIKO</v>
          </cell>
          <cell r="L2226" t="str">
            <v>UIKO</v>
          </cell>
          <cell r="M2226">
            <v>26</v>
          </cell>
          <cell r="N2226">
            <v>26</v>
          </cell>
          <cell r="O2226" t="str">
            <v>ГУ НБУ по м.Києву і області</v>
          </cell>
        </row>
        <row r="2227">
          <cell r="A2227">
            <v>322357</v>
          </cell>
          <cell r="B2227">
            <v>304988</v>
          </cell>
          <cell r="D2227">
            <v>0</v>
          </cell>
          <cell r="E2227">
            <v>195</v>
          </cell>
          <cell r="F2227">
            <v>0</v>
          </cell>
          <cell r="G2227" t="str">
            <v>8</v>
          </cell>
          <cell r="H2227">
            <v>834</v>
          </cell>
          <cell r="I2227" t="str">
            <v>КФ АБ "УКРКОМУНБАНК" У М.КИЄВІ</v>
          </cell>
          <cell r="J2227" t="str">
            <v>КФ АБ "УКРКОМУНБАНК"</v>
          </cell>
          <cell r="K2227" t="str">
            <v>UIKY</v>
          </cell>
          <cell r="L2227" t="str">
            <v>UIKY</v>
          </cell>
          <cell r="M2227">
            <v>26</v>
          </cell>
          <cell r="N2227">
            <v>12</v>
          </cell>
          <cell r="O2227" t="str">
            <v>ГУ НБУ по м.Києву і області</v>
          </cell>
        </row>
        <row r="2228">
          <cell r="A2228">
            <v>322421</v>
          </cell>
          <cell r="B2228">
            <v>322294</v>
          </cell>
          <cell r="D2228">
            <v>0</v>
          </cell>
          <cell r="E2228">
            <v>67</v>
          </cell>
          <cell r="F2228">
            <v>0</v>
          </cell>
          <cell r="G2228" t="str">
            <v>8</v>
          </cell>
          <cell r="H2228">
            <v>724</v>
          </cell>
          <cell r="I2228" t="str">
            <v>СТАНКОБУД.Ф.ВАТ"КБ"ЕКСПОБАНК",М.КИЇВ</v>
          </cell>
          <cell r="J2228" t="str">
            <v>Станкоб.ф.ВАТ"КБ"Експобанк"</v>
          </cell>
          <cell r="K2228" t="str">
            <v>UIKI</v>
          </cell>
          <cell r="L2228" t="str">
            <v>UIKI</v>
          </cell>
          <cell r="M2228">
            <v>26</v>
          </cell>
          <cell r="N2228">
            <v>26</v>
          </cell>
          <cell r="O2228" t="str">
            <v>ГУ НБУ по м.Києву і області</v>
          </cell>
        </row>
        <row r="2229">
          <cell r="A2229">
            <v>322432</v>
          </cell>
          <cell r="B2229">
            <v>322432</v>
          </cell>
          <cell r="C2229" t="str">
            <v>ВАТ "БАНК НАРОДНИЙ КАПІТАЛ"</v>
          </cell>
          <cell r="D2229">
            <v>169</v>
          </cell>
          <cell r="E2229">
            <v>169</v>
          </cell>
          <cell r="F2229">
            <v>0</v>
          </cell>
          <cell r="G2229" t="str">
            <v>8</v>
          </cell>
          <cell r="H2229">
            <v>826</v>
          </cell>
          <cell r="I2229" t="str">
            <v>ВАТ "БАНК НАРОДНИЙ КАПІТАЛ", М.КИЇВ</v>
          </cell>
          <cell r="J2229" t="str">
            <v>ВАТ "БАНК НАРОДНИЙ КАПІТАЛ"</v>
          </cell>
          <cell r="K2229" t="str">
            <v>UIXF</v>
          </cell>
          <cell r="L2229" t="str">
            <v>UIXF</v>
          </cell>
          <cell r="M2229">
            <v>26</v>
          </cell>
          <cell r="N2229">
            <v>26</v>
          </cell>
          <cell r="O2229" t="str">
            <v>ГУ НБУ по м.Києву і області</v>
          </cell>
        </row>
        <row r="2230">
          <cell r="A2230">
            <v>322465</v>
          </cell>
          <cell r="B2230">
            <v>322465</v>
          </cell>
          <cell r="C2230" t="str">
            <v>ВАТ ТФБ "Контракт"</v>
          </cell>
          <cell r="D2230">
            <v>201</v>
          </cell>
          <cell r="E2230">
            <v>201</v>
          </cell>
          <cell r="F2230">
            <v>0</v>
          </cell>
          <cell r="G2230" t="str">
            <v>8</v>
          </cell>
          <cell r="H2230">
            <v>799</v>
          </cell>
          <cell r="I2230" t="str">
            <v>ВАТ ТФБ "КОНТРАКТ", М.КИЇВ</v>
          </cell>
          <cell r="J2230" t="str">
            <v>ВАТ ТФБ "Контракт"</v>
          </cell>
          <cell r="K2230" t="str">
            <v>UIKR</v>
          </cell>
          <cell r="L2230" t="str">
            <v>UIKR</v>
          </cell>
          <cell r="M2230">
            <v>26</v>
          </cell>
          <cell r="N2230">
            <v>26</v>
          </cell>
          <cell r="O2230" t="str">
            <v>ГУ НБУ по м.Києву і області</v>
          </cell>
        </row>
        <row r="2231">
          <cell r="A2231">
            <v>322498</v>
          </cell>
          <cell r="B2231">
            <v>322498</v>
          </cell>
          <cell r="C2231" t="str">
            <v>АКБ "КИЇВ"</v>
          </cell>
          <cell r="D2231">
            <v>203</v>
          </cell>
          <cell r="E2231">
            <v>203</v>
          </cell>
          <cell r="F2231">
            <v>0</v>
          </cell>
          <cell r="G2231" t="str">
            <v>8</v>
          </cell>
          <cell r="H2231">
            <v>789</v>
          </cell>
          <cell r="I2231" t="str">
            <v>АКБ "КИЇВ" У М.КИЄВІ</v>
          </cell>
          <cell r="J2231" t="str">
            <v>АКБ "КИЇВ"</v>
          </cell>
          <cell r="K2231" t="str">
            <v>UIKU</v>
          </cell>
          <cell r="L2231" t="str">
            <v>UIKU</v>
          </cell>
          <cell r="M2231">
            <v>26</v>
          </cell>
          <cell r="N2231">
            <v>26</v>
          </cell>
          <cell r="O2231" t="str">
            <v>ГУ НБУ по м.Києву і області</v>
          </cell>
        </row>
        <row r="2232">
          <cell r="A2232">
            <v>322539</v>
          </cell>
          <cell r="B2232">
            <v>322539</v>
          </cell>
          <cell r="C2232" t="str">
            <v>АКБ "ЮНЕКС"</v>
          </cell>
          <cell r="D2232">
            <v>231</v>
          </cell>
          <cell r="E2232">
            <v>231</v>
          </cell>
          <cell r="F2232">
            <v>0</v>
          </cell>
          <cell r="G2232" t="str">
            <v>8</v>
          </cell>
          <cell r="H2232">
            <v>836</v>
          </cell>
          <cell r="I2232" t="str">
            <v>АКБ "ЮНЕКС" У М.КИЄВІ</v>
          </cell>
          <cell r="J2232" t="str">
            <v>АКБ "ЮНЕКС"</v>
          </cell>
          <cell r="K2232" t="str">
            <v>UIXN</v>
          </cell>
          <cell r="L2232" t="str">
            <v>UIXN</v>
          </cell>
          <cell r="M2232">
            <v>26</v>
          </cell>
          <cell r="N2232">
            <v>26</v>
          </cell>
          <cell r="O2232" t="str">
            <v>ГУ НБУ по м.Києву і області</v>
          </cell>
        </row>
        <row r="2233">
          <cell r="A2233">
            <v>322540</v>
          </cell>
          <cell r="B2233">
            <v>322540</v>
          </cell>
          <cell r="C2233" t="str">
            <v>ТОВ "КІБ"</v>
          </cell>
          <cell r="D2233">
            <v>240</v>
          </cell>
          <cell r="E2233">
            <v>240</v>
          </cell>
          <cell r="F2233">
            <v>0</v>
          </cell>
          <cell r="G2233" t="str">
            <v>8</v>
          </cell>
          <cell r="H2233">
            <v>837</v>
          </cell>
          <cell r="I2233" t="str">
            <v>ТОВ "КОМ.ІНДУСТРІАЛЬНИЙ БАНК", М.КИЇВ</v>
          </cell>
          <cell r="J2233" t="str">
            <v>ТОВ "КІБ"</v>
          </cell>
          <cell r="K2233" t="str">
            <v>UIXO</v>
          </cell>
          <cell r="L2233" t="str">
            <v>UIXO</v>
          </cell>
          <cell r="M2233">
            <v>26</v>
          </cell>
          <cell r="N2233">
            <v>26</v>
          </cell>
          <cell r="O2233" t="str">
            <v>ГУ НБУ по м.Києву і області</v>
          </cell>
        </row>
        <row r="2234">
          <cell r="A2234">
            <v>322562</v>
          </cell>
          <cell r="B2234">
            <v>331489</v>
          </cell>
          <cell r="D2234">
            <v>0</v>
          </cell>
          <cell r="E2234">
            <v>113</v>
          </cell>
          <cell r="F2234">
            <v>0</v>
          </cell>
          <cell r="G2234" t="str">
            <v>8</v>
          </cell>
          <cell r="H2234">
            <v>842</v>
          </cell>
          <cell r="I2234" t="str">
            <v>ФІЛІЯ АБ "ПОЛТАВА-БАНК" У М.КИЄВІ</v>
          </cell>
          <cell r="J2234" t="str">
            <v>Ф-я АБ Полтава-банк ум.Київ</v>
          </cell>
          <cell r="K2234" t="str">
            <v>UIXT</v>
          </cell>
          <cell r="L2234" t="str">
            <v>UIXT</v>
          </cell>
          <cell r="M2234">
            <v>26</v>
          </cell>
          <cell r="N2234">
            <v>16</v>
          </cell>
          <cell r="O2234" t="str">
            <v>ГУ НБУ по м.Києву і області</v>
          </cell>
        </row>
        <row r="2235">
          <cell r="A2235">
            <v>322595</v>
          </cell>
          <cell r="B2235">
            <v>300670</v>
          </cell>
          <cell r="D2235">
            <v>0</v>
          </cell>
          <cell r="E2235">
            <v>202</v>
          </cell>
          <cell r="F2235">
            <v>0</v>
          </cell>
          <cell r="G2235" t="str">
            <v>8</v>
          </cell>
          <cell r="H2235">
            <v>803</v>
          </cell>
          <cell r="I2235" t="str">
            <v>ЗАЛІЗНИЧНА ФВАТ КБ"ХРЕЩАТИК" У М.КИЄВІ</v>
          </cell>
          <cell r="J2235" t="str">
            <v>ЗАЛІЗНИЧНА ФВАТ КБ"ХРЕЩАТИК</v>
          </cell>
          <cell r="K2235" t="str">
            <v>UIKS</v>
          </cell>
          <cell r="L2235" t="str">
            <v>UIKS</v>
          </cell>
          <cell r="M2235">
            <v>26</v>
          </cell>
          <cell r="N2235">
            <v>26</v>
          </cell>
          <cell r="O2235" t="str">
            <v>ГУ НБУ по м.Києву і області</v>
          </cell>
        </row>
        <row r="2236">
          <cell r="A2236">
            <v>322603</v>
          </cell>
          <cell r="B2236">
            <v>322603</v>
          </cell>
          <cell r="C2236" t="str">
            <v>ВАТ БАНК "БІГ ЕНЕРГІЯ"</v>
          </cell>
          <cell r="D2236">
            <v>216</v>
          </cell>
          <cell r="E2236">
            <v>216</v>
          </cell>
          <cell r="F2236">
            <v>0</v>
          </cell>
          <cell r="G2236" t="str">
            <v>8</v>
          </cell>
          <cell r="H2236">
            <v>827</v>
          </cell>
          <cell r="I2236" t="str">
            <v>ВАТ БАНК "БІГ ЕНЕРГІЯ" У М.КИЄВІ</v>
          </cell>
          <cell r="J2236" t="str">
            <v>ВАТ БАНК "БІГ ЕНЕРГІЯ"</v>
          </cell>
          <cell r="K2236" t="str">
            <v>UIXG</v>
          </cell>
          <cell r="L2236" t="str">
            <v>UIXG</v>
          </cell>
          <cell r="M2236">
            <v>26</v>
          </cell>
          <cell r="N2236">
            <v>26</v>
          </cell>
          <cell r="O2236" t="str">
            <v>ГУ НБУ по м.Києву і області</v>
          </cell>
        </row>
        <row r="2237">
          <cell r="A2237">
            <v>322625</v>
          </cell>
          <cell r="B2237">
            <v>322625</v>
          </cell>
          <cell r="C2237" t="str">
            <v>АБ "УКООПСПІЛКА"</v>
          </cell>
          <cell r="D2237">
            <v>222</v>
          </cell>
          <cell r="E2237">
            <v>222</v>
          </cell>
          <cell r="F2237">
            <v>0</v>
          </cell>
          <cell r="G2237" t="str">
            <v>8</v>
          </cell>
          <cell r="H2237">
            <v>829</v>
          </cell>
          <cell r="I2237" t="str">
            <v>АБ "УКООПСПІЛКА" У М.КИЄВІ</v>
          </cell>
          <cell r="J2237" t="str">
            <v>АБ "УКООПСПІЛКА"</v>
          </cell>
          <cell r="K2237" t="str">
            <v>UIXH</v>
          </cell>
          <cell r="L2237" t="str">
            <v>UIXH</v>
          </cell>
          <cell r="M2237">
            <v>26</v>
          </cell>
          <cell r="N2237">
            <v>26</v>
          </cell>
          <cell r="O2237" t="str">
            <v>ГУ НБУ по м.Києву і області</v>
          </cell>
        </row>
        <row r="2238">
          <cell r="A2238">
            <v>322647</v>
          </cell>
          <cell r="B2238">
            <v>322294</v>
          </cell>
          <cell r="D2238">
            <v>0</v>
          </cell>
          <cell r="E2238">
            <v>67</v>
          </cell>
          <cell r="F2238">
            <v>0</v>
          </cell>
          <cell r="G2238" t="str">
            <v>8</v>
          </cell>
          <cell r="H2238">
            <v>788</v>
          </cell>
          <cell r="I2238" t="str">
            <v>ФІЛІЯ"НИВКИ"ВАТ"КБ"ЕКСПОБАНК",М.КИЇВ</v>
          </cell>
          <cell r="J2238" t="str">
            <v>Філ"Нивки"ВАТ"КБ"Експобанк"</v>
          </cell>
          <cell r="K2238" t="str">
            <v>UIYA</v>
          </cell>
          <cell r="L2238" t="str">
            <v>UIYA</v>
          </cell>
          <cell r="M2238">
            <v>26</v>
          </cell>
          <cell r="N2238">
            <v>26</v>
          </cell>
          <cell r="O2238" t="str">
            <v>ГУ НБУ по м.Києву і області</v>
          </cell>
        </row>
        <row r="2239">
          <cell r="A2239">
            <v>322658</v>
          </cell>
          <cell r="B2239">
            <v>322658</v>
          </cell>
          <cell r="C2239" t="str">
            <v>АКБ "СЄБ"</v>
          </cell>
          <cell r="D2239">
            <v>217</v>
          </cell>
          <cell r="E2239">
            <v>217</v>
          </cell>
          <cell r="F2239">
            <v>0</v>
          </cell>
          <cell r="G2239" t="str">
            <v>8</v>
          </cell>
          <cell r="H2239">
            <v>822</v>
          </cell>
          <cell r="I2239" t="str">
            <v>АКБ "СХІДНО-ЄВРОПЕЙСЬКИЙ БАНК", М.КИЇВ</v>
          </cell>
          <cell r="J2239" t="str">
            <v>АКБ "СЄБ"</v>
          </cell>
          <cell r="K2239" t="str">
            <v>UIXC</v>
          </cell>
          <cell r="L2239" t="str">
            <v>UIXC</v>
          </cell>
          <cell r="M2239">
            <v>26</v>
          </cell>
          <cell r="N2239">
            <v>26</v>
          </cell>
          <cell r="O2239" t="str">
            <v>ГУ НБУ по м.Києву і області</v>
          </cell>
        </row>
        <row r="2240">
          <cell r="A2240">
            <v>322669</v>
          </cell>
          <cell r="B2240">
            <v>300465</v>
          </cell>
          <cell r="D2240">
            <v>0</v>
          </cell>
          <cell r="E2240">
            <v>6</v>
          </cell>
          <cell r="F2240">
            <v>0</v>
          </cell>
          <cell r="G2240" t="str">
            <v>6</v>
          </cell>
          <cell r="H2240">
            <v>605</v>
          </cell>
          <cell r="I2240" t="str">
            <v>ФГОЛОВНЕ УПРАВЛІННЯ ПО  ВАТОЩАД М.КИЇВ</v>
          </cell>
          <cell r="J2240" t="str">
            <v>ФГоловне управління ВАТОщад</v>
          </cell>
          <cell r="K2240" t="str">
            <v>UILA</v>
          </cell>
          <cell r="L2240" t="str">
            <v>UILA</v>
          </cell>
          <cell r="M2240">
            <v>26</v>
          </cell>
          <cell r="N2240">
            <v>26</v>
          </cell>
          <cell r="O2240" t="str">
            <v>ГУ НБУ по м.Києву і області</v>
          </cell>
        </row>
        <row r="2241">
          <cell r="A2241">
            <v>322700</v>
          </cell>
          <cell r="B2241">
            <v>322294</v>
          </cell>
          <cell r="D2241">
            <v>0</v>
          </cell>
          <cell r="E2241">
            <v>67</v>
          </cell>
          <cell r="F2241">
            <v>0</v>
          </cell>
          <cell r="G2241" t="str">
            <v>8</v>
          </cell>
          <cell r="H2241">
            <v>749</v>
          </cell>
          <cell r="I2241" t="str">
            <v>КИЇВСЬКА Ф.ВАТ"КБ"ЕКСПОБАНК",М.КИЇВ</v>
          </cell>
          <cell r="J2241" t="str">
            <v>Київська фВАТ"КБ"Експобанк"</v>
          </cell>
          <cell r="K2241" t="str">
            <v>UIXZ</v>
          </cell>
          <cell r="L2241" t="str">
            <v>UIXZ</v>
          </cell>
          <cell r="M2241">
            <v>26</v>
          </cell>
          <cell r="N2241">
            <v>26</v>
          </cell>
          <cell r="O2241" t="str">
            <v>ГУ НБУ по м.Києву і області</v>
          </cell>
        </row>
        <row r="2242">
          <cell r="A2242">
            <v>322711</v>
          </cell>
          <cell r="B2242">
            <v>322711</v>
          </cell>
          <cell r="C2242" t="str">
            <v>АБ "СИНТЕЗ"</v>
          </cell>
          <cell r="D2242">
            <v>238</v>
          </cell>
          <cell r="E2242">
            <v>238</v>
          </cell>
          <cell r="F2242">
            <v>0</v>
          </cell>
          <cell r="G2242" t="str">
            <v>8</v>
          </cell>
          <cell r="H2242">
            <v>838</v>
          </cell>
          <cell r="I2242" t="str">
            <v>АКЦІОНЕРНИЙ БАНК "СИНТЕЗ" У М.КИЄВІ</v>
          </cell>
          <cell r="J2242" t="str">
            <v>АБ "СИНТЕЗ"</v>
          </cell>
          <cell r="K2242" t="str">
            <v>UIXP</v>
          </cell>
          <cell r="L2242" t="str">
            <v>UIXP</v>
          </cell>
          <cell r="M2242">
            <v>26</v>
          </cell>
          <cell r="N2242">
            <v>26</v>
          </cell>
          <cell r="O2242" t="str">
            <v>ГУ НБУ по м.Києву і області</v>
          </cell>
        </row>
        <row r="2243">
          <cell r="A2243">
            <v>322755</v>
          </cell>
          <cell r="B2243">
            <v>334851</v>
          </cell>
          <cell r="D2243">
            <v>0</v>
          </cell>
          <cell r="E2243">
            <v>115</v>
          </cell>
          <cell r="F2243">
            <v>0</v>
          </cell>
          <cell r="G2243" t="str">
            <v>8</v>
          </cell>
          <cell r="H2243">
            <v>832</v>
          </cell>
          <cell r="I2243" t="str">
            <v>ФІЛІЯ ЗАТ"ПУМБ" В М.КИЄВІ</v>
          </cell>
          <cell r="J2243" t="str">
            <v>Філія ЗАТ "ПУМБ" в м.Києві</v>
          </cell>
          <cell r="K2243" t="str">
            <v>UIXL</v>
          </cell>
          <cell r="L2243" t="str">
            <v>UIXL</v>
          </cell>
          <cell r="M2243">
            <v>26</v>
          </cell>
          <cell r="N2243">
            <v>4</v>
          </cell>
          <cell r="O2243" t="str">
            <v>ГУ НБУ по м.Києву і області</v>
          </cell>
        </row>
        <row r="2244">
          <cell r="A2244">
            <v>322788</v>
          </cell>
          <cell r="B2244">
            <v>351607</v>
          </cell>
          <cell r="D2244">
            <v>0</v>
          </cell>
          <cell r="E2244">
            <v>123</v>
          </cell>
          <cell r="F2244">
            <v>0</v>
          </cell>
          <cell r="G2244" t="str">
            <v>8</v>
          </cell>
          <cell r="H2244">
            <v>819</v>
          </cell>
          <cell r="I2244" t="str">
            <v>ФІЛІЯ"КИЇВ-ГРАНТ"АСУБ"ГРАНТ" У М.КИЄВІ</v>
          </cell>
          <cell r="J2244" t="str">
            <v>Ф."Київ-Грант" Банку"Грант"</v>
          </cell>
          <cell r="K2244" t="str">
            <v>UIXD</v>
          </cell>
          <cell r="L2244" t="str">
            <v>UIXD</v>
          </cell>
          <cell r="M2244">
            <v>26</v>
          </cell>
          <cell r="N2244">
            <v>20</v>
          </cell>
          <cell r="O2244" t="str">
            <v>ГУ НБУ по м.Києву і області</v>
          </cell>
        </row>
        <row r="2245">
          <cell r="A2245">
            <v>322799</v>
          </cell>
          <cell r="B2245">
            <v>322799</v>
          </cell>
          <cell r="C2245" t="str">
            <v>АТ "БАНК ВЕЛЕС"</v>
          </cell>
          <cell r="D2245">
            <v>255</v>
          </cell>
          <cell r="E2245">
            <v>255</v>
          </cell>
          <cell r="F2245">
            <v>0</v>
          </cell>
          <cell r="G2245" t="str">
            <v>8</v>
          </cell>
          <cell r="H2245">
            <v>849</v>
          </cell>
          <cell r="I2245" t="str">
            <v>АТ "БАНК ВЕЛЕС" М.КИЇВ</v>
          </cell>
          <cell r="J2245" t="str">
            <v>АТ "БАНК ВЕЛЕС"</v>
          </cell>
          <cell r="K2245" t="str">
            <v>UIYE</v>
          </cell>
          <cell r="L2245" t="str">
            <v>UIYE</v>
          </cell>
          <cell r="M2245">
            <v>26</v>
          </cell>
          <cell r="N2245">
            <v>26</v>
          </cell>
          <cell r="O2245" t="str">
            <v>ГУ НБУ по м.Києву і області</v>
          </cell>
        </row>
        <row r="2246">
          <cell r="A2246">
            <v>322830</v>
          </cell>
          <cell r="B2246">
            <v>322830</v>
          </cell>
          <cell r="C2246" t="str">
            <v>АКБ "ТК КРЕДИТ"</v>
          </cell>
          <cell r="D2246">
            <v>260</v>
          </cell>
          <cell r="E2246">
            <v>260</v>
          </cell>
          <cell r="F2246">
            <v>0</v>
          </cell>
          <cell r="G2246" t="str">
            <v>8</v>
          </cell>
          <cell r="H2246">
            <v>853</v>
          </cell>
          <cell r="I2246" t="str">
            <v>АКБ "ТК КРЕДИТ" У М.КИЄВІ</v>
          </cell>
          <cell r="J2246" t="str">
            <v>АКБ "ТК КРЕДИТ"</v>
          </cell>
          <cell r="K2246" t="str">
            <v>UIYO</v>
          </cell>
          <cell r="L2246" t="str">
            <v>UIYO</v>
          </cell>
          <cell r="M2246">
            <v>26</v>
          </cell>
          <cell r="N2246">
            <v>26</v>
          </cell>
          <cell r="O2246" t="str">
            <v>ГУ НБУ по м.Києву і області</v>
          </cell>
        </row>
        <row r="2247">
          <cell r="A2247">
            <v>322863</v>
          </cell>
          <cell r="B2247">
            <v>351878</v>
          </cell>
          <cell r="D2247">
            <v>0</v>
          </cell>
          <cell r="E2247">
            <v>135</v>
          </cell>
          <cell r="F2247">
            <v>0</v>
          </cell>
          <cell r="G2247" t="str">
            <v>8</v>
          </cell>
          <cell r="H2247">
            <v>902</v>
          </cell>
          <cell r="I2247" t="str">
            <v>ФКД ВАТ "ІНПРОМБАНК" У М.КИЄВІ</v>
          </cell>
          <cell r="J2247" t="str">
            <v>ФКД ВАТ "ІНПРОМБАНК"</v>
          </cell>
          <cell r="K2247" t="str">
            <v>UIYG</v>
          </cell>
          <cell r="L2247" t="str">
            <v>UIYG</v>
          </cell>
          <cell r="M2247">
            <v>26</v>
          </cell>
          <cell r="N2247">
            <v>20</v>
          </cell>
          <cell r="O2247" t="str">
            <v>ГУ НБУ по м.Києву і області</v>
          </cell>
        </row>
        <row r="2248">
          <cell r="A2248">
            <v>322904</v>
          </cell>
          <cell r="B2248">
            <v>300335</v>
          </cell>
          <cell r="D2248">
            <v>0</v>
          </cell>
          <cell r="E2248">
            <v>36</v>
          </cell>
          <cell r="F2248">
            <v>0</v>
          </cell>
          <cell r="G2248" t="str">
            <v>7</v>
          </cell>
          <cell r="H2248">
            <v>873</v>
          </cell>
          <cell r="I2248" t="str">
            <v>КИЇВС.РД"РАЙФФАЙЗЕН БАНК АВАЛЬ",М.КИЇВ</v>
          </cell>
          <cell r="J2248" t="str">
            <v>К.РД"Райффайзен Банк Аваль"</v>
          </cell>
          <cell r="K2248" t="str">
            <v>UIYP</v>
          </cell>
          <cell r="L2248" t="str">
            <v>UIYP</v>
          </cell>
          <cell r="M2248">
            <v>26</v>
          </cell>
          <cell r="N2248">
            <v>26</v>
          </cell>
          <cell r="O2248" t="str">
            <v>ГУ НБУ по м.Києву і області</v>
          </cell>
        </row>
        <row r="2249">
          <cell r="A2249">
            <v>322948</v>
          </cell>
          <cell r="B2249">
            <v>322948</v>
          </cell>
          <cell r="C2249" t="str">
            <v>АКБ "ФОРУМ"</v>
          </cell>
          <cell r="D2249">
            <v>248</v>
          </cell>
          <cell r="E2249">
            <v>248</v>
          </cell>
          <cell r="F2249">
            <v>0</v>
          </cell>
          <cell r="G2249" t="str">
            <v>B</v>
          </cell>
          <cell r="H2249">
            <v>848</v>
          </cell>
          <cell r="I2249" t="str">
            <v>АКБ "ФОРУМ", М.КИЇВ</v>
          </cell>
          <cell r="J2249" t="str">
            <v>АКБ "ФОРУМ"</v>
          </cell>
          <cell r="K2249" t="str">
            <v>UIXY</v>
          </cell>
          <cell r="L2249" t="str">
            <v>UIXY</v>
          </cell>
          <cell r="M2249">
            <v>26</v>
          </cell>
          <cell r="N2249">
            <v>26</v>
          </cell>
          <cell r="O2249" t="str">
            <v>ГУ НБУ по м.Києву і області</v>
          </cell>
        </row>
        <row r="2250">
          <cell r="A2250">
            <v>322959</v>
          </cell>
          <cell r="B2250">
            <v>322959</v>
          </cell>
          <cell r="C2250" t="str">
            <v>АБ "ЕКСПРЕС-БАНК"</v>
          </cell>
          <cell r="D2250">
            <v>262</v>
          </cell>
          <cell r="E2250">
            <v>262</v>
          </cell>
          <cell r="F2250">
            <v>0</v>
          </cell>
          <cell r="G2250" t="str">
            <v>8</v>
          </cell>
          <cell r="H2250">
            <v>852</v>
          </cell>
          <cell r="I2250" t="str">
            <v>АБ "ЕКСПРЕС-БАНК" У М.КИЇВ</v>
          </cell>
          <cell r="J2250" t="str">
            <v>АБ "ЕКСПРЕС-БАНК"</v>
          </cell>
          <cell r="K2250" t="str">
            <v>UIYN</v>
          </cell>
          <cell r="L2250" t="str">
            <v>UIYN</v>
          </cell>
          <cell r="M2250">
            <v>26</v>
          </cell>
          <cell r="N2250">
            <v>26</v>
          </cell>
          <cell r="O2250" t="str">
            <v>ГУ НБУ по м.Києву і області</v>
          </cell>
        </row>
        <row r="2251">
          <cell r="A2251">
            <v>322993</v>
          </cell>
          <cell r="B2251">
            <v>300142</v>
          </cell>
          <cell r="D2251">
            <v>0</v>
          </cell>
          <cell r="E2251">
            <v>18</v>
          </cell>
          <cell r="F2251">
            <v>0</v>
          </cell>
          <cell r="G2251" t="str">
            <v>8</v>
          </cell>
          <cell r="H2251">
            <v>797</v>
          </cell>
          <cell r="I2251" t="str">
            <v>ОБОЛОНСЬКА ФАТ"УКРІНБАНК" М.КИЇВ</v>
          </cell>
          <cell r="J2251" t="str">
            <v>Оболонська ФАТ"Укрінбанк"</v>
          </cell>
          <cell r="K2251" t="str">
            <v>UIYT</v>
          </cell>
          <cell r="L2251" t="str">
            <v>UIYT</v>
          </cell>
          <cell r="M2251">
            <v>26</v>
          </cell>
          <cell r="N2251">
            <v>26</v>
          </cell>
          <cell r="O2251" t="str">
            <v>ГУ НБУ по м.Києву і області</v>
          </cell>
        </row>
        <row r="2252">
          <cell r="A2252">
            <v>323000</v>
          </cell>
          <cell r="B2252">
            <v>321767</v>
          </cell>
          <cell r="D2252">
            <v>0</v>
          </cell>
          <cell r="E2252">
            <v>42</v>
          </cell>
          <cell r="F2252">
            <v>0</v>
          </cell>
          <cell r="G2252" t="str">
            <v>B</v>
          </cell>
          <cell r="H2252">
            <v>778</v>
          </cell>
          <cell r="I2252" t="str">
            <v>КІРОВОГР. Ф ВАТ ВТБ БАНК, М.КІРОВОГРАД</v>
          </cell>
          <cell r="J2252" t="str">
            <v>Кіровоград. Ф ВАТ ВТБ Банк</v>
          </cell>
          <cell r="K2252" t="str">
            <v>UKKA</v>
          </cell>
          <cell r="L2252" t="str">
            <v>UKKA</v>
          </cell>
          <cell r="M2252">
            <v>10</v>
          </cell>
          <cell r="N2252">
            <v>26</v>
          </cell>
          <cell r="O2252" t="str">
            <v>Управл.НБУ в Кіровоград.обл</v>
          </cell>
        </row>
        <row r="2253">
          <cell r="A2253">
            <v>323077</v>
          </cell>
          <cell r="B2253">
            <v>300012</v>
          </cell>
          <cell r="D2253">
            <v>0</v>
          </cell>
          <cell r="E2253">
            <v>3</v>
          </cell>
          <cell r="F2253">
            <v>0</v>
          </cell>
          <cell r="G2253" t="str">
            <v>3</v>
          </cell>
          <cell r="H2253">
            <v>313</v>
          </cell>
          <cell r="I2253" t="str">
            <v>Ф."В.ПІБ В М.ДОЛИНСЬКА КІРОВОГРАД.ОБЛ"</v>
          </cell>
          <cell r="J2253" t="str">
            <v>Ф-Я ВIД.ПIБ В М.ДОЛИНСЬКА</v>
          </cell>
          <cell r="K2253" t="str">
            <v>UKAD</v>
          </cell>
          <cell r="L2253" t="str">
            <v>UKAD</v>
          </cell>
          <cell r="M2253">
            <v>10</v>
          </cell>
          <cell r="N2253">
            <v>26</v>
          </cell>
          <cell r="O2253" t="str">
            <v>Управл.НБУ в Кіровоград.обл</v>
          </cell>
        </row>
        <row r="2254">
          <cell r="A2254">
            <v>323293</v>
          </cell>
          <cell r="B2254">
            <v>300023</v>
          </cell>
          <cell r="D2254">
            <v>0</v>
          </cell>
          <cell r="E2254">
            <v>5</v>
          </cell>
          <cell r="F2254">
            <v>0</v>
          </cell>
          <cell r="G2254" t="str">
            <v>5</v>
          </cell>
          <cell r="H2254">
            <v>524</v>
          </cell>
          <cell r="I2254" t="str">
            <v>КІРОВОГРАД ОБЛ. ФАКБ УСБ М.КІРОВОГРАД</v>
          </cell>
          <cell r="J2254" t="str">
            <v>Кіровоград обл.ф-я АКБ УСБ</v>
          </cell>
          <cell r="K2254" t="str">
            <v>UKCA</v>
          </cell>
          <cell r="L2254" t="str">
            <v>UKCA</v>
          </cell>
          <cell r="M2254">
            <v>10</v>
          </cell>
          <cell r="N2254">
            <v>26</v>
          </cell>
          <cell r="O2254" t="str">
            <v>Управл.НБУ в Кіровоград.обл</v>
          </cell>
        </row>
        <row r="2255">
          <cell r="A2255">
            <v>323301</v>
          </cell>
          <cell r="B2255">
            <v>300012</v>
          </cell>
          <cell r="D2255">
            <v>0</v>
          </cell>
          <cell r="E2255">
            <v>3</v>
          </cell>
          <cell r="F2255">
            <v>0</v>
          </cell>
          <cell r="G2255" t="str">
            <v>3</v>
          </cell>
          <cell r="H2255">
            <v>317</v>
          </cell>
          <cell r="I2255" t="str">
            <v>Ф."ВІД. ПРОМІНВЕСТБАНКУ, М.КІРОВОГРАД"</v>
          </cell>
          <cell r="J2255" t="str">
            <v>Ф."Відділ.ПІБ,м.Кіровоград"</v>
          </cell>
          <cell r="K2255" t="str">
            <v>UKAA</v>
          </cell>
          <cell r="L2255" t="str">
            <v>UKAA</v>
          </cell>
          <cell r="M2255">
            <v>10</v>
          </cell>
          <cell r="N2255">
            <v>26</v>
          </cell>
          <cell r="O2255" t="str">
            <v>Управл.НБУ в Кіровоград.обл</v>
          </cell>
        </row>
        <row r="2256">
          <cell r="A2256">
            <v>323378</v>
          </cell>
          <cell r="B2256">
            <v>300001</v>
          </cell>
          <cell r="D2256">
            <v>0</v>
          </cell>
          <cell r="E2256">
            <v>1</v>
          </cell>
          <cell r="F2256">
            <v>0</v>
          </cell>
          <cell r="G2256" t="str">
            <v>1</v>
          </cell>
          <cell r="H2256">
            <v>37</v>
          </cell>
          <cell r="I2256" t="str">
            <v>УПРАВЛІННЯ НБУ В КІРОВОГРАДСЬКІЙ ОБЛ.</v>
          </cell>
          <cell r="J2256" t="str">
            <v>Упр. НБУ в Кіровоград. обл.</v>
          </cell>
          <cell r="K2256" t="str">
            <v>UKHA</v>
          </cell>
          <cell r="L2256" t="str">
            <v>UKH0</v>
          </cell>
          <cell r="M2256">
            <v>10</v>
          </cell>
          <cell r="N2256">
            <v>27</v>
          </cell>
          <cell r="O2256" t="str">
            <v>Управл.НБУ в Кіровоград.обл</v>
          </cell>
        </row>
        <row r="2257">
          <cell r="A2257">
            <v>323389</v>
          </cell>
          <cell r="B2257">
            <v>322313</v>
          </cell>
          <cell r="D2257">
            <v>0</v>
          </cell>
          <cell r="E2257">
            <v>2</v>
          </cell>
          <cell r="F2257">
            <v>0</v>
          </cell>
          <cell r="G2257" t="str">
            <v>2</v>
          </cell>
          <cell r="H2257">
            <v>201</v>
          </cell>
          <cell r="I2257" t="str">
            <v>Ф-Я ВАТ"УКРЕКСІМБАНК",КІРОВОГРАД</v>
          </cell>
          <cell r="J2257" t="str">
            <v>Ф-я Укрексімбанк, Кіровогр</v>
          </cell>
          <cell r="K2257" t="str">
            <v>UKGA</v>
          </cell>
          <cell r="L2257" t="str">
            <v>UKGA</v>
          </cell>
          <cell r="M2257">
            <v>10</v>
          </cell>
          <cell r="N2257">
            <v>26</v>
          </cell>
          <cell r="O2257" t="str">
            <v>Управл.НБУ в Кіровоград.обл</v>
          </cell>
        </row>
        <row r="2258">
          <cell r="A2258">
            <v>323475</v>
          </cell>
          <cell r="B2258">
            <v>300465</v>
          </cell>
          <cell r="D2258">
            <v>0</v>
          </cell>
          <cell r="E2258">
            <v>6</v>
          </cell>
          <cell r="F2258">
            <v>0</v>
          </cell>
          <cell r="G2258" t="str">
            <v>6</v>
          </cell>
          <cell r="H2258">
            <v>601</v>
          </cell>
          <cell r="I2258" t="str">
            <v>ФКІРОВОГРАДСЬКЕ ОУ ВАТОЩАД М.КІРОВОГРА</v>
          </cell>
          <cell r="J2258" t="str">
            <v>ФКіровоградське ОУ ВАТОщад</v>
          </cell>
          <cell r="K2258" t="str">
            <v>UKLA</v>
          </cell>
          <cell r="L2258" t="str">
            <v>UKLA</v>
          </cell>
          <cell r="M2258">
            <v>10</v>
          </cell>
          <cell r="N2258">
            <v>26</v>
          </cell>
          <cell r="O2258" t="str">
            <v>Управл.НБУ в Кіровоград.обл</v>
          </cell>
        </row>
        <row r="2259">
          <cell r="A2259">
            <v>323505</v>
          </cell>
          <cell r="B2259">
            <v>300142</v>
          </cell>
          <cell r="D2259">
            <v>0</v>
          </cell>
          <cell r="E2259">
            <v>18</v>
          </cell>
          <cell r="F2259">
            <v>0</v>
          </cell>
          <cell r="G2259" t="str">
            <v>8</v>
          </cell>
          <cell r="H2259">
            <v>702</v>
          </cell>
          <cell r="I2259" t="str">
            <v>СВІТЛОВ. ФАТ"УКРІНБАНК" М.СВІТЛОВОДСЬК</v>
          </cell>
          <cell r="J2259" t="str">
            <v>Світловод. ФАТ"Укрінбанк"</v>
          </cell>
          <cell r="K2259" t="str">
            <v>UKIJ</v>
          </cell>
          <cell r="L2259" t="str">
            <v>UKIJ</v>
          </cell>
          <cell r="M2259">
            <v>10</v>
          </cell>
          <cell r="N2259">
            <v>26</v>
          </cell>
          <cell r="O2259" t="str">
            <v>Управл.НБУ в Кіровоград.обл</v>
          </cell>
        </row>
        <row r="2260">
          <cell r="A2260">
            <v>323538</v>
          </cell>
          <cell r="B2260">
            <v>300335</v>
          </cell>
          <cell r="D2260">
            <v>0</v>
          </cell>
          <cell r="E2260">
            <v>36</v>
          </cell>
          <cell r="F2260">
            <v>0</v>
          </cell>
          <cell r="G2260" t="str">
            <v>7</v>
          </cell>
          <cell r="H2260">
            <v>721</v>
          </cell>
          <cell r="I2260" t="str">
            <v>ОД"РАЙФФАЙЗЕН БАНК АВАЛЬ",М.КІРОВОГРАД</v>
          </cell>
          <cell r="J2260" t="str">
            <v>ОД "Райффайзен Банк Аваль"</v>
          </cell>
          <cell r="K2260" t="str">
            <v>UKIC</v>
          </cell>
          <cell r="L2260" t="str">
            <v>UKIC</v>
          </cell>
          <cell r="M2260">
            <v>10</v>
          </cell>
          <cell r="N2260">
            <v>26</v>
          </cell>
          <cell r="O2260" t="str">
            <v>Управл.НБУ в Кіровоград.обл</v>
          </cell>
        </row>
        <row r="2261">
          <cell r="A2261">
            <v>323583</v>
          </cell>
          <cell r="B2261">
            <v>305299</v>
          </cell>
          <cell r="D2261">
            <v>0</v>
          </cell>
          <cell r="E2261">
            <v>46</v>
          </cell>
          <cell r="F2261">
            <v>0</v>
          </cell>
          <cell r="G2261" t="str">
            <v>A</v>
          </cell>
          <cell r="H2261">
            <v>726</v>
          </cell>
          <cell r="I2261" t="str">
            <v>КІРОВ. ФІЛ. ПРИВАТБАНКУ М.КІРОВОГРАД</v>
          </cell>
          <cell r="J2261" t="str">
            <v>Кіровогр.філ.ПриватБанку</v>
          </cell>
          <cell r="K2261" t="str">
            <v>UKIZ</v>
          </cell>
          <cell r="L2261" t="str">
            <v>UKIZ</v>
          </cell>
          <cell r="M2261">
            <v>10</v>
          </cell>
          <cell r="N2261">
            <v>3</v>
          </cell>
          <cell r="O2261" t="str">
            <v>Управл.НБУ в Кіровоград.обл</v>
          </cell>
        </row>
        <row r="2262">
          <cell r="A2262">
            <v>323613</v>
          </cell>
          <cell r="B2262">
            <v>300926</v>
          </cell>
          <cell r="D2262">
            <v>0</v>
          </cell>
          <cell r="E2262">
            <v>899</v>
          </cell>
          <cell r="F2262">
            <v>0</v>
          </cell>
          <cell r="G2262" t="str">
            <v>8</v>
          </cell>
          <cell r="H2262">
            <v>814</v>
          </cell>
          <cell r="I2262" t="str">
            <v>ФАТ "УФГ" У М. КІРОВОГРАД</v>
          </cell>
          <cell r="J2262" t="str">
            <v>ФАТ "УФГ", м.Кіровоград</v>
          </cell>
          <cell r="K2262" t="str">
            <v>UKW1</v>
          </cell>
          <cell r="L2262" t="str">
            <v>U1WF</v>
          </cell>
          <cell r="M2262">
            <v>10</v>
          </cell>
          <cell r="N2262">
            <v>26</v>
          </cell>
          <cell r="O2262" t="str">
            <v>Управл.НБУ в Кіровоград.обл</v>
          </cell>
        </row>
        <row r="2263">
          <cell r="A2263">
            <v>323624</v>
          </cell>
          <cell r="B2263">
            <v>320003</v>
          </cell>
          <cell r="D2263">
            <v>0</v>
          </cell>
          <cell r="E2263">
            <v>225</v>
          </cell>
          <cell r="F2263">
            <v>0</v>
          </cell>
          <cell r="G2263" t="str">
            <v>B</v>
          </cell>
          <cell r="H2263">
            <v>730</v>
          </cell>
          <cell r="I2263" t="str">
            <v>Ф ВАТ КБ"НАДРА" КІР.РУ М.КІРОВОГРАД</v>
          </cell>
          <cell r="J2263" t="str">
            <v>ВАТКБ"НАДРА"Кіровоград. РУ</v>
          </cell>
          <cell r="K2263" t="str">
            <v>UKJC</v>
          </cell>
          <cell r="L2263" t="str">
            <v>UKJC</v>
          </cell>
          <cell r="M2263">
            <v>10</v>
          </cell>
          <cell r="N2263">
            <v>26</v>
          </cell>
          <cell r="O2263" t="str">
            <v>Управл.НБУ в Кіровоград.обл</v>
          </cell>
        </row>
        <row r="2264">
          <cell r="A2264">
            <v>323679</v>
          </cell>
          <cell r="B2264">
            <v>331100</v>
          </cell>
          <cell r="D2264">
            <v>0</v>
          </cell>
          <cell r="E2264">
            <v>198</v>
          </cell>
          <cell r="F2264">
            <v>0</v>
          </cell>
          <cell r="G2264" t="str">
            <v>8</v>
          </cell>
          <cell r="H2264">
            <v>735</v>
          </cell>
          <cell r="I2264" t="str">
            <v>ОФ ВАТ АКБ "АВТОКРАЗБАНК"М.ОЛЕКСАНДРІЯ</v>
          </cell>
          <cell r="J2264" t="str">
            <v>ОФ ВАТ АКБ "АВТОКРАЗБАНК"</v>
          </cell>
          <cell r="K2264" t="str">
            <v>UKJD</v>
          </cell>
          <cell r="L2264" t="str">
            <v>UKJD</v>
          </cell>
          <cell r="M2264">
            <v>10</v>
          </cell>
          <cell r="N2264">
            <v>16</v>
          </cell>
          <cell r="O2264" t="str">
            <v>Управл.НБУ в Кіровоград.обл</v>
          </cell>
        </row>
        <row r="2265">
          <cell r="A2265">
            <v>323680</v>
          </cell>
          <cell r="B2265">
            <v>300056</v>
          </cell>
          <cell r="D2265">
            <v>0</v>
          </cell>
          <cell r="E2265">
            <v>13</v>
          </cell>
          <cell r="F2265">
            <v>0</v>
          </cell>
          <cell r="G2265" t="str">
            <v>8</v>
          </cell>
          <cell r="H2265">
            <v>710</v>
          </cell>
          <cell r="I2265" t="str">
            <v>ФІЛІЯ АКБ "ЛЕГБАНК" В М.КІРОВОГРАДІ</v>
          </cell>
          <cell r="J2265" t="str">
            <v>Кіровоградс. ФАКБ "ЛЕГБАНК"</v>
          </cell>
          <cell r="K2265" t="str">
            <v>UKJE</v>
          </cell>
          <cell r="L2265" t="str">
            <v>UKJE</v>
          </cell>
          <cell r="M2265">
            <v>10</v>
          </cell>
          <cell r="N2265">
            <v>26</v>
          </cell>
          <cell r="O2265" t="str">
            <v>Управл.НБУ в Кіровоград.обл</v>
          </cell>
        </row>
        <row r="2266">
          <cell r="A2266">
            <v>323754</v>
          </cell>
          <cell r="B2266">
            <v>321228</v>
          </cell>
          <cell r="D2266">
            <v>0</v>
          </cell>
          <cell r="E2266">
            <v>68</v>
          </cell>
          <cell r="F2266">
            <v>0</v>
          </cell>
          <cell r="G2266" t="str">
            <v>8</v>
          </cell>
          <cell r="H2266">
            <v>743</v>
          </cell>
          <cell r="I2266" t="str">
            <v>КІР.Ф.ТОВ "УКРПРОМБАНК",М.КІРОВОГРАД</v>
          </cell>
          <cell r="J2266" t="str">
            <v>Кіровогр.ФВАТ "УКРПРОМБАНК"</v>
          </cell>
          <cell r="K2266" t="str">
            <v>UKIH</v>
          </cell>
          <cell r="L2266" t="str">
            <v>UKIH</v>
          </cell>
          <cell r="M2266">
            <v>10</v>
          </cell>
          <cell r="N2266">
            <v>26</v>
          </cell>
          <cell r="O2266" t="str">
            <v>Управл.НБУ в Кіровоград.обл</v>
          </cell>
        </row>
        <row r="2267">
          <cell r="A2267">
            <v>323798</v>
          </cell>
          <cell r="B2267">
            <v>328384</v>
          </cell>
          <cell r="D2267">
            <v>0</v>
          </cell>
          <cell r="E2267">
            <v>258</v>
          </cell>
          <cell r="F2267">
            <v>0</v>
          </cell>
          <cell r="G2267" t="str">
            <v>8</v>
          </cell>
          <cell r="H2267">
            <v>734</v>
          </cell>
          <cell r="I2267" t="str">
            <v>ФІЛІЯ АКБ "ІМЕКСБАНК" У М.КІРОВОГРАДІ</v>
          </cell>
          <cell r="J2267" t="str">
            <v>КІРОВОГРАДФ АКБ "ІМЕКСБАНК"</v>
          </cell>
          <cell r="K2267" t="str">
            <v>UKJO</v>
          </cell>
          <cell r="L2267" t="str">
            <v>UKJO</v>
          </cell>
          <cell r="M2267">
            <v>10</v>
          </cell>
          <cell r="N2267">
            <v>15</v>
          </cell>
          <cell r="O2267" t="str">
            <v>Управл.НБУ в Кіровоград.обл</v>
          </cell>
        </row>
        <row r="2268">
          <cell r="A2268">
            <v>323806</v>
          </cell>
          <cell r="B2268">
            <v>300465</v>
          </cell>
          <cell r="D2268">
            <v>0</v>
          </cell>
          <cell r="E2268">
            <v>6</v>
          </cell>
          <cell r="F2268">
            <v>0</v>
          </cell>
          <cell r="G2268" t="str">
            <v>6</v>
          </cell>
          <cell r="H2268">
            <v>628</v>
          </cell>
          <cell r="I2268" t="str">
            <v>ФОЛЕКСАНДРІЙСЬКЕ  ВАТОЩАД М.ОЛЕКСАНДРІ</v>
          </cell>
          <cell r="J2268" t="str">
            <v>ФОлександрійське відВАТОщад</v>
          </cell>
          <cell r="K2268" t="str">
            <v>UKLE</v>
          </cell>
          <cell r="L2268" t="str">
            <v>UKLE</v>
          </cell>
          <cell r="M2268">
            <v>10</v>
          </cell>
          <cell r="N2268">
            <v>26</v>
          </cell>
          <cell r="O2268" t="str">
            <v>Управл.НБУ в Кіровоград.обл</v>
          </cell>
        </row>
        <row r="2269">
          <cell r="A2269">
            <v>323817</v>
          </cell>
          <cell r="B2269">
            <v>300465</v>
          </cell>
          <cell r="D2269">
            <v>0</v>
          </cell>
          <cell r="E2269">
            <v>6</v>
          </cell>
          <cell r="F2269">
            <v>0</v>
          </cell>
          <cell r="G2269" t="str">
            <v>6</v>
          </cell>
          <cell r="H2269">
            <v>629</v>
          </cell>
          <cell r="I2269" t="str">
            <v>ФОЛЕКСАНДРІВСЬКЕ ВІ ВАТОЩАД СМТ.ОЛЕКСА</v>
          </cell>
          <cell r="J2269" t="str">
            <v>ФОлександрівське відВАТОщад</v>
          </cell>
          <cell r="K2269" t="str">
            <v>UKLF</v>
          </cell>
          <cell r="L2269" t="str">
            <v>UKLF</v>
          </cell>
          <cell r="M2269">
            <v>10</v>
          </cell>
          <cell r="N2269">
            <v>26</v>
          </cell>
          <cell r="O2269" t="str">
            <v>Управл.НБУ в Кіровоград.обл</v>
          </cell>
        </row>
        <row r="2270">
          <cell r="A2270">
            <v>323839</v>
          </cell>
          <cell r="B2270">
            <v>300465</v>
          </cell>
          <cell r="D2270">
            <v>0</v>
          </cell>
          <cell r="E2270">
            <v>6</v>
          </cell>
          <cell r="F2270">
            <v>0</v>
          </cell>
          <cell r="G2270" t="str">
            <v>6</v>
          </cell>
          <cell r="H2270">
            <v>605</v>
          </cell>
          <cell r="I2270" t="str">
            <v>ФДОБРОВЕЛИЧКІВСЬКЕ  ВАТОЩАД СМТ.ДОБРОВ</v>
          </cell>
          <cell r="J2270" t="str">
            <v>ФДобровеличківськевіВАТОщад</v>
          </cell>
          <cell r="K2270" t="str">
            <v>UKLH</v>
          </cell>
          <cell r="L2270" t="str">
            <v>UKLH</v>
          </cell>
          <cell r="M2270">
            <v>10</v>
          </cell>
          <cell r="N2270">
            <v>26</v>
          </cell>
          <cell r="O2270" t="str">
            <v>Управл.НБУ в Кіровоград.обл</v>
          </cell>
        </row>
        <row r="2271">
          <cell r="A2271">
            <v>323840</v>
          </cell>
          <cell r="B2271">
            <v>300465</v>
          </cell>
          <cell r="D2271">
            <v>0</v>
          </cell>
          <cell r="E2271">
            <v>6</v>
          </cell>
          <cell r="F2271">
            <v>0</v>
          </cell>
          <cell r="G2271" t="str">
            <v>6</v>
          </cell>
          <cell r="H2271">
            <v>606</v>
          </cell>
          <cell r="I2271" t="str">
            <v>ФДОЛИНСЬКЕ ВІДДІЛЕН ВАТОЩАД М.ДОЛИНСЬК</v>
          </cell>
          <cell r="J2271" t="str">
            <v>ФДолинське відділеннВАТОщад</v>
          </cell>
          <cell r="K2271" t="str">
            <v>UKLI</v>
          </cell>
          <cell r="L2271" t="str">
            <v>UKLI</v>
          </cell>
          <cell r="M2271">
            <v>10</v>
          </cell>
          <cell r="N2271">
            <v>26</v>
          </cell>
          <cell r="O2271" t="str">
            <v>Управл.НБУ в Кіровоград.обл</v>
          </cell>
        </row>
        <row r="2272">
          <cell r="A2272">
            <v>323851</v>
          </cell>
          <cell r="B2272">
            <v>300465</v>
          </cell>
          <cell r="D2272">
            <v>0</v>
          </cell>
          <cell r="E2272">
            <v>6</v>
          </cell>
          <cell r="F2272">
            <v>0</v>
          </cell>
          <cell r="G2272" t="str">
            <v>6</v>
          </cell>
          <cell r="H2272">
            <v>607</v>
          </cell>
          <cell r="I2272" t="str">
            <v>ФЗНАМ`ЯНСЬКЕ ВІДДІЛ ВАТОЩАД М.ЗНАМ`ЯНК</v>
          </cell>
          <cell r="J2272" t="str">
            <v>ФЗнам`янське відділеВАТОщад</v>
          </cell>
          <cell r="K2272" t="str">
            <v>UKLJ</v>
          </cell>
          <cell r="L2272" t="str">
            <v>UKLJ</v>
          </cell>
          <cell r="M2272">
            <v>10</v>
          </cell>
          <cell r="N2272">
            <v>26</v>
          </cell>
          <cell r="O2272" t="str">
            <v>Управл.НБУ в Кіровоград.обл</v>
          </cell>
        </row>
        <row r="2273">
          <cell r="A2273">
            <v>323862</v>
          </cell>
          <cell r="B2273">
            <v>300465</v>
          </cell>
          <cell r="D2273">
            <v>0</v>
          </cell>
          <cell r="E2273">
            <v>6</v>
          </cell>
          <cell r="F2273">
            <v>0</v>
          </cell>
          <cell r="G2273" t="str">
            <v>6</v>
          </cell>
          <cell r="H2273">
            <v>608</v>
          </cell>
          <cell r="I2273" t="str">
            <v>ФМАЛОВИСКІВСЬКЕ ВІД ВАТОЩАД М.МАЛА ВИС</v>
          </cell>
          <cell r="J2273" t="str">
            <v>ФМаловисківське віддВАТОщад</v>
          </cell>
          <cell r="K2273" t="str">
            <v>UKLK</v>
          </cell>
          <cell r="L2273" t="str">
            <v>UKLK</v>
          </cell>
          <cell r="M2273">
            <v>10</v>
          </cell>
          <cell r="N2273">
            <v>26</v>
          </cell>
          <cell r="O2273" t="str">
            <v>Управл.НБУ в Кіровоград.обл</v>
          </cell>
        </row>
        <row r="2274">
          <cell r="A2274">
            <v>323884</v>
          </cell>
          <cell r="B2274">
            <v>300465</v>
          </cell>
          <cell r="D2274">
            <v>0</v>
          </cell>
          <cell r="E2274">
            <v>6</v>
          </cell>
          <cell r="F2274">
            <v>0</v>
          </cell>
          <cell r="G2274" t="str">
            <v>6</v>
          </cell>
          <cell r="H2274">
            <v>626</v>
          </cell>
          <cell r="I2274" t="str">
            <v>ФНОВОАРХАНГЕЛЬСЬКЕ  ВАТОЩАД СМТ.НОВОАР</v>
          </cell>
          <cell r="J2274" t="str">
            <v>ФНовоархангельське вВАТОщад</v>
          </cell>
          <cell r="K2274" t="str">
            <v>UKLM</v>
          </cell>
          <cell r="L2274" t="str">
            <v>UKLM</v>
          </cell>
          <cell r="M2274">
            <v>10</v>
          </cell>
          <cell r="N2274">
            <v>26</v>
          </cell>
          <cell r="O2274" t="str">
            <v>Управл.НБУ в Кіровоград.обл</v>
          </cell>
        </row>
        <row r="2275">
          <cell r="A2275">
            <v>323895</v>
          </cell>
          <cell r="B2275">
            <v>300465</v>
          </cell>
          <cell r="D2275">
            <v>0</v>
          </cell>
          <cell r="E2275">
            <v>6</v>
          </cell>
          <cell r="F2275">
            <v>0</v>
          </cell>
          <cell r="G2275" t="str">
            <v>6</v>
          </cell>
          <cell r="H2275">
            <v>627</v>
          </cell>
          <cell r="I2275" t="str">
            <v>ФСВІТЛОВОДСЬКЕ ВІДД ВАТОЩАД М.СВІТЛОВО</v>
          </cell>
          <cell r="J2275" t="str">
            <v>ФСвітловодське віддіВАТОщад</v>
          </cell>
          <cell r="K2275" t="str">
            <v>UKLN</v>
          </cell>
          <cell r="L2275" t="str">
            <v>UKLN</v>
          </cell>
          <cell r="M2275">
            <v>10</v>
          </cell>
          <cell r="N2275">
            <v>26</v>
          </cell>
          <cell r="O2275" t="str">
            <v>Управл.НБУ в Кіровоград.обл</v>
          </cell>
        </row>
        <row r="2276">
          <cell r="A2276">
            <v>323914</v>
          </cell>
          <cell r="B2276">
            <v>300465</v>
          </cell>
          <cell r="D2276">
            <v>0</v>
          </cell>
          <cell r="E2276">
            <v>6</v>
          </cell>
          <cell r="F2276">
            <v>0</v>
          </cell>
          <cell r="G2276" t="str">
            <v>6</v>
          </cell>
          <cell r="H2276">
            <v>613</v>
          </cell>
          <cell r="I2276" t="str">
            <v>ФНОВОУКРАЇНСЬКЕ ВІД ВАТОЩАД М.НОВОУКРА</v>
          </cell>
          <cell r="J2276" t="str">
            <v>ФНовоукраїнське віддВАТОщад</v>
          </cell>
          <cell r="K2276" t="str">
            <v>UKLP</v>
          </cell>
          <cell r="L2276" t="str">
            <v>UKLP</v>
          </cell>
          <cell r="M2276">
            <v>10</v>
          </cell>
          <cell r="N2276">
            <v>26</v>
          </cell>
          <cell r="O2276" t="str">
            <v>Управл.НБУ в Кіровоград.обл</v>
          </cell>
        </row>
        <row r="2277">
          <cell r="A2277">
            <v>323936</v>
          </cell>
          <cell r="B2277">
            <v>300465</v>
          </cell>
          <cell r="D2277">
            <v>0</v>
          </cell>
          <cell r="E2277">
            <v>6</v>
          </cell>
          <cell r="F2277">
            <v>0</v>
          </cell>
          <cell r="G2277" t="str">
            <v>6</v>
          </cell>
          <cell r="H2277">
            <v>602</v>
          </cell>
          <cell r="I2277" t="str">
            <v>ФПЕТРІВСЬКЕ ВІДДІЛЕ ВАТОЩАД СМТ.ПЕТРОВ</v>
          </cell>
          <cell r="J2277" t="str">
            <v>ФПетрівське відділенВАТОщад</v>
          </cell>
          <cell r="K2277" t="str">
            <v>UKLR</v>
          </cell>
          <cell r="L2277" t="str">
            <v>UKLR</v>
          </cell>
          <cell r="M2277">
            <v>10</v>
          </cell>
          <cell r="N2277">
            <v>26</v>
          </cell>
          <cell r="O2277" t="str">
            <v>Управл.НБУ в Кіровоград.обл</v>
          </cell>
        </row>
        <row r="2278">
          <cell r="A2278">
            <v>323947</v>
          </cell>
          <cell r="B2278">
            <v>300465</v>
          </cell>
          <cell r="D2278">
            <v>0</v>
          </cell>
          <cell r="E2278">
            <v>6</v>
          </cell>
          <cell r="F2278">
            <v>0</v>
          </cell>
          <cell r="G2278" t="str">
            <v>6</v>
          </cell>
          <cell r="H2278">
            <v>603</v>
          </cell>
          <cell r="I2278" t="str">
            <v>ФУСТИНІВСЬКЕ ВІДДІЛ ВАТОЩАД СМТ.УСТИНІ</v>
          </cell>
          <cell r="J2278" t="str">
            <v>ФУстинівське відділеВАТОщад</v>
          </cell>
          <cell r="K2278" t="str">
            <v>UKLS</v>
          </cell>
          <cell r="L2278" t="str">
            <v>UKLS</v>
          </cell>
          <cell r="M2278">
            <v>10</v>
          </cell>
          <cell r="N2278">
            <v>26</v>
          </cell>
          <cell r="O2278" t="str">
            <v>Управл.НБУ в Кіровоград.обл</v>
          </cell>
        </row>
        <row r="2279">
          <cell r="A2279">
            <v>323981</v>
          </cell>
          <cell r="B2279">
            <v>300465</v>
          </cell>
          <cell r="D2279">
            <v>0</v>
          </cell>
          <cell r="E2279">
            <v>6</v>
          </cell>
          <cell r="F2279">
            <v>0</v>
          </cell>
          <cell r="G2279" t="str">
            <v>6</v>
          </cell>
          <cell r="H2279">
            <v>610</v>
          </cell>
          <cell r="I2279" t="str">
            <v>ФГАЙВОРОНСЬКЕ ВІДДІ ВАТОЩАД М.ГАЙВОРОН</v>
          </cell>
          <cell r="J2279" t="str">
            <v>ФГайворонське відділВАТОщад</v>
          </cell>
          <cell r="K2279" t="str">
            <v>UKLW</v>
          </cell>
          <cell r="L2279" t="str">
            <v>UKLW</v>
          </cell>
          <cell r="M2279">
            <v>10</v>
          </cell>
          <cell r="N2279">
            <v>26</v>
          </cell>
          <cell r="O2279" t="str">
            <v>Управл.НБУ в Кіровоград.обл</v>
          </cell>
        </row>
        <row r="2280">
          <cell r="A2280">
            <v>323992</v>
          </cell>
          <cell r="B2280">
            <v>300465</v>
          </cell>
          <cell r="D2280">
            <v>0</v>
          </cell>
          <cell r="E2280">
            <v>6</v>
          </cell>
          <cell r="F2280">
            <v>0</v>
          </cell>
          <cell r="G2280" t="str">
            <v>6</v>
          </cell>
          <cell r="H2280">
            <v>611</v>
          </cell>
          <cell r="I2280" t="str">
            <v>ФГОЛОВАНІВСЬКЕ ВІДД ВАТОЩАД СМТ.ГОЛОВА</v>
          </cell>
          <cell r="J2280" t="str">
            <v>ФГолованівське віддіВАТОщад</v>
          </cell>
          <cell r="K2280" t="str">
            <v>UKLX</v>
          </cell>
          <cell r="L2280" t="str">
            <v>UKLX</v>
          </cell>
          <cell r="M2280">
            <v>10</v>
          </cell>
          <cell r="N2280">
            <v>26</v>
          </cell>
          <cell r="O2280" t="str">
            <v>Управл.НБУ в Кіровоград.обл</v>
          </cell>
        </row>
        <row r="2281">
          <cell r="A2281">
            <v>324010</v>
          </cell>
          <cell r="B2281">
            <v>300023</v>
          </cell>
          <cell r="D2281">
            <v>0</v>
          </cell>
          <cell r="E2281">
            <v>5</v>
          </cell>
          <cell r="F2281">
            <v>0</v>
          </cell>
          <cell r="G2281" t="str">
            <v>5</v>
          </cell>
          <cell r="H2281">
            <v>518</v>
          </cell>
          <cell r="I2281" t="str">
            <v>КРИМ.РЕС.Ф АКБ"УСБ" М.СІМФЕРОПОЛЬ</v>
          </cell>
          <cell r="J2281" t="str">
            <v>Крим.рес.фАКБ"Укрсоцбанк"</v>
          </cell>
          <cell r="K2281" t="str">
            <v>ULCA</v>
          </cell>
          <cell r="L2281" t="str">
            <v>ULCA</v>
          </cell>
          <cell r="M2281">
            <v>11</v>
          </cell>
          <cell r="N2281">
            <v>26</v>
          </cell>
          <cell r="O2281" t="str">
            <v>ГУ НБУ В АРК М.СІМФЕРОПОЛЬ</v>
          </cell>
        </row>
        <row r="2282">
          <cell r="A2282">
            <v>324021</v>
          </cell>
          <cell r="B2282">
            <v>300335</v>
          </cell>
          <cell r="D2282">
            <v>0</v>
          </cell>
          <cell r="E2282">
            <v>36</v>
          </cell>
          <cell r="F2282">
            <v>0</v>
          </cell>
          <cell r="G2282" t="str">
            <v>7</v>
          </cell>
          <cell r="H2282">
            <v>782</v>
          </cell>
          <cell r="I2282" t="str">
            <v>КРДВАТ"РАЙФФАЙЗЕН БАНК АВАЛЬ"СІМФЕРОП.</v>
          </cell>
          <cell r="J2282" t="str">
            <v>КРД "РАЙФФАЙЗЕН БАНК АВАЛЬ"</v>
          </cell>
          <cell r="K2282" t="str">
            <v>ULIW</v>
          </cell>
          <cell r="L2282" t="str">
            <v>ULIW</v>
          </cell>
          <cell r="M2282">
            <v>11</v>
          </cell>
          <cell r="N2282">
            <v>26</v>
          </cell>
          <cell r="O2282" t="str">
            <v>ГУ НБУ В АРК М.СІМФЕРОПОЛЬ</v>
          </cell>
        </row>
        <row r="2283">
          <cell r="A2283">
            <v>324195</v>
          </cell>
          <cell r="B2283">
            <v>300023</v>
          </cell>
          <cell r="D2283">
            <v>0</v>
          </cell>
          <cell r="E2283">
            <v>5</v>
          </cell>
          <cell r="F2283">
            <v>0</v>
          </cell>
          <cell r="G2283" t="str">
            <v>5</v>
          </cell>
          <cell r="H2283">
            <v>513</v>
          </cell>
          <cell r="I2283" t="str">
            <v>СЕВАСТ.Ф АКБ"УСБ" М.СЕВАСТОПОЛЬ</v>
          </cell>
          <cell r="J2283" t="str">
            <v>Севаст.ф.АКБ"Укрсоцбанк"</v>
          </cell>
          <cell r="K2283" t="str">
            <v>ULCF</v>
          </cell>
          <cell r="L2283" t="str">
            <v>ULCF</v>
          </cell>
          <cell r="M2283">
            <v>29</v>
          </cell>
          <cell r="N2283">
            <v>26</v>
          </cell>
          <cell r="O2283" t="str">
            <v>Севастополь</v>
          </cell>
        </row>
        <row r="2284">
          <cell r="A2284">
            <v>324333</v>
          </cell>
          <cell r="B2284">
            <v>300001</v>
          </cell>
          <cell r="D2284">
            <v>0</v>
          </cell>
          <cell r="E2284">
            <v>1</v>
          </cell>
          <cell r="F2284">
            <v>0</v>
          </cell>
          <cell r="G2284" t="str">
            <v>1</v>
          </cell>
          <cell r="H2284">
            <v>32</v>
          </cell>
          <cell r="I2284" t="str">
            <v>ГОЛОВНЕ УПРАВЛІННЯ НБУ В АРК</v>
          </cell>
          <cell r="J2284" t="str">
            <v>ГУ НБУ в  АРК</v>
          </cell>
          <cell r="K2284" t="str">
            <v>ULHA</v>
          </cell>
          <cell r="L2284" t="str">
            <v>ULH0</v>
          </cell>
          <cell r="M2284">
            <v>11</v>
          </cell>
          <cell r="N2284">
            <v>27</v>
          </cell>
          <cell r="O2284" t="str">
            <v>ГУ НБУ В АРК М.СІМФЕРОПОЛЬ</v>
          </cell>
        </row>
        <row r="2285">
          <cell r="A2285">
            <v>324366</v>
          </cell>
          <cell r="B2285">
            <v>300658</v>
          </cell>
          <cell r="D2285">
            <v>0</v>
          </cell>
          <cell r="E2285">
            <v>251</v>
          </cell>
          <cell r="F2285">
            <v>0</v>
          </cell>
          <cell r="G2285" t="str">
            <v>B</v>
          </cell>
          <cell r="H2285">
            <v>774</v>
          </cell>
          <cell r="I2285" t="str">
            <v>ФФ ВАТ "ПІРЕУС БАНК МКБ", М.ФЕОДОСІЯ</v>
          </cell>
          <cell r="J2285" t="str">
            <v>ФФ ВАТ "ПІРЕУС БАНК МКБ"</v>
          </cell>
          <cell r="K2285" t="str">
            <v>ULIH</v>
          </cell>
          <cell r="L2285" t="str">
            <v>ULIH</v>
          </cell>
          <cell r="M2285">
            <v>11</v>
          </cell>
          <cell r="N2285">
            <v>26</v>
          </cell>
          <cell r="O2285" t="str">
            <v>ГУ НБУ В АРК М.СІМФЕРОПОЛЬ</v>
          </cell>
        </row>
        <row r="2286">
          <cell r="A2286">
            <v>324377</v>
          </cell>
          <cell r="B2286">
            <v>300788</v>
          </cell>
          <cell r="D2286">
            <v>0</v>
          </cell>
          <cell r="E2286">
            <v>84</v>
          </cell>
          <cell r="F2286">
            <v>0</v>
          </cell>
          <cell r="G2286" t="str">
            <v>8</v>
          </cell>
          <cell r="H2286">
            <v>759</v>
          </cell>
          <cell r="I2286" t="str">
            <v>СЕВАСТ.Ф-Я АБ "ТАВРИКА" М.СЕВАСТОПОЛЬ</v>
          </cell>
          <cell r="J2286" t="str">
            <v>СФ АБ "ТАВРИКА"</v>
          </cell>
          <cell r="K2286" t="str">
            <v>ULIF</v>
          </cell>
          <cell r="L2286" t="str">
            <v>ULIF</v>
          </cell>
          <cell r="M2286">
            <v>29</v>
          </cell>
          <cell r="N2286">
            <v>26</v>
          </cell>
          <cell r="O2286" t="str">
            <v>Севастополь</v>
          </cell>
        </row>
        <row r="2287">
          <cell r="A2287">
            <v>324388</v>
          </cell>
          <cell r="B2287">
            <v>300012</v>
          </cell>
          <cell r="D2287">
            <v>0</v>
          </cell>
          <cell r="E2287">
            <v>3</v>
          </cell>
          <cell r="F2287">
            <v>0</v>
          </cell>
          <cell r="G2287" t="str">
            <v>3</v>
          </cell>
          <cell r="H2287">
            <v>330</v>
          </cell>
          <cell r="I2287" t="str">
            <v>Ф."В.ПРОМІНВЕСТБАНКУ В М.ФЕОДОСІЯ АРК"</v>
          </cell>
          <cell r="J2287" t="str">
            <v>Філія"Від.ПІБ м.ФЕОДОСІЯ"</v>
          </cell>
          <cell r="K2287" t="str">
            <v>ULAC</v>
          </cell>
          <cell r="L2287" t="str">
            <v>ULA0</v>
          </cell>
          <cell r="M2287">
            <v>11</v>
          </cell>
          <cell r="N2287">
            <v>26</v>
          </cell>
          <cell r="O2287" t="str">
            <v>ГУ НБУ В АРК М.СІМФЕРОПОЛЬ</v>
          </cell>
        </row>
        <row r="2288">
          <cell r="A2288">
            <v>324399</v>
          </cell>
          <cell r="B2288">
            <v>324485</v>
          </cell>
          <cell r="D2288">
            <v>0</v>
          </cell>
          <cell r="E2288">
            <v>81</v>
          </cell>
          <cell r="F2288">
            <v>0</v>
          </cell>
          <cell r="G2288" t="str">
            <v>8</v>
          </cell>
          <cell r="H2288">
            <v>751</v>
          </cell>
          <cell r="I2288" t="str">
            <v>СФ ВАТ"ЄВР.БАНК РОЗВ.ТА ЗАОЩ."СЕВАСТОП</v>
          </cell>
          <cell r="J2288" t="str">
            <v>СЕФ ВАТ "ЄБРЗ" СЕВАСТОП.</v>
          </cell>
          <cell r="K2288" t="str">
            <v>ULIC</v>
          </cell>
          <cell r="L2288" t="str">
            <v>ULIC</v>
          </cell>
          <cell r="M2288">
            <v>29</v>
          </cell>
          <cell r="N2288">
            <v>11</v>
          </cell>
          <cell r="O2288" t="str">
            <v>Севастополь</v>
          </cell>
        </row>
        <row r="2289">
          <cell r="A2289">
            <v>324407</v>
          </cell>
          <cell r="B2289">
            <v>300012</v>
          </cell>
          <cell r="D2289">
            <v>0</v>
          </cell>
          <cell r="E2289">
            <v>3</v>
          </cell>
          <cell r="F2289">
            <v>0</v>
          </cell>
          <cell r="G2289" t="str">
            <v>3</v>
          </cell>
          <cell r="H2289">
            <v>313</v>
          </cell>
          <cell r="I2289" t="str">
            <v>Ф."В.ПРОМІНВЕСТБАНКУ В М.АРМЯНСЬК АРК"</v>
          </cell>
          <cell r="J2289" t="str">
            <v>Ф-я"В.ПІБ В М.АРМЯНСЬК АРК"</v>
          </cell>
          <cell r="K2289" t="str">
            <v>ULAJ</v>
          </cell>
          <cell r="L2289" t="str">
            <v>ULA0</v>
          </cell>
          <cell r="M2289">
            <v>11</v>
          </cell>
          <cell r="N2289">
            <v>26</v>
          </cell>
          <cell r="O2289" t="str">
            <v>ГУ НБУ В АРК М.СІМФЕРОПОЛЬ</v>
          </cell>
        </row>
        <row r="2290">
          <cell r="A2290">
            <v>324418</v>
          </cell>
          <cell r="B2290">
            <v>300012</v>
          </cell>
          <cell r="D2290">
            <v>0</v>
          </cell>
          <cell r="E2290">
            <v>3</v>
          </cell>
          <cell r="F2290">
            <v>0</v>
          </cell>
          <cell r="G2290" t="str">
            <v>3</v>
          </cell>
          <cell r="H2290">
            <v>343</v>
          </cell>
          <cell r="I2290" t="str">
            <v>Ф."ВІД.ПІБ В М.КРАСНОПЕРЕКОПСЬК АРК"</v>
          </cell>
          <cell r="J2290" t="str">
            <v>Філія"Від.ПІБ,КРАСНОПЕРЕК."</v>
          </cell>
          <cell r="K2290" t="str">
            <v>ULAE</v>
          </cell>
          <cell r="L2290" t="str">
            <v>ULA0</v>
          </cell>
          <cell r="M2290">
            <v>11</v>
          </cell>
          <cell r="N2290">
            <v>26</v>
          </cell>
          <cell r="O2290" t="str">
            <v>ГУ НБУ В АРК М.СІМФЕРОПОЛЬ</v>
          </cell>
        </row>
        <row r="2291">
          <cell r="A2291">
            <v>324430</v>
          </cell>
          <cell r="B2291">
            <v>300012</v>
          </cell>
          <cell r="D2291">
            <v>0</v>
          </cell>
          <cell r="E2291">
            <v>3</v>
          </cell>
          <cell r="F2291">
            <v>0</v>
          </cell>
          <cell r="G2291" t="str">
            <v>3</v>
          </cell>
          <cell r="H2291">
            <v>332</v>
          </cell>
          <cell r="I2291" t="str">
            <v>Ф."КРИМ.ЦЕНТР.ВІД.ПІБ М.СІМФЕРОП. АРК"</v>
          </cell>
          <cell r="J2291" t="str">
            <v>Філія"Кримс.Центр.від.ПІБ"</v>
          </cell>
          <cell r="K2291" t="str">
            <v>ULAA</v>
          </cell>
          <cell r="L2291" t="str">
            <v>ULA0</v>
          </cell>
          <cell r="M2291">
            <v>11</v>
          </cell>
          <cell r="N2291">
            <v>26</v>
          </cell>
          <cell r="O2291" t="str">
            <v>ГУ НБУ В АРК М.СІМФЕРОПОЛЬ</v>
          </cell>
        </row>
        <row r="2292">
          <cell r="A2292">
            <v>324485</v>
          </cell>
          <cell r="B2292">
            <v>324485</v>
          </cell>
          <cell r="C2292" t="str">
            <v>ВАТ "ЄБРЗ"</v>
          </cell>
          <cell r="D2292">
            <v>81</v>
          </cell>
          <cell r="E2292">
            <v>81</v>
          </cell>
          <cell r="F2292">
            <v>0</v>
          </cell>
          <cell r="G2292" t="str">
            <v>8</v>
          </cell>
          <cell r="H2292">
            <v>715</v>
          </cell>
          <cell r="I2292" t="str">
            <v>ВАТ "ЄБРЗ", М.СІМФЕРОПОЛЬ</v>
          </cell>
          <cell r="J2292" t="str">
            <v>ВАТ "ЄБРЗ"</v>
          </cell>
          <cell r="K2292" t="str">
            <v>ULJE</v>
          </cell>
          <cell r="L2292" t="str">
            <v>ULJE</v>
          </cell>
          <cell r="M2292">
            <v>11</v>
          </cell>
          <cell r="N2292">
            <v>11</v>
          </cell>
          <cell r="O2292" t="str">
            <v>ГУ НБУ В АРК М.СІМФЕРОПОЛЬ</v>
          </cell>
        </row>
        <row r="2293">
          <cell r="A2293">
            <v>324515</v>
          </cell>
          <cell r="B2293">
            <v>300012</v>
          </cell>
          <cell r="D2293">
            <v>0</v>
          </cell>
          <cell r="E2293">
            <v>3</v>
          </cell>
          <cell r="F2293">
            <v>0</v>
          </cell>
          <cell r="G2293" t="str">
            <v>3</v>
          </cell>
          <cell r="H2293">
            <v>353</v>
          </cell>
          <cell r="I2293" t="str">
            <v>Ф."В.ПРОМІНВЕСТБАНКУ В М.СЕВАСТОП.АРК"</v>
          </cell>
          <cell r="J2293" t="str">
            <v>Філія"Від.ПІБ М.СЕВАСТОП."</v>
          </cell>
          <cell r="K2293" t="str">
            <v>ULAG</v>
          </cell>
          <cell r="L2293" t="str">
            <v>ULA0</v>
          </cell>
          <cell r="M2293">
            <v>29</v>
          </cell>
          <cell r="N2293">
            <v>26</v>
          </cell>
          <cell r="O2293" t="str">
            <v>Севастополь</v>
          </cell>
        </row>
        <row r="2294">
          <cell r="A2294">
            <v>324548</v>
          </cell>
          <cell r="B2294">
            <v>300012</v>
          </cell>
          <cell r="D2294">
            <v>0</v>
          </cell>
          <cell r="E2294">
            <v>3</v>
          </cell>
          <cell r="F2294">
            <v>0</v>
          </cell>
          <cell r="G2294" t="str">
            <v>3</v>
          </cell>
          <cell r="H2294">
            <v>356</v>
          </cell>
          <cell r="I2294" t="str">
            <v>Ф."ВІД.ПРОМІНВЕСТБАНКУ В М.КЕРЧ АРК"</v>
          </cell>
          <cell r="J2294" t="str">
            <v>Ф-я "Від.ПІБ В М.КЕРЧ АРК"</v>
          </cell>
          <cell r="K2294" t="str">
            <v>ULAH</v>
          </cell>
          <cell r="L2294" t="str">
            <v>ULA0</v>
          </cell>
          <cell r="M2294">
            <v>11</v>
          </cell>
          <cell r="N2294">
            <v>26</v>
          </cell>
          <cell r="O2294" t="str">
            <v>ГУ НБУ В АРК М.СІМФЕРОПОЛЬ</v>
          </cell>
        </row>
        <row r="2295">
          <cell r="A2295">
            <v>324690</v>
          </cell>
          <cell r="B2295">
            <v>351607</v>
          </cell>
          <cell r="D2295">
            <v>0</v>
          </cell>
          <cell r="E2295">
            <v>123</v>
          </cell>
          <cell r="F2295">
            <v>0</v>
          </cell>
          <cell r="G2295" t="str">
            <v>8</v>
          </cell>
          <cell r="H2295">
            <v>710</v>
          </cell>
          <cell r="I2295" t="str">
            <v>Ф-Я"ЄВП.-ГРАНТ"АСУБ"ГРАНТ"М.ЄВПАТОРІЯ</v>
          </cell>
          <cell r="J2295" t="str">
            <v>ФАСУБ"ЄВПАТОРІЯ-ГРАНТ",Євп.</v>
          </cell>
          <cell r="K2295" t="str">
            <v>ULJJ</v>
          </cell>
          <cell r="L2295" t="str">
            <v>ULJJ</v>
          </cell>
          <cell r="M2295">
            <v>11</v>
          </cell>
          <cell r="N2295">
            <v>20</v>
          </cell>
          <cell r="O2295" t="str">
            <v>ГУ НБУ В АРК М.СІМФЕРОПОЛЬ</v>
          </cell>
        </row>
        <row r="2296">
          <cell r="A2296">
            <v>324742</v>
          </cell>
          <cell r="B2296">
            <v>324742</v>
          </cell>
          <cell r="C2296" t="str">
            <v>ВАТБАНК"МОРСЬКИЙ"</v>
          </cell>
          <cell r="D2296">
            <v>215</v>
          </cell>
          <cell r="E2296">
            <v>215</v>
          </cell>
          <cell r="F2296">
            <v>0</v>
          </cell>
          <cell r="G2296" t="str">
            <v>8</v>
          </cell>
          <cell r="H2296">
            <v>709</v>
          </cell>
          <cell r="I2296" t="str">
            <v>ВАТ БАНК "МОРСЬКИЙ" М.СЕВАСТОПОЛЬ</v>
          </cell>
          <cell r="J2296" t="str">
            <v>ВАТБАНК"МОРСЬКИЙ"</v>
          </cell>
          <cell r="K2296" t="str">
            <v>ULJF</v>
          </cell>
          <cell r="L2296" t="str">
            <v>ULJF</v>
          </cell>
          <cell r="M2296">
            <v>29</v>
          </cell>
          <cell r="N2296">
            <v>11</v>
          </cell>
          <cell r="O2296" t="str">
            <v>Севастополь</v>
          </cell>
        </row>
        <row r="2297">
          <cell r="A2297">
            <v>324753</v>
          </cell>
          <cell r="B2297">
            <v>324485</v>
          </cell>
          <cell r="D2297">
            <v>0</v>
          </cell>
          <cell r="E2297">
            <v>81</v>
          </cell>
          <cell r="F2297">
            <v>0</v>
          </cell>
          <cell r="G2297" t="str">
            <v>8</v>
          </cell>
          <cell r="H2297">
            <v>755</v>
          </cell>
          <cell r="I2297" t="str">
            <v>ФФ ВАТ"ЄВР.БАНК РОЗВ.ТА ЗАОЩ."ФЕОДОСИЯ</v>
          </cell>
          <cell r="J2297" t="str">
            <v>ФФ ВАТ "ЄБРЗ" ФЕОДОСИЯ</v>
          </cell>
          <cell r="K2297" t="str">
            <v>ULJQ</v>
          </cell>
          <cell r="L2297" t="str">
            <v>ULJQ</v>
          </cell>
          <cell r="M2297">
            <v>11</v>
          </cell>
          <cell r="N2297">
            <v>11</v>
          </cell>
          <cell r="O2297" t="str">
            <v>ГУ НБУ В АРК М.СІМФЕРОПОЛЬ</v>
          </cell>
        </row>
        <row r="2298">
          <cell r="A2298">
            <v>324786</v>
          </cell>
          <cell r="B2298">
            <v>322313</v>
          </cell>
          <cell r="D2298">
            <v>0</v>
          </cell>
          <cell r="E2298">
            <v>2</v>
          </cell>
          <cell r="F2298">
            <v>0</v>
          </cell>
          <cell r="G2298" t="str">
            <v>2</v>
          </cell>
          <cell r="H2298">
            <v>240</v>
          </cell>
          <cell r="I2298" t="str">
            <v>Ф-Я ВАТ "УКРЕКСІМБАНК", АР КРИМ</v>
          </cell>
          <cell r="J2298" t="str">
            <v>Ф-я Укрексімбанк,АР Крим</v>
          </cell>
          <cell r="K2298" t="str">
            <v>ULGA</v>
          </cell>
          <cell r="L2298" t="str">
            <v>ULGA</v>
          </cell>
          <cell r="M2298">
            <v>11</v>
          </cell>
          <cell r="N2298">
            <v>26</v>
          </cell>
          <cell r="O2298" t="str">
            <v>ГУ НБУ В АРК М.СІМФЕРОПОЛЬ</v>
          </cell>
        </row>
        <row r="2299">
          <cell r="A2299">
            <v>324797</v>
          </cell>
          <cell r="B2299">
            <v>320478</v>
          </cell>
          <cell r="D2299">
            <v>0</v>
          </cell>
          <cell r="E2299">
            <v>274</v>
          </cell>
          <cell r="F2299">
            <v>0</v>
          </cell>
          <cell r="G2299" t="str">
            <v>8</v>
          </cell>
          <cell r="H2299">
            <v>717</v>
          </cell>
          <cell r="I2299" t="str">
            <v>СІМ.Ф-Я ВАТ АБ УКРГАЗБАНК М.СІМФЕРОП.</v>
          </cell>
          <cell r="J2299" t="str">
            <v>Сімфер.ФВАТ АБ "Укргазбанк"</v>
          </cell>
          <cell r="K2299" t="str">
            <v>ULKA</v>
          </cell>
          <cell r="L2299" t="str">
            <v>ULKA</v>
          </cell>
          <cell r="M2299">
            <v>11</v>
          </cell>
          <cell r="N2299">
            <v>26</v>
          </cell>
          <cell r="O2299" t="str">
            <v>ГУ НБУ В АРК М.СІМФЕРОПОЛЬ</v>
          </cell>
        </row>
        <row r="2300">
          <cell r="A2300">
            <v>324805</v>
          </cell>
          <cell r="B2300">
            <v>300465</v>
          </cell>
          <cell r="D2300">
            <v>0</v>
          </cell>
          <cell r="E2300">
            <v>6</v>
          </cell>
          <cell r="F2300">
            <v>0</v>
          </cell>
          <cell r="G2300" t="str">
            <v>6</v>
          </cell>
          <cell r="H2300">
            <v>601</v>
          </cell>
          <cell r="I2300" t="str">
            <v>ФКРИМСЬКЕ  РЕСПУБЛІ ВАТОЩАД М.СІМФЕРОП</v>
          </cell>
          <cell r="J2300" t="str">
            <v>ФКримське  республікВАТОщад</v>
          </cell>
          <cell r="K2300" t="str">
            <v>ULLA</v>
          </cell>
          <cell r="L2300" t="str">
            <v>ULLA</v>
          </cell>
          <cell r="M2300">
            <v>11</v>
          </cell>
          <cell r="N2300">
            <v>26</v>
          </cell>
          <cell r="O2300" t="str">
            <v>ГУ НБУ В АРК М.СІМФЕРОПОЛЬ</v>
          </cell>
        </row>
        <row r="2301">
          <cell r="A2301">
            <v>324883</v>
          </cell>
          <cell r="B2301">
            <v>300658</v>
          </cell>
          <cell r="D2301">
            <v>0</v>
          </cell>
          <cell r="E2301">
            <v>251</v>
          </cell>
          <cell r="F2301">
            <v>0</v>
          </cell>
          <cell r="G2301" t="str">
            <v>B</v>
          </cell>
          <cell r="H2301">
            <v>726</v>
          </cell>
          <cell r="I2301" t="str">
            <v>СФ ВАТ "ПІРЕУС БАНК МКБ",М.СУДАК</v>
          </cell>
          <cell r="J2301" t="str">
            <v>СФ ВАТ "ПІРЕУС БАНК МКБ"</v>
          </cell>
          <cell r="K2301" t="str">
            <v>ULJD</v>
          </cell>
          <cell r="L2301" t="str">
            <v>ULJD</v>
          </cell>
          <cell r="M2301">
            <v>11</v>
          </cell>
          <cell r="N2301">
            <v>26</v>
          </cell>
          <cell r="O2301" t="str">
            <v>ГУ НБУ В АРК М.СІМФЕРОПОЛЬ</v>
          </cell>
        </row>
        <row r="2302">
          <cell r="A2302">
            <v>324894</v>
          </cell>
          <cell r="B2302">
            <v>324485</v>
          </cell>
          <cell r="D2302">
            <v>0</v>
          </cell>
          <cell r="E2302">
            <v>81</v>
          </cell>
          <cell r="F2302">
            <v>0</v>
          </cell>
          <cell r="G2302" t="str">
            <v>8</v>
          </cell>
          <cell r="H2302">
            <v>743</v>
          </cell>
          <cell r="I2302" t="str">
            <v>"КРД" ВАТ "ЄБРЗ"</v>
          </cell>
          <cell r="J2302" t="str">
            <v>"КРД" ВАТ "ЄБРЗ"</v>
          </cell>
          <cell r="K2302" t="str">
            <v>ULKD</v>
          </cell>
          <cell r="L2302" t="str">
            <v>ULKD</v>
          </cell>
          <cell r="M2302">
            <v>11</v>
          </cell>
          <cell r="N2302">
            <v>11</v>
          </cell>
          <cell r="O2302" t="str">
            <v>ГУ НБУ В АРК М.СІМФЕРОПОЛЬ</v>
          </cell>
        </row>
        <row r="2303">
          <cell r="A2303">
            <v>324913</v>
          </cell>
          <cell r="B2303">
            <v>325912</v>
          </cell>
          <cell r="D2303">
            <v>0</v>
          </cell>
          <cell r="E2303">
            <v>88</v>
          </cell>
          <cell r="F2303">
            <v>0</v>
          </cell>
          <cell r="G2303" t="str">
            <v>B</v>
          </cell>
          <cell r="H2303">
            <v>768</v>
          </cell>
          <cell r="I2303" t="str">
            <v>Кримська регіональна ф-яВАТ"КРЕДОБАНК"</v>
          </cell>
          <cell r="J2303" t="str">
            <v>Крим.Рег.Ф.ВАТ "КРЕДОБАНК"</v>
          </cell>
          <cell r="K2303" t="str">
            <v>ULJU</v>
          </cell>
          <cell r="L2303" t="str">
            <v>ULJU</v>
          </cell>
          <cell r="M2303">
            <v>11</v>
          </cell>
          <cell r="N2303">
            <v>13</v>
          </cell>
          <cell r="O2303" t="str">
            <v>ГУ НБУ В АРК М.СІМФЕРОПОЛЬ</v>
          </cell>
        </row>
        <row r="2304">
          <cell r="A2304">
            <v>324935</v>
          </cell>
          <cell r="B2304">
            <v>305299</v>
          </cell>
          <cell r="D2304">
            <v>0</v>
          </cell>
          <cell r="E2304">
            <v>46</v>
          </cell>
          <cell r="F2304">
            <v>0</v>
          </cell>
          <cell r="G2304" t="str">
            <v>A</v>
          </cell>
          <cell r="H2304">
            <v>702</v>
          </cell>
          <cell r="I2304" t="str">
            <v>СЕВАСТОП.ФІЛ.ПРИВАТБАНКУ М.СЕВАСТОПОЛЬ</v>
          </cell>
          <cell r="J2304" t="str">
            <v>Севастоп.ф-я ПриватБанку</v>
          </cell>
          <cell r="K2304" t="str">
            <v>ULKC</v>
          </cell>
          <cell r="L2304" t="str">
            <v>ULKC</v>
          </cell>
          <cell r="M2304">
            <v>29</v>
          </cell>
          <cell r="N2304">
            <v>3</v>
          </cell>
          <cell r="O2304" t="str">
            <v>Севастополь</v>
          </cell>
        </row>
        <row r="2305">
          <cell r="A2305">
            <v>324979</v>
          </cell>
          <cell r="B2305">
            <v>321983</v>
          </cell>
          <cell r="D2305">
            <v>0</v>
          </cell>
          <cell r="E2305">
            <v>153</v>
          </cell>
          <cell r="F2305">
            <v>0</v>
          </cell>
          <cell r="G2305" t="str">
            <v>B</v>
          </cell>
          <cell r="H2305">
            <v>706</v>
          </cell>
          <cell r="I2305" t="str">
            <v>СЕВ. ФАКБ "ПРАВЕКС-БАНК" М.СЕВАСТОПОЛЬ</v>
          </cell>
          <cell r="J2305" t="str">
            <v>СЕВ. ФАКБ "ПРАВЕКС-БАНК"</v>
          </cell>
          <cell r="K2305" t="str">
            <v>ULJI</v>
          </cell>
          <cell r="L2305" t="str">
            <v>ULJI</v>
          </cell>
          <cell r="M2305">
            <v>29</v>
          </cell>
          <cell r="N2305">
            <v>26</v>
          </cell>
          <cell r="O2305" t="str">
            <v>Севастополь</v>
          </cell>
        </row>
        <row r="2306">
          <cell r="A2306">
            <v>325008</v>
          </cell>
          <cell r="B2306">
            <v>322603</v>
          </cell>
          <cell r="D2306">
            <v>0</v>
          </cell>
          <cell r="E2306">
            <v>216</v>
          </cell>
          <cell r="F2306">
            <v>0</v>
          </cell>
          <cell r="G2306" t="str">
            <v>8</v>
          </cell>
          <cell r="H2306">
            <v>763</v>
          </cell>
          <cell r="I2306" t="str">
            <v>ЛФ ВАТ БАНКУ "БІГ ЕНЕРГІЯ" М.ЛЬВІВ</v>
          </cell>
          <cell r="J2306" t="str">
            <v>ЛФ ВАТ Банку "БІГ Енергія"</v>
          </cell>
          <cell r="K2306" t="str">
            <v>UNKE</v>
          </cell>
          <cell r="L2306" t="str">
            <v>UNKE</v>
          </cell>
          <cell r="M2306">
            <v>13</v>
          </cell>
          <cell r="N2306">
            <v>26</v>
          </cell>
          <cell r="O2306" t="str">
            <v>Управління НБУ у Львівс.обл</v>
          </cell>
        </row>
        <row r="2307">
          <cell r="A2307">
            <v>325019</v>
          </cell>
          <cell r="B2307">
            <v>300023</v>
          </cell>
          <cell r="D2307">
            <v>0</v>
          </cell>
          <cell r="E2307">
            <v>5</v>
          </cell>
          <cell r="F2307">
            <v>0</v>
          </cell>
          <cell r="G2307" t="str">
            <v>5</v>
          </cell>
          <cell r="H2307">
            <v>504</v>
          </cell>
          <cell r="I2307" t="str">
            <v>ЛЬВІВСЬКА ОБЛ.Ф.АКБ "УСБ" М.ЛЬВІВ</v>
          </cell>
          <cell r="J2307" t="str">
            <v>Львів.обл.філія АКБ "УСБ"</v>
          </cell>
          <cell r="K2307" t="str">
            <v>UNCA</v>
          </cell>
          <cell r="L2307" t="str">
            <v>UNCA</v>
          </cell>
          <cell r="M2307">
            <v>13</v>
          </cell>
          <cell r="N2307">
            <v>26</v>
          </cell>
          <cell r="O2307" t="str">
            <v>Управління НБУ у Львівс.обл</v>
          </cell>
        </row>
        <row r="2308">
          <cell r="A2308">
            <v>325202</v>
          </cell>
          <cell r="B2308">
            <v>325912</v>
          </cell>
          <cell r="D2308">
            <v>0</v>
          </cell>
          <cell r="E2308">
            <v>88</v>
          </cell>
          <cell r="F2308">
            <v>0</v>
          </cell>
          <cell r="G2308" t="str">
            <v>B</v>
          </cell>
          <cell r="H2308">
            <v>712</v>
          </cell>
          <cell r="I2308" t="str">
            <v>Дрогобицька філія ВАТ "КРЕДОБАНК"</v>
          </cell>
          <cell r="J2308" t="str">
            <v>Дрогоб.ф-я ВАТ "КРЕДОБАНК"</v>
          </cell>
          <cell r="K2308" t="str">
            <v>UNIK</v>
          </cell>
          <cell r="L2308" t="str">
            <v>UNIK</v>
          </cell>
          <cell r="M2308">
            <v>13</v>
          </cell>
          <cell r="N2308">
            <v>13</v>
          </cell>
          <cell r="O2308" t="str">
            <v>Управління НБУ у Львівс.обл</v>
          </cell>
        </row>
        <row r="2309">
          <cell r="A2309">
            <v>325213</v>
          </cell>
          <cell r="B2309">
            <v>325213</v>
          </cell>
          <cell r="C2309" t="str">
            <v>ВАТ "ФОЛЬКСБАНК"</v>
          </cell>
          <cell r="D2309">
            <v>97</v>
          </cell>
          <cell r="E2309">
            <v>97</v>
          </cell>
          <cell r="F2309">
            <v>0</v>
          </cell>
          <cell r="G2309" t="str">
            <v>B</v>
          </cell>
          <cell r="H2309">
            <v>713</v>
          </cell>
          <cell r="I2309" t="str">
            <v>ВАТ "ФОЛЬКСБАНК", М.ЛЬВІВ</v>
          </cell>
          <cell r="J2309" t="str">
            <v>ВАТ "ФОЛЬКСБАНК"</v>
          </cell>
          <cell r="K2309" t="str">
            <v>UNIL</v>
          </cell>
          <cell r="L2309" t="str">
            <v>UNIL</v>
          </cell>
          <cell r="M2309">
            <v>13</v>
          </cell>
          <cell r="N2309">
            <v>13</v>
          </cell>
          <cell r="O2309" t="str">
            <v>Управління НБУ у Львівс.обл</v>
          </cell>
        </row>
        <row r="2310">
          <cell r="A2310">
            <v>325224</v>
          </cell>
          <cell r="B2310">
            <v>300540</v>
          </cell>
          <cell r="D2310">
            <v>0</v>
          </cell>
          <cell r="E2310">
            <v>87</v>
          </cell>
          <cell r="F2310">
            <v>0</v>
          </cell>
          <cell r="G2310" t="str">
            <v>8</v>
          </cell>
          <cell r="H2310">
            <v>701</v>
          </cell>
          <cell r="I2310" t="str">
            <v>ЛЬВІВСЬКА ФІЛІЯ АБ"БРР" М. ЛЬВІВ</v>
          </cell>
          <cell r="J2310" t="str">
            <v>Львів філія АБ "БРР"</v>
          </cell>
          <cell r="K2310" t="str">
            <v>UNIA</v>
          </cell>
          <cell r="L2310" t="str">
            <v>UNIA</v>
          </cell>
          <cell r="M2310">
            <v>13</v>
          </cell>
          <cell r="N2310">
            <v>26</v>
          </cell>
          <cell r="O2310" t="str">
            <v>Управління НБУ у Львівс.обл</v>
          </cell>
        </row>
        <row r="2311">
          <cell r="A2311">
            <v>325268</v>
          </cell>
          <cell r="B2311">
            <v>325268</v>
          </cell>
          <cell r="C2311" t="str">
            <v>ВАТ АКБ "ЛЬВІВ"</v>
          </cell>
          <cell r="D2311">
            <v>91</v>
          </cell>
          <cell r="E2311">
            <v>91</v>
          </cell>
          <cell r="F2311">
            <v>0</v>
          </cell>
          <cell r="G2311" t="str">
            <v>8</v>
          </cell>
          <cell r="H2311">
            <v>705</v>
          </cell>
          <cell r="I2311" t="str">
            <v>ВАТ АКБ "ЛЬВІВ"</v>
          </cell>
          <cell r="J2311" t="str">
            <v>ВАТ АКБ "ЛЬВІВ"</v>
          </cell>
          <cell r="K2311" t="str">
            <v>UNIE</v>
          </cell>
          <cell r="L2311" t="str">
            <v>UNIE</v>
          </cell>
          <cell r="M2311">
            <v>13</v>
          </cell>
          <cell r="N2311">
            <v>13</v>
          </cell>
          <cell r="O2311" t="str">
            <v>Управління НБУ у Львівс.обл</v>
          </cell>
        </row>
        <row r="2312">
          <cell r="A2312">
            <v>325279</v>
          </cell>
          <cell r="B2312">
            <v>300614</v>
          </cell>
          <cell r="D2312">
            <v>0</v>
          </cell>
          <cell r="E2312">
            <v>171</v>
          </cell>
          <cell r="F2312">
            <v>0</v>
          </cell>
          <cell r="G2312" t="str">
            <v>8</v>
          </cell>
          <cell r="H2312">
            <v>719</v>
          </cell>
          <cell r="I2312" t="str">
            <v>ФІЛІЯ ЛРУ АТ"ІНДЕКС-БАНК" М.ЛЬВІВ</v>
          </cell>
          <cell r="J2312" t="str">
            <v>ЛРУ АТ "ІНДЕКС-БАНК" Львів</v>
          </cell>
          <cell r="K2312" t="str">
            <v>UNIQ</v>
          </cell>
          <cell r="L2312" t="str">
            <v>UNIQ</v>
          </cell>
          <cell r="M2312">
            <v>13</v>
          </cell>
          <cell r="N2312">
            <v>26</v>
          </cell>
          <cell r="O2312" t="str">
            <v>Управління НБУ у Львівс.обл</v>
          </cell>
        </row>
        <row r="2313">
          <cell r="A2313">
            <v>325321</v>
          </cell>
          <cell r="B2313">
            <v>305299</v>
          </cell>
          <cell r="D2313">
            <v>0</v>
          </cell>
          <cell r="E2313">
            <v>46</v>
          </cell>
          <cell r="F2313">
            <v>0</v>
          </cell>
          <cell r="G2313" t="str">
            <v>A</v>
          </cell>
          <cell r="H2313">
            <v>724</v>
          </cell>
          <cell r="I2313" t="str">
            <v>ЗГРУ  ПРИВАТБАНКУ М.ЛЬВІВ</v>
          </cell>
          <cell r="J2313" t="str">
            <v>ЗГРУ ПРИВАТБАНКУ м.Львів</v>
          </cell>
          <cell r="K2313" t="str">
            <v>UNIW</v>
          </cell>
          <cell r="L2313" t="str">
            <v>UNIW</v>
          </cell>
          <cell r="M2313">
            <v>13</v>
          </cell>
          <cell r="N2313">
            <v>3</v>
          </cell>
          <cell r="O2313" t="str">
            <v>Управління НБУ у Львівс.обл</v>
          </cell>
        </row>
        <row r="2314">
          <cell r="A2314">
            <v>325332</v>
          </cell>
          <cell r="B2314">
            <v>325912</v>
          </cell>
          <cell r="D2314">
            <v>0</v>
          </cell>
          <cell r="E2314">
            <v>88</v>
          </cell>
          <cell r="F2314">
            <v>0</v>
          </cell>
          <cell r="G2314" t="str">
            <v>B</v>
          </cell>
          <cell r="H2314">
            <v>725</v>
          </cell>
          <cell r="I2314" t="str">
            <v>Самбірська філія ВАТ "КРЕДОБАНК"</v>
          </cell>
          <cell r="J2314" t="str">
            <v>Самбірська ф.ВАТ"КРЕДОБАНК"</v>
          </cell>
          <cell r="K2314" t="str">
            <v>UNIX</v>
          </cell>
          <cell r="L2314" t="str">
            <v>UNIX</v>
          </cell>
          <cell r="M2314">
            <v>13</v>
          </cell>
          <cell r="N2314">
            <v>13</v>
          </cell>
          <cell r="O2314" t="str">
            <v>Управління НБУ у Львівс.обл</v>
          </cell>
        </row>
        <row r="2315">
          <cell r="A2315">
            <v>325365</v>
          </cell>
          <cell r="B2315">
            <v>325912</v>
          </cell>
          <cell r="D2315">
            <v>0</v>
          </cell>
          <cell r="E2315">
            <v>88</v>
          </cell>
          <cell r="F2315">
            <v>0</v>
          </cell>
          <cell r="G2315" t="str">
            <v>B</v>
          </cell>
          <cell r="H2315">
            <v>702</v>
          </cell>
          <cell r="I2315" t="str">
            <v>Перша Львівська філія ВАТ "КРЕДОБАНК"</v>
          </cell>
          <cell r="J2315" t="str">
            <v>Перша Льв.Ф.ВАТ "КРЕДОБАНК"</v>
          </cell>
          <cell r="K2315" t="str">
            <v>UNIB</v>
          </cell>
          <cell r="L2315" t="str">
            <v>UNIB</v>
          </cell>
          <cell r="M2315">
            <v>13</v>
          </cell>
          <cell r="N2315">
            <v>13</v>
          </cell>
          <cell r="O2315" t="str">
            <v>Управління НБУ у Львівс.обл</v>
          </cell>
        </row>
        <row r="2316">
          <cell r="A2316">
            <v>325376</v>
          </cell>
          <cell r="B2316">
            <v>300012</v>
          </cell>
          <cell r="D2316">
            <v>0</v>
          </cell>
          <cell r="E2316">
            <v>3</v>
          </cell>
          <cell r="F2316">
            <v>0</v>
          </cell>
          <cell r="G2316" t="str">
            <v>3</v>
          </cell>
          <cell r="H2316">
            <v>312</v>
          </cell>
          <cell r="I2316" t="str">
            <v>Ф-Я"ВІД.ПІБ В М.ЧЕРВОНОГРАД ЛЬВІВ.ОБЛ"</v>
          </cell>
          <cell r="J2316" t="str">
            <v>Ф-я "Від.ПІБ м.Червоноград"</v>
          </cell>
          <cell r="K2316" t="str">
            <v>UNAE</v>
          </cell>
          <cell r="L2316" t="str">
            <v>UNA0</v>
          </cell>
          <cell r="M2316">
            <v>13</v>
          </cell>
          <cell r="N2316">
            <v>26</v>
          </cell>
          <cell r="O2316" t="str">
            <v>Управління НБУ у Львівс.обл</v>
          </cell>
        </row>
        <row r="2317">
          <cell r="A2317">
            <v>325387</v>
          </cell>
          <cell r="B2317">
            <v>300012</v>
          </cell>
          <cell r="D2317">
            <v>0</v>
          </cell>
          <cell r="E2317">
            <v>3</v>
          </cell>
          <cell r="F2317">
            <v>0</v>
          </cell>
          <cell r="G2317" t="str">
            <v>3</v>
          </cell>
          <cell r="H2317">
            <v>326</v>
          </cell>
          <cell r="I2317" t="str">
            <v>Ф-Я "ВІД.ПІБ В М.МОРШИН ЛЬВІВ.ОБЛ."</v>
          </cell>
          <cell r="J2317" t="str">
            <v>Ф-я "Від.ПІБ м.Моршин"</v>
          </cell>
          <cell r="K2317" t="str">
            <v>UNAL</v>
          </cell>
          <cell r="L2317" t="str">
            <v>UNA0</v>
          </cell>
          <cell r="M2317">
            <v>13</v>
          </cell>
          <cell r="N2317">
            <v>26</v>
          </cell>
          <cell r="O2317" t="str">
            <v>Управління НБУ у Львівс.обл</v>
          </cell>
        </row>
        <row r="2318">
          <cell r="A2318">
            <v>325406</v>
          </cell>
          <cell r="B2318">
            <v>300012</v>
          </cell>
          <cell r="D2318">
            <v>0</v>
          </cell>
          <cell r="E2318">
            <v>3</v>
          </cell>
          <cell r="F2318">
            <v>0</v>
          </cell>
          <cell r="G2318" t="str">
            <v>3</v>
          </cell>
          <cell r="H2318">
            <v>309</v>
          </cell>
          <cell r="I2318" t="str">
            <v>Ф-Я "ВІД.ПІБ В М.БОРИСЛАВ ЛЬВІВ.ОБЛ."</v>
          </cell>
          <cell r="J2318" t="str">
            <v>Ф-я "Від.ПІБ в м.Борислав"</v>
          </cell>
          <cell r="K2318" t="str">
            <v>UNAD</v>
          </cell>
          <cell r="L2318" t="str">
            <v>UNA0</v>
          </cell>
          <cell r="M2318">
            <v>13</v>
          </cell>
          <cell r="N2318">
            <v>26</v>
          </cell>
          <cell r="O2318" t="str">
            <v>Управління НБУ у Львівс.обл</v>
          </cell>
        </row>
        <row r="2319">
          <cell r="A2319">
            <v>325451</v>
          </cell>
          <cell r="B2319">
            <v>300012</v>
          </cell>
          <cell r="D2319">
            <v>0</v>
          </cell>
          <cell r="E2319">
            <v>3</v>
          </cell>
          <cell r="F2319">
            <v>0</v>
          </cell>
          <cell r="G2319" t="str">
            <v>3</v>
          </cell>
          <cell r="H2319">
            <v>317</v>
          </cell>
          <cell r="I2319" t="str">
            <v>Ф-Я "ВІД.ПІБ В М.МИКОЛАЇВ ЛЬВІВ.ОБЛ."</v>
          </cell>
          <cell r="J2319" t="str">
            <v>Ф-я "Від.ПІБ м.Миколаїв"</v>
          </cell>
          <cell r="K2319" t="str">
            <v>UNAF</v>
          </cell>
          <cell r="L2319" t="str">
            <v>UNA0</v>
          </cell>
          <cell r="M2319">
            <v>13</v>
          </cell>
          <cell r="N2319">
            <v>26</v>
          </cell>
          <cell r="O2319" t="str">
            <v>Управління НБУ у Львівс.обл</v>
          </cell>
        </row>
        <row r="2320">
          <cell r="A2320">
            <v>325503</v>
          </cell>
          <cell r="B2320">
            <v>300012</v>
          </cell>
          <cell r="D2320">
            <v>0</v>
          </cell>
          <cell r="E2320">
            <v>3</v>
          </cell>
          <cell r="F2320">
            <v>0</v>
          </cell>
          <cell r="G2320" t="str">
            <v>3</v>
          </cell>
          <cell r="H2320">
            <v>319</v>
          </cell>
          <cell r="I2320" t="str">
            <v>Ф-Я "ВІД.ПІБ В М.СТРИЙ ЛЬВІВ.ОБЛ."</v>
          </cell>
          <cell r="J2320" t="str">
            <v>Ф-я "Від.ПІБ м.Стрий"</v>
          </cell>
          <cell r="K2320" t="str">
            <v>UNAG</v>
          </cell>
          <cell r="L2320" t="str">
            <v>UNA0</v>
          </cell>
          <cell r="M2320">
            <v>13</v>
          </cell>
          <cell r="N2320">
            <v>26</v>
          </cell>
          <cell r="O2320" t="str">
            <v>Управління НБУ у Львівс.обл</v>
          </cell>
        </row>
        <row r="2321">
          <cell r="A2321">
            <v>325569</v>
          </cell>
          <cell r="B2321">
            <v>325569</v>
          </cell>
          <cell r="C2321" t="str">
            <v>ВАТ СКБ "ДНІСТЕР"</v>
          </cell>
          <cell r="D2321">
            <v>93</v>
          </cell>
          <cell r="E2321">
            <v>93</v>
          </cell>
          <cell r="F2321">
            <v>0</v>
          </cell>
          <cell r="G2321" t="str">
            <v>8</v>
          </cell>
          <cell r="H2321">
            <v>735</v>
          </cell>
          <cell r="I2321" t="str">
            <v>ВАТ СЕЛЯНСЬКИЙ КБ "ДНІСТЕР" М.ЛЬВІВ</v>
          </cell>
          <cell r="J2321" t="str">
            <v>ВАТ СКБ "ДНІСТЕР"</v>
          </cell>
          <cell r="K2321" t="str">
            <v>UNJF</v>
          </cell>
          <cell r="L2321" t="str">
            <v>UNJF</v>
          </cell>
          <cell r="M2321">
            <v>13</v>
          </cell>
          <cell r="N2321">
            <v>13</v>
          </cell>
          <cell r="O2321" t="str">
            <v>Управління НБУ у Львівс.обл</v>
          </cell>
        </row>
        <row r="2322">
          <cell r="A2322">
            <v>325570</v>
          </cell>
          <cell r="B2322">
            <v>300335</v>
          </cell>
          <cell r="D2322">
            <v>0</v>
          </cell>
          <cell r="E2322">
            <v>36</v>
          </cell>
          <cell r="F2322">
            <v>0</v>
          </cell>
          <cell r="G2322" t="str">
            <v>7</v>
          </cell>
          <cell r="H2322">
            <v>736</v>
          </cell>
          <cell r="I2322" t="str">
            <v>ЛЬВІВ.ОД"РАЙФФАЙЗЕН БАНК АВАЛЬ"М.ЛЬВІВ</v>
          </cell>
          <cell r="J2322" t="str">
            <v>Л.ОД"Райффайзен Банк Аваль"</v>
          </cell>
          <cell r="K2322" t="str">
            <v>UNJG</v>
          </cell>
          <cell r="L2322" t="str">
            <v>UNJG</v>
          </cell>
          <cell r="M2322">
            <v>13</v>
          </cell>
          <cell r="N2322">
            <v>26</v>
          </cell>
          <cell r="O2322" t="str">
            <v>Управління НБУ у Львівс.обл</v>
          </cell>
        </row>
        <row r="2323">
          <cell r="A2323">
            <v>325622</v>
          </cell>
          <cell r="B2323">
            <v>300001</v>
          </cell>
          <cell r="D2323">
            <v>0</v>
          </cell>
          <cell r="E2323">
            <v>1</v>
          </cell>
          <cell r="F2323">
            <v>0</v>
          </cell>
          <cell r="G2323" t="str">
            <v>1</v>
          </cell>
          <cell r="H2323">
            <v>2</v>
          </cell>
          <cell r="I2323" t="str">
            <v>УПРАВЛІННЯ НБУ У ЛЬВІВСЬКІЙ ОБЛАСТІ</v>
          </cell>
          <cell r="J2323" t="str">
            <v>Упр. НБУ у Львівській обл.</v>
          </cell>
          <cell r="K2323" t="str">
            <v>UNHA</v>
          </cell>
          <cell r="L2323" t="str">
            <v>UNH0</v>
          </cell>
          <cell r="M2323">
            <v>13</v>
          </cell>
          <cell r="N2323">
            <v>27</v>
          </cell>
          <cell r="O2323" t="str">
            <v>Управління НБУ у Львівс.обл</v>
          </cell>
        </row>
        <row r="2324">
          <cell r="A2324">
            <v>325633</v>
          </cell>
          <cell r="B2324">
            <v>300012</v>
          </cell>
          <cell r="D2324">
            <v>0</v>
          </cell>
          <cell r="E2324">
            <v>3</v>
          </cell>
          <cell r="F2324">
            <v>0</v>
          </cell>
          <cell r="G2324" t="str">
            <v>3</v>
          </cell>
          <cell r="H2324">
            <v>306</v>
          </cell>
          <cell r="I2324" t="str">
            <v>Ф."ВІДДІЛЕННЯ ПРОМІНВЕСТБАНКУ,М.ЛЬВІВ"</v>
          </cell>
          <cell r="J2324" t="str">
            <v>Ф."Відділення ПІБ, м.Львів"</v>
          </cell>
          <cell r="K2324" t="str">
            <v>UNAA</v>
          </cell>
          <cell r="L2324" t="str">
            <v>UNA0</v>
          </cell>
          <cell r="M2324">
            <v>13</v>
          </cell>
          <cell r="N2324">
            <v>26</v>
          </cell>
          <cell r="O2324" t="str">
            <v>Управління НБУ у Львівс.обл</v>
          </cell>
        </row>
        <row r="2325">
          <cell r="A2325">
            <v>325718</v>
          </cell>
          <cell r="B2325">
            <v>322313</v>
          </cell>
          <cell r="D2325">
            <v>0</v>
          </cell>
          <cell r="E2325">
            <v>2</v>
          </cell>
          <cell r="F2325">
            <v>0</v>
          </cell>
          <cell r="G2325" t="str">
            <v>2</v>
          </cell>
          <cell r="H2325">
            <v>213</v>
          </cell>
          <cell r="I2325" t="str">
            <v>Ф-Я ВАТ"УКРЕКСІМБАНК", ЛЬВІВ</v>
          </cell>
          <cell r="J2325" t="str">
            <v>Ф-я.Укрексімбанк,Львів</v>
          </cell>
          <cell r="K2325" t="str">
            <v>UNGA</v>
          </cell>
          <cell r="L2325" t="str">
            <v>UNGA</v>
          </cell>
          <cell r="M2325">
            <v>13</v>
          </cell>
          <cell r="N2325">
            <v>26</v>
          </cell>
          <cell r="O2325" t="str">
            <v>Управління НБУ у Львівс.обл</v>
          </cell>
        </row>
        <row r="2326">
          <cell r="A2326">
            <v>325763</v>
          </cell>
          <cell r="B2326">
            <v>380537</v>
          </cell>
          <cell r="D2326">
            <v>0</v>
          </cell>
          <cell r="E2326">
            <v>76</v>
          </cell>
          <cell r="F2326">
            <v>0</v>
          </cell>
          <cell r="G2326" t="str">
            <v>B</v>
          </cell>
          <cell r="H2326">
            <v>739</v>
          </cell>
          <cell r="I2326" t="str">
            <v>ЛЬВІВСЬКА Ф ВАТ"ВІЕЙБІБАНК"М.ЛЬВІВ</v>
          </cell>
          <cell r="J2326" t="str">
            <v>Львівська Ф.ВАТ"ВіЕйБіБанк"</v>
          </cell>
          <cell r="K2326" t="str">
            <v>UNJI</v>
          </cell>
          <cell r="L2326" t="str">
            <v>UNJI</v>
          </cell>
          <cell r="M2326">
            <v>13</v>
          </cell>
          <cell r="N2326">
            <v>26</v>
          </cell>
          <cell r="O2326" t="str">
            <v>Управління НБУ у Львівс.обл</v>
          </cell>
        </row>
        <row r="2327">
          <cell r="A2327">
            <v>325774</v>
          </cell>
          <cell r="B2327">
            <v>300249</v>
          </cell>
          <cell r="D2327">
            <v>0</v>
          </cell>
          <cell r="E2327">
            <v>37</v>
          </cell>
          <cell r="F2327">
            <v>0</v>
          </cell>
          <cell r="G2327" t="str">
            <v>8</v>
          </cell>
          <cell r="H2327">
            <v>730</v>
          </cell>
          <cell r="I2327" t="str">
            <v>ЛЬВІВСЬКА ФАБ "БРОКБІЗНЕСБАНК" М.ЛЬВІВ</v>
          </cell>
          <cell r="J2327" t="str">
            <v>Льв. ФАБ "БРОКБІЗНЕСБАНК"</v>
          </cell>
          <cell r="K2327" t="str">
            <v>UNJC</v>
          </cell>
          <cell r="L2327" t="str">
            <v>UNJC</v>
          </cell>
          <cell r="M2327">
            <v>13</v>
          </cell>
          <cell r="N2327">
            <v>26</v>
          </cell>
          <cell r="O2327" t="str">
            <v>Управління НБУ у Львівс.обл</v>
          </cell>
        </row>
        <row r="2328">
          <cell r="A2328">
            <v>325785</v>
          </cell>
          <cell r="B2328">
            <v>300142</v>
          </cell>
          <cell r="D2328">
            <v>0</v>
          </cell>
          <cell r="E2328">
            <v>18</v>
          </cell>
          <cell r="F2328">
            <v>0</v>
          </cell>
          <cell r="G2328" t="str">
            <v>8</v>
          </cell>
          <cell r="H2328">
            <v>715</v>
          </cell>
          <cell r="I2328" t="str">
            <v>ДРОГОБИЦЬКА ФАТ"УКРІНБАНК" М.ДРОГОБИЧ</v>
          </cell>
          <cell r="J2328" t="str">
            <v>Дрогобицька ФАТ"Укрінбанк"</v>
          </cell>
          <cell r="K2328" t="str">
            <v>UNIN</v>
          </cell>
          <cell r="L2328" t="str">
            <v>UNIN</v>
          </cell>
          <cell r="M2328">
            <v>13</v>
          </cell>
          <cell r="N2328">
            <v>26</v>
          </cell>
          <cell r="O2328" t="str">
            <v>Управління НБУ у Львівс.обл</v>
          </cell>
        </row>
        <row r="2329">
          <cell r="A2329">
            <v>325796</v>
          </cell>
          <cell r="B2329">
            <v>300465</v>
          </cell>
          <cell r="D2329">
            <v>0</v>
          </cell>
          <cell r="E2329">
            <v>6</v>
          </cell>
          <cell r="F2329">
            <v>0</v>
          </cell>
          <cell r="G2329" t="str">
            <v>6</v>
          </cell>
          <cell r="H2329">
            <v>602</v>
          </cell>
          <cell r="I2329" t="str">
            <v>ФЛЬВІВСЬКЕ ОБЛАСНЕ УПР ВАТОЩАД М.ЛЬВІВ</v>
          </cell>
          <cell r="J2329" t="str">
            <v>ФЛьвівське обласне уВАТОщад</v>
          </cell>
          <cell r="K2329" t="str">
            <v>UNLA</v>
          </cell>
          <cell r="L2329" t="str">
            <v>UNLA</v>
          </cell>
          <cell r="M2329">
            <v>13</v>
          </cell>
          <cell r="N2329">
            <v>26</v>
          </cell>
          <cell r="O2329" t="str">
            <v>Управління НБУ у Львівс.обл</v>
          </cell>
        </row>
        <row r="2330">
          <cell r="A2330">
            <v>325804</v>
          </cell>
          <cell r="B2330">
            <v>322711</v>
          </cell>
          <cell r="D2330">
            <v>0</v>
          </cell>
          <cell r="E2330">
            <v>238</v>
          </cell>
          <cell r="F2330">
            <v>0</v>
          </cell>
          <cell r="G2330" t="str">
            <v>8</v>
          </cell>
          <cell r="H2330">
            <v>743</v>
          </cell>
          <cell r="I2330" t="str">
            <v>ЛЬВІВСЬКА ФІЛІЯ АБ "СИНТЕЗ", М.ЛЬВІВ</v>
          </cell>
          <cell r="J2330" t="str">
            <v>Львів.фАБ"Синтез"</v>
          </cell>
          <cell r="K2330" t="str">
            <v>UNJM</v>
          </cell>
          <cell r="L2330" t="str">
            <v>UNJM</v>
          </cell>
          <cell r="M2330">
            <v>13</v>
          </cell>
          <cell r="N2330">
            <v>26</v>
          </cell>
          <cell r="O2330" t="str">
            <v>Управління НБУ у Львівс.обл</v>
          </cell>
        </row>
        <row r="2331">
          <cell r="A2331">
            <v>325815</v>
          </cell>
          <cell r="B2331">
            <v>322625</v>
          </cell>
          <cell r="D2331">
            <v>0</v>
          </cell>
          <cell r="E2331">
            <v>222</v>
          </cell>
          <cell r="F2331">
            <v>0</v>
          </cell>
          <cell r="G2331" t="str">
            <v>8</v>
          </cell>
          <cell r="H2331">
            <v>728</v>
          </cell>
          <cell r="I2331" t="str">
            <v>ЛФ АБ "УКООПСПІЛКА"</v>
          </cell>
          <cell r="J2331" t="str">
            <v>ЛФ АБ "Укоопспілка"</v>
          </cell>
          <cell r="K2331" t="str">
            <v>UNIZ</v>
          </cell>
          <cell r="L2331" t="str">
            <v>UNIZ</v>
          </cell>
          <cell r="M2331">
            <v>13</v>
          </cell>
          <cell r="N2331">
            <v>26</v>
          </cell>
          <cell r="O2331" t="str">
            <v>Управління НБУ у Львівс.обл</v>
          </cell>
        </row>
        <row r="2332">
          <cell r="A2332">
            <v>325826</v>
          </cell>
          <cell r="B2332">
            <v>300142</v>
          </cell>
          <cell r="D2332">
            <v>0</v>
          </cell>
          <cell r="E2332">
            <v>18</v>
          </cell>
          <cell r="F2332">
            <v>0</v>
          </cell>
          <cell r="G2332" t="str">
            <v>8</v>
          </cell>
          <cell r="H2332">
            <v>729</v>
          </cell>
          <cell r="I2332" t="str">
            <v>ЛЬВІВСЬКА Ф. АТ "УКРІНБАНК" М. ЛЬВІВ</v>
          </cell>
          <cell r="J2332" t="str">
            <v>Львівська ф. АТ"Укрінбанк"</v>
          </cell>
          <cell r="K2332" t="str">
            <v>UNJA</v>
          </cell>
          <cell r="L2332" t="str">
            <v>UNJA</v>
          </cell>
          <cell r="M2332">
            <v>13</v>
          </cell>
          <cell r="N2332">
            <v>26</v>
          </cell>
          <cell r="O2332" t="str">
            <v>Управління НБУ у Львівс.обл</v>
          </cell>
        </row>
        <row r="2333">
          <cell r="A2333">
            <v>325882</v>
          </cell>
          <cell r="B2333">
            <v>305299</v>
          </cell>
          <cell r="D2333">
            <v>0</v>
          </cell>
          <cell r="E2333">
            <v>46</v>
          </cell>
          <cell r="F2333">
            <v>0</v>
          </cell>
          <cell r="G2333" t="str">
            <v>A</v>
          </cell>
          <cell r="H2333">
            <v>741</v>
          </cell>
          <cell r="I2333" t="str">
            <v>ЧЕРВОНОГРАДСЬКА Ф.ПРИВАТ.М.ЧЕРВОНОГРАД</v>
          </cell>
          <cell r="J2333" t="str">
            <v>Червоноградська ф.ПривБанку</v>
          </cell>
          <cell r="K2333" t="str">
            <v>UNJK</v>
          </cell>
          <cell r="L2333" t="str">
            <v>UNJK</v>
          </cell>
          <cell r="M2333">
            <v>13</v>
          </cell>
          <cell r="N2333">
            <v>3</v>
          </cell>
          <cell r="O2333" t="str">
            <v>Управління НБУ у Львівс.обл</v>
          </cell>
        </row>
        <row r="2334">
          <cell r="A2334">
            <v>325912</v>
          </cell>
          <cell r="B2334">
            <v>325912</v>
          </cell>
          <cell r="C2334" t="str">
            <v>ВАТ "Кредобанк"</v>
          </cell>
          <cell r="D2334">
            <v>88</v>
          </cell>
          <cell r="E2334">
            <v>88</v>
          </cell>
          <cell r="F2334">
            <v>0</v>
          </cell>
          <cell r="G2334" t="str">
            <v>B</v>
          </cell>
          <cell r="H2334">
            <v>754</v>
          </cell>
          <cell r="I2334" t="str">
            <v>ВІДКР. АКЦ. ТОВ."КРЕДОБАНК", М.ЛЬВІВ</v>
          </cell>
          <cell r="J2334" t="str">
            <v>ВАТ "Кредобанк"</v>
          </cell>
          <cell r="K2334" t="str">
            <v>UNJU</v>
          </cell>
          <cell r="L2334" t="str">
            <v>UNJU</v>
          </cell>
          <cell r="M2334">
            <v>13</v>
          </cell>
          <cell r="N2334">
            <v>13</v>
          </cell>
          <cell r="O2334" t="str">
            <v>Управління НБУ у Львівс.обл</v>
          </cell>
        </row>
        <row r="2335">
          <cell r="A2335">
            <v>325923</v>
          </cell>
          <cell r="B2335">
            <v>300131</v>
          </cell>
          <cell r="D2335">
            <v>0</v>
          </cell>
          <cell r="E2335">
            <v>17</v>
          </cell>
          <cell r="F2335">
            <v>0</v>
          </cell>
          <cell r="G2335" t="str">
            <v>8</v>
          </cell>
          <cell r="H2335">
            <v>755</v>
          </cell>
          <cell r="I2335" t="str">
            <v>Ф"ЗАХІДНЕ РУ"ВАТ"Б"ФІН ТА КРЕД"М.ЛЬВІВ</v>
          </cell>
          <cell r="J2335" t="str">
            <v>Ф"ЗРУ ВАТ"Б"Фін та Кред"</v>
          </cell>
          <cell r="K2335" t="str">
            <v>UNJV</v>
          </cell>
          <cell r="L2335" t="str">
            <v>UNJV</v>
          </cell>
          <cell r="M2335">
            <v>13</v>
          </cell>
          <cell r="N2335">
            <v>26</v>
          </cell>
          <cell r="O2335" t="str">
            <v>Управління НБУ у Львівс.обл</v>
          </cell>
        </row>
        <row r="2336">
          <cell r="A2336">
            <v>325956</v>
          </cell>
          <cell r="B2336">
            <v>322959</v>
          </cell>
          <cell r="D2336">
            <v>0</v>
          </cell>
          <cell r="E2336">
            <v>262</v>
          </cell>
          <cell r="F2336">
            <v>0</v>
          </cell>
          <cell r="G2336" t="str">
            <v>8</v>
          </cell>
          <cell r="H2336">
            <v>716</v>
          </cell>
          <cell r="I2336" t="str">
            <v>ЛЬВІВ. ФІЛІЯ АБ "ЕКСПРЕС-БАНК",М.ЛЬВІВ</v>
          </cell>
          <cell r="J2336" t="str">
            <v>Льв. ФАБ "ЕКСПРЕС-БАНК"</v>
          </cell>
          <cell r="K2336" t="str">
            <v>UNJD</v>
          </cell>
          <cell r="L2336" t="str">
            <v>UNJD</v>
          </cell>
          <cell r="M2336">
            <v>13</v>
          </cell>
          <cell r="N2336">
            <v>26</v>
          </cell>
          <cell r="O2336" t="str">
            <v>Управління НБУ у Львівс.обл</v>
          </cell>
        </row>
        <row r="2337">
          <cell r="A2337">
            <v>325967</v>
          </cell>
          <cell r="B2337">
            <v>320478</v>
          </cell>
          <cell r="D2337">
            <v>0</v>
          </cell>
          <cell r="E2337">
            <v>274</v>
          </cell>
          <cell r="F2337">
            <v>0</v>
          </cell>
          <cell r="G2337" t="str">
            <v>8</v>
          </cell>
          <cell r="H2337">
            <v>775</v>
          </cell>
          <cell r="I2337" t="str">
            <v>ЛЬВ.Ф-Я ВАТ АБ "УКРГАЗБАНК" У М.ЛЬВОВІ</v>
          </cell>
          <cell r="J2337" t="str">
            <v>ЛФ ВАТ АБ "УКРГАЗБАНК"</v>
          </cell>
          <cell r="K2337" t="str">
            <v>UNJX</v>
          </cell>
          <cell r="L2337" t="str">
            <v>UNJX</v>
          </cell>
          <cell r="M2337">
            <v>13</v>
          </cell>
          <cell r="N2337">
            <v>26</v>
          </cell>
          <cell r="O2337" t="str">
            <v>Управління НБУ у Львівс.обл</v>
          </cell>
        </row>
        <row r="2338">
          <cell r="A2338">
            <v>325978</v>
          </cell>
          <cell r="B2338">
            <v>320003</v>
          </cell>
          <cell r="D2338">
            <v>0</v>
          </cell>
          <cell r="E2338">
            <v>225</v>
          </cell>
          <cell r="F2338">
            <v>0</v>
          </cell>
          <cell r="G2338" t="str">
            <v>B</v>
          </cell>
          <cell r="H2338">
            <v>750</v>
          </cell>
          <cell r="I2338" t="str">
            <v>Ф ВАТ КБ"НАДРА" ЛЬВІВСЬКЕ РУ М.ЛЬВІВ</v>
          </cell>
          <cell r="J2338" t="str">
            <v>ВАТКБ"Надра"Львівське РУ</v>
          </cell>
          <cell r="K2338" t="str">
            <v>UNJP</v>
          </cell>
          <cell r="L2338" t="str">
            <v>UNJP</v>
          </cell>
          <cell r="M2338">
            <v>13</v>
          </cell>
          <cell r="N2338">
            <v>26</v>
          </cell>
          <cell r="O2338" t="str">
            <v>Управління НБУ у Львівс.обл</v>
          </cell>
        </row>
        <row r="2339">
          <cell r="A2339">
            <v>325990</v>
          </cell>
          <cell r="B2339">
            <v>325990</v>
          </cell>
          <cell r="C2339" t="str">
            <v>КБ "ГАЛС"</v>
          </cell>
          <cell r="D2339">
            <v>95</v>
          </cell>
          <cell r="E2339">
            <v>95</v>
          </cell>
          <cell r="F2339">
            <v>0</v>
          </cell>
          <cell r="G2339" t="str">
            <v>8</v>
          </cell>
          <cell r="H2339">
            <v>710</v>
          </cell>
          <cell r="I2339" t="str">
            <v>КБ "ГАЛС"</v>
          </cell>
          <cell r="J2339" t="str">
            <v>КБ "ГАЛС"</v>
          </cell>
          <cell r="K2339" t="str">
            <v>UNIJ</v>
          </cell>
          <cell r="L2339" t="str">
            <v>UNIJ</v>
          </cell>
          <cell r="M2339">
            <v>13</v>
          </cell>
          <cell r="N2339">
            <v>13</v>
          </cell>
          <cell r="O2339" t="str">
            <v>Управління НБУ у Львівс.обл</v>
          </cell>
        </row>
        <row r="2340">
          <cell r="A2340">
            <v>326007</v>
          </cell>
          <cell r="B2340">
            <v>300863</v>
          </cell>
          <cell r="D2340">
            <v>0</v>
          </cell>
          <cell r="E2340">
            <v>289</v>
          </cell>
          <cell r="F2340">
            <v>0</v>
          </cell>
          <cell r="G2340" t="str">
            <v>9</v>
          </cell>
          <cell r="H2340">
            <v>775</v>
          </cell>
          <cell r="I2340" t="str">
            <v>ФВАТ "КРЕДИТПРОМБАНК" У М.МИКОЛАЄВІ</v>
          </cell>
          <cell r="J2340" t="str">
            <v>МФ ВАТ "Кредитпромбанк"</v>
          </cell>
          <cell r="K2340" t="str">
            <v>UONE</v>
          </cell>
          <cell r="L2340" t="str">
            <v>UONE</v>
          </cell>
          <cell r="M2340">
            <v>14</v>
          </cell>
          <cell r="N2340">
            <v>26</v>
          </cell>
          <cell r="O2340" t="str">
            <v>Управління НБУ в Микол.обл.</v>
          </cell>
        </row>
        <row r="2341">
          <cell r="A2341">
            <v>326018</v>
          </cell>
          <cell r="B2341">
            <v>300023</v>
          </cell>
          <cell r="D2341">
            <v>0</v>
          </cell>
          <cell r="E2341">
            <v>5</v>
          </cell>
          <cell r="F2341">
            <v>0</v>
          </cell>
          <cell r="G2341" t="str">
            <v>5</v>
          </cell>
          <cell r="H2341">
            <v>545</v>
          </cell>
          <cell r="I2341" t="str">
            <v>МИКОЛАЇВСЬКА ОФ АКБ"УСБ"М.МИКОЛАЇВ</v>
          </cell>
          <cell r="J2341" t="str">
            <v>Миколаїв.обл.філіяАКБ"УСБ"</v>
          </cell>
          <cell r="K2341" t="str">
            <v>UOCA</v>
          </cell>
          <cell r="L2341" t="str">
            <v>UOCA</v>
          </cell>
          <cell r="M2341">
            <v>14</v>
          </cell>
          <cell r="N2341">
            <v>26</v>
          </cell>
          <cell r="O2341" t="str">
            <v>Управління НБУ в Микол.обл.</v>
          </cell>
        </row>
        <row r="2342">
          <cell r="A2342">
            <v>326063</v>
          </cell>
          <cell r="B2342">
            <v>380537</v>
          </cell>
          <cell r="D2342">
            <v>0</v>
          </cell>
          <cell r="E2342">
            <v>76</v>
          </cell>
          <cell r="F2342">
            <v>0</v>
          </cell>
          <cell r="G2342" t="str">
            <v>B</v>
          </cell>
          <cell r="H2342">
            <v>739</v>
          </cell>
          <cell r="I2342" t="str">
            <v>МИКОЛАЇВСЬКА Ф ВАТ"ВІЕЙБІБАНК"М.МИКОЛА</v>
          </cell>
          <cell r="J2342" t="str">
            <v>Миколаїв.Ф.ВАТ"ВІЕЙБІБАНК"</v>
          </cell>
          <cell r="K2342" t="str">
            <v>UOII</v>
          </cell>
          <cell r="L2342" t="str">
            <v>UOII</v>
          </cell>
          <cell r="M2342">
            <v>14</v>
          </cell>
          <cell r="N2342">
            <v>26</v>
          </cell>
          <cell r="O2342" t="str">
            <v>Управління НБУ в Микол.обл.</v>
          </cell>
        </row>
        <row r="2343">
          <cell r="A2343">
            <v>326115</v>
          </cell>
          <cell r="B2343">
            <v>306759</v>
          </cell>
          <cell r="D2343">
            <v>0</v>
          </cell>
          <cell r="E2343">
            <v>183</v>
          </cell>
          <cell r="F2343">
            <v>0</v>
          </cell>
          <cell r="G2343" t="str">
            <v>8</v>
          </cell>
          <cell r="H2343">
            <v>744</v>
          </cell>
          <cell r="I2343" t="str">
            <v>МИКОЛ.ФВАТ"КБ"ПРИЧОРНОМОР"Я", МИКОЛАЇВ</v>
          </cell>
          <cell r="J2343" t="str">
            <v>МФ ВАТ "КБ "ПРИЧОРНОМОР"Я"</v>
          </cell>
          <cell r="K2343" t="str">
            <v>UOIM</v>
          </cell>
          <cell r="L2343" t="str">
            <v>UOIM</v>
          </cell>
          <cell r="M2343">
            <v>14</v>
          </cell>
          <cell r="N2343">
            <v>3</v>
          </cell>
          <cell r="O2343" t="str">
            <v>Управління НБУ в Микол.обл.</v>
          </cell>
        </row>
        <row r="2344">
          <cell r="A2344">
            <v>326126</v>
          </cell>
          <cell r="B2344">
            <v>334851</v>
          </cell>
          <cell r="D2344">
            <v>0</v>
          </cell>
          <cell r="E2344">
            <v>115</v>
          </cell>
          <cell r="F2344">
            <v>0</v>
          </cell>
          <cell r="G2344" t="str">
            <v>8</v>
          </cell>
          <cell r="H2344">
            <v>758</v>
          </cell>
          <cell r="I2344" t="str">
            <v>ФІЛІЯ ЗАТ"ПУМБ" В М. МИКОЛАЄВІ</v>
          </cell>
          <cell r="J2344" t="str">
            <v>Філія ПУМБ в м.Миколаєві</v>
          </cell>
          <cell r="K2344" t="str">
            <v>UOIZ</v>
          </cell>
          <cell r="L2344" t="str">
            <v>UOIZ</v>
          </cell>
          <cell r="M2344">
            <v>14</v>
          </cell>
          <cell r="N2344">
            <v>4</v>
          </cell>
          <cell r="O2344" t="str">
            <v>Управління НБУ в Микол.обл.</v>
          </cell>
        </row>
        <row r="2345">
          <cell r="A2345">
            <v>326182</v>
          </cell>
          <cell r="B2345">
            <v>300335</v>
          </cell>
          <cell r="D2345">
            <v>0</v>
          </cell>
          <cell r="E2345">
            <v>36</v>
          </cell>
          <cell r="F2345">
            <v>0</v>
          </cell>
          <cell r="G2345" t="str">
            <v>7</v>
          </cell>
          <cell r="H2345">
            <v>738</v>
          </cell>
          <cell r="I2345" t="str">
            <v>МОД "РАЙФФАЙЗЕН БАНК АВАЛЬ",М.МИКОЛАЇВ</v>
          </cell>
          <cell r="J2345" t="str">
            <v>МОД "Райффайзен Банк Аваль"</v>
          </cell>
          <cell r="K2345" t="str">
            <v>UOIH</v>
          </cell>
          <cell r="L2345" t="str">
            <v>UOIH</v>
          </cell>
          <cell r="M2345">
            <v>14</v>
          </cell>
          <cell r="N2345">
            <v>26</v>
          </cell>
          <cell r="O2345" t="str">
            <v>Управління НБУ в Микол.обл.</v>
          </cell>
        </row>
        <row r="2346">
          <cell r="A2346">
            <v>326289</v>
          </cell>
          <cell r="B2346">
            <v>300012</v>
          </cell>
          <cell r="D2346">
            <v>0</v>
          </cell>
          <cell r="E2346">
            <v>3</v>
          </cell>
          <cell r="F2346">
            <v>0</v>
          </cell>
          <cell r="G2346" t="str">
            <v>3</v>
          </cell>
          <cell r="H2346">
            <v>328</v>
          </cell>
          <cell r="I2346" t="str">
            <v>Ф."В.ПІБ М.ВОЗНЕСЕНСЬК МИКОЛАЇВ.ОБЛ."</v>
          </cell>
          <cell r="J2346" t="str">
            <v>Ф-Я ВІД.ПІБ В М.ВОЗНЕСЕНСЬК</v>
          </cell>
          <cell r="K2346" t="str">
            <v>UOAD</v>
          </cell>
          <cell r="L2346" t="str">
            <v>UOA0</v>
          </cell>
          <cell r="M2346">
            <v>14</v>
          </cell>
          <cell r="N2346">
            <v>26</v>
          </cell>
          <cell r="O2346" t="str">
            <v>Управління НБУ в Микол.обл.</v>
          </cell>
        </row>
        <row r="2347">
          <cell r="A2347">
            <v>326320</v>
          </cell>
          <cell r="B2347">
            <v>322498</v>
          </cell>
          <cell r="D2347">
            <v>0</v>
          </cell>
          <cell r="E2347">
            <v>203</v>
          </cell>
          <cell r="F2347">
            <v>0</v>
          </cell>
          <cell r="G2347" t="str">
            <v>8</v>
          </cell>
          <cell r="H2347">
            <v>736</v>
          </cell>
          <cell r="I2347" t="str">
            <v>МИКОЛАЇВСЬКА Ф-Я АКБ "КИЇВ" М.МИКОЛАЇВ</v>
          </cell>
          <cell r="J2347" t="str">
            <v>Миколаївська Ф АКБ "Київ"</v>
          </cell>
          <cell r="K2347" t="str">
            <v>UOID</v>
          </cell>
          <cell r="L2347" t="str">
            <v>UOID</v>
          </cell>
          <cell r="M2347">
            <v>14</v>
          </cell>
          <cell r="N2347">
            <v>26</v>
          </cell>
          <cell r="O2347" t="str">
            <v>Управління НБУ в Микол.обл.</v>
          </cell>
        </row>
        <row r="2348">
          <cell r="A2348">
            <v>326331</v>
          </cell>
          <cell r="B2348">
            <v>319092</v>
          </cell>
          <cell r="D2348">
            <v>0</v>
          </cell>
          <cell r="E2348">
            <v>280</v>
          </cell>
          <cell r="F2348">
            <v>0</v>
          </cell>
          <cell r="G2348" t="str">
            <v>B</v>
          </cell>
          <cell r="H2348">
            <v>740</v>
          </cell>
          <cell r="I2348" t="str">
            <v>МИКОЛ.Ф АБ "КИЇВСЬКА РУСЬ" М. МИКОЛАЇВ</v>
          </cell>
          <cell r="J2348" t="str">
            <v>МФ АБ "КИЇВСЬКА РУСЬ"</v>
          </cell>
          <cell r="K2348" t="str">
            <v>UOIJ</v>
          </cell>
          <cell r="L2348" t="str">
            <v>UOIJ</v>
          </cell>
          <cell r="M2348">
            <v>14</v>
          </cell>
          <cell r="N2348">
            <v>26</v>
          </cell>
          <cell r="O2348" t="str">
            <v>Управління НБУ в Микол.обл.</v>
          </cell>
        </row>
        <row r="2349">
          <cell r="A2349">
            <v>326427</v>
          </cell>
          <cell r="B2349">
            <v>300012</v>
          </cell>
          <cell r="D2349">
            <v>0</v>
          </cell>
          <cell r="E2349">
            <v>3</v>
          </cell>
          <cell r="F2349">
            <v>0</v>
          </cell>
          <cell r="G2349" t="str">
            <v>3</v>
          </cell>
          <cell r="H2349">
            <v>342</v>
          </cell>
          <cell r="I2349" t="str">
            <v>Ф."В.ПІБ В М.ЮЖНОУКРАЇНСЬК МИКОЛ.ОБЛ."</v>
          </cell>
          <cell r="J2349" t="str">
            <v>Ф-Я ВІД.ПІБ М.ЮЖНОУКРАЇНСЬК</v>
          </cell>
          <cell r="K2349" t="str">
            <v>UOAH</v>
          </cell>
          <cell r="L2349" t="str">
            <v>UOA0</v>
          </cell>
          <cell r="M2349">
            <v>14</v>
          </cell>
          <cell r="N2349">
            <v>26</v>
          </cell>
          <cell r="O2349" t="str">
            <v>Управління НБУ в Микол.обл.</v>
          </cell>
        </row>
        <row r="2350">
          <cell r="A2350">
            <v>326438</v>
          </cell>
          <cell r="B2350">
            <v>300012</v>
          </cell>
          <cell r="D2350">
            <v>0</v>
          </cell>
          <cell r="E2350">
            <v>3</v>
          </cell>
          <cell r="F2350">
            <v>0</v>
          </cell>
          <cell r="G2350" t="str">
            <v>3</v>
          </cell>
          <cell r="H2350">
            <v>343</v>
          </cell>
          <cell r="I2350" t="str">
            <v>Ф."ВІДДІЛ.ПРОМІНВЕСТБАНКУ, М.МИКОЛАЇВ"</v>
          </cell>
          <cell r="J2350" t="str">
            <v>Ф."ВІДДІЛ. ПІБ, М.МИКОЛАЇВ"</v>
          </cell>
          <cell r="K2350" t="str">
            <v>UOAA</v>
          </cell>
          <cell r="L2350" t="str">
            <v>UOA0</v>
          </cell>
          <cell r="M2350">
            <v>14</v>
          </cell>
          <cell r="N2350">
            <v>26</v>
          </cell>
          <cell r="O2350" t="str">
            <v>Управління НБУ в Микол.обл.</v>
          </cell>
        </row>
        <row r="2351">
          <cell r="A2351">
            <v>326449</v>
          </cell>
          <cell r="B2351">
            <v>300012</v>
          </cell>
          <cell r="D2351">
            <v>0</v>
          </cell>
          <cell r="E2351">
            <v>3</v>
          </cell>
          <cell r="F2351">
            <v>0</v>
          </cell>
          <cell r="G2351" t="str">
            <v>3</v>
          </cell>
          <cell r="H2351">
            <v>344</v>
          </cell>
          <cell r="I2351" t="str">
            <v>Ф."ВІД.ПІБ В М.ПЕРВОМАЙСЬК МИКОЛ.ОБЛ."</v>
          </cell>
          <cell r="J2351" t="str">
            <v>Ф-Я ВІД.ПІБ В М.ПЕРВОМАЙСЬК</v>
          </cell>
          <cell r="K2351" t="str">
            <v>UOAI</v>
          </cell>
          <cell r="L2351" t="str">
            <v>UOA0</v>
          </cell>
          <cell r="M2351">
            <v>14</v>
          </cell>
          <cell r="N2351">
            <v>26</v>
          </cell>
          <cell r="O2351" t="str">
            <v>Управління НБУ в Микол.обл.</v>
          </cell>
        </row>
        <row r="2352">
          <cell r="A2352">
            <v>326450</v>
          </cell>
          <cell r="B2352">
            <v>300001</v>
          </cell>
          <cell r="D2352">
            <v>0</v>
          </cell>
          <cell r="E2352">
            <v>1</v>
          </cell>
          <cell r="F2352">
            <v>0</v>
          </cell>
          <cell r="G2352" t="str">
            <v>1</v>
          </cell>
          <cell r="H2352">
            <v>13</v>
          </cell>
          <cell r="I2352" t="str">
            <v>УПРАВЛІННЯ НБУ В МИКОЛАЇВСЬКІЙ ОБЛАСТІ</v>
          </cell>
          <cell r="J2352" t="str">
            <v>Упр. НБУ в Миколаїв. обл.</v>
          </cell>
          <cell r="K2352" t="str">
            <v>UOHA</v>
          </cell>
          <cell r="L2352" t="str">
            <v>UOH0</v>
          </cell>
          <cell r="M2352">
            <v>14</v>
          </cell>
          <cell r="N2352">
            <v>27</v>
          </cell>
          <cell r="O2352" t="str">
            <v>Управління НБУ в Микол.обл.</v>
          </cell>
        </row>
        <row r="2353">
          <cell r="A2353">
            <v>326461</v>
          </cell>
          <cell r="B2353">
            <v>300465</v>
          </cell>
          <cell r="D2353">
            <v>0</v>
          </cell>
          <cell r="E2353">
            <v>6</v>
          </cell>
          <cell r="F2353">
            <v>0</v>
          </cell>
          <cell r="G2353" t="str">
            <v>6</v>
          </cell>
          <cell r="H2353">
            <v>607</v>
          </cell>
          <cell r="I2353" t="str">
            <v>ФМИКОЛАЇВСЬКЕ ОБЛАС ВАТОЩАД М.МИКОЛАЇВ</v>
          </cell>
          <cell r="J2353" t="str">
            <v>ФМиколаївське обласнВАТОщад</v>
          </cell>
          <cell r="K2353" t="str">
            <v>UOLA</v>
          </cell>
          <cell r="L2353" t="str">
            <v>UOLA</v>
          </cell>
          <cell r="M2353">
            <v>14</v>
          </cell>
          <cell r="N2353">
            <v>26</v>
          </cell>
          <cell r="O2353" t="str">
            <v>Управління НБУ в Микол.обл.</v>
          </cell>
        </row>
        <row r="2354">
          <cell r="A2354">
            <v>326494</v>
          </cell>
          <cell r="B2354">
            <v>322625</v>
          </cell>
          <cell r="D2354">
            <v>0</v>
          </cell>
          <cell r="E2354">
            <v>222</v>
          </cell>
          <cell r="F2354">
            <v>0</v>
          </cell>
          <cell r="G2354" t="str">
            <v>8</v>
          </cell>
          <cell r="H2354">
            <v>769</v>
          </cell>
          <cell r="I2354" t="str">
            <v>МФ АБ "УКООПСПІЛКА"</v>
          </cell>
          <cell r="J2354" t="str">
            <v>МФ АБ "Укоопспілка"</v>
          </cell>
          <cell r="K2354" t="str">
            <v>UOJJ</v>
          </cell>
          <cell r="L2354" t="str">
            <v>UOJJ</v>
          </cell>
          <cell r="M2354">
            <v>14</v>
          </cell>
          <cell r="N2354">
            <v>26</v>
          </cell>
          <cell r="O2354" t="str">
            <v>Управління НБУ в Микол.обл.</v>
          </cell>
        </row>
        <row r="2355">
          <cell r="A2355">
            <v>326580</v>
          </cell>
          <cell r="B2355">
            <v>300142</v>
          </cell>
          <cell r="D2355">
            <v>0</v>
          </cell>
          <cell r="E2355">
            <v>18</v>
          </cell>
          <cell r="F2355">
            <v>0</v>
          </cell>
          <cell r="G2355" t="str">
            <v>8</v>
          </cell>
          <cell r="H2355">
            <v>749</v>
          </cell>
          <cell r="I2355" t="str">
            <v>МИКОЛАЇВСЬКА ФАТ"УКРІНБАНК" М.МИКОЛАЇВ</v>
          </cell>
          <cell r="J2355" t="str">
            <v>Миколаївська ФАТ"Укрінбанк"</v>
          </cell>
          <cell r="K2355" t="str">
            <v>UOIR</v>
          </cell>
          <cell r="L2355" t="str">
            <v>UOIR</v>
          </cell>
          <cell r="M2355">
            <v>14</v>
          </cell>
          <cell r="N2355">
            <v>26</v>
          </cell>
          <cell r="O2355" t="str">
            <v>Управління НБУ в Микол.обл.</v>
          </cell>
        </row>
        <row r="2356">
          <cell r="A2356">
            <v>326610</v>
          </cell>
          <cell r="B2356">
            <v>305299</v>
          </cell>
          <cell r="D2356">
            <v>0</v>
          </cell>
          <cell r="E2356">
            <v>46</v>
          </cell>
          <cell r="F2356">
            <v>0</v>
          </cell>
          <cell r="G2356" t="str">
            <v>A</v>
          </cell>
          <cell r="H2356">
            <v>765</v>
          </cell>
          <cell r="I2356" t="str">
            <v>МИКОЛАЇВСЬКЕ РУ  ПРИВАТБАНКУ</v>
          </cell>
          <cell r="J2356" t="str">
            <v>Миколаївське РУ ПриватБанку</v>
          </cell>
          <cell r="K2356" t="str">
            <v>UOJF</v>
          </cell>
          <cell r="L2356" t="str">
            <v>UOJF</v>
          </cell>
          <cell r="M2356">
            <v>14</v>
          </cell>
          <cell r="N2356">
            <v>3</v>
          </cell>
          <cell r="O2356" t="str">
            <v>Управління НБУ в Микол.обл.</v>
          </cell>
        </row>
        <row r="2357">
          <cell r="A2357">
            <v>326643</v>
          </cell>
          <cell r="B2357">
            <v>300272</v>
          </cell>
          <cell r="D2357">
            <v>0</v>
          </cell>
          <cell r="E2357">
            <v>31</v>
          </cell>
          <cell r="F2357">
            <v>0</v>
          </cell>
          <cell r="G2357" t="str">
            <v>B</v>
          </cell>
          <cell r="H2357">
            <v>771</v>
          </cell>
          <cell r="I2357" t="str">
            <v>ФІЛІЯ АБ "ЕНЕРГОБАНК" В М.МИКОЛАЄВІ</v>
          </cell>
          <cell r="J2357" t="str">
            <v>ФАБ"Енергобанк"вм.Миколаєв</v>
          </cell>
          <cell r="K2357" t="str">
            <v>UOJP</v>
          </cell>
          <cell r="L2357" t="str">
            <v>UOJP</v>
          </cell>
          <cell r="M2357">
            <v>14</v>
          </cell>
          <cell r="N2357">
            <v>26</v>
          </cell>
          <cell r="O2357" t="str">
            <v>Управління НБУ в Микол.обл.</v>
          </cell>
        </row>
        <row r="2358">
          <cell r="A2358">
            <v>326665</v>
          </cell>
          <cell r="B2358">
            <v>320702</v>
          </cell>
          <cell r="D2358">
            <v>0</v>
          </cell>
          <cell r="E2358">
            <v>277</v>
          </cell>
          <cell r="F2358">
            <v>0</v>
          </cell>
          <cell r="G2358" t="str">
            <v>8</v>
          </cell>
          <cell r="H2358">
            <v>715</v>
          </cell>
          <cell r="I2358" t="str">
            <v>СП.ФАКБ "НАЦ.КРЕДИТ" В М.МИКОЛАЇВ</v>
          </cell>
          <cell r="J2358" t="str">
            <v>Сп.ФАКБ "НК" м.Миколаїв</v>
          </cell>
          <cell r="K2358" t="str">
            <v>UOJS</v>
          </cell>
          <cell r="L2358" t="str">
            <v>UOJS</v>
          </cell>
          <cell r="M2358">
            <v>14</v>
          </cell>
          <cell r="N2358">
            <v>26</v>
          </cell>
          <cell r="O2358" t="str">
            <v>Управління НБУ в Микол.обл.</v>
          </cell>
        </row>
        <row r="2359">
          <cell r="A2359">
            <v>326706</v>
          </cell>
          <cell r="B2359">
            <v>322603</v>
          </cell>
          <cell r="D2359">
            <v>0</v>
          </cell>
          <cell r="E2359">
            <v>216</v>
          </cell>
          <cell r="F2359">
            <v>0</v>
          </cell>
          <cell r="G2359" t="str">
            <v>8</v>
          </cell>
          <cell r="H2359">
            <v>732</v>
          </cell>
          <cell r="I2359" t="str">
            <v>ЮФВАТБАНКУ"БІГ ЕНЕРГІЯ"М.ЮЖНОУКРАЇНСЬК</v>
          </cell>
          <cell r="J2359" t="str">
            <v>ЮФ ВАТ Банку "БІГ Енергія"</v>
          </cell>
          <cell r="K2359" t="str">
            <v>UOJL</v>
          </cell>
          <cell r="L2359" t="str">
            <v>UOJL</v>
          </cell>
          <cell r="M2359">
            <v>14</v>
          </cell>
          <cell r="N2359">
            <v>26</v>
          </cell>
          <cell r="O2359" t="str">
            <v>Управління НБУ в Микол.обл.</v>
          </cell>
        </row>
        <row r="2360">
          <cell r="A2360">
            <v>326739</v>
          </cell>
          <cell r="B2360">
            <v>322313</v>
          </cell>
          <cell r="D2360">
            <v>0</v>
          </cell>
          <cell r="E2360">
            <v>2</v>
          </cell>
          <cell r="F2360">
            <v>0</v>
          </cell>
          <cell r="G2360" t="str">
            <v>2</v>
          </cell>
          <cell r="H2360">
            <v>201</v>
          </cell>
          <cell r="I2360" t="str">
            <v>Ф-Я ВАТ "УКРЕКСІМБАНК", МИКОЛАЇВ</v>
          </cell>
          <cell r="J2360" t="str">
            <v>Ф-я Укрексімбанк, Миколаїв</v>
          </cell>
          <cell r="K2360" t="str">
            <v>UOGA</v>
          </cell>
          <cell r="L2360" t="str">
            <v>UOGA</v>
          </cell>
          <cell r="M2360">
            <v>14</v>
          </cell>
          <cell r="N2360">
            <v>26</v>
          </cell>
          <cell r="O2360" t="str">
            <v>Управління НБУ в Микол.обл.</v>
          </cell>
        </row>
        <row r="2361">
          <cell r="A2361">
            <v>326751</v>
          </cell>
          <cell r="B2361">
            <v>328209</v>
          </cell>
          <cell r="D2361">
            <v>0</v>
          </cell>
          <cell r="E2361">
            <v>106</v>
          </cell>
          <cell r="F2361">
            <v>0</v>
          </cell>
          <cell r="G2361" t="str">
            <v>8</v>
          </cell>
          <cell r="H2361">
            <v>708</v>
          </cell>
          <cell r="I2361" t="str">
            <v>ФІЛІЯ АБ "ПІВДЕННИЙ" В М.МИКОЛАЄВІ</v>
          </cell>
          <cell r="J2361" t="str">
            <v>ФАБ"ПІВДЕННИЙ"в м.Миколаєві</v>
          </cell>
          <cell r="K2361" t="str">
            <v>UOJV</v>
          </cell>
          <cell r="L2361" t="str">
            <v>UOJV</v>
          </cell>
          <cell r="M2361">
            <v>14</v>
          </cell>
          <cell r="N2361">
            <v>15</v>
          </cell>
          <cell r="O2361" t="str">
            <v>Управління НБУ в Микол.обл.</v>
          </cell>
        </row>
        <row r="2362">
          <cell r="A2362">
            <v>326762</v>
          </cell>
          <cell r="B2362">
            <v>325912</v>
          </cell>
          <cell r="D2362">
            <v>0</v>
          </cell>
          <cell r="E2362">
            <v>88</v>
          </cell>
          <cell r="F2362">
            <v>0</v>
          </cell>
          <cell r="G2362" t="str">
            <v>B</v>
          </cell>
          <cell r="H2362">
            <v>770</v>
          </cell>
          <cell r="I2362" t="str">
            <v>Миколаївська філія ВАТ "КРЕДОБАНК"</v>
          </cell>
          <cell r="J2362" t="str">
            <v>Микол.філія ВАТ "КРЕДОБАНК"</v>
          </cell>
          <cell r="K2362" t="str">
            <v>UOJK</v>
          </cell>
          <cell r="L2362" t="str">
            <v>UOJK</v>
          </cell>
          <cell r="M2362">
            <v>14</v>
          </cell>
          <cell r="N2362">
            <v>13</v>
          </cell>
          <cell r="O2362" t="str">
            <v>Управління НБУ в Микол.обл.</v>
          </cell>
        </row>
        <row r="2363">
          <cell r="A2363">
            <v>326773</v>
          </cell>
          <cell r="B2363">
            <v>300926</v>
          </cell>
          <cell r="D2363">
            <v>0</v>
          </cell>
          <cell r="E2363">
            <v>899</v>
          </cell>
          <cell r="F2363">
            <v>0</v>
          </cell>
          <cell r="G2363" t="str">
            <v>8</v>
          </cell>
          <cell r="H2363">
            <v>856</v>
          </cell>
          <cell r="I2363" t="str">
            <v>ФАТ "УФГ" У М. МИКОЛАЄВІ</v>
          </cell>
          <cell r="J2363" t="str">
            <v>ФАТ "УФГ", м.Миколаїв</v>
          </cell>
          <cell r="K2363" t="str">
            <v>UOW1</v>
          </cell>
          <cell r="L2363" t="str">
            <v>U1WF</v>
          </cell>
          <cell r="M2363">
            <v>14</v>
          </cell>
          <cell r="N2363">
            <v>26</v>
          </cell>
          <cell r="O2363" t="str">
            <v>Управління НБУ в Микол.обл.</v>
          </cell>
        </row>
        <row r="2364">
          <cell r="A2364">
            <v>326784</v>
          </cell>
          <cell r="B2364">
            <v>328168</v>
          </cell>
          <cell r="D2364">
            <v>0</v>
          </cell>
          <cell r="E2364">
            <v>105</v>
          </cell>
          <cell r="F2364">
            <v>0</v>
          </cell>
          <cell r="G2364" t="str">
            <v>B</v>
          </cell>
          <cell r="H2364">
            <v>714</v>
          </cell>
          <cell r="I2364" t="str">
            <v>ФІЛІЯ ВАТ "МТБ" У М.МИКОЛАЄВІ</v>
          </cell>
          <cell r="J2364" t="str">
            <v>ФВАТ "МТБ", МИКОЛАЇВ</v>
          </cell>
          <cell r="K2364" t="str">
            <v>UOJW</v>
          </cell>
          <cell r="L2364" t="str">
            <v>UOJW</v>
          </cell>
          <cell r="M2364">
            <v>14</v>
          </cell>
          <cell r="N2364">
            <v>15</v>
          </cell>
          <cell r="O2364" t="str">
            <v>Управління НБУ в Микол.обл.</v>
          </cell>
        </row>
        <row r="2365">
          <cell r="A2365">
            <v>326803</v>
          </cell>
          <cell r="B2365">
            <v>320003</v>
          </cell>
          <cell r="D2365">
            <v>0</v>
          </cell>
          <cell r="E2365">
            <v>225</v>
          </cell>
          <cell r="F2365">
            <v>0</v>
          </cell>
          <cell r="G2365" t="str">
            <v>B</v>
          </cell>
          <cell r="H2365">
            <v>713</v>
          </cell>
          <cell r="I2365" t="str">
            <v>Ф ВАТ КБ"НАДРА" МИК.РУ М.МИКОЛАЇВ</v>
          </cell>
          <cell r="J2365" t="str">
            <v>ВАТКБ"Надра"Миколаїв. РУ</v>
          </cell>
          <cell r="K2365" t="str">
            <v>UOJX</v>
          </cell>
          <cell r="L2365" t="str">
            <v>UOJX</v>
          </cell>
          <cell r="M2365">
            <v>14</v>
          </cell>
          <cell r="N2365">
            <v>26</v>
          </cell>
          <cell r="O2365" t="str">
            <v>Управління НБУ в Микол.обл.</v>
          </cell>
        </row>
        <row r="2366">
          <cell r="A2366">
            <v>326814</v>
          </cell>
          <cell r="B2366">
            <v>321228</v>
          </cell>
          <cell r="D2366">
            <v>0</v>
          </cell>
          <cell r="E2366">
            <v>68</v>
          </cell>
          <cell r="F2366">
            <v>0</v>
          </cell>
          <cell r="G2366" t="str">
            <v>8</v>
          </cell>
          <cell r="H2366">
            <v>727</v>
          </cell>
          <cell r="I2366" t="str">
            <v>МИКОЛАЇВ.Ф.ТОВ"УКРПРОМБАНК",М.МИКОЛАЇВ</v>
          </cell>
          <cell r="J2366" t="str">
            <v>МФ ТОВ "Укрпромбанк"</v>
          </cell>
          <cell r="K2366" t="str">
            <v>UOJY</v>
          </cell>
          <cell r="L2366" t="str">
            <v>UOJY</v>
          </cell>
          <cell r="M2366">
            <v>14</v>
          </cell>
          <cell r="N2366">
            <v>26</v>
          </cell>
          <cell r="O2366" t="str">
            <v>Управління НБУ в Микол.обл.</v>
          </cell>
        </row>
        <row r="2367">
          <cell r="A2367">
            <v>326825</v>
          </cell>
          <cell r="B2367">
            <v>328384</v>
          </cell>
          <cell r="D2367">
            <v>0</v>
          </cell>
          <cell r="E2367">
            <v>258</v>
          </cell>
          <cell r="F2367">
            <v>0</v>
          </cell>
          <cell r="G2367" t="str">
            <v>8</v>
          </cell>
          <cell r="H2367">
            <v>728</v>
          </cell>
          <cell r="I2367" t="str">
            <v>ФІЛІЯ АКБ "ІМЕКСБАНК" У М.МИКОЛАЄВІ</v>
          </cell>
          <cell r="J2367" t="str">
            <v>МИКОЛАЇВСЬФ АКБ "ІМЕКСБАНК"</v>
          </cell>
          <cell r="K2367" t="str">
            <v>UOJZ</v>
          </cell>
          <cell r="L2367" t="str">
            <v>UOJZ</v>
          </cell>
          <cell r="M2367">
            <v>14</v>
          </cell>
          <cell r="N2367">
            <v>15</v>
          </cell>
          <cell r="O2367" t="str">
            <v>Управління НБУ в Микол.обл.</v>
          </cell>
        </row>
        <row r="2368">
          <cell r="A2368">
            <v>326892</v>
          </cell>
          <cell r="B2368">
            <v>353489</v>
          </cell>
          <cell r="D2368">
            <v>0</v>
          </cell>
          <cell r="E2368">
            <v>133</v>
          </cell>
          <cell r="F2368">
            <v>0</v>
          </cell>
          <cell r="G2368" t="str">
            <v>8</v>
          </cell>
          <cell r="H2368">
            <v>709</v>
          </cell>
          <cell r="I2368" t="str">
            <v>МИКОЛАЇВСЬКА ФІЛІЯ АБ "ПРИВАТІНВЕСТ"</v>
          </cell>
          <cell r="J2368" t="str">
            <v>Миколаївська ф.Приватінвест</v>
          </cell>
          <cell r="K2368" t="str">
            <v>UOKB</v>
          </cell>
          <cell r="L2368" t="str">
            <v>UOKB</v>
          </cell>
          <cell r="M2368">
            <v>14</v>
          </cell>
          <cell r="N2368">
            <v>24</v>
          </cell>
          <cell r="O2368" t="str">
            <v>Управління НБУ в Микол.обл.</v>
          </cell>
        </row>
        <row r="2369">
          <cell r="A2369">
            <v>326911</v>
          </cell>
          <cell r="B2369">
            <v>300528</v>
          </cell>
          <cell r="D2369">
            <v>0</v>
          </cell>
          <cell r="E2369">
            <v>296</v>
          </cell>
          <cell r="F2369">
            <v>0</v>
          </cell>
          <cell r="G2369" t="str">
            <v>F</v>
          </cell>
          <cell r="H2369">
            <v>724</v>
          </cell>
          <cell r="I2369" t="str">
            <v>ФІЛІЯ ЗАТ "ОТП БАНК", М.МИКОЛАЇВ</v>
          </cell>
          <cell r="J2369" t="str">
            <v>Філія ЗАТ "ОТП Банк"</v>
          </cell>
          <cell r="K2369" t="str">
            <v>UOKD</v>
          </cell>
          <cell r="L2369" t="str">
            <v>UOKD</v>
          </cell>
          <cell r="M2369">
            <v>14</v>
          </cell>
          <cell r="N2369">
            <v>26</v>
          </cell>
          <cell r="O2369" t="str">
            <v>Управління НБУ в Микол.обл.</v>
          </cell>
        </row>
        <row r="2370">
          <cell r="A2370">
            <v>326922</v>
          </cell>
          <cell r="B2370">
            <v>300249</v>
          </cell>
          <cell r="D2370">
            <v>0</v>
          </cell>
          <cell r="E2370">
            <v>37</v>
          </cell>
          <cell r="F2370">
            <v>0</v>
          </cell>
          <cell r="G2370" t="str">
            <v>8</v>
          </cell>
          <cell r="H2370">
            <v>712</v>
          </cell>
          <cell r="I2370" t="str">
            <v>ФІЛІЯ АБ "БРОКБІЗНЕСБАНК", М.МИКОЛАЇВ</v>
          </cell>
          <cell r="J2370" t="str">
            <v>МФ АБ "БРОКБІЗНЕСБАНК"</v>
          </cell>
          <cell r="K2370" t="str">
            <v>UOKE</v>
          </cell>
          <cell r="L2370" t="str">
            <v>UOKE</v>
          </cell>
          <cell r="M2370">
            <v>14</v>
          </cell>
          <cell r="N2370">
            <v>26</v>
          </cell>
          <cell r="O2370" t="str">
            <v>Управління НБУ в Микол.обл.</v>
          </cell>
        </row>
        <row r="2371">
          <cell r="A2371">
            <v>326933</v>
          </cell>
          <cell r="B2371">
            <v>300131</v>
          </cell>
          <cell r="D2371">
            <v>0</v>
          </cell>
          <cell r="E2371">
            <v>17</v>
          </cell>
          <cell r="F2371">
            <v>0</v>
          </cell>
          <cell r="G2371" t="str">
            <v>8</v>
          </cell>
          <cell r="H2371">
            <v>784</v>
          </cell>
          <cell r="I2371" t="str">
            <v>Ф "ПРУ "ФІНАНСИ ТА КРЕДИТ", М.МИКОЛАЇВ</v>
          </cell>
          <cell r="J2371" t="str">
            <v>Ф.ПРУБанк Фінанси та Кедит</v>
          </cell>
          <cell r="K2371" t="str">
            <v>UOKL</v>
          </cell>
          <cell r="L2371" t="str">
            <v>UOKL</v>
          </cell>
          <cell r="M2371">
            <v>14</v>
          </cell>
          <cell r="N2371">
            <v>26</v>
          </cell>
          <cell r="O2371" t="str">
            <v>Управління НБУ в Микол.обл.</v>
          </cell>
        </row>
        <row r="2372">
          <cell r="A2372">
            <v>326944</v>
          </cell>
          <cell r="B2372">
            <v>300614</v>
          </cell>
          <cell r="D2372">
            <v>0</v>
          </cell>
          <cell r="E2372">
            <v>171</v>
          </cell>
          <cell r="F2372">
            <v>0</v>
          </cell>
          <cell r="G2372" t="str">
            <v>8</v>
          </cell>
          <cell r="H2372">
            <v>743</v>
          </cell>
          <cell r="I2372" t="str">
            <v>ФІЛ.МИК.Д.АТ"ІНДЕКС-Б" В М.МИКОЛАЇВ</v>
          </cell>
          <cell r="J2372" t="str">
            <v>Філ.Мик.Д.АТ"ІНДЕКС-БАНК"</v>
          </cell>
          <cell r="K2372" t="str">
            <v>UOKU</v>
          </cell>
          <cell r="L2372" t="str">
            <v>UOKU</v>
          </cell>
          <cell r="M2372">
            <v>14</v>
          </cell>
          <cell r="N2372">
            <v>26</v>
          </cell>
          <cell r="O2372" t="str">
            <v>Управління НБУ в Микол.обл.</v>
          </cell>
        </row>
        <row r="2373">
          <cell r="A2373">
            <v>326955</v>
          </cell>
          <cell r="B2373">
            <v>380623</v>
          </cell>
          <cell r="D2373">
            <v>0</v>
          </cell>
          <cell r="E2373">
            <v>312</v>
          </cell>
          <cell r="F2373">
            <v>0</v>
          </cell>
          <cell r="G2373" t="str">
            <v>8</v>
          </cell>
          <cell r="H2373">
            <v>799</v>
          </cell>
          <cell r="I2373" t="str">
            <v>ФІЛІЯ ТОВ "СТОЛИЦЯ",УМ.МИКОЛАЄВІ</v>
          </cell>
          <cell r="J2373" t="str">
            <v>ФТОВ"Столиця" у м.Миколаєві</v>
          </cell>
          <cell r="K2373" t="str">
            <v>UONF</v>
          </cell>
          <cell r="L2373" t="str">
            <v>UONF</v>
          </cell>
          <cell r="M2373">
            <v>14</v>
          </cell>
          <cell r="N2373">
            <v>26</v>
          </cell>
          <cell r="O2373" t="str">
            <v>Управління НБУ в Микол.обл.</v>
          </cell>
        </row>
        <row r="2374">
          <cell r="A2374">
            <v>326988</v>
          </cell>
          <cell r="B2374">
            <v>322948</v>
          </cell>
          <cell r="D2374">
            <v>0</v>
          </cell>
          <cell r="E2374">
            <v>248</v>
          </cell>
          <cell r="F2374">
            <v>0</v>
          </cell>
          <cell r="G2374" t="str">
            <v>B</v>
          </cell>
          <cell r="H2374">
            <v>705</v>
          </cell>
          <cell r="I2374" t="str">
            <v>МИКОЛАЇВСЬКА ФАКБ "ФОРУМ"  М.МИКОЛАЇВ</v>
          </cell>
          <cell r="J2374" t="str">
            <v>Миколаївська Ф АКБ "Форум"</v>
          </cell>
          <cell r="K2374" t="str">
            <v>UOJR</v>
          </cell>
          <cell r="L2374" t="str">
            <v>UOJR</v>
          </cell>
          <cell r="M2374">
            <v>14</v>
          </cell>
          <cell r="N2374">
            <v>26</v>
          </cell>
          <cell r="O2374" t="str">
            <v>Управління НБУ в Микол.обл.</v>
          </cell>
        </row>
        <row r="2375">
          <cell r="A2375">
            <v>328016</v>
          </cell>
          <cell r="B2375">
            <v>300023</v>
          </cell>
          <cell r="D2375">
            <v>0</v>
          </cell>
          <cell r="E2375">
            <v>5</v>
          </cell>
          <cell r="F2375">
            <v>0</v>
          </cell>
          <cell r="G2375" t="str">
            <v>5</v>
          </cell>
          <cell r="H2375">
            <v>501</v>
          </cell>
          <cell r="I2375" t="str">
            <v>ОДЕСЬКА ОБЛ.Ф.АКБ "УСБ" М.ОДЕСА</v>
          </cell>
          <cell r="J2375" t="str">
            <v>Одес.обл.філія АКБ "УСБ"</v>
          </cell>
          <cell r="K2375" t="str">
            <v>UPCA</v>
          </cell>
          <cell r="L2375" t="str">
            <v>UPCA</v>
          </cell>
          <cell r="M2375">
            <v>15</v>
          </cell>
          <cell r="N2375">
            <v>26</v>
          </cell>
          <cell r="O2375" t="str">
            <v>Управління НБУ в Одес.обл.</v>
          </cell>
        </row>
        <row r="2376">
          <cell r="A2376">
            <v>328027</v>
          </cell>
          <cell r="B2376">
            <v>300001</v>
          </cell>
          <cell r="D2376">
            <v>0</v>
          </cell>
          <cell r="E2376">
            <v>1</v>
          </cell>
          <cell r="F2376">
            <v>0</v>
          </cell>
          <cell r="G2376" t="str">
            <v>1</v>
          </cell>
          <cell r="H2376">
            <v>108</v>
          </cell>
          <cell r="I2376" t="str">
            <v>УПРАВЛІННЯ НБУ В ОДЕСЬКІЙ ОБЛАСТІ</v>
          </cell>
          <cell r="J2376" t="str">
            <v>Упр. НБУ в Одеській обл.</v>
          </cell>
          <cell r="K2376" t="str">
            <v>UPHA</v>
          </cell>
          <cell r="L2376" t="str">
            <v>UPH0</v>
          </cell>
          <cell r="M2376">
            <v>15</v>
          </cell>
          <cell r="N2376">
            <v>27</v>
          </cell>
          <cell r="O2376" t="str">
            <v>Управління НБУ в Одес.обл.</v>
          </cell>
        </row>
        <row r="2377">
          <cell r="A2377">
            <v>328094</v>
          </cell>
          <cell r="B2377">
            <v>328210</v>
          </cell>
          <cell r="D2377">
            <v>0</v>
          </cell>
          <cell r="E2377">
            <v>109</v>
          </cell>
          <cell r="F2377">
            <v>0</v>
          </cell>
          <cell r="G2377" t="str">
            <v>8</v>
          </cell>
          <cell r="H2377">
            <v>701</v>
          </cell>
          <cell r="I2377" t="str">
            <v>ФАКБ "ІНВЕСТБАНК", М.ОДЕСА</v>
          </cell>
          <cell r="J2377" t="str">
            <v>ФАКБ "Інвестбанк" у м Одеса</v>
          </cell>
          <cell r="K2377" t="str">
            <v>UPIW</v>
          </cell>
          <cell r="L2377" t="str">
            <v>UPIW</v>
          </cell>
          <cell r="M2377">
            <v>15</v>
          </cell>
          <cell r="N2377">
            <v>15</v>
          </cell>
          <cell r="O2377" t="str">
            <v>Управління НБУ в Одес.обл.</v>
          </cell>
        </row>
        <row r="2378">
          <cell r="A2378">
            <v>328102</v>
          </cell>
          <cell r="B2378">
            <v>328102</v>
          </cell>
          <cell r="C2378" t="str">
            <v>АКБ "Одеса-Банк"</v>
          </cell>
          <cell r="D2378">
            <v>110</v>
          </cell>
          <cell r="E2378">
            <v>110</v>
          </cell>
          <cell r="F2378">
            <v>0</v>
          </cell>
          <cell r="G2378" t="str">
            <v>8</v>
          </cell>
          <cell r="H2378">
            <v>712</v>
          </cell>
          <cell r="I2378" t="str">
            <v>АКБ "ОДЕСА-БАНК", М.ОДЕСА</v>
          </cell>
          <cell r="J2378" t="str">
            <v>АКБ "Одеса-Банк"</v>
          </cell>
          <cell r="K2378" t="str">
            <v>UPIA</v>
          </cell>
          <cell r="L2378" t="str">
            <v>UPIA</v>
          </cell>
          <cell r="M2378">
            <v>15</v>
          </cell>
          <cell r="N2378">
            <v>15</v>
          </cell>
          <cell r="O2378" t="str">
            <v>Управління НБУ в Одес.обл.</v>
          </cell>
        </row>
        <row r="2379">
          <cell r="A2379">
            <v>328124</v>
          </cell>
          <cell r="B2379">
            <v>300012</v>
          </cell>
          <cell r="D2379">
            <v>0</v>
          </cell>
          <cell r="E2379">
            <v>3</v>
          </cell>
          <cell r="F2379">
            <v>0</v>
          </cell>
          <cell r="G2379" t="str">
            <v>3</v>
          </cell>
          <cell r="H2379">
            <v>307</v>
          </cell>
          <cell r="I2379" t="str">
            <v>Ф."В.ПІБ В М.ІЛЛІЧІВСЬК ОДЕСЬКОЇ ОБЛ."</v>
          </cell>
          <cell r="J2379" t="str">
            <v>Ф.Від.ПІБ,м.Іллічівськ Од.</v>
          </cell>
          <cell r="K2379" t="str">
            <v>UPAE</v>
          </cell>
          <cell r="L2379" t="str">
            <v>UPA0</v>
          </cell>
          <cell r="M2379">
            <v>15</v>
          </cell>
          <cell r="N2379">
            <v>26</v>
          </cell>
          <cell r="O2379" t="str">
            <v>Управління НБУ в Одес.обл.</v>
          </cell>
        </row>
        <row r="2380">
          <cell r="A2380">
            <v>328135</v>
          </cell>
          <cell r="B2380">
            <v>300012</v>
          </cell>
          <cell r="D2380">
            <v>0</v>
          </cell>
          <cell r="E2380">
            <v>3</v>
          </cell>
          <cell r="F2380">
            <v>0</v>
          </cell>
          <cell r="G2380" t="str">
            <v>3</v>
          </cell>
          <cell r="H2380">
            <v>311</v>
          </cell>
          <cell r="I2380" t="str">
            <v>Ф."ВІДДІЛЕННЯ ПРОМІНВЕСТБАНКУ,М.ОДЕСА"</v>
          </cell>
          <cell r="J2380" t="str">
            <v>Ф."ВІДДІЛЕННЯ ПІБ, М.ОДЕСА"</v>
          </cell>
          <cell r="K2380" t="str">
            <v>UPAA</v>
          </cell>
          <cell r="L2380" t="str">
            <v>UPA0</v>
          </cell>
          <cell r="M2380">
            <v>15</v>
          </cell>
          <cell r="N2380">
            <v>26</v>
          </cell>
          <cell r="O2380" t="str">
            <v>Управління НБУ в Одес.обл.</v>
          </cell>
        </row>
        <row r="2381">
          <cell r="A2381">
            <v>328168</v>
          </cell>
          <cell r="B2381">
            <v>328168</v>
          </cell>
          <cell r="C2381" t="str">
            <v>ВАТ "МТБ"</v>
          </cell>
          <cell r="D2381">
            <v>105</v>
          </cell>
          <cell r="E2381">
            <v>105</v>
          </cell>
          <cell r="F2381">
            <v>0</v>
          </cell>
          <cell r="G2381" t="str">
            <v>B</v>
          </cell>
          <cell r="H2381">
            <v>705</v>
          </cell>
          <cell r="I2381" t="str">
            <v>ВАТ "МТБ", М. IЛЛІЧІВСЬК</v>
          </cell>
          <cell r="J2381" t="str">
            <v>ВАТ "МТБ"</v>
          </cell>
          <cell r="K2381" t="str">
            <v>UPIE</v>
          </cell>
          <cell r="L2381" t="str">
            <v>UPIE</v>
          </cell>
          <cell r="M2381">
            <v>15</v>
          </cell>
          <cell r="N2381">
            <v>15</v>
          </cell>
          <cell r="O2381" t="str">
            <v>Управління НБУ в Одес.обл.</v>
          </cell>
        </row>
        <row r="2382">
          <cell r="A2382">
            <v>328180</v>
          </cell>
          <cell r="B2382">
            <v>328180</v>
          </cell>
          <cell r="C2382" t="str">
            <v>АКБ"ПОРТО-ФРАНКО"</v>
          </cell>
          <cell r="D2382">
            <v>107</v>
          </cell>
          <cell r="E2382">
            <v>107</v>
          </cell>
          <cell r="F2382">
            <v>0</v>
          </cell>
          <cell r="G2382" t="str">
            <v>8</v>
          </cell>
          <cell r="H2382">
            <v>707</v>
          </cell>
          <cell r="I2382" t="str">
            <v>АКБ "ПОРТО-ФРАНКО", М.ОДЕСА</v>
          </cell>
          <cell r="J2382" t="str">
            <v>АКБ"ПОРТО-ФРАНКО"</v>
          </cell>
          <cell r="K2382" t="str">
            <v>UPIF</v>
          </cell>
          <cell r="L2382" t="str">
            <v>UPIF</v>
          </cell>
          <cell r="M2382">
            <v>15</v>
          </cell>
          <cell r="N2382">
            <v>15</v>
          </cell>
          <cell r="O2382" t="str">
            <v>Управління НБУ в Одес.обл.</v>
          </cell>
        </row>
        <row r="2383">
          <cell r="A2383">
            <v>328191</v>
          </cell>
          <cell r="B2383">
            <v>334851</v>
          </cell>
          <cell r="D2383">
            <v>0</v>
          </cell>
          <cell r="E2383">
            <v>115</v>
          </cell>
          <cell r="F2383">
            <v>0</v>
          </cell>
          <cell r="G2383" t="str">
            <v>8</v>
          </cell>
          <cell r="H2383">
            <v>724</v>
          </cell>
          <cell r="I2383" t="str">
            <v>ФІЛІЯ ЗАТ "ПУМБ" В М.ОДЕСІ</v>
          </cell>
          <cell r="J2383" t="str">
            <v>Філія ЗАТ "ПУМБ" в м. Одесі</v>
          </cell>
          <cell r="K2383" t="str">
            <v>UPIX</v>
          </cell>
          <cell r="L2383" t="str">
            <v>UPIX</v>
          </cell>
          <cell r="M2383">
            <v>15</v>
          </cell>
          <cell r="N2383">
            <v>4</v>
          </cell>
          <cell r="O2383" t="str">
            <v>Управління НБУ в Одес.обл.</v>
          </cell>
        </row>
        <row r="2384">
          <cell r="A2384">
            <v>328209</v>
          </cell>
          <cell r="B2384">
            <v>328209</v>
          </cell>
          <cell r="C2384" t="str">
            <v>Акціонерний банк"Південний"</v>
          </cell>
          <cell r="D2384">
            <v>106</v>
          </cell>
          <cell r="E2384">
            <v>106</v>
          </cell>
          <cell r="F2384">
            <v>0</v>
          </cell>
          <cell r="G2384" t="str">
            <v>8</v>
          </cell>
          <cell r="H2384">
            <v>706</v>
          </cell>
          <cell r="I2384" t="str">
            <v>АКЦІОНЕРНИЙ БАНК "ПІВДЕННИЙ", М. ОДЕСА</v>
          </cell>
          <cell r="J2384" t="str">
            <v>Акціонерний банк"Південний"</v>
          </cell>
          <cell r="K2384" t="str">
            <v>UPII</v>
          </cell>
          <cell r="L2384" t="str">
            <v>UPII</v>
          </cell>
          <cell r="M2384">
            <v>15</v>
          </cell>
          <cell r="N2384">
            <v>15</v>
          </cell>
          <cell r="O2384" t="str">
            <v>Управління НБУ в Одес.обл.</v>
          </cell>
        </row>
        <row r="2385">
          <cell r="A2385">
            <v>328210</v>
          </cell>
          <cell r="B2385">
            <v>328210</v>
          </cell>
          <cell r="C2385" t="str">
            <v>АКБ "Інвестбанк"</v>
          </cell>
          <cell r="D2385">
            <v>109</v>
          </cell>
          <cell r="E2385">
            <v>109</v>
          </cell>
          <cell r="F2385">
            <v>0</v>
          </cell>
          <cell r="G2385" t="str">
            <v>8</v>
          </cell>
          <cell r="H2385">
            <v>710</v>
          </cell>
          <cell r="I2385" t="str">
            <v>АКБ "ІНВЕСТБАНК", М.ОДЕСА</v>
          </cell>
          <cell r="J2385" t="str">
            <v>АКБ "Інвестбанк"</v>
          </cell>
          <cell r="K2385" t="str">
            <v>UPIJ</v>
          </cell>
          <cell r="L2385" t="str">
            <v>UPIJ</v>
          </cell>
          <cell r="M2385">
            <v>15</v>
          </cell>
          <cell r="N2385">
            <v>15</v>
          </cell>
          <cell r="O2385" t="str">
            <v>Управління НБУ в Одес.обл.</v>
          </cell>
        </row>
        <row r="2386">
          <cell r="A2386">
            <v>328351</v>
          </cell>
          <cell r="B2386">
            <v>300335</v>
          </cell>
          <cell r="D2386">
            <v>0</v>
          </cell>
          <cell r="E2386">
            <v>36</v>
          </cell>
          <cell r="F2386">
            <v>0</v>
          </cell>
          <cell r="G2386" t="str">
            <v>7</v>
          </cell>
          <cell r="H2386">
            <v>737</v>
          </cell>
          <cell r="I2386" t="str">
            <v>ОДЕС.ОД"РАЙФФАЙЗЕН БАНК АВАЛЬ",М.ОДЕСА</v>
          </cell>
          <cell r="J2386" t="str">
            <v>ОД. "Райффайзен Банк Аваль"</v>
          </cell>
          <cell r="K2386" t="str">
            <v>UPJG</v>
          </cell>
          <cell r="L2386" t="str">
            <v>UPJG</v>
          </cell>
          <cell r="M2386">
            <v>15</v>
          </cell>
          <cell r="N2386">
            <v>26</v>
          </cell>
          <cell r="O2386" t="str">
            <v>Управління НБУ в Одес.обл.</v>
          </cell>
        </row>
        <row r="2387">
          <cell r="A2387">
            <v>328384</v>
          </cell>
          <cell r="B2387">
            <v>328384</v>
          </cell>
          <cell r="C2387" t="str">
            <v>АКБ "ІМЕКСБАНК"</v>
          </cell>
          <cell r="D2387">
            <v>258</v>
          </cell>
          <cell r="E2387">
            <v>258</v>
          </cell>
          <cell r="F2387">
            <v>0</v>
          </cell>
          <cell r="G2387" t="str">
            <v>8</v>
          </cell>
          <cell r="H2387">
            <v>727</v>
          </cell>
          <cell r="I2387" t="str">
            <v>АКБ "ІМЕКСБАНК", М.ОДЕСА</v>
          </cell>
          <cell r="J2387" t="str">
            <v>АКБ "ІМЕКСБАНК"</v>
          </cell>
          <cell r="K2387" t="str">
            <v>UPJA</v>
          </cell>
          <cell r="L2387" t="str">
            <v>UPJA</v>
          </cell>
          <cell r="M2387">
            <v>15</v>
          </cell>
          <cell r="N2387">
            <v>15</v>
          </cell>
          <cell r="O2387" t="str">
            <v>Управління НБУ в Одес.обл.</v>
          </cell>
        </row>
        <row r="2388">
          <cell r="A2388">
            <v>328458</v>
          </cell>
          <cell r="B2388">
            <v>300012</v>
          </cell>
          <cell r="D2388">
            <v>0</v>
          </cell>
          <cell r="E2388">
            <v>3</v>
          </cell>
          <cell r="F2388">
            <v>0</v>
          </cell>
          <cell r="G2388" t="str">
            <v>3</v>
          </cell>
          <cell r="H2388">
            <v>301</v>
          </cell>
          <cell r="I2388" t="str">
            <v>Ф."В.ПІБ В М.Б-ДНІСТРОВСЬКИЙ ОДЕС.ОБЛ"</v>
          </cell>
          <cell r="J2388" t="str">
            <v>Ф.Від.ПІБ м.Б.-Дністр.Од.об</v>
          </cell>
          <cell r="K2388" t="str">
            <v>UPAB</v>
          </cell>
          <cell r="L2388" t="str">
            <v>UPA0</v>
          </cell>
          <cell r="M2388">
            <v>15</v>
          </cell>
          <cell r="N2388">
            <v>26</v>
          </cell>
          <cell r="O2388" t="str">
            <v>Управління НБУ в Одес.обл.</v>
          </cell>
        </row>
        <row r="2389">
          <cell r="A2389">
            <v>328522</v>
          </cell>
          <cell r="B2389">
            <v>300012</v>
          </cell>
          <cell r="D2389">
            <v>0</v>
          </cell>
          <cell r="E2389">
            <v>3</v>
          </cell>
          <cell r="F2389">
            <v>0</v>
          </cell>
          <cell r="G2389" t="str">
            <v>3</v>
          </cell>
          <cell r="H2389">
            <v>318</v>
          </cell>
          <cell r="I2389" t="str">
            <v>Ф."ВІД.ПІБ В М.КОТОВСЬК ОДЕСЬКОЇ ОБЛ."</v>
          </cell>
          <cell r="J2389" t="str">
            <v>Ф.Від.ПІБ м.Котовськ Од.об.</v>
          </cell>
          <cell r="K2389" t="str">
            <v>UPAI</v>
          </cell>
          <cell r="L2389" t="str">
            <v>UPA0</v>
          </cell>
          <cell r="M2389">
            <v>15</v>
          </cell>
          <cell r="N2389">
            <v>26</v>
          </cell>
          <cell r="O2389" t="str">
            <v>Управління НБУ в Одес.обл.</v>
          </cell>
        </row>
        <row r="2390">
          <cell r="A2390">
            <v>328588</v>
          </cell>
          <cell r="B2390">
            <v>320478</v>
          </cell>
          <cell r="D2390">
            <v>0</v>
          </cell>
          <cell r="E2390">
            <v>274</v>
          </cell>
          <cell r="F2390">
            <v>0</v>
          </cell>
          <cell r="G2390" t="str">
            <v>8</v>
          </cell>
          <cell r="H2390">
            <v>718</v>
          </cell>
          <cell r="I2390" t="str">
            <v>ДРУГА ОД.ФВАТ АБ"УКРГАЗБАНК",М.ОДЕСА</v>
          </cell>
          <cell r="J2390" t="str">
            <v>Друга ОФ ВАТАБ "Укргазбанк"</v>
          </cell>
          <cell r="K2390" t="str">
            <v>UPIP</v>
          </cell>
          <cell r="L2390" t="str">
            <v>UPIP</v>
          </cell>
          <cell r="M2390">
            <v>15</v>
          </cell>
          <cell r="N2390">
            <v>26</v>
          </cell>
          <cell r="O2390" t="str">
            <v>Управління НБУ в Одес.обл.</v>
          </cell>
        </row>
        <row r="2391">
          <cell r="A2391">
            <v>328599</v>
          </cell>
          <cell r="B2391">
            <v>328599</v>
          </cell>
          <cell r="C2391" t="str">
            <v>ТОВ "ФІНРОСТБАНК"</v>
          </cell>
          <cell r="D2391">
            <v>167</v>
          </cell>
          <cell r="E2391">
            <v>167</v>
          </cell>
          <cell r="F2391">
            <v>0</v>
          </cell>
          <cell r="G2391" t="str">
            <v>8</v>
          </cell>
          <cell r="H2391">
            <v>719</v>
          </cell>
          <cell r="I2391" t="str">
            <v>ТОВ "ФІНРОСТБАНК", М.ОДЕСА</v>
          </cell>
          <cell r="J2391" t="str">
            <v>ТОВ "ФІНРОСТБАНК"</v>
          </cell>
          <cell r="K2391" t="str">
            <v>UPIQ</v>
          </cell>
          <cell r="L2391" t="str">
            <v>UPIQ</v>
          </cell>
          <cell r="M2391">
            <v>15</v>
          </cell>
          <cell r="N2391">
            <v>15</v>
          </cell>
          <cell r="O2391" t="str">
            <v>Управління НБУ в Одес.обл.</v>
          </cell>
        </row>
        <row r="2392">
          <cell r="A2392">
            <v>328618</v>
          </cell>
          <cell r="B2392">
            <v>322313</v>
          </cell>
          <cell r="D2392">
            <v>0</v>
          </cell>
          <cell r="E2392">
            <v>2</v>
          </cell>
          <cell r="F2392">
            <v>0</v>
          </cell>
          <cell r="G2392" t="str">
            <v>2</v>
          </cell>
          <cell r="H2392">
            <v>213</v>
          </cell>
          <cell r="I2392" t="str">
            <v>Ф-Я ВАТ "УКРЕКСІМБАНК", ОДЕСА</v>
          </cell>
          <cell r="J2392" t="str">
            <v>Ф-я Укрексімбанк, Одеса</v>
          </cell>
          <cell r="K2392" t="str">
            <v>UPGB</v>
          </cell>
          <cell r="L2392" t="str">
            <v>UPGB</v>
          </cell>
          <cell r="M2392">
            <v>15</v>
          </cell>
          <cell r="N2392">
            <v>26</v>
          </cell>
          <cell r="O2392" t="str">
            <v>Управління НБУ в Одес.обл.</v>
          </cell>
        </row>
        <row r="2393">
          <cell r="A2393">
            <v>328629</v>
          </cell>
          <cell r="B2393">
            <v>322313</v>
          </cell>
          <cell r="D2393">
            <v>0</v>
          </cell>
          <cell r="E2393">
            <v>2</v>
          </cell>
          <cell r="F2393">
            <v>0</v>
          </cell>
          <cell r="G2393" t="str">
            <v>2</v>
          </cell>
          <cell r="H2393">
            <v>201</v>
          </cell>
          <cell r="I2393" t="str">
            <v>Ф-Я ВАТ "УКРЕКСІМБАНК",ІЗМАЇЛ</v>
          </cell>
          <cell r="J2393" t="str">
            <v>Ф-я Укрексімбанк, Ізмаїл</v>
          </cell>
          <cell r="K2393" t="str">
            <v>UPGA</v>
          </cell>
          <cell r="L2393" t="str">
            <v>UPGA</v>
          </cell>
          <cell r="M2393">
            <v>15</v>
          </cell>
          <cell r="N2393">
            <v>26</v>
          </cell>
          <cell r="O2393" t="str">
            <v>Управління НБУ в Одес.обл.</v>
          </cell>
        </row>
        <row r="2394">
          <cell r="A2394">
            <v>328663</v>
          </cell>
          <cell r="B2394">
            <v>328209</v>
          </cell>
          <cell r="D2394">
            <v>0</v>
          </cell>
          <cell r="E2394">
            <v>106</v>
          </cell>
          <cell r="F2394">
            <v>0</v>
          </cell>
          <cell r="G2394" t="str">
            <v>8</v>
          </cell>
          <cell r="H2394">
            <v>713</v>
          </cell>
          <cell r="I2394" t="str">
            <v>ФАБ "ПІВДЕННИЙ", М.ІЛЛІЧІВСЬК</v>
          </cell>
          <cell r="J2394" t="str">
            <v>ФАБ "Південний" у м.Іллічів</v>
          </cell>
          <cell r="K2394" t="str">
            <v>UPIK</v>
          </cell>
          <cell r="L2394" t="str">
            <v>UPIK</v>
          </cell>
          <cell r="M2394">
            <v>15</v>
          </cell>
          <cell r="N2394">
            <v>15</v>
          </cell>
          <cell r="O2394" t="str">
            <v>Управління НБУ в Одес.обл.</v>
          </cell>
        </row>
        <row r="2395">
          <cell r="A2395">
            <v>328685</v>
          </cell>
          <cell r="B2395">
            <v>328685</v>
          </cell>
          <cell r="C2395" t="str">
            <v>АКБ "Фінбанк"</v>
          </cell>
          <cell r="D2395">
            <v>122</v>
          </cell>
          <cell r="E2395">
            <v>122</v>
          </cell>
          <cell r="F2395">
            <v>0</v>
          </cell>
          <cell r="G2395" t="str">
            <v>8</v>
          </cell>
          <cell r="H2395">
            <v>702</v>
          </cell>
          <cell r="I2395" t="str">
            <v>АКБ "ФІНБАНК", М.ОДЕСА</v>
          </cell>
          <cell r="J2395" t="str">
            <v>АКБ "Фінбанк"</v>
          </cell>
          <cell r="K2395" t="str">
            <v>UPIB</v>
          </cell>
          <cell r="L2395" t="str">
            <v>UPIB</v>
          </cell>
          <cell r="M2395">
            <v>15</v>
          </cell>
          <cell r="N2395">
            <v>15</v>
          </cell>
          <cell r="O2395" t="str">
            <v>Управління НБУ в Одес.обл.</v>
          </cell>
        </row>
        <row r="2396">
          <cell r="A2396">
            <v>328696</v>
          </cell>
          <cell r="B2396">
            <v>300142</v>
          </cell>
          <cell r="D2396">
            <v>0</v>
          </cell>
          <cell r="E2396">
            <v>18</v>
          </cell>
          <cell r="F2396">
            <v>0</v>
          </cell>
          <cell r="G2396" t="str">
            <v>8</v>
          </cell>
          <cell r="H2396">
            <v>716</v>
          </cell>
          <cell r="I2396" t="str">
            <v>ОДЕСЬКА Ф. АТ "УКРІНБАНК" М.ОДЕСА</v>
          </cell>
          <cell r="J2396" t="str">
            <v>Одес.ф. АТ "Укрінбанк"</v>
          </cell>
          <cell r="K2396" t="str">
            <v>UPIN</v>
          </cell>
          <cell r="L2396" t="str">
            <v>UPIN</v>
          </cell>
          <cell r="M2396">
            <v>15</v>
          </cell>
          <cell r="N2396">
            <v>26</v>
          </cell>
          <cell r="O2396" t="str">
            <v>Управління НБУ в Одес.обл.</v>
          </cell>
        </row>
        <row r="2397">
          <cell r="A2397">
            <v>328704</v>
          </cell>
          <cell r="B2397">
            <v>305299</v>
          </cell>
          <cell r="D2397">
            <v>0</v>
          </cell>
          <cell r="E2397">
            <v>46</v>
          </cell>
          <cell r="F2397">
            <v>0</v>
          </cell>
          <cell r="G2397" t="str">
            <v>A</v>
          </cell>
          <cell r="H2397">
            <v>730</v>
          </cell>
          <cell r="I2397" t="str">
            <v>Ф.ЮЖНОГО ГРУ ПРИВАТБАНКУ, М.ОДЕСА</v>
          </cell>
          <cell r="J2397" t="str">
            <v>Ф.Южного ГРУ Приватбанку</v>
          </cell>
          <cell r="K2397" t="str">
            <v>UPJD</v>
          </cell>
          <cell r="L2397" t="str">
            <v>UPJD</v>
          </cell>
          <cell r="M2397">
            <v>15</v>
          </cell>
          <cell r="N2397">
            <v>3</v>
          </cell>
          <cell r="O2397" t="str">
            <v>Управління НБУ в Одес.обл.</v>
          </cell>
        </row>
        <row r="2398">
          <cell r="A2398">
            <v>328715</v>
          </cell>
          <cell r="B2398">
            <v>384577</v>
          </cell>
          <cell r="D2398">
            <v>0</v>
          </cell>
          <cell r="E2398">
            <v>284</v>
          </cell>
          <cell r="F2398">
            <v>0</v>
          </cell>
          <cell r="G2398" t="str">
            <v>8</v>
          </cell>
          <cell r="H2398">
            <v>715</v>
          </cell>
          <cell r="I2398" t="str">
            <v>ТАРУТИНСЬКА ФАКБ "ЧБРР",СМТ.ТАРУТІНЕ</v>
          </cell>
          <cell r="J2398" t="str">
            <v>ТФ АКБ "Чор.банк р.та рек."</v>
          </cell>
          <cell r="K2398" t="str">
            <v>UPIL</v>
          </cell>
          <cell r="L2398" t="str">
            <v>UPIL</v>
          </cell>
          <cell r="M2398">
            <v>15</v>
          </cell>
          <cell r="N2398">
            <v>11</v>
          </cell>
          <cell r="O2398" t="str">
            <v>Управління НБУ в Одес.обл.</v>
          </cell>
        </row>
        <row r="2399">
          <cell r="A2399">
            <v>328726</v>
          </cell>
          <cell r="B2399">
            <v>380537</v>
          </cell>
          <cell r="D2399">
            <v>0</v>
          </cell>
          <cell r="E2399">
            <v>76</v>
          </cell>
          <cell r="F2399">
            <v>0</v>
          </cell>
          <cell r="G2399" t="str">
            <v>B</v>
          </cell>
          <cell r="H2399">
            <v>729</v>
          </cell>
          <cell r="I2399" t="str">
            <v>ОДЕСЬКА ФІЛІЯ ВАТ"ВІЕЙБІБАНК"М.ОДЕСА</v>
          </cell>
          <cell r="J2399" t="str">
            <v>Одеська Ф.ВАТ"ВІЕЙБІБАНК"</v>
          </cell>
          <cell r="K2399" t="str">
            <v>UPJC</v>
          </cell>
          <cell r="L2399" t="str">
            <v>UPJC</v>
          </cell>
          <cell r="M2399">
            <v>15</v>
          </cell>
          <cell r="N2399">
            <v>26</v>
          </cell>
          <cell r="O2399" t="str">
            <v>Управління НБУ в Одес.обл.</v>
          </cell>
        </row>
        <row r="2400">
          <cell r="A2400">
            <v>328759</v>
          </cell>
          <cell r="B2400">
            <v>320478</v>
          </cell>
          <cell r="D2400">
            <v>0</v>
          </cell>
          <cell r="E2400">
            <v>274</v>
          </cell>
          <cell r="F2400">
            <v>0</v>
          </cell>
          <cell r="G2400" t="str">
            <v>8</v>
          </cell>
          <cell r="H2400">
            <v>722</v>
          </cell>
          <cell r="I2400" t="str">
            <v>ОДЕСЬКА ФВАТ АБ "УКРГАЗБАНК"М.ОДЕСА</v>
          </cell>
          <cell r="J2400" t="str">
            <v>ОФАБ "Укргазбанк", м. Одеса</v>
          </cell>
          <cell r="K2400" t="str">
            <v>UPIR</v>
          </cell>
          <cell r="L2400" t="str">
            <v>UPIR</v>
          </cell>
          <cell r="M2400">
            <v>15</v>
          </cell>
          <cell r="N2400">
            <v>26</v>
          </cell>
          <cell r="O2400" t="str">
            <v>Управління НБУ в Одес.обл.</v>
          </cell>
        </row>
        <row r="2401">
          <cell r="A2401">
            <v>328760</v>
          </cell>
          <cell r="B2401">
            <v>328760</v>
          </cell>
          <cell r="C2401" t="str">
            <v>КБ ТОВ "Місто Банк"</v>
          </cell>
          <cell r="D2401">
            <v>206</v>
          </cell>
          <cell r="E2401">
            <v>206</v>
          </cell>
          <cell r="F2401">
            <v>0</v>
          </cell>
          <cell r="G2401" t="str">
            <v>8</v>
          </cell>
          <cell r="H2401">
            <v>723</v>
          </cell>
          <cell r="I2401" t="str">
            <v>КБ ТОВ "МІСТО БАНК", М.ОДЕСА</v>
          </cell>
          <cell r="J2401" t="str">
            <v>КБ ТОВ "Місто Банк"</v>
          </cell>
          <cell r="K2401" t="str">
            <v>UPIU</v>
          </cell>
          <cell r="L2401" t="str">
            <v>UPIU</v>
          </cell>
          <cell r="M2401">
            <v>15</v>
          </cell>
          <cell r="N2401">
            <v>15</v>
          </cell>
          <cell r="O2401" t="str">
            <v>Управління НБУ в Одес.обл.</v>
          </cell>
        </row>
        <row r="2402">
          <cell r="A2402">
            <v>328771</v>
          </cell>
          <cell r="B2402">
            <v>300120</v>
          </cell>
          <cell r="D2402">
            <v>0</v>
          </cell>
          <cell r="E2402">
            <v>283</v>
          </cell>
          <cell r="F2402">
            <v>0</v>
          </cell>
          <cell r="G2402" t="str">
            <v>B</v>
          </cell>
          <cell r="H2402">
            <v>740</v>
          </cell>
          <cell r="I2402" t="str">
            <v>ОФ ЗАТ"ПЕТРОКОММЕРЦ-УКРАЇНА",М.ОДЕСА</v>
          </cell>
          <cell r="J2402" t="str">
            <v>ОФ"БАНК ПЕТРОКОММЕРЦ-УКРАЇН</v>
          </cell>
          <cell r="K2402" t="str">
            <v>UPJL</v>
          </cell>
          <cell r="L2402" t="str">
            <v>UPJL</v>
          </cell>
          <cell r="M2402">
            <v>15</v>
          </cell>
          <cell r="N2402">
            <v>26</v>
          </cell>
          <cell r="O2402" t="str">
            <v>Управління НБУ в Одес.обл.</v>
          </cell>
        </row>
        <row r="2403">
          <cell r="A2403">
            <v>328801</v>
          </cell>
          <cell r="B2403">
            <v>322959</v>
          </cell>
          <cell r="D2403">
            <v>0</v>
          </cell>
          <cell r="E2403">
            <v>262</v>
          </cell>
          <cell r="F2403">
            <v>0</v>
          </cell>
          <cell r="G2403" t="str">
            <v>8</v>
          </cell>
          <cell r="H2403">
            <v>753</v>
          </cell>
          <cell r="I2403" t="str">
            <v>ОДЕСЬКА ФАБ "ЕКСПРЕС-БАНК", М.ОДЕСА</v>
          </cell>
          <cell r="J2403" t="str">
            <v>Одеська ФАБ "Експрес-Банк"</v>
          </cell>
          <cell r="K2403" t="str">
            <v>UPJN</v>
          </cell>
          <cell r="L2403" t="str">
            <v>UPJN</v>
          </cell>
          <cell r="M2403">
            <v>15</v>
          </cell>
          <cell r="N2403">
            <v>26</v>
          </cell>
          <cell r="O2403" t="str">
            <v>Управління НБУ в Одес.обл.</v>
          </cell>
        </row>
        <row r="2404">
          <cell r="A2404">
            <v>328812</v>
          </cell>
          <cell r="B2404">
            <v>300658</v>
          </cell>
          <cell r="D2404">
            <v>0</v>
          </cell>
          <cell r="E2404">
            <v>251</v>
          </cell>
          <cell r="F2404">
            <v>0</v>
          </cell>
          <cell r="G2404" t="str">
            <v>B</v>
          </cell>
          <cell r="H2404">
            <v>754</v>
          </cell>
          <cell r="I2404" t="str">
            <v>ОФ ВАТ "ПІРЕУС БАНК МКБ", М.ОДЕСА</v>
          </cell>
          <cell r="J2404" t="str">
            <v>ОФ ВАТ "ПІРЕУС БАНК МКБ"</v>
          </cell>
          <cell r="K2404" t="str">
            <v>UPJP</v>
          </cell>
          <cell r="L2404" t="str">
            <v>UPJP</v>
          </cell>
          <cell r="M2404">
            <v>15</v>
          </cell>
          <cell r="N2404">
            <v>26</v>
          </cell>
          <cell r="O2404" t="str">
            <v>Управління НБУ в Одес.обл.</v>
          </cell>
        </row>
        <row r="2405">
          <cell r="A2405">
            <v>328823</v>
          </cell>
          <cell r="B2405">
            <v>300131</v>
          </cell>
          <cell r="D2405">
            <v>0</v>
          </cell>
          <cell r="E2405">
            <v>17</v>
          </cell>
          <cell r="F2405">
            <v>0</v>
          </cell>
          <cell r="G2405" t="str">
            <v>8</v>
          </cell>
          <cell r="H2405">
            <v>739</v>
          </cell>
          <cell r="I2405" t="str">
            <v>Ф ОРУ ВАТ "Б"ФІНАНСИ ТА КРЕДИТ"М.ОДЕСА</v>
          </cell>
          <cell r="J2405" t="str">
            <v>Ф ОРУ ВАТ "Б"Фінанси та Кр"</v>
          </cell>
          <cell r="K2405" t="str">
            <v>UPJJ</v>
          </cell>
          <cell r="L2405" t="str">
            <v>UPJJ</v>
          </cell>
          <cell r="M2405">
            <v>15</v>
          </cell>
          <cell r="N2405">
            <v>26</v>
          </cell>
          <cell r="O2405" t="str">
            <v>Управління НБУ в Одес.обл.</v>
          </cell>
        </row>
        <row r="2406">
          <cell r="A2406">
            <v>328845</v>
          </cell>
          <cell r="B2406">
            <v>300465</v>
          </cell>
          <cell r="D2406">
            <v>0</v>
          </cell>
          <cell r="E2406">
            <v>6</v>
          </cell>
          <cell r="F2406">
            <v>0</v>
          </cell>
          <cell r="G2406" t="str">
            <v>6</v>
          </cell>
          <cell r="H2406">
            <v>601</v>
          </cell>
          <cell r="I2406" t="str">
            <v>ФОДЕСЬКЕ ОБЛАСНЕ УПРАВ ВАТОЩАД М.ОДЕСА</v>
          </cell>
          <cell r="J2406" t="str">
            <v>ФОдеське обласне упрВАТОщад</v>
          </cell>
          <cell r="K2406" t="str">
            <v>UPLB</v>
          </cell>
          <cell r="L2406" t="str">
            <v>UPLB</v>
          </cell>
          <cell r="M2406">
            <v>15</v>
          </cell>
          <cell r="N2406">
            <v>26</v>
          </cell>
          <cell r="O2406" t="str">
            <v>Управління НБУ в Одес.обл.</v>
          </cell>
        </row>
        <row r="2407">
          <cell r="A2407">
            <v>328878</v>
          </cell>
          <cell r="B2407">
            <v>328168</v>
          </cell>
          <cell r="D2407">
            <v>0</v>
          </cell>
          <cell r="E2407">
            <v>105</v>
          </cell>
          <cell r="F2407">
            <v>0</v>
          </cell>
          <cell r="G2407" t="str">
            <v>B</v>
          </cell>
          <cell r="H2407">
            <v>734</v>
          </cell>
          <cell r="I2407" t="str">
            <v>ФІЛІЯ ВАТ "МТБ" У М.ОДЕСІ</v>
          </cell>
          <cell r="J2407" t="str">
            <v>ФІЛІЯ ВАТ "МТБ" У М.ОДЕСІ</v>
          </cell>
          <cell r="K2407" t="str">
            <v>UPJK</v>
          </cell>
          <cell r="L2407" t="str">
            <v>UPIE</v>
          </cell>
          <cell r="M2407">
            <v>15</v>
          </cell>
          <cell r="N2407">
            <v>15</v>
          </cell>
          <cell r="O2407" t="str">
            <v>Управління НБУ в Одес.обл.</v>
          </cell>
        </row>
        <row r="2408">
          <cell r="A2408">
            <v>328889</v>
          </cell>
          <cell r="B2408">
            <v>303484</v>
          </cell>
          <cell r="D2408">
            <v>0</v>
          </cell>
          <cell r="E2408">
            <v>273</v>
          </cell>
          <cell r="F2408">
            <v>0</v>
          </cell>
          <cell r="G2408" t="str">
            <v>8</v>
          </cell>
          <cell r="H2408">
            <v>735</v>
          </cell>
          <cell r="I2408" t="str">
            <v>Одеська філія КБ "Західінкомбанк" ТзОВ</v>
          </cell>
          <cell r="J2408" t="str">
            <v>ОФ КБ "Західінкомбанк" ТзОВ</v>
          </cell>
          <cell r="K2408" t="str">
            <v>UPJR</v>
          </cell>
          <cell r="L2408" t="str">
            <v>UPJR</v>
          </cell>
          <cell r="M2408">
            <v>15</v>
          </cell>
          <cell r="N2408">
            <v>2</v>
          </cell>
          <cell r="O2408" t="str">
            <v>Управління НБУ в Одес.обл.</v>
          </cell>
        </row>
        <row r="2409">
          <cell r="A2409">
            <v>328890</v>
          </cell>
          <cell r="B2409">
            <v>328209</v>
          </cell>
          <cell r="D2409">
            <v>0</v>
          </cell>
          <cell r="E2409">
            <v>106</v>
          </cell>
          <cell r="F2409">
            <v>0</v>
          </cell>
          <cell r="G2409" t="str">
            <v>8</v>
          </cell>
          <cell r="H2409">
            <v>749</v>
          </cell>
          <cell r="I2409" t="str">
            <v>ФАБ "ПІВДЕННИЙ", М.ІЗМАЇЛ</v>
          </cell>
          <cell r="J2409" t="str">
            <v>ФАБ "ПІВДЕННИЙ" в м.Ізмаїлі</v>
          </cell>
          <cell r="K2409" t="str">
            <v>UPJS</v>
          </cell>
          <cell r="L2409" t="str">
            <v>UPJS</v>
          </cell>
          <cell r="M2409">
            <v>15</v>
          </cell>
          <cell r="N2409">
            <v>15</v>
          </cell>
          <cell r="O2409" t="str">
            <v>Управління НБУ в Одес.обл.</v>
          </cell>
        </row>
        <row r="2410">
          <cell r="A2410">
            <v>328931</v>
          </cell>
          <cell r="B2410">
            <v>300926</v>
          </cell>
          <cell r="D2410">
            <v>0</v>
          </cell>
          <cell r="E2410">
            <v>899</v>
          </cell>
          <cell r="F2410">
            <v>0</v>
          </cell>
          <cell r="G2410" t="str">
            <v>8</v>
          </cell>
          <cell r="H2410">
            <v>870</v>
          </cell>
          <cell r="I2410" t="str">
            <v>ПЕРША ФАТ "УФГ", М. ОДЕСА</v>
          </cell>
          <cell r="J2410" t="str">
            <v>Перша ФАТ "УФГ", м.Одеса</v>
          </cell>
          <cell r="K2410" t="str">
            <v>UPW2</v>
          </cell>
          <cell r="L2410" t="str">
            <v>U1WF</v>
          </cell>
          <cell r="M2410">
            <v>15</v>
          </cell>
          <cell r="N2410">
            <v>26</v>
          </cell>
          <cell r="O2410" t="str">
            <v>Управління НБУ в Одес.обл.</v>
          </cell>
        </row>
        <row r="2411">
          <cell r="A2411">
            <v>328942</v>
          </cell>
          <cell r="B2411">
            <v>300926</v>
          </cell>
          <cell r="D2411">
            <v>0</v>
          </cell>
          <cell r="E2411">
            <v>899</v>
          </cell>
          <cell r="F2411">
            <v>0</v>
          </cell>
          <cell r="G2411" t="str">
            <v>8</v>
          </cell>
          <cell r="H2411">
            <v>871</v>
          </cell>
          <cell r="I2411" t="str">
            <v>ОДЕСЬКА ОБЛАСНА ФАТ "УФГ", М. ОДЕСА</v>
          </cell>
          <cell r="J2411" t="str">
            <v>ОДЕСЬКА ОБЛАСНА Ф-Я АТ УФГ</v>
          </cell>
          <cell r="K2411" t="str">
            <v>UPW3</v>
          </cell>
          <cell r="L2411" t="str">
            <v>U1WF</v>
          </cell>
          <cell r="M2411">
            <v>15</v>
          </cell>
          <cell r="N2411">
            <v>26</v>
          </cell>
          <cell r="O2411" t="str">
            <v>Управління НБУ в Одес.обл.</v>
          </cell>
        </row>
        <row r="2412">
          <cell r="A2412">
            <v>328953</v>
          </cell>
          <cell r="B2412">
            <v>300926</v>
          </cell>
          <cell r="D2412">
            <v>0</v>
          </cell>
          <cell r="E2412">
            <v>899</v>
          </cell>
          <cell r="F2412">
            <v>0</v>
          </cell>
          <cell r="G2412" t="str">
            <v>8</v>
          </cell>
          <cell r="H2412">
            <v>869</v>
          </cell>
          <cell r="I2412" t="str">
            <v>ФАТ "УФГ", М. ОДЕСА</v>
          </cell>
          <cell r="J2412" t="str">
            <v>ФАТ "УФГ", м.Одеса</v>
          </cell>
          <cell r="K2412" t="str">
            <v>UPW1</v>
          </cell>
          <cell r="L2412" t="str">
            <v>U1WF</v>
          </cell>
          <cell r="M2412">
            <v>15</v>
          </cell>
          <cell r="N2412">
            <v>26</v>
          </cell>
          <cell r="O2412" t="str">
            <v>Управління НБУ в Одес.обл.</v>
          </cell>
        </row>
        <row r="2413">
          <cell r="A2413">
            <v>328964</v>
          </cell>
          <cell r="B2413">
            <v>328209</v>
          </cell>
          <cell r="D2413">
            <v>0</v>
          </cell>
          <cell r="E2413">
            <v>106</v>
          </cell>
          <cell r="F2413">
            <v>0</v>
          </cell>
          <cell r="G2413" t="str">
            <v>8</v>
          </cell>
          <cell r="H2413">
            <v>714</v>
          </cell>
          <cell r="I2413" t="str">
            <v>ФАБ "ПІВДЕННИЙ", М.ОДЕСА</v>
          </cell>
          <cell r="J2413" t="str">
            <v>ФАБ "Південний" в м. Одеса</v>
          </cell>
          <cell r="K2413" t="str">
            <v>UPIM</v>
          </cell>
          <cell r="L2413" t="str">
            <v>UPIM</v>
          </cell>
          <cell r="M2413">
            <v>15</v>
          </cell>
          <cell r="N2413">
            <v>15</v>
          </cell>
          <cell r="O2413" t="str">
            <v>Управління НБУ в Одес.обл.</v>
          </cell>
        </row>
        <row r="2414">
          <cell r="A2414">
            <v>328975</v>
          </cell>
          <cell r="B2414">
            <v>320003</v>
          </cell>
          <cell r="D2414">
            <v>0</v>
          </cell>
          <cell r="E2414">
            <v>225</v>
          </cell>
          <cell r="F2414">
            <v>0</v>
          </cell>
          <cell r="G2414" t="str">
            <v>B</v>
          </cell>
          <cell r="H2414">
            <v>728</v>
          </cell>
          <cell r="I2414" t="str">
            <v>Ф ВАТ КБ"НАДРА" ОДЕСЬКЕ РУ М. ОДЕСА</v>
          </cell>
          <cell r="J2414" t="str">
            <v>ВАТКБ"Надра"Одеське РУ</v>
          </cell>
          <cell r="K2414" t="str">
            <v>UPJB</v>
          </cell>
          <cell r="L2414" t="str">
            <v>UPJB</v>
          </cell>
          <cell r="M2414">
            <v>15</v>
          </cell>
          <cell r="N2414">
            <v>26</v>
          </cell>
          <cell r="O2414" t="str">
            <v>Управління НБУ в Одес.обл.</v>
          </cell>
        </row>
        <row r="2415">
          <cell r="A2415">
            <v>328986</v>
          </cell>
          <cell r="B2415">
            <v>300528</v>
          </cell>
          <cell r="D2415">
            <v>0</v>
          </cell>
          <cell r="E2415">
            <v>296</v>
          </cell>
          <cell r="F2415">
            <v>0</v>
          </cell>
          <cell r="G2415" t="str">
            <v>F</v>
          </cell>
          <cell r="H2415">
            <v>745</v>
          </cell>
          <cell r="I2415" t="str">
            <v>ФІЛІЯ ЗАТ "ОТП БАНК", М.ОДЕСА</v>
          </cell>
          <cell r="J2415" t="str">
            <v>Філія ЗАТ "ОТП Банк"</v>
          </cell>
          <cell r="K2415" t="str">
            <v>UPJV</v>
          </cell>
          <cell r="L2415" t="str">
            <v>UPJV</v>
          </cell>
          <cell r="M2415">
            <v>15</v>
          </cell>
          <cell r="N2415">
            <v>26</v>
          </cell>
          <cell r="O2415" t="str">
            <v>Управління НБУ в Одес.обл.</v>
          </cell>
        </row>
        <row r="2416">
          <cell r="A2416">
            <v>331014</v>
          </cell>
          <cell r="B2416">
            <v>300023</v>
          </cell>
          <cell r="D2416">
            <v>0</v>
          </cell>
          <cell r="E2416">
            <v>5</v>
          </cell>
          <cell r="F2416">
            <v>0</v>
          </cell>
          <cell r="G2416" t="str">
            <v>5</v>
          </cell>
          <cell r="H2416">
            <v>509</v>
          </cell>
          <cell r="I2416" t="str">
            <v>ПОЛТ.ОБЛ.ФАКБ"УКРСОЦБАНК", М.ПОЛТАВА</v>
          </cell>
          <cell r="J2416" t="str">
            <v>ПОЛТАВСЬКА ОБЛ. ФІЛІЯ УСБ</v>
          </cell>
          <cell r="K2416" t="str">
            <v>UQCA</v>
          </cell>
          <cell r="L2416" t="str">
            <v>UQCA</v>
          </cell>
          <cell r="M2416">
            <v>16</v>
          </cell>
          <cell r="N2416">
            <v>26</v>
          </cell>
          <cell r="O2416" t="str">
            <v>Управління НБУ в Полтав.обл</v>
          </cell>
        </row>
        <row r="2417">
          <cell r="A2417">
            <v>331036</v>
          </cell>
          <cell r="B2417">
            <v>319092</v>
          </cell>
          <cell r="D2417">
            <v>0</v>
          </cell>
          <cell r="E2417">
            <v>280</v>
          </cell>
          <cell r="F2417">
            <v>0</v>
          </cell>
          <cell r="G2417" t="str">
            <v>B</v>
          </cell>
          <cell r="H2417">
            <v>200</v>
          </cell>
          <cell r="I2417" t="str">
            <v>ПОЛТАВСЬКАФАБ"КИЇВСЬКАРУСЬ" МПОЛТАВА</v>
          </cell>
          <cell r="J2417" t="str">
            <v>Полт.ф-яАБ"КиївськаРусь"</v>
          </cell>
          <cell r="K2417" t="str">
            <v>UQFA</v>
          </cell>
          <cell r="L2417" t="str">
            <v>UQFA</v>
          </cell>
          <cell r="M2417">
            <v>16</v>
          </cell>
          <cell r="N2417">
            <v>26</v>
          </cell>
          <cell r="O2417" t="str">
            <v>Управління НБУ в Полтав.обл</v>
          </cell>
        </row>
        <row r="2418">
          <cell r="A2418">
            <v>331047</v>
          </cell>
          <cell r="B2418">
            <v>300001</v>
          </cell>
          <cell r="D2418">
            <v>0</v>
          </cell>
          <cell r="E2418">
            <v>1</v>
          </cell>
          <cell r="F2418">
            <v>0</v>
          </cell>
          <cell r="G2418" t="str">
            <v>1</v>
          </cell>
          <cell r="H2418">
            <v>7</v>
          </cell>
          <cell r="I2418" t="str">
            <v>УПРАВЛІННЯ НБУ В ПОЛТАВСЬКІЙ ОБЛАСТІ</v>
          </cell>
          <cell r="J2418" t="str">
            <v>Упр. НБУ в Полтавській обл.</v>
          </cell>
          <cell r="K2418" t="str">
            <v>UQHA</v>
          </cell>
          <cell r="L2418" t="str">
            <v>UQH0</v>
          </cell>
          <cell r="M2418">
            <v>16</v>
          </cell>
          <cell r="N2418">
            <v>27</v>
          </cell>
          <cell r="O2418" t="str">
            <v>Управління НБУ в Полтав.обл</v>
          </cell>
        </row>
        <row r="2419">
          <cell r="A2419">
            <v>331069</v>
          </cell>
          <cell r="B2419">
            <v>300012</v>
          </cell>
          <cell r="D2419">
            <v>0</v>
          </cell>
          <cell r="E2419">
            <v>3</v>
          </cell>
          <cell r="F2419">
            <v>0</v>
          </cell>
          <cell r="G2419" t="str">
            <v>3</v>
          </cell>
          <cell r="H2419">
            <v>302</v>
          </cell>
          <cell r="I2419" t="str">
            <v>Ф."ВІДДІЛ. ПРОМІНВЕСТБАНКУ, М.ПОЛТАВА"</v>
          </cell>
          <cell r="J2419" t="str">
            <v>Ф."ВІДДІЛЕН. ПІБ,М.ПОЛТАВА"</v>
          </cell>
          <cell r="K2419" t="str">
            <v>UQAA</v>
          </cell>
          <cell r="L2419" t="str">
            <v>UQA0</v>
          </cell>
          <cell r="M2419">
            <v>16</v>
          </cell>
          <cell r="N2419">
            <v>26</v>
          </cell>
          <cell r="O2419" t="str">
            <v>Управління НБУ в Полтав.обл</v>
          </cell>
        </row>
        <row r="2420">
          <cell r="A2420">
            <v>331100</v>
          </cell>
          <cell r="B2420">
            <v>331100</v>
          </cell>
          <cell r="C2420" t="str">
            <v>ВАТ АКБ "АВТОКРАЗБАНК"</v>
          </cell>
          <cell r="D2420">
            <v>198</v>
          </cell>
          <cell r="E2420">
            <v>198</v>
          </cell>
          <cell r="F2420">
            <v>0</v>
          </cell>
          <cell r="G2420" t="str">
            <v>8</v>
          </cell>
          <cell r="H2420">
            <v>723</v>
          </cell>
          <cell r="I2420" t="str">
            <v>ВАТ АКБ "АВТОКРАЗБАНК" М.КРЕМЕНЧУК</v>
          </cell>
          <cell r="J2420" t="str">
            <v>ВАТ АКБ "АВТОКРАЗБАНК"</v>
          </cell>
          <cell r="K2420" t="str">
            <v>UQIH</v>
          </cell>
          <cell r="L2420" t="str">
            <v>UQIH</v>
          </cell>
          <cell r="M2420">
            <v>16</v>
          </cell>
          <cell r="N2420">
            <v>16</v>
          </cell>
          <cell r="O2420" t="str">
            <v>Управління НБУ в Полтав.обл</v>
          </cell>
        </row>
        <row r="2421">
          <cell r="A2421">
            <v>331133</v>
          </cell>
          <cell r="B2421">
            <v>300012</v>
          </cell>
          <cell r="D2421">
            <v>0</v>
          </cell>
          <cell r="E2421">
            <v>3</v>
          </cell>
          <cell r="F2421">
            <v>0</v>
          </cell>
          <cell r="G2421" t="str">
            <v>3</v>
          </cell>
          <cell r="H2421">
            <v>306</v>
          </cell>
          <cell r="I2421" t="str">
            <v>Ф."В. ПІБ В М.КОМСОМОЛЬСЬК ПОЛТАВ.ОБЛ"</v>
          </cell>
          <cell r="J2421" t="str">
            <v>Ф."ВІД.ПІБ В М.КОМСОМ.ПОЛТ"</v>
          </cell>
          <cell r="K2421" t="str">
            <v>UQAC</v>
          </cell>
          <cell r="L2421" t="str">
            <v>UQA0</v>
          </cell>
          <cell r="M2421">
            <v>16</v>
          </cell>
          <cell r="N2421">
            <v>26</v>
          </cell>
          <cell r="O2421" t="str">
            <v>Управління НБУ в Полтав.обл</v>
          </cell>
        </row>
        <row r="2422">
          <cell r="A2422">
            <v>331144</v>
          </cell>
          <cell r="B2422">
            <v>300012</v>
          </cell>
          <cell r="D2422">
            <v>0</v>
          </cell>
          <cell r="E2422">
            <v>3</v>
          </cell>
          <cell r="F2422">
            <v>0</v>
          </cell>
          <cell r="G2422" t="str">
            <v>3</v>
          </cell>
          <cell r="H2422">
            <v>307</v>
          </cell>
          <cell r="I2422" t="str">
            <v>Ф."ВІД. ПІБ В М.КРЕМЕНЧУК ПОЛТАВ.ОБЛ."</v>
          </cell>
          <cell r="J2422" t="str">
            <v>Ф.ВІД.ПІБ В М.КРЕМЕНЧУК ПОЛ</v>
          </cell>
          <cell r="K2422" t="str">
            <v>UQAD</v>
          </cell>
          <cell r="L2422" t="str">
            <v>UQA0</v>
          </cell>
          <cell r="M2422">
            <v>16</v>
          </cell>
          <cell r="N2422">
            <v>26</v>
          </cell>
          <cell r="O2422" t="str">
            <v>Управління НБУ в Полтав.обл</v>
          </cell>
        </row>
        <row r="2423">
          <cell r="A2423">
            <v>331177</v>
          </cell>
          <cell r="B2423">
            <v>300142</v>
          </cell>
          <cell r="D2423">
            <v>0</v>
          </cell>
          <cell r="E2423">
            <v>18</v>
          </cell>
          <cell r="F2423">
            <v>0</v>
          </cell>
          <cell r="G2423" t="str">
            <v>8</v>
          </cell>
          <cell r="H2423">
            <v>704</v>
          </cell>
          <cell r="I2423" t="str">
            <v>КРЕМЕНЧУЦЬКА ФАТ"УКРІНБ." М.КРЕМЕНЧУК</v>
          </cell>
          <cell r="J2423" t="str">
            <v>Кременчуцька ФАТ"Укрінбанк"</v>
          </cell>
          <cell r="K2423" t="str">
            <v>UQIE</v>
          </cell>
          <cell r="L2423" t="str">
            <v>UQIE</v>
          </cell>
          <cell r="M2423">
            <v>16</v>
          </cell>
          <cell r="N2423">
            <v>26</v>
          </cell>
          <cell r="O2423" t="str">
            <v>Управління НБУ в Полтав.обл</v>
          </cell>
        </row>
        <row r="2424">
          <cell r="A2424">
            <v>331304</v>
          </cell>
          <cell r="B2424">
            <v>313849</v>
          </cell>
          <cell r="D2424">
            <v>0</v>
          </cell>
          <cell r="E2424">
            <v>101</v>
          </cell>
          <cell r="F2424">
            <v>0</v>
          </cell>
          <cell r="G2424" t="str">
            <v>8</v>
          </cell>
          <cell r="H2424">
            <v>727</v>
          </cell>
          <cell r="I2424" t="str">
            <v>Крем.філія АКБ "ІНДУСТРІАЛБАНК"</v>
          </cell>
          <cell r="J2424" t="str">
            <v>Крем. ФАКБ "ІНДУСТРІАЛБАНК"</v>
          </cell>
          <cell r="K2424" t="str">
            <v>UQJB</v>
          </cell>
          <cell r="L2424" t="str">
            <v>UQJB</v>
          </cell>
          <cell r="M2424">
            <v>16</v>
          </cell>
          <cell r="N2424">
            <v>7</v>
          </cell>
          <cell r="O2424" t="str">
            <v>Управління НБУ в Полтав.обл</v>
          </cell>
        </row>
        <row r="2425">
          <cell r="A2425">
            <v>331360</v>
          </cell>
          <cell r="B2425">
            <v>331489</v>
          </cell>
          <cell r="D2425">
            <v>0</v>
          </cell>
          <cell r="E2425">
            <v>113</v>
          </cell>
          <cell r="F2425">
            <v>0</v>
          </cell>
          <cell r="G2425" t="str">
            <v>8</v>
          </cell>
          <cell r="H2425">
            <v>707</v>
          </cell>
          <cell r="I2425" t="str">
            <v>ГАДЯЦЬКА Ф АБ"ПОЛТАВА-БАНК", М.ГАДЯЧ</v>
          </cell>
          <cell r="J2425" t="str">
            <v>ГАДЯЦЬКА ФАБ "ПОЛТАВА-БАНК</v>
          </cell>
          <cell r="K2425" t="str">
            <v>UQIK</v>
          </cell>
          <cell r="L2425" t="str">
            <v>UQIK</v>
          </cell>
          <cell r="M2425">
            <v>16</v>
          </cell>
          <cell r="N2425">
            <v>16</v>
          </cell>
          <cell r="O2425" t="str">
            <v>Управління НБУ в Полтав.обл</v>
          </cell>
        </row>
        <row r="2426">
          <cell r="A2426">
            <v>331401</v>
          </cell>
          <cell r="B2426">
            <v>305299</v>
          </cell>
          <cell r="D2426">
            <v>0</v>
          </cell>
          <cell r="E2426">
            <v>46</v>
          </cell>
          <cell r="F2426">
            <v>0</v>
          </cell>
          <cell r="G2426" t="str">
            <v>A</v>
          </cell>
          <cell r="H2426">
            <v>708</v>
          </cell>
          <cell r="I2426" t="str">
            <v>Ф"ПОЛТ.ГРУ ЗАТ КБ"ПРИВАТБАНК"М.ПОЛТАВА</v>
          </cell>
          <cell r="J2426" t="str">
            <v>ПОЛ.ФІЛ.(ПРУ) КБ"ПРИВАТБАНК</v>
          </cell>
          <cell r="K2426" t="str">
            <v>UQIL</v>
          </cell>
          <cell r="L2426" t="str">
            <v>UQIL</v>
          </cell>
          <cell r="M2426">
            <v>16</v>
          </cell>
          <cell r="N2426">
            <v>3</v>
          </cell>
          <cell r="O2426" t="str">
            <v>Управління НБУ в Полтав.обл</v>
          </cell>
        </row>
        <row r="2427">
          <cell r="A2427">
            <v>331423</v>
          </cell>
          <cell r="B2427">
            <v>331489</v>
          </cell>
          <cell r="D2427">
            <v>0</v>
          </cell>
          <cell r="E2427">
            <v>113</v>
          </cell>
          <cell r="F2427">
            <v>0</v>
          </cell>
          <cell r="G2427" t="str">
            <v>8</v>
          </cell>
          <cell r="H2427">
            <v>726</v>
          </cell>
          <cell r="I2427" t="str">
            <v>КРЕМ.Ф АБ "ПОЛТАВА-БАНК", М.КРЕМЕНЧУК</v>
          </cell>
          <cell r="J2427" t="str">
            <v>КФ ПАБ "ПОЛТАВА-БАНК"</v>
          </cell>
          <cell r="K2427" t="str">
            <v>UQID</v>
          </cell>
          <cell r="L2427" t="str">
            <v>UQID</v>
          </cell>
          <cell r="M2427">
            <v>16</v>
          </cell>
          <cell r="N2427">
            <v>16</v>
          </cell>
          <cell r="O2427" t="str">
            <v>Управління НБУ в Полтав.обл</v>
          </cell>
        </row>
        <row r="2428">
          <cell r="A2428">
            <v>331467</v>
          </cell>
          <cell r="B2428">
            <v>300465</v>
          </cell>
          <cell r="D2428">
            <v>0</v>
          </cell>
          <cell r="E2428">
            <v>6</v>
          </cell>
          <cell r="F2428">
            <v>0</v>
          </cell>
          <cell r="G2428" t="str">
            <v>6</v>
          </cell>
          <cell r="H2428">
            <v>603</v>
          </cell>
          <cell r="I2428" t="str">
            <v>ФПОЛТАВСЬКЕ ОБЛАСНЕ  ВАТОЩАД М.ПОЛТАВА</v>
          </cell>
          <cell r="J2428" t="str">
            <v>ФПолтавське обласне ВАТОщад</v>
          </cell>
          <cell r="K2428" t="str">
            <v>UQLA</v>
          </cell>
          <cell r="L2428" t="str">
            <v>UQLA</v>
          </cell>
          <cell r="M2428">
            <v>16</v>
          </cell>
          <cell r="N2428">
            <v>26</v>
          </cell>
          <cell r="O2428" t="str">
            <v>Управління НБУ в Полтав.обл</v>
          </cell>
        </row>
        <row r="2429">
          <cell r="A2429">
            <v>331489</v>
          </cell>
          <cell r="B2429">
            <v>331489</v>
          </cell>
          <cell r="C2429" t="str">
            <v>АБ "ПОЛТАВА-БАНК"</v>
          </cell>
          <cell r="D2429">
            <v>113</v>
          </cell>
          <cell r="E2429">
            <v>113</v>
          </cell>
          <cell r="F2429">
            <v>0</v>
          </cell>
          <cell r="G2429" t="str">
            <v>8</v>
          </cell>
          <cell r="H2429">
            <v>722</v>
          </cell>
          <cell r="I2429" t="str">
            <v>АБ "ПОЛТАВА-БАНК" М.ПОЛТАВА</v>
          </cell>
          <cell r="J2429" t="str">
            <v>АБ "ПОЛТАВА-БАНК"</v>
          </cell>
          <cell r="K2429" t="str">
            <v>UQIA</v>
          </cell>
          <cell r="L2429" t="str">
            <v>UQIA</v>
          </cell>
          <cell r="M2429">
            <v>16</v>
          </cell>
          <cell r="N2429">
            <v>16</v>
          </cell>
          <cell r="O2429" t="str">
            <v>Управління НБУ в Полтав.обл</v>
          </cell>
        </row>
        <row r="2430">
          <cell r="A2430">
            <v>331508</v>
          </cell>
          <cell r="B2430">
            <v>331489</v>
          </cell>
          <cell r="D2430">
            <v>0</v>
          </cell>
          <cell r="E2430">
            <v>113</v>
          </cell>
          <cell r="F2430">
            <v>0</v>
          </cell>
          <cell r="G2430" t="str">
            <v>8</v>
          </cell>
          <cell r="H2430">
            <v>718</v>
          </cell>
          <cell r="I2430" t="str">
            <v>ЛУБЕНСЬКА Ф АБ "ПОЛТАВА-БАНК", М.ЛУБНИ</v>
          </cell>
          <cell r="J2430" t="str">
            <v>ЛУБЕНС. ФАБ "ПОЛТАВА-БАНК"</v>
          </cell>
          <cell r="K2430" t="str">
            <v>UQIW</v>
          </cell>
          <cell r="L2430" t="str">
            <v>UQIW</v>
          </cell>
          <cell r="M2430">
            <v>16</v>
          </cell>
          <cell r="N2430">
            <v>16</v>
          </cell>
          <cell r="O2430" t="str">
            <v>Управління НБУ в Полтав.обл</v>
          </cell>
        </row>
        <row r="2431">
          <cell r="A2431">
            <v>331520</v>
          </cell>
          <cell r="B2431">
            <v>320478</v>
          </cell>
          <cell r="D2431">
            <v>0</v>
          </cell>
          <cell r="E2431">
            <v>274</v>
          </cell>
          <cell r="F2431">
            <v>0</v>
          </cell>
          <cell r="G2431" t="str">
            <v>8</v>
          </cell>
          <cell r="H2431">
            <v>736</v>
          </cell>
          <cell r="I2431" t="str">
            <v>ПОЛТАВ.Ф ВАТ АБ "УКРГАЗБАНК"М.ПОЛТАВА</v>
          </cell>
          <cell r="J2431" t="str">
            <v>ПОЛТ ФВАТАБ "УКРГАЗБАНК"</v>
          </cell>
          <cell r="K2431" t="str">
            <v>UQJH</v>
          </cell>
          <cell r="L2431" t="str">
            <v>UQJH</v>
          </cell>
          <cell r="M2431">
            <v>16</v>
          </cell>
          <cell r="N2431">
            <v>26</v>
          </cell>
          <cell r="O2431" t="str">
            <v>Управління НБУ в Полтав.обл</v>
          </cell>
        </row>
        <row r="2432">
          <cell r="A2432">
            <v>331564</v>
          </cell>
          <cell r="B2432">
            <v>300131</v>
          </cell>
          <cell r="D2432">
            <v>0</v>
          </cell>
          <cell r="E2432">
            <v>17</v>
          </cell>
          <cell r="F2432">
            <v>0</v>
          </cell>
          <cell r="G2432" t="str">
            <v>8</v>
          </cell>
          <cell r="H2432">
            <v>730</v>
          </cell>
          <cell r="I2432" t="str">
            <v>Ф"ПРРУ"ВАТ"Б"ФІНАНСИ ТА КРЕДИТ"КОМСОМ.</v>
          </cell>
          <cell r="J2432" t="str">
            <v>Ф ПРРУ ВАТ"Б"Фін та Кр"</v>
          </cell>
          <cell r="K2432" t="str">
            <v>UQJE</v>
          </cell>
          <cell r="L2432" t="str">
            <v>UQJE</v>
          </cell>
          <cell r="M2432">
            <v>16</v>
          </cell>
          <cell r="N2432">
            <v>26</v>
          </cell>
          <cell r="O2432" t="str">
            <v>Управління НБУ в Полтав.обл</v>
          </cell>
        </row>
        <row r="2433">
          <cell r="A2433">
            <v>331605</v>
          </cell>
          <cell r="B2433">
            <v>300335</v>
          </cell>
          <cell r="D2433">
            <v>0</v>
          </cell>
          <cell r="E2433">
            <v>36</v>
          </cell>
          <cell r="F2433">
            <v>0</v>
          </cell>
          <cell r="G2433" t="str">
            <v>7</v>
          </cell>
          <cell r="H2433">
            <v>715</v>
          </cell>
          <cell r="I2433" t="str">
            <v>ПОЛ.ОД"РАЙФФАЙЗЕН БАНК АВАЛЬ"М.ПОЛТАВА</v>
          </cell>
          <cell r="J2433" t="str">
            <v>Пол.ОДРайффайзен Банк Аваль</v>
          </cell>
          <cell r="K2433" t="str">
            <v>UQIT</v>
          </cell>
          <cell r="L2433" t="str">
            <v>UQIT</v>
          </cell>
          <cell r="M2433">
            <v>16</v>
          </cell>
          <cell r="N2433">
            <v>26</v>
          </cell>
          <cell r="O2433" t="str">
            <v>Управління НБУ в Полтав.обл</v>
          </cell>
        </row>
        <row r="2434">
          <cell r="A2434">
            <v>331616</v>
          </cell>
          <cell r="B2434">
            <v>351931</v>
          </cell>
          <cell r="D2434">
            <v>0</v>
          </cell>
          <cell r="E2434">
            <v>209</v>
          </cell>
          <cell r="F2434">
            <v>0</v>
          </cell>
          <cell r="G2434" t="str">
            <v>8</v>
          </cell>
          <cell r="H2434">
            <v>729</v>
          </cell>
          <cell r="I2434" t="str">
            <v>ФІЛІЯ АКБ "ЗОЛОТІ ВОРОТА" В М. ПОЛТАВА</v>
          </cell>
          <cell r="J2434" t="str">
            <v>ПФ АКБ "ЗОЛОТІ ВОРОТА"</v>
          </cell>
          <cell r="K2434" t="str">
            <v>UQJD</v>
          </cell>
          <cell r="L2434" t="str">
            <v>UQJD</v>
          </cell>
          <cell r="M2434">
            <v>16</v>
          </cell>
          <cell r="N2434">
            <v>20</v>
          </cell>
          <cell r="O2434" t="str">
            <v>Управління НБУ в Полтав.обл</v>
          </cell>
        </row>
        <row r="2435">
          <cell r="A2435">
            <v>331649</v>
          </cell>
          <cell r="B2435">
            <v>322313</v>
          </cell>
          <cell r="D2435">
            <v>0</v>
          </cell>
          <cell r="E2435">
            <v>2</v>
          </cell>
          <cell r="F2435">
            <v>0</v>
          </cell>
          <cell r="G2435" t="str">
            <v>2</v>
          </cell>
          <cell r="H2435">
            <v>201</v>
          </cell>
          <cell r="I2435" t="str">
            <v>Ф-Я ВАТ"УКРЕКСІМБАНК",ПОЛТАВа</v>
          </cell>
          <cell r="J2435" t="str">
            <v>Ф-я Укрексімбанк, Полтава</v>
          </cell>
          <cell r="K2435" t="str">
            <v>UQGA</v>
          </cell>
          <cell r="L2435" t="str">
            <v>UQGA</v>
          </cell>
          <cell r="M2435">
            <v>16</v>
          </cell>
          <cell r="N2435">
            <v>26</v>
          </cell>
          <cell r="O2435" t="str">
            <v>Управління НБУ в Полтав.обл</v>
          </cell>
        </row>
        <row r="2436">
          <cell r="A2436">
            <v>331650</v>
          </cell>
          <cell r="B2436">
            <v>322658</v>
          </cell>
          <cell r="D2436">
            <v>0</v>
          </cell>
          <cell r="E2436">
            <v>217</v>
          </cell>
          <cell r="F2436">
            <v>0</v>
          </cell>
          <cell r="G2436" t="str">
            <v>8</v>
          </cell>
          <cell r="H2436">
            <v>749</v>
          </cell>
          <cell r="I2436" t="str">
            <v>ФІЛІ АКБ"СЄБ" М.КРЕМЕНЧУК</v>
          </cell>
          <cell r="J2436" t="str">
            <v>Кременчуцька філія АКБ"СЄБ"</v>
          </cell>
          <cell r="K2436" t="str">
            <v>UQJI</v>
          </cell>
          <cell r="L2436" t="str">
            <v>UQJI</v>
          </cell>
          <cell r="M2436">
            <v>16</v>
          </cell>
          <cell r="N2436">
            <v>26</v>
          </cell>
          <cell r="O2436" t="str">
            <v>Управління НБУ в Полтав.обл</v>
          </cell>
        </row>
        <row r="2437">
          <cell r="A2437">
            <v>331661</v>
          </cell>
          <cell r="B2437">
            <v>300614</v>
          </cell>
          <cell r="D2437">
            <v>0</v>
          </cell>
          <cell r="E2437">
            <v>171</v>
          </cell>
          <cell r="F2437">
            <v>0</v>
          </cell>
          <cell r="G2437" t="str">
            <v>8</v>
          </cell>
          <cell r="H2437">
            <v>737</v>
          </cell>
          <cell r="I2437" t="str">
            <v>ФІЛ"ПОЛТ.ДИР.АТ"ІНД-БАНК" В М.ПОЛТАВА</v>
          </cell>
          <cell r="J2437" t="str">
            <v>Ф."Пол.дир."АТ"ІНДЕКС-БАНК"</v>
          </cell>
          <cell r="K2437" t="str">
            <v>UQJJ</v>
          </cell>
          <cell r="L2437" t="str">
            <v>UQJJ</v>
          </cell>
          <cell r="M2437">
            <v>16</v>
          </cell>
          <cell r="N2437">
            <v>26</v>
          </cell>
          <cell r="O2437" t="str">
            <v>Управління НБУ в Полтав.обл</v>
          </cell>
        </row>
        <row r="2438">
          <cell r="A2438">
            <v>331694</v>
          </cell>
          <cell r="B2438">
            <v>300926</v>
          </cell>
          <cell r="D2438">
            <v>0</v>
          </cell>
          <cell r="E2438">
            <v>899</v>
          </cell>
          <cell r="F2438">
            <v>0</v>
          </cell>
          <cell r="G2438" t="str">
            <v>8</v>
          </cell>
          <cell r="H2438">
            <v>701</v>
          </cell>
          <cell r="I2438" t="str">
            <v>ДРУГА ФІЛІЯ АТ "УФГ" У М. ПОЛТАВА</v>
          </cell>
          <cell r="J2438" t="str">
            <v>ДРУГА ФАТ "УФГ", М.ПОЛТАВА</v>
          </cell>
          <cell r="K2438" t="str">
            <v>UQW2</v>
          </cell>
          <cell r="L2438" t="str">
            <v>U1WF</v>
          </cell>
          <cell r="M2438">
            <v>16</v>
          </cell>
          <cell r="N2438">
            <v>26</v>
          </cell>
          <cell r="O2438" t="str">
            <v>Управління НБУ в Полтав.обл</v>
          </cell>
        </row>
        <row r="2439">
          <cell r="A2439">
            <v>331713</v>
          </cell>
          <cell r="B2439">
            <v>300926</v>
          </cell>
          <cell r="D2439">
            <v>0</v>
          </cell>
          <cell r="E2439">
            <v>899</v>
          </cell>
          <cell r="F2439">
            <v>0</v>
          </cell>
          <cell r="G2439" t="str">
            <v>8</v>
          </cell>
          <cell r="H2439">
            <v>827</v>
          </cell>
          <cell r="I2439" t="str">
            <v>ФІЛІЯ АТ "УФГ" У М. КРЕМЕНЧУК</v>
          </cell>
          <cell r="J2439" t="str">
            <v>ФАТ "УФГ", м. КРЕМЕНЧУК</v>
          </cell>
          <cell r="K2439" t="str">
            <v>UQW1</v>
          </cell>
          <cell r="L2439" t="str">
            <v>U1WF</v>
          </cell>
          <cell r="M2439">
            <v>16</v>
          </cell>
          <cell r="N2439">
            <v>26</v>
          </cell>
          <cell r="O2439" t="str">
            <v>Управління НБУ в Полтав.обл</v>
          </cell>
        </row>
        <row r="2440">
          <cell r="A2440">
            <v>331724</v>
          </cell>
          <cell r="B2440">
            <v>300926</v>
          </cell>
          <cell r="D2440">
            <v>0</v>
          </cell>
          <cell r="E2440">
            <v>899</v>
          </cell>
          <cell r="F2440">
            <v>0</v>
          </cell>
          <cell r="G2440" t="str">
            <v>8</v>
          </cell>
          <cell r="H2440">
            <v>743</v>
          </cell>
          <cell r="I2440" t="str">
            <v>ПЕРША ФІЛІЯ АТ "УФГ" В М. КРЕМЕНЧУК</v>
          </cell>
          <cell r="J2440" t="str">
            <v>Перша ФАТ "УФГ",м.Кременчук</v>
          </cell>
          <cell r="K2440" t="str">
            <v>UQW3</v>
          </cell>
          <cell r="L2440" t="str">
            <v>U1WF</v>
          </cell>
          <cell r="M2440">
            <v>16</v>
          </cell>
          <cell r="N2440">
            <v>26</v>
          </cell>
          <cell r="O2440" t="str">
            <v>Управління НБУ в Полтав.обл</v>
          </cell>
        </row>
        <row r="2441">
          <cell r="A2441">
            <v>331746</v>
          </cell>
          <cell r="B2441">
            <v>320702</v>
          </cell>
          <cell r="D2441">
            <v>0</v>
          </cell>
          <cell r="E2441">
            <v>277</v>
          </cell>
          <cell r="F2441">
            <v>0</v>
          </cell>
          <cell r="G2441" t="str">
            <v>8</v>
          </cell>
          <cell r="H2441">
            <v>732</v>
          </cell>
          <cell r="I2441" t="str">
            <v>ФАКБ "НАЦ. КРЕДИТ" В М.ЛУБНИ</v>
          </cell>
          <cell r="J2441" t="str">
            <v>ФАКБ "НК"в м.Лубни</v>
          </cell>
          <cell r="K2441" t="str">
            <v>UQJG</v>
          </cell>
          <cell r="L2441" t="str">
            <v>UQJG</v>
          </cell>
          <cell r="M2441">
            <v>16</v>
          </cell>
          <cell r="N2441">
            <v>26</v>
          </cell>
          <cell r="O2441" t="str">
            <v>Управління НБУ в Полтав.обл</v>
          </cell>
        </row>
        <row r="2442">
          <cell r="A2442">
            <v>331757</v>
          </cell>
          <cell r="B2442">
            <v>351629</v>
          </cell>
          <cell r="D2442">
            <v>0</v>
          </cell>
          <cell r="E2442">
            <v>126</v>
          </cell>
          <cell r="F2442">
            <v>0</v>
          </cell>
          <cell r="G2442" t="str">
            <v>8</v>
          </cell>
          <cell r="H2442">
            <v>733</v>
          </cell>
          <cell r="I2442" t="str">
            <v>ПОЛТАВСЬКА Ф. ВАТ "МЕГАБАНК",М.ПОЛТАВА</v>
          </cell>
          <cell r="J2442" t="str">
            <v>Полтавська ф-я "МЕГАБАНК"</v>
          </cell>
          <cell r="K2442" t="str">
            <v>UQJK</v>
          </cell>
          <cell r="L2442" t="str">
            <v>UQJK</v>
          </cell>
          <cell r="M2442">
            <v>16</v>
          </cell>
          <cell r="N2442">
            <v>20</v>
          </cell>
          <cell r="O2442" t="str">
            <v>Управління НБУ в Полтав.обл</v>
          </cell>
        </row>
        <row r="2443">
          <cell r="A2443">
            <v>331768</v>
          </cell>
          <cell r="B2443">
            <v>331768</v>
          </cell>
          <cell r="C2443" t="str">
            <v>АК "ПФБ"</v>
          </cell>
          <cell r="D2443">
            <v>294</v>
          </cell>
          <cell r="E2443">
            <v>294</v>
          </cell>
          <cell r="F2443">
            <v>0</v>
          </cell>
          <cell r="G2443" t="str">
            <v>8</v>
          </cell>
          <cell r="H2443">
            <v>721</v>
          </cell>
          <cell r="I2443" t="str">
            <v>АК "ПРОМИСЛОВО-ФІНАНСОВИЙ БАНК"</v>
          </cell>
          <cell r="J2443" t="str">
            <v>АК "ПФБ"</v>
          </cell>
          <cell r="K2443" t="str">
            <v>UQIZ</v>
          </cell>
          <cell r="L2443" t="str">
            <v>UQIZ</v>
          </cell>
          <cell r="M2443">
            <v>16</v>
          </cell>
          <cell r="N2443">
            <v>16</v>
          </cell>
          <cell r="O2443" t="str">
            <v>Управління НБУ в Полтав.обл</v>
          </cell>
        </row>
        <row r="2444">
          <cell r="A2444">
            <v>331791</v>
          </cell>
          <cell r="B2444">
            <v>353489</v>
          </cell>
          <cell r="D2444">
            <v>0</v>
          </cell>
          <cell r="E2444">
            <v>133</v>
          </cell>
          <cell r="F2444">
            <v>0</v>
          </cell>
          <cell r="G2444" t="str">
            <v>B</v>
          </cell>
          <cell r="H2444">
            <v>740</v>
          </cell>
          <cell r="I2444" t="str">
            <v>ПОЛТАВСЬКА ФІЛІЯ АБ "ПРИВАТІНВЕСТ"</v>
          </cell>
          <cell r="J2444" t="str">
            <v>Полтавська філ.Приватінвест</v>
          </cell>
          <cell r="K2444" t="str">
            <v>UQJN</v>
          </cell>
          <cell r="L2444" t="str">
            <v>UQJN</v>
          </cell>
          <cell r="M2444">
            <v>16</v>
          </cell>
          <cell r="N2444">
            <v>24</v>
          </cell>
          <cell r="O2444" t="str">
            <v>Управління НБУ в Полтав.обл</v>
          </cell>
        </row>
        <row r="2445">
          <cell r="A2445">
            <v>331809</v>
          </cell>
          <cell r="B2445">
            <v>320003</v>
          </cell>
          <cell r="D2445">
            <v>0</v>
          </cell>
          <cell r="E2445">
            <v>225</v>
          </cell>
          <cell r="F2445">
            <v>0</v>
          </cell>
          <cell r="G2445" t="str">
            <v>B</v>
          </cell>
          <cell r="H2445">
            <v>735</v>
          </cell>
          <cell r="I2445" t="str">
            <v>Ф ВАТ КБ "НАДРА" Полтавське РУ</v>
          </cell>
          <cell r="J2445" t="str">
            <v>Ф ВАТ КБ"Надра"ПолтавськеРУ</v>
          </cell>
          <cell r="K2445" t="str">
            <v>UQJP</v>
          </cell>
          <cell r="L2445" t="str">
            <v>UQJP</v>
          </cell>
          <cell r="M2445">
            <v>16</v>
          </cell>
          <cell r="N2445">
            <v>26</v>
          </cell>
          <cell r="O2445" t="str">
            <v>Управління НБУ в Полтав.обл</v>
          </cell>
        </row>
        <row r="2446">
          <cell r="A2446">
            <v>331810</v>
          </cell>
          <cell r="B2446">
            <v>322603</v>
          </cell>
          <cell r="D2446">
            <v>0</v>
          </cell>
          <cell r="E2446">
            <v>216</v>
          </cell>
          <cell r="F2446">
            <v>0</v>
          </cell>
          <cell r="G2446" t="str">
            <v>8</v>
          </cell>
          <cell r="H2446">
            <v>778</v>
          </cell>
          <cell r="I2446" t="str">
            <v>ПФ ВАТ БАНКУ "БІГ ЕНЕРГІЯ" М.ПОЛТАВА</v>
          </cell>
          <cell r="J2446" t="str">
            <v>ПФ ВАТ Банку "БІГ Енергія"</v>
          </cell>
          <cell r="K2446" t="str">
            <v>UQII</v>
          </cell>
          <cell r="L2446" t="str">
            <v>UQII</v>
          </cell>
          <cell r="M2446">
            <v>16</v>
          </cell>
          <cell r="N2446">
            <v>26</v>
          </cell>
          <cell r="O2446" t="str">
            <v>Управління НБУ в Полтав.обл</v>
          </cell>
        </row>
        <row r="2447">
          <cell r="A2447">
            <v>331821</v>
          </cell>
          <cell r="B2447">
            <v>321228</v>
          </cell>
          <cell r="D2447">
            <v>0</v>
          </cell>
          <cell r="E2447">
            <v>68</v>
          </cell>
          <cell r="F2447">
            <v>0</v>
          </cell>
          <cell r="G2447" t="str">
            <v>8</v>
          </cell>
          <cell r="H2447">
            <v>766</v>
          </cell>
          <cell r="I2447" t="str">
            <v>ПОЛТАВ. ФТОВ "УКРПРОМБАНК", М.ПОЛТАВА</v>
          </cell>
          <cell r="J2447" t="str">
            <v>Полтав.ф-я ТОВ"УКРПРОМБАНК"</v>
          </cell>
          <cell r="K2447" t="str">
            <v>UQJV</v>
          </cell>
          <cell r="L2447" t="str">
            <v>UQJV</v>
          </cell>
          <cell r="M2447">
            <v>16</v>
          </cell>
          <cell r="N2447">
            <v>26</v>
          </cell>
          <cell r="O2447" t="str">
            <v>Управління НБУ в Полтав.обл</v>
          </cell>
        </row>
        <row r="2448">
          <cell r="A2448">
            <v>331832</v>
          </cell>
          <cell r="B2448">
            <v>300131</v>
          </cell>
          <cell r="D2448">
            <v>0</v>
          </cell>
          <cell r="E2448">
            <v>17</v>
          </cell>
          <cell r="F2448">
            <v>0</v>
          </cell>
          <cell r="G2448" t="str">
            <v>8</v>
          </cell>
          <cell r="H2448">
            <v>741</v>
          </cell>
          <cell r="I2448" t="str">
            <v>Ф"ПРУ"ВАТ "Б" ФІН. ТА КРЕДИТ"М.ПОЛТАВА</v>
          </cell>
          <cell r="J2448" t="str">
            <v>Ф"ПРУ"ВАТ"Б" Фін. та Кред."</v>
          </cell>
          <cell r="K2448" t="str">
            <v>UQJW</v>
          </cell>
          <cell r="L2448" t="str">
            <v>UQJW</v>
          </cell>
          <cell r="M2448">
            <v>16</v>
          </cell>
          <cell r="N2448">
            <v>26</v>
          </cell>
          <cell r="O2448" t="str">
            <v>Управління НБУ в Полтав.обл</v>
          </cell>
        </row>
        <row r="2449">
          <cell r="A2449">
            <v>331843</v>
          </cell>
          <cell r="B2449">
            <v>328384</v>
          </cell>
          <cell r="D2449">
            <v>0</v>
          </cell>
          <cell r="E2449">
            <v>258</v>
          </cell>
          <cell r="F2449">
            <v>0</v>
          </cell>
          <cell r="G2449" t="str">
            <v>8</v>
          </cell>
          <cell r="H2449">
            <v>742</v>
          </cell>
          <cell r="I2449" t="str">
            <v>ФІЛІЯ АКБ "ІМЕКСБАНК" У М.ПОЛТАВА</v>
          </cell>
          <cell r="J2449" t="str">
            <v>ПОЛТАВСЬКАФ АКБ "ІМЕКСБАНК"</v>
          </cell>
          <cell r="K2449" t="str">
            <v>UQKA</v>
          </cell>
          <cell r="L2449" t="str">
            <v>UQKA</v>
          </cell>
          <cell r="M2449">
            <v>16</v>
          </cell>
          <cell r="N2449">
            <v>15</v>
          </cell>
          <cell r="O2449" t="str">
            <v>Управління НБУ в Полтав.обл</v>
          </cell>
        </row>
        <row r="2450">
          <cell r="A2450">
            <v>331854</v>
          </cell>
          <cell r="B2450">
            <v>300863</v>
          </cell>
          <cell r="D2450">
            <v>0</v>
          </cell>
          <cell r="E2450">
            <v>289</v>
          </cell>
          <cell r="F2450">
            <v>0</v>
          </cell>
          <cell r="G2450" t="str">
            <v>9</v>
          </cell>
          <cell r="H2450">
            <v>772</v>
          </cell>
          <cell r="I2450" t="str">
            <v>КРЕМ.ФВАТ"КРЕДИТПРОМБАНК",М.КРЕМЕНЧУК</v>
          </cell>
          <cell r="J2450" t="str">
            <v>Кремен.ФВАТ"Кредитпромбанк"</v>
          </cell>
          <cell r="K2450" t="str">
            <v>UQKI</v>
          </cell>
          <cell r="L2450" t="str">
            <v>UQKI</v>
          </cell>
          <cell r="M2450">
            <v>16</v>
          </cell>
          <cell r="N2450">
            <v>26</v>
          </cell>
          <cell r="O2450" t="str">
            <v>Управління НБУ в Полтав.обл</v>
          </cell>
        </row>
        <row r="2451">
          <cell r="A2451">
            <v>331876</v>
          </cell>
          <cell r="B2451">
            <v>321767</v>
          </cell>
          <cell r="D2451">
            <v>0</v>
          </cell>
          <cell r="E2451">
            <v>42</v>
          </cell>
          <cell r="F2451">
            <v>0</v>
          </cell>
          <cell r="G2451" t="str">
            <v>B</v>
          </cell>
          <cell r="H2451">
            <v>761</v>
          </cell>
          <cell r="I2451" t="str">
            <v>ПОЛТАВСЬКА Ф ВАТ ВТБ БАНК, М.ПОЛТАВА</v>
          </cell>
          <cell r="J2451" t="str">
            <v>Полтавська Ф ВАТ ВТБ Банк</v>
          </cell>
          <cell r="K2451" t="str">
            <v>UQKV</v>
          </cell>
          <cell r="L2451" t="str">
            <v>UQKV</v>
          </cell>
          <cell r="M2451">
            <v>16</v>
          </cell>
          <cell r="N2451">
            <v>26</v>
          </cell>
          <cell r="O2451" t="str">
            <v>Управління НБУ в Полтав.обл</v>
          </cell>
        </row>
        <row r="2452">
          <cell r="A2452">
            <v>331887</v>
          </cell>
          <cell r="B2452">
            <v>380537</v>
          </cell>
          <cell r="D2452">
            <v>0</v>
          </cell>
          <cell r="E2452">
            <v>76</v>
          </cell>
          <cell r="F2452">
            <v>0</v>
          </cell>
          <cell r="G2452" t="str">
            <v>B</v>
          </cell>
          <cell r="H2452">
            <v>805</v>
          </cell>
          <cell r="I2452" t="str">
            <v>ПОЛТАВ.ФІЛІЯ ВАТ"ВІЕЙБІБАНК"М.ПОЛТАВА</v>
          </cell>
          <cell r="J2452" t="str">
            <v>Полтав.Ф.ВАТ"ВІЕЙБІБАНК"</v>
          </cell>
          <cell r="K2452" t="str">
            <v>UQNB</v>
          </cell>
          <cell r="L2452" t="str">
            <v>UQNB</v>
          </cell>
          <cell r="M2452">
            <v>16</v>
          </cell>
          <cell r="N2452">
            <v>26</v>
          </cell>
          <cell r="O2452" t="str">
            <v>Управління НБУ в Полтав.обл</v>
          </cell>
        </row>
        <row r="2453">
          <cell r="A2453">
            <v>331906</v>
          </cell>
          <cell r="B2453">
            <v>300658</v>
          </cell>
          <cell r="D2453">
            <v>0</v>
          </cell>
          <cell r="E2453">
            <v>251</v>
          </cell>
          <cell r="F2453">
            <v>0</v>
          </cell>
          <cell r="G2453" t="str">
            <v>B</v>
          </cell>
          <cell r="H2453">
            <v>820</v>
          </cell>
          <cell r="I2453" t="str">
            <v>КФ ВАТ "ПІРЕУС БАНК МКБ" М.КРЕМЕНЧУК</v>
          </cell>
          <cell r="J2453" t="str">
            <v>КФ ВАТ "ПІРЕУС БАНК МКБ"</v>
          </cell>
          <cell r="K2453" t="str">
            <v>UQND</v>
          </cell>
          <cell r="L2453" t="str">
            <v>UQND</v>
          </cell>
          <cell r="M2453">
            <v>16</v>
          </cell>
          <cell r="N2453">
            <v>26</v>
          </cell>
          <cell r="O2453" t="str">
            <v>Управління НБУ в Полтав.обл</v>
          </cell>
        </row>
        <row r="2454">
          <cell r="A2454">
            <v>331917</v>
          </cell>
          <cell r="B2454">
            <v>300670</v>
          </cell>
          <cell r="D2454">
            <v>0</v>
          </cell>
          <cell r="E2454">
            <v>202</v>
          </cell>
          <cell r="F2454">
            <v>0</v>
          </cell>
          <cell r="G2454" t="str">
            <v>8</v>
          </cell>
          <cell r="H2454">
            <v>834</v>
          </cell>
          <cell r="I2454" t="str">
            <v>ПОЛТАВСЬКА ФВАТ КБ"ХРЕЩАТИК",М.ПОЛТАВА</v>
          </cell>
          <cell r="J2454" t="str">
            <v>ПолтавськаФВАТ КБ"Хрещатик"</v>
          </cell>
          <cell r="K2454" t="str">
            <v>UQNE</v>
          </cell>
          <cell r="L2454" t="str">
            <v>UQNE</v>
          </cell>
          <cell r="M2454">
            <v>16</v>
          </cell>
          <cell r="N2454">
            <v>26</v>
          </cell>
          <cell r="O2454" t="str">
            <v>Управління НБУ в Полтав.обл</v>
          </cell>
        </row>
        <row r="2455">
          <cell r="A2455">
            <v>331928</v>
          </cell>
          <cell r="B2455">
            <v>322294</v>
          </cell>
          <cell r="D2455">
            <v>0</v>
          </cell>
          <cell r="E2455">
            <v>67</v>
          </cell>
          <cell r="F2455">
            <v>0</v>
          </cell>
          <cell r="G2455" t="str">
            <v>8</v>
          </cell>
          <cell r="H2455">
            <v>803</v>
          </cell>
          <cell r="I2455" t="str">
            <v>Ф"ПОЛТАВ.РУ"ВАТ"КБ"ЕКСПОБАНК"М.ПОЛТАВА</v>
          </cell>
          <cell r="J2455" t="str">
            <v>Ф"Полт.РУ"ВАТ"КБ"Експобанк"</v>
          </cell>
          <cell r="K2455" t="str">
            <v>UQFC</v>
          </cell>
          <cell r="L2455" t="str">
            <v>UQFC</v>
          </cell>
          <cell r="M2455">
            <v>16</v>
          </cell>
          <cell r="N2455">
            <v>26</v>
          </cell>
          <cell r="O2455" t="str">
            <v>Управління НБУ в Полтав.обл</v>
          </cell>
        </row>
        <row r="2456">
          <cell r="A2456">
            <v>331939</v>
          </cell>
          <cell r="B2456">
            <v>351878</v>
          </cell>
          <cell r="D2456">
            <v>0</v>
          </cell>
          <cell r="E2456">
            <v>135</v>
          </cell>
          <cell r="F2456">
            <v>0</v>
          </cell>
          <cell r="G2456" t="str">
            <v>8</v>
          </cell>
          <cell r="H2456">
            <v>903</v>
          </cell>
          <cell r="I2456" t="str">
            <v>ПФ ВАТ "ІНПРОМБАНК"</v>
          </cell>
          <cell r="J2456" t="str">
            <v>ПФ ВАТ "Інпромбанк"</v>
          </cell>
          <cell r="K2456" t="str">
            <v>UQFD</v>
          </cell>
          <cell r="L2456" t="str">
            <v>UQFD</v>
          </cell>
          <cell r="M2456">
            <v>16</v>
          </cell>
          <cell r="N2456">
            <v>20</v>
          </cell>
          <cell r="O2456" t="str">
            <v>Управління НБУ в Полтав.обл</v>
          </cell>
        </row>
        <row r="2457">
          <cell r="A2457">
            <v>331940</v>
          </cell>
          <cell r="B2457">
            <v>300272</v>
          </cell>
          <cell r="D2457">
            <v>0</v>
          </cell>
          <cell r="E2457">
            <v>31</v>
          </cell>
          <cell r="F2457">
            <v>0</v>
          </cell>
          <cell r="G2457" t="str">
            <v>B</v>
          </cell>
          <cell r="H2457">
            <v>204</v>
          </cell>
          <cell r="I2457" t="str">
            <v>ФІЛІЯ АБ "ЕНЕРГОБАНК", М.ПОЛТАВА</v>
          </cell>
          <cell r="J2457" t="str">
            <v>ФАБ"Енергобанк"в м.Полта</v>
          </cell>
          <cell r="K2457" t="str">
            <v>UQFE</v>
          </cell>
          <cell r="L2457" t="str">
            <v>UQFE</v>
          </cell>
          <cell r="M2457">
            <v>16</v>
          </cell>
          <cell r="N2457">
            <v>26</v>
          </cell>
          <cell r="O2457" t="str">
            <v>Управління НБУ в Полтав.обл</v>
          </cell>
        </row>
        <row r="2458">
          <cell r="A2458">
            <v>331962</v>
          </cell>
          <cell r="B2458">
            <v>300528</v>
          </cell>
          <cell r="D2458">
            <v>0</v>
          </cell>
          <cell r="E2458">
            <v>296</v>
          </cell>
          <cell r="F2458">
            <v>0</v>
          </cell>
          <cell r="G2458" t="str">
            <v>F</v>
          </cell>
          <cell r="H2458">
            <v>800</v>
          </cell>
          <cell r="I2458" t="str">
            <v>ФІЛІЯ ЗАТ "ОТП БАНК", М.ПОЛТАВА</v>
          </cell>
          <cell r="J2458" t="str">
            <v>Філія ЗАТ "ОТП Банк"</v>
          </cell>
          <cell r="K2458" t="str">
            <v>UQNA</v>
          </cell>
          <cell r="L2458" t="str">
            <v>UQNA</v>
          </cell>
          <cell r="M2458">
            <v>16</v>
          </cell>
          <cell r="N2458">
            <v>26</v>
          </cell>
          <cell r="O2458" t="str">
            <v>Управління НБУ в Полтав.обл</v>
          </cell>
        </row>
        <row r="2459">
          <cell r="A2459">
            <v>331973</v>
          </cell>
          <cell r="B2459">
            <v>328168</v>
          </cell>
          <cell r="D2459">
            <v>0</v>
          </cell>
          <cell r="E2459">
            <v>105</v>
          </cell>
          <cell r="F2459">
            <v>0</v>
          </cell>
          <cell r="G2459" t="str">
            <v>B</v>
          </cell>
          <cell r="H2459">
            <v>700</v>
          </cell>
          <cell r="I2459" t="str">
            <v>ФІЛІЯ ВАТ"МТБ" У М.ПОЛТАВІ</v>
          </cell>
          <cell r="J2459" t="str">
            <v>ФІЛІЯ ВАТ"МТБ" У М.ПОЛТАВІ</v>
          </cell>
          <cell r="K2459" t="str">
            <v>UQKX</v>
          </cell>
          <cell r="L2459" t="str">
            <v>UQKX</v>
          </cell>
          <cell r="M2459">
            <v>16</v>
          </cell>
          <cell r="N2459">
            <v>15</v>
          </cell>
          <cell r="O2459" t="str">
            <v>Управління НБУ в Полтав.обл</v>
          </cell>
        </row>
        <row r="2460">
          <cell r="A2460">
            <v>331984</v>
          </cell>
          <cell r="B2460">
            <v>322948</v>
          </cell>
          <cell r="D2460">
            <v>0</v>
          </cell>
          <cell r="E2460">
            <v>248</v>
          </cell>
          <cell r="F2460">
            <v>0</v>
          </cell>
          <cell r="G2460" t="str">
            <v>B</v>
          </cell>
          <cell r="H2460">
            <v>798</v>
          </cell>
          <cell r="I2460" t="str">
            <v>КРЕМЕНЧУЦЬКА Ф АКБ "ФОРУМ" М.КРЕМЕНЧУК</v>
          </cell>
          <cell r="J2460" t="str">
            <v>Кременчуцька Ф АКБ "Форум"</v>
          </cell>
          <cell r="K2460" t="str">
            <v>UQKY</v>
          </cell>
          <cell r="L2460" t="str">
            <v>UQKY</v>
          </cell>
          <cell r="M2460">
            <v>16</v>
          </cell>
          <cell r="N2460">
            <v>26</v>
          </cell>
          <cell r="O2460" t="str">
            <v>Управління НБУ в Полтав.обл</v>
          </cell>
        </row>
        <row r="2461">
          <cell r="A2461">
            <v>331995</v>
          </cell>
          <cell r="B2461">
            <v>322948</v>
          </cell>
          <cell r="D2461">
            <v>0</v>
          </cell>
          <cell r="E2461">
            <v>248</v>
          </cell>
          <cell r="F2461">
            <v>0</v>
          </cell>
          <cell r="G2461" t="str">
            <v>B</v>
          </cell>
          <cell r="H2461">
            <v>799</v>
          </cell>
          <cell r="I2461" t="str">
            <v>ПОЛТАВСЬКА ФІЛІЯ АКБ "ФОРУМ" М.ПОЛТАВА</v>
          </cell>
          <cell r="J2461" t="str">
            <v>Полтавська філія АКБ"Форум"</v>
          </cell>
          <cell r="K2461" t="str">
            <v>UQKZ</v>
          </cell>
          <cell r="L2461" t="str">
            <v>UQKZ</v>
          </cell>
          <cell r="M2461">
            <v>16</v>
          </cell>
          <cell r="N2461">
            <v>26</v>
          </cell>
          <cell r="O2461" t="str">
            <v>Управління НБУ в Полтав.обл</v>
          </cell>
        </row>
        <row r="2462">
          <cell r="A2462">
            <v>333001</v>
          </cell>
          <cell r="B2462">
            <v>300614</v>
          </cell>
          <cell r="D2462">
            <v>0</v>
          </cell>
          <cell r="E2462">
            <v>171</v>
          </cell>
          <cell r="F2462">
            <v>0</v>
          </cell>
          <cell r="G2462" t="str">
            <v>8</v>
          </cell>
          <cell r="H2462">
            <v>766</v>
          </cell>
          <cell r="I2462" t="str">
            <v>Ф.РІВНЕНС.ДИР"АТ"ІНДЕКС-БАНК" М.РІВНЕ</v>
          </cell>
          <cell r="J2462" t="str">
            <v>Філ.Рвн.дир.АТ"ІНД-БНК"</v>
          </cell>
          <cell r="K2462" t="str">
            <v>URKB</v>
          </cell>
          <cell r="L2462" t="str">
            <v>URKB</v>
          </cell>
          <cell r="M2462">
            <v>17</v>
          </cell>
          <cell r="N2462">
            <v>26</v>
          </cell>
          <cell r="O2462" t="str">
            <v>Управління НБУ в Рівнен.обл</v>
          </cell>
        </row>
        <row r="2463">
          <cell r="A2463">
            <v>333012</v>
          </cell>
          <cell r="B2463">
            <v>300023</v>
          </cell>
          <cell r="D2463">
            <v>0</v>
          </cell>
          <cell r="E2463">
            <v>5</v>
          </cell>
          <cell r="F2463">
            <v>0</v>
          </cell>
          <cell r="G2463" t="str">
            <v>5</v>
          </cell>
          <cell r="H2463">
            <v>507</v>
          </cell>
          <cell r="I2463" t="str">
            <v>РІВНЕНСЬКА ОФ АКБ"УСБ" М. РІВНЕ</v>
          </cell>
          <cell r="J2463" t="str">
            <v>Рівнен.обл.філія АКБ"УСБ"</v>
          </cell>
          <cell r="K2463" t="str">
            <v>URCA</v>
          </cell>
          <cell r="L2463" t="str">
            <v>URCA</v>
          </cell>
          <cell r="M2463">
            <v>17</v>
          </cell>
          <cell r="N2463">
            <v>26</v>
          </cell>
          <cell r="O2463" t="str">
            <v>Управління НБУ в Рівнен.обл</v>
          </cell>
        </row>
        <row r="2464">
          <cell r="A2464">
            <v>333153</v>
          </cell>
          <cell r="B2464">
            <v>300012</v>
          </cell>
          <cell r="D2464">
            <v>0</v>
          </cell>
          <cell r="E2464">
            <v>3</v>
          </cell>
          <cell r="F2464">
            <v>0</v>
          </cell>
          <cell r="G2464" t="str">
            <v>3</v>
          </cell>
          <cell r="H2464">
            <v>306</v>
          </cell>
          <cell r="I2464" t="str">
            <v>Ф-Я"ВІД.ПІБ В М.КОСТОПІЛЬ РІВНЕН.ОБЛ."</v>
          </cell>
          <cell r="J2464" t="str">
            <v>Ф-Я ВІД.ПІБ В М.КОСТОПІЛЬ</v>
          </cell>
          <cell r="K2464" t="str">
            <v>URAB</v>
          </cell>
          <cell r="L2464" t="str">
            <v>URAB</v>
          </cell>
          <cell r="M2464">
            <v>17</v>
          </cell>
          <cell r="N2464">
            <v>26</v>
          </cell>
          <cell r="O2464" t="str">
            <v>Управління НБУ в Рівнен.обл</v>
          </cell>
        </row>
        <row r="2465">
          <cell r="A2465">
            <v>333216</v>
          </cell>
          <cell r="B2465">
            <v>300142</v>
          </cell>
          <cell r="D2465">
            <v>0</v>
          </cell>
          <cell r="E2465">
            <v>18</v>
          </cell>
          <cell r="F2465">
            <v>0</v>
          </cell>
          <cell r="G2465" t="str">
            <v>8</v>
          </cell>
          <cell r="H2465">
            <v>703</v>
          </cell>
          <cell r="I2465" t="str">
            <v>РІВНЕНСЬКА ФАТ"УКРІНБАНК" М.РІВНЕ</v>
          </cell>
          <cell r="J2465" t="str">
            <v>Рівненська ФАТ"Укрінбанк"</v>
          </cell>
          <cell r="K2465" t="str">
            <v>URIC</v>
          </cell>
          <cell r="L2465" t="str">
            <v>URIC</v>
          </cell>
          <cell r="M2465">
            <v>17</v>
          </cell>
          <cell r="N2465">
            <v>26</v>
          </cell>
          <cell r="O2465" t="str">
            <v>Управління НБУ в Рівнен.обл</v>
          </cell>
        </row>
        <row r="2466">
          <cell r="A2466">
            <v>333227</v>
          </cell>
          <cell r="B2466">
            <v>300335</v>
          </cell>
          <cell r="D2466">
            <v>0</v>
          </cell>
          <cell r="E2466">
            <v>36</v>
          </cell>
          <cell r="F2466">
            <v>0</v>
          </cell>
          <cell r="G2466" t="str">
            <v>7</v>
          </cell>
          <cell r="H2466">
            <v>717</v>
          </cell>
          <cell r="I2466" t="str">
            <v>РІВ.ОД "РАЙФФАЙЗЕН БАНК АВАЛЬ",М.РІВНЕ</v>
          </cell>
          <cell r="J2466" t="str">
            <v>Р.ОД"Райффайзен Банк Аваль"</v>
          </cell>
          <cell r="K2466" t="str">
            <v>URIP</v>
          </cell>
          <cell r="L2466" t="str">
            <v>URIP</v>
          </cell>
          <cell r="M2466">
            <v>17</v>
          </cell>
          <cell r="N2466">
            <v>26</v>
          </cell>
          <cell r="O2466" t="str">
            <v>Управління НБУ в Рівнен.обл</v>
          </cell>
        </row>
        <row r="2467">
          <cell r="A2467">
            <v>333302</v>
          </cell>
          <cell r="B2467">
            <v>300012</v>
          </cell>
          <cell r="D2467">
            <v>0</v>
          </cell>
          <cell r="E2467">
            <v>3</v>
          </cell>
          <cell r="F2467">
            <v>0</v>
          </cell>
          <cell r="G2467" t="str">
            <v>3</v>
          </cell>
          <cell r="H2467">
            <v>305</v>
          </cell>
          <cell r="I2467" t="str">
            <v>Ф-Я"ВІД.ПІБ В М.КУЗНЕЦОВСЬК РІВН.ОБЛ."</v>
          </cell>
          <cell r="J2467" t="str">
            <v>Ф-Я ВІД.ПІБ В М.КУЗНЕЦОВСЬК</v>
          </cell>
          <cell r="K2467" t="str">
            <v>URAC</v>
          </cell>
          <cell r="L2467" t="str">
            <v>URAC</v>
          </cell>
          <cell r="M2467">
            <v>17</v>
          </cell>
          <cell r="N2467">
            <v>26</v>
          </cell>
          <cell r="O2467" t="str">
            <v>Управління НБУ в Рівнен.обл</v>
          </cell>
        </row>
        <row r="2468">
          <cell r="A2468">
            <v>333324</v>
          </cell>
          <cell r="B2468">
            <v>300001</v>
          </cell>
          <cell r="D2468">
            <v>0</v>
          </cell>
          <cell r="E2468">
            <v>1</v>
          </cell>
          <cell r="F2468">
            <v>0</v>
          </cell>
          <cell r="G2468" t="str">
            <v>1</v>
          </cell>
          <cell r="H2468">
            <v>118</v>
          </cell>
          <cell r="I2468" t="str">
            <v>УПРАВЛІННЯ НБУ В РІВНЕНСЬКІЙ  ОБЛАСТІ</v>
          </cell>
          <cell r="J2468" t="str">
            <v>Упр. НБУ в Рівненській обл.</v>
          </cell>
          <cell r="K2468" t="str">
            <v>URHA</v>
          </cell>
          <cell r="L2468" t="str">
            <v>URH0</v>
          </cell>
          <cell r="M2468">
            <v>17</v>
          </cell>
          <cell r="N2468">
            <v>27</v>
          </cell>
          <cell r="O2468" t="str">
            <v>Управління НБУ в Рівнен.обл</v>
          </cell>
        </row>
        <row r="2469">
          <cell r="A2469">
            <v>333335</v>
          </cell>
          <cell r="B2469">
            <v>300012</v>
          </cell>
          <cell r="D2469">
            <v>0</v>
          </cell>
          <cell r="E2469">
            <v>3</v>
          </cell>
          <cell r="F2469">
            <v>0</v>
          </cell>
          <cell r="G2469" t="str">
            <v>3</v>
          </cell>
          <cell r="H2469">
            <v>308</v>
          </cell>
          <cell r="I2469" t="str">
            <v>Ф."ВІДДІЛЕННЯ ПРОМІНВЕСТБАНКУ,М.РІВНЕ"</v>
          </cell>
          <cell r="J2469" t="str">
            <v>Ф."ВІДДІЛЕННЯ ПІБ, М.РІВНЕ"</v>
          </cell>
          <cell r="K2469" t="str">
            <v>URAA</v>
          </cell>
          <cell r="L2469" t="str">
            <v>URAA</v>
          </cell>
          <cell r="M2469">
            <v>17</v>
          </cell>
          <cell r="N2469">
            <v>26</v>
          </cell>
          <cell r="O2469" t="str">
            <v>Управління НБУ в Рівнен.обл</v>
          </cell>
        </row>
        <row r="2470">
          <cell r="A2470">
            <v>333368</v>
          </cell>
          <cell r="B2470">
            <v>300465</v>
          </cell>
          <cell r="D2470">
            <v>0</v>
          </cell>
          <cell r="E2470">
            <v>6</v>
          </cell>
          <cell r="F2470">
            <v>0</v>
          </cell>
          <cell r="G2470" t="str">
            <v>6</v>
          </cell>
          <cell r="H2470">
            <v>604</v>
          </cell>
          <cell r="I2470" t="str">
            <v>ФРІВНЕНСЬКЕ ОБЛАСНЕ УП ВАТОЩАД М.РІВНЕ</v>
          </cell>
          <cell r="J2470" t="str">
            <v>ФРівненське обласне ВАТОщад</v>
          </cell>
          <cell r="K2470" t="str">
            <v>URLA</v>
          </cell>
          <cell r="L2470" t="str">
            <v>URLA</v>
          </cell>
          <cell r="M2470">
            <v>17</v>
          </cell>
          <cell r="N2470">
            <v>26</v>
          </cell>
          <cell r="O2470" t="str">
            <v>Управління НБУ в Рівнен.обл</v>
          </cell>
        </row>
        <row r="2471">
          <cell r="A2471">
            <v>333391</v>
          </cell>
          <cell r="B2471">
            <v>305299</v>
          </cell>
          <cell r="D2471">
            <v>0</v>
          </cell>
          <cell r="E2471">
            <v>46</v>
          </cell>
          <cell r="F2471">
            <v>0</v>
          </cell>
          <cell r="G2471" t="str">
            <v>A</v>
          </cell>
          <cell r="H2471">
            <v>711</v>
          </cell>
          <cell r="I2471" t="str">
            <v>РІВНЕНСЬКА ФІЛ.ПРИВАТБАНКУ М.РІВНЕ</v>
          </cell>
          <cell r="J2471" t="str">
            <v>Рівненська філія ПриватБанк</v>
          </cell>
          <cell r="K2471" t="str">
            <v>URIK</v>
          </cell>
          <cell r="L2471" t="str">
            <v>URIK</v>
          </cell>
          <cell r="M2471">
            <v>17</v>
          </cell>
          <cell r="N2471">
            <v>3</v>
          </cell>
          <cell r="O2471" t="str">
            <v>Управління НБУ в Рівнен.обл</v>
          </cell>
        </row>
        <row r="2472">
          <cell r="A2472">
            <v>333432</v>
          </cell>
          <cell r="B2472">
            <v>322625</v>
          </cell>
          <cell r="D2472">
            <v>0</v>
          </cell>
          <cell r="E2472">
            <v>222</v>
          </cell>
          <cell r="F2472">
            <v>0</v>
          </cell>
          <cell r="G2472" t="str">
            <v>8</v>
          </cell>
          <cell r="H2472">
            <v>712</v>
          </cell>
          <cell r="I2472" t="str">
            <v>РФ АБ "УКООПСПІЛКА"</v>
          </cell>
          <cell r="J2472" t="str">
            <v>РФ АБ "Укоопспілка"</v>
          </cell>
          <cell r="K2472" t="str">
            <v>URIL</v>
          </cell>
          <cell r="L2472" t="str">
            <v>URIL</v>
          </cell>
          <cell r="M2472">
            <v>17</v>
          </cell>
          <cell r="N2472">
            <v>26</v>
          </cell>
          <cell r="O2472" t="str">
            <v>Управління НБУ в Рівнен.обл</v>
          </cell>
        </row>
        <row r="2473">
          <cell r="A2473">
            <v>333539</v>
          </cell>
          <cell r="B2473">
            <v>322313</v>
          </cell>
          <cell r="D2473">
            <v>0</v>
          </cell>
          <cell r="E2473">
            <v>2</v>
          </cell>
          <cell r="F2473">
            <v>0</v>
          </cell>
          <cell r="G2473" t="str">
            <v>2</v>
          </cell>
          <cell r="H2473">
            <v>201</v>
          </cell>
          <cell r="I2473" t="str">
            <v>Ф-Я ВАТ "УКРЕКСІМБАНК", РІВНЕ</v>
          </cell>
          <cell r="J2473" t="str">
            <v>Ф-я Укрексімбанк, Рівне</v>
          </cell>
          <cell r="K2473" t="str">
            <v>URGA</v>
          </cell>
          <cell r="L2473" t="str">
            <v>URGA</v>
          </cell>
          <cell r="M2473">
            <v>17</v>
          </cell>
          <cell r="N2473">
            <v>26</v>
          </cell>
          <cell r="O2473" t="str">
            <v>Управління НБУ в Рівнен.обл</v>
          </cell>
        </row>
        <row r="2474">
          <cell r="A2474">
            <v>333562</v>
          </cell>
          <cell r="B2474">
            <v>322603</v>
          </cell>
          <cell r="D2474">
            <v>0</v>
          </cell>
          <cell r="E2474">
            <v>216</v>
          </cell>
          <cell r="F2474">
            <v>0</v>
          </cell>
          <cell r="G2474" t="str">
            <v>8</v>
          </cell>
          <cell r="H2474">
            <v>725</v>
          </cell>
          <cell r="I2474" t="str">
            <v>КФ ВАТ БАНКУ"БІГ ЕНЕРГІЯ"М.КУЗНЕЦОВСЬК</v>
          </cell>
          <cell r="J2474" t="str">
            <v>КФ ВАТ Банку "БІГ Енергія"</v>
          </cell>
          <cell r="K2474" t="str">
            <v>URIY</v>
          </cell>
          <cell r="L2474" t="str">
            <v>URIY</v>
          </cell>
          <cell r="M2474">
            <v>17</v>
          </cell>
          <cell r="N2474">
            <v>26</v>
          </cell>
          <cell r="O2474" t="str">
            <v>Управління НБУ в Рівнен.обл</v>
          </cell>
        </row>
        <row r="2475">
          <cell r="A2475">
            <v>333603</v>
          </cell>
          <cell r="B2475">
            <v>300131</v>
          </cell>
          <cell r="D2475">
            <v>0</v>
          </cell>
          <cell r="E2475">
            <v>17</v>
          </cell>
          <cell r="F2475">
            <v>0</v>
          </cell>
          <cell r="G2475" t="str">
            <v>8</v>
          </cell>
          <cell r="H2475">
            <v>726</v>
          </cell>
          <cell r="I2475" t="str">
            <v>Ф"ПЗРУ"ВАТ"Б"ФІН ТА КРЕДИТ"М.РІВНЕ</v>
          </cell>
          <cell r="J2475" t="str">
            <v>Ф"ПЗРУ"Б"Фін та Кр"</v>
          </cell>
          <cell r="K2475" t="str">
            <v>URJI</v>
          </cell>
          <cell r="L2475" t="str">
            <v>URJI</v>
          </cell>
          <cell r="M2475">
            <v>17</v>
          </cell>
          <cell r="N2475">
            <v>26</v>
          </cell>
          <cell r="O2475" t="str">
            <v>Управління НБУ в Рівнен.обл</v>
          </cell>
        </row>
        <row r="2476">
          <cell r="A2476">
            <v>333614</v>
          </cell>
          <cell r="B2476">
            <v>303484</v>
          </cell>
          <cell r="D2476">
            <v>0</v>
          </cell>
          <cell r="E2476">
            <v>273</v>
          </cell>
          <cell r="F2476">
            <v>0</v>
          </cell>
          <cell r="G2476" t="str">
            <v>8</v>
          </cell>
          <cell r="H2476">
            <v>727</v>
          </cell>
          <cell r="I2476" t="str">
            <v>Рівненська Ф.КБ "Західінкомбанк" ТзОВ</v>
          </cell>
          <cell r="J2476" t="str">
            <v>РФ КБ "Західінкомбанк" ТзОВ</v>
          </cell>
          <cell r="K2476" t="str">
            <v>URJB</v>
          </cell>
          <cell r="L2476" t="str">
            <v>URJB</v>
          </cell>
          <cell r="M2476">
            <v>17</v>
          </cell>
          <cell r="N2476">
            <v>2</v>
          </cell>
          <cell r="O2476" t="str">
            <v>Управління НБУ в Рівнен.обл</v>
          </cell>
        </row>
        <row r="2477">
          <cell r="A2477">
            <v>333625</v>
          </cell>
          <cell r="B2477">
            <v>322625</v>
          </cell>
          <cell r="D2477">
            <v>0</v>
          </cell>
          <cell r="E2477">
            <v>222</v>
          </cell>
          <cell r="F2477">
            <v>0</v>
          </cell>
          <cell r="G2477" t="str">
            <v>8</v>
          </cell>
          <cell r="H2477">
            <v>731</v>
          </cell>
          <cell r="I2477" t="str">
            <v>ВФ АБ "УКООПСПІЛКА"</v>
          </cell>
          <cell r="J2477" t="str">
            <v>ВФ АБ "Укоопспілка"</v>
          </cell>
          <cell r="K2477" t="str">
            <v>URJD</v>
          </cell>
          <cell r="L2477" t="str">
            <v>URJD</v>
          </cell>
          <cell r="M2477">
            <v>17</v>
          </cell>
          <cell r="N2477">
            <v>26</v>
          </cell>
          <cell r="O2477" t="str">
            <v>Управління НБУ в Рівнен.обл</v>
          </cell>
        </row>
        <row r="2478">
          <cell r="A2478">
            <v>333669</v>
          </cell>
          <cell r="B2478">
            <v>313849</v>
          </cell>
          <cell r="D2478">
            <v>0</v>
          </cell>
          <cell r="E2478">
            <v>101</v>
          </cell>
          <cell r="F2478">
            <v>0</v>
          </cell>
          <cell r="G2478" t="str">
            <v>8</v>
          </cell>
          <cell r="H2478">
            <v>735</v>
          </cell>
          <cell r="I2478" t="str">
            <v>Рівненська філія АКБ "ІНДУСТРІАЛБАНК"</v>
          </cell>
          <cell r="J2478" t="str">
            <v>РФ АКБ "ІНДУСТРІАЛБАНК"</v>
          </cell>
          <cell r="K2478" t="str">
            <v>URJK</v>
          </cell>
          <cell r="L2478" t="str">
            <v>URJK</v>
          </cell>
          <cell r="M2478">
            <v>17</v>
          </cell>
          <cell r="N2478">
            <v>7</v>
          </cell>
          <cell r="O2478" t="str">
            <v>Управління НБУ в Рівнен.обл</v>
          </cell>
        </row>
        <row r="2479">
          <cell r="A2479">
            <v>333670</v>
          </cell>
          <cell r="B2479">
            <v>325912</v>
          </cell>
          <cell r="D2479">
            <v>0</v>
          </cell>
          <cell r="E2479">
            <v>88</v>
          </cell>
          <cell r="F2479">
            <v>0</v>
          </cell>
          <cell r="G2479" t="str">
            <v>B</v>
          </cell>
          <cell r="H2479">
            <v>736</v>
          </cell>
          <cell r="I2479" t="str">
            <v>Рівненська філія ВАТ "КРЕДОБАНК"</v>
          </cell>
          <cell r="J2479" t="str">
            <v>Рівненс.ф-я ВАТ "КРЕДОБАНК"</v>
          </cell>
          <cell r="K2479" t="str">
            <v>URIA</v>
          </cell>
          <cell r="L2479" t="str">
            <v>URIA</v>
          </cell>
          <cell r="M2479">
            <v>17</v>
          </cell>
          <cell r="N2479">
            <v>13</v>
          </cell>
          <cell r="O2479" t="str">
            <v>Управління НБУ в Рівнен.обл</v>
          </cell>
        </row>
        <row r="2480">
          <cell r="A2480">
            <v>333681</v>
          </cell>
          <cell r="B2480">
            <v>320003</v>
          </cell>
          <cell r="D2480">
            <v>0</v>
          </cell>
          <cell r="E2480">
            <v>225</v>
          </cell>
          <cell r="F2480">
            <v>0</v>
          </cell>
          <cell r="G2480" t="str">
            <v>B</v>
          </cell>
          <cell r="H2480">
            <v>737</v>
          </cell>
          <cell r="I2480" t="str">
            <v>Ф ВАТ КБ"НАДРА" РІВНЕНСЬКЕ РУ М.РІВНЕ</v>
          </cell>
          <cell r="J2480" t="str">
            <v>ВАТКБ"Надра"Рівненське РУ</v>
          </cell>
          <cell r="K2480" t="str">
            <v>URJM</v>
          </cell>
          <cell r="L2480" t="str">
            <v>URJM</v>
          </cell>
          <cell r="M2480">
            <v>17</v>
          </cell>
          <cell r="N2480">
            <v>26</v>
          </cell>
          <cell r="O2480" t="str">
            <v>Управління НБУ в Рівнен.обл</v>
          </cell>
        </row>
        <row r="2481">
          <cell r="A2481">
            <v>333700</v>
          </cell>
          <cell r="B2481">
            <v>328384</v>
          </cell>
          <cell r="D2481">
            <v>0</v>
          </cell>
          <cell r="E2481">
            <v>258</v>
          </cell>
          <cell r="F2481">
            <v>0</v>
          </cell>
          <cell r="G2481" t="str">
            <v>8</v>
          </cell>
          <cell r="H2481">
            <v>749</v>
          </cell>
          <cell r="I2481" t="str">
            <v>ФІЛІЯ АКБ "ІМЕКСБАНК" У М.РІВНЕ</v>
          </cell>
          <cell r="J2481" t="str">
            <v>РІВНЕНСЬКАФ АКБ "ІМЕКСБАНК"</v>
          </cell>
          <cell r="K2481" t="str">
            <v>URJJ</v>
          </cell>
          <cell r="L2481" t="str">
            <v>URJJ</v>
          </cell>
          <cell r="M2481">
            <v>17</v>
          </cell>
          <cell r="N2481">
            <v>15</v>
          </cell>
          <cell r="O2481" t="str">
            <v>Управління НБУ в Рівнен.обл</v>
          </cell>
        </row>
        <row r="2482">
          <cell r="A2482">
            <v>333711</v>
          </cell>
          <cell r="B2482">
            <v>321228</v>
          </cell>
          <cell r="D2482">
            <v>0</v>
          </cell>
          <cell r="E2482">
            <v>68</v>
          </cell>
          <cell r="F2482">
            <v>0</v>
          </cell>
          <cell r="G2482" t="str">
            <v>8</v>
          </cell>
          <cell r="H2482">
            <v>740</v>
          </cell>
          <cell r="I2482" t="str">
            <v>РІВН.Ф.ТОВ "УКРПРОМБАНК",М.РІВНЕ</v>
          </cell>
          <cell r="J2482" t="str">
            <v>Рівн. філіяТОВ"Укрпромбанк"</v>
          </cell>
          <cell r="K2482" t="str">
            <v>URJL</v>
          </cell>
          <cell r="L2482" t="str">
            <v>URJL</v>
          </cell>
          <cell r="M2482">
            <v>17</v>
          </cell>
          <cell r="N2482">
            <v>26</v>
          </cell>
          <cell r="O2482" t="str">
            <v>Управління НБУ в Рівнен.обл</v>
          </cell>
        </row>
        <row r="2483">
          <cell r="A2483">
            <v>333777</v>
          </cell>
          <cell r="B2483">
            <v>321767</v>
          </cell>
          <cell r="D2483">
            <v>0</v>
          </cell>
          <cell r="E2483">
            <v>42</v>
          </cell>
          <cell r="F2483">
            <v>0</v>
          </cell>
          <cell r="G2483" t="str">
            <v>B</v>
          </cell>
          <cell r="H2483">
            <v>775</v>
          </cell>
          <cell r="I2483" t="str">
            <v>РІВНЕНСЬКА Ф ВАТ ВТБ  БАНК, М. РІВНЕ</v>
          </cell>
          <cell r="J2483" t="str">
            <v>Рівненська Ф ВАТ ВТБ Банк</v>
          </cell>
          <cell r="K2483" t="str">
            <v>URJU</v>
          </cell>
          <cell r="L2483" t="str">
            <v>URJU</v>
          </cell>
          <cell r="M2483">
            <v>17</v>
          </cell>
          <cell r="N2483">
            <v>26</v>
          </cell>
          <cell r="O2483" t="str">
            <v>Управління НБУ в Рівнен.обл</v>
          </cell>
        </row>
        <row r="2484">
          <cell r="A2484">
            <v>333788</v>
          </cell>
          <cell r="B2484">
            <v>300249</v>
          </cell>
          <cell r="D2484">
            <v>0</v>
          </cell>
          <cell r="E2484">
            <v>37</v>
          </cell>
          <cell r="F2484">
            <v>0</v>
          </cell>
          <cell r="G2484" t="str">
            <v>8</v>
          </cell>
          <cell r="H2484">
            <v>763</v>
          </cell>
          <cell r="I2484" t="str">
            <v>РІВНЕНСЬКА ФАБ"БРОКБІЗНЕСБАНК",М.РІВНЕ</v>
          </cell>
          <cell r="J2484" t="str">
            <v>Рівнен.ФАБ "БРОКБІЗНЕСБАНК"</v>
          </cell>
          <cell r="K2484" t="str">
            <v>URKG</v>
          </cell>
          <cell r="L2484" t="str">
            <v>URKG</v>
          </cell>
          <cell r="M2484">
            <v>17</v>
          </cell>
          <cell r="N2484">
            <v>26</v>
          </cell>
          <cell r="O2484" t="str">
            <v>Управління НБУ в Рівнен.обл</v>
          </cell>
        </row>
        <row r="2485">
          <cell r="A2485">
            <v>333799</v>
          </cell>
          <cell r="B2485">
            <v>300670</v>
          </cell>
          <cell r="D2485">
            <v>0</v>
          </cell>
          <cell r="E2485">
            <v>202</v>
          </cell>
          <cell r="F2485">
            <v>0</v>
          </cell>
          <cell r="G2485" t="str">
            <v>8</v>
          </cell>
          <cell r="H2485">
            <v>503</v>
          </cell>
          <cell r="I2485" t="str">
            <v>РІВНЕНСЬКАФВАТКБ"ХРЕЩАТИК"М.РІВНЕ</v>
          </cell>
          <cell r="J2485" t="str">
            <v>РівненськаФВАТКБ"Хрещатик"</v>
          </cell>
          <cell r="K2485" t="str">
            <v>URFA</v>
          </cell>
          <cell r="L2485" t="str">
            <v>URFA</v>
          </cell>
          <cell r="M2485">
            <v>17</v>
          </cell>
          <cell r="N2485">
            <v>26</v>
          </cell>
          <cell r="O2485" t="str">
            <v>Управління НБУ в Рівнен.обл</v>
          </cell>
        </row>
        <row r="2486">
          <cell r="A2486">
            <v>333807</v>
          </cell>
          <cell r="B2486">
            <v>380537</v>
          </cell>
          <cell r="D2486">
            <v>0</v>
          </cell>
          <cell r="E2486">
            <v>76</v>
          </cell>
          <cell r="F2486">
            <v>0</v>
          </cell>
          <cell r="G2486" t="str">
            <v>B</v>
          </cell>
          <cell r="H2486">
            <v>788</v>
          </cell>
          <cell r="I2486" t="str">
            <v>РІВНЕНСЬКА Ф. ВАТ"ВІЕЙБІБАНК"М.РІВНЕ</v>
          </cell>
          <cell r="J2486" t="str">
            <v>Рівнен.Ф.ВАТ"ВІЕЙБІБАНК"</v>
          </cell>
          <cell r="K2486" t="str">
            <v>URKH</v>
          </cell>
          <cell r="L2486" t="str">
            <v>URKH</v>
          </cell>
          <cell r="M2486">
            <v>17</v>
          </cell>
          <cell r="N2486">
            <v>26</v>
          </cell>
          <cell r="O2486" t="str">
            <v>Управління НБУ в Рівнен.обл</v>
          </cell>
        </row>
        <row r="2487">
          <cell r="A2487">
            <v>333863</v>
          </cell>
          <cell r="B2487">
            <v>322948</v>
          </cell>
          <cell r="D2487">
            <v>0</v>
          </cell>
          <cell r="E2487">
            <v>248</v>
          </cell>
          <cell r="F2487">
            <v>0</v>
          </cell>
          <cell r="G2487" t="str">
            <v>B</v>
          </cell>
          <cell r="H2487">
            <v>700</v>
          </cell>
          <cell r="I2487" t="str">
            <v>РІВНЕНСЬКА ФІЛІЯ АКБ "ФОРУМ" М.РІВНЕ</v>
          </cell>
          <cell r="J2487" t="str">
            <v>Рівненська філія АКБ"Форум"</v>
          </cell>
          <cell r="K2487" t="str">
            <v>URKE</v>
          </cell>
          <cell r="L2487" t="str">
            <v>URKE</v>
          </cell>
          <cell r="M2487">
            <v>17</v>
          </cell>
          <cell r="N2487">
            <v>26</v>
          </cell>
          <cell r="O2487" t="str">
            <v>Управління НБУ в Рівнен.обл</v>
          </cell>
        </row>
        <row r="2488">
          <cell r="A2488">
            <v>333874</v>
          </cell>
          <cell r="B2488">
            <v>333874</v>
          </cell>
          <cell r="C2488" t="str">
            <v>"КНЯЖИЙ"</v>
          </cell>
          <cell r="D2488">
            <v>256</v>
          </cell>
          <cell r="E2488">
            <v>256</v>
          </cell>
          <cell r="F2488">
            <v>0</v>
          </cell>
          <cell r="G2488" t="str">
            <v>8</v>
          </cell>
          <cell r="H2488">
            <v>730</v>
          </cell>
          <cell r="I2488" t="str">
            <v>КОМЕРЦІЙНИЙ БАНК "КНЯЖИЙ", М.РІВНЕ</v>
          </cell>
          <cell r="J2488" t="str">
            <v>"КНЯЖИЙ"</v>
          </cell>
          <cell r="K2488" t="str">
            <v>URJC</v>
          </cell>
          <cell r="L2488" t="str">
            <v>URJC</v>
          </cell>
          <cell r="M2488">
            <v>17</v>
          </cell>
          <cell r="N2488">
            <v>17</v>
          </cell>
          <cell r="O2488" t="str">
            <v>Управління НБУ в Рівнен.обл</v>
          </cell>
        </row>
        <row r="2489">
          <cell r="A2489">
            <v>334000</v>
          </cell>
          <cell r="B2489">
            <v>300852</v>
          </cell>
          <cell r="D2489">
            <v>0</v>
          </cell>
          <cell r="E2489">
            <v>302</v>
          </cell>
          <cell r="F2489">
            <v>0</v>
          </cell>
          <cell r="G2489" t="str">
            <v>8</v>
          </cell>
          <cell r="H2489">
            <v>853</v>
          </cell>
          <cell r="I2489" t="str">
            <v>ФІЛІЯ ВАТ КБ "АКТИВ-БАНК" У М.ДОНЕЦЬКУ</v>
          </cell>
          <cell r="J2489" t="str">
            <v>ФВАТ КБ"Актив-Банк"Донецьк</v>
          </cell>
          <cell r="K2489" t="str">
            <v>UDUP</v>
          </cell>
          <cell r="L2489" t="str">
            <v>UDUP</v>
          </cell>
          <cell r="M2489">
            <v>4</v>
          </cell>
          <cell r="N2489">
            <v>26</v>
          </cell>
          <cell r="O2489" t="str">
            <v>Управління НБУ в Донец.обл.</v>
          </cell>
        </row>
        <row r="2490">
          <cell r="A2490">
            <v>334011</v>
          </cell>
          <cell r="B2490">
            <v>300023</v>
          </cell>
          <cell r="D2490">
            <v>0</v>
          </cell>
          <cell r="E2490">
            <v>5</v>
          </cell>
          <cell r="F2490">
            <v>0</v>
          </cell>
          <cell r="G2490" t="str">
            <v>5</v>
          </cell>
          <cell r="H2490">
            <v>506</v>
          </cell>
          <cell r="I2490" t="str">
            <v>ДОНЕЦЬК.ОФ АКБ "УСБ"М.ДОНЕЦЬК</v>
          </cell>
          <cell r="J2490" t="str">
            <v>Донецьк.ОФ АКБ "УСБ"</v>
          </cell>
          <cell r="K2490" t="str">
            <v>UDCA</v>
          </cell>
          <cell r="L2490" t="str">
            <v>UDCA</v>
          </cell>
          <cell r="M2490">
            <v>4</v>
          </cell>
          <cell r="N2490">
            <v>26</v>
          </cell>
          <cell r="O2490" t="str">
            <v>Управління НБУ в Донец.обл.</v>
          </cell>
        </row>
        <row r="2491">
          <cell r="A2491">
            <v>334118</v>
          </cell>
          <cell r="B2491">
            <v>300012</v>
          </cell>
          <cell r="D2491">
            <v>0</v>
          </cell>
          <cell r="E2491">
            <v>3</v>
          </cell>
          <cell r="F2491">
            <v>0</v>
          </cell>
          <cell r="G2491" t="str">
            <v>3</v>
          </cell>
          <cell r="H2491">
            <v>301</v>
          </cell>
          <cell r="I2491" t="str">
            <v>Ф."ВІД. ПІБ В М.ДОБРОПІЛЛЯ ДОНЕЦ.ОБЛ."</v>
          </cell>
          <cell r="J2491" t="str">
            <v>Ф."ВІД.ПІБ В М.ДОБРОПІЛЛЯ"</v>
          </cell>
          <cell r="K2491" t="str">
            <v>UDAB</v>
          </cell>
          <cell r="L2491" t="str">
            <v>UDA0</v>
          </cell>
          <cell r="M2491">
            <v>4</v>
          </cell>
          <cell r="N2491">
            <v>26</v>
          </cell>
          <cell r="O2491" t="str">
            <v>Управління НБУ в Донец.обл.</v>
          </cell>
        </row>
        <row r="2492">
          <cell r="A2492">
            <v>334141</v>
          </cell>
          <cell r="B2492">
            <v>300012</v>
          </cell>
          <cell r="D2492">
            <v>0</v>
          </cell>
          <cell r="E2492">
            <v>3</v>
          </cell>
          <cell r="F2492">
            <v>0</v>
          </cell>
          <cell r="G2492" t="str">
            <v>3</v>
          </cell>
          <cell r="H2492">
            <v>304</v>
          </cell>
          <cell r="I2492" t="str">
            <v>Ф."В.ПІБ В М.КРАМАТОРСЬК ДОНЕЦЬК.ОБЛ."</v>
          </cell>
          <cell r="J2492" t="str">
            <v>Ф."ВІД.ПІБ В М.КРАМАТОРСЬК"</v>
          </cell>
          <cell r="K2492" t="str">
            <v>UDAE</v>
          </cell>
          <cell r="L2492" t="str">
            <v>UDA0</v>
          </cell>
          <cell r="M2492">
            <v>4</v>
          </cell>
          <cell r="N2492">
            <v>26</v>
          </cell>
          <cell r="O2492" t="str">
            <v>Управління НБУ в Донец.обл.</v>
          </cell>
        </row>
        <row r="2493">
          <cell r="A2493">
            <v>334204</v>
          </cell>
          <cell r="B2493">
            <v>300012</v>
          </cell>
          <cell r="D2493">
            <v>0</v>
          </cell>
          <cell r="E2493">
            <v>3</v>
          </cell>
          <cell r="F2493">
            <v>0</v>
          </cell>
          <cell r="G2493" t="str">
            <v>3</v>
          </cell>
          <cell r="H2493">
            <v>307</v>
          </cell>
          <cell r="I2493" t="str">
            <v>Ф"ВІД. ПІБ В М.ДОКУЧАЄВСЬК ДОНЕЦ.ОБЛ."</v>
          </cell>
          <cell r="J2493" t="str">
            <v>Ф."ВІД.ПІБ В М.ДОКУЧАЄВСЬК"</v>
          </cell>
          <cell r="K2493" t="str">
            <v>UDAH</v>
          </cell>
          <cell r="L2493" t="str">
            <v>UDA0</v>
          </cell>
          <cell r="M2493">
            <v>4</v>
          </cell>
          <cell r="N2493">
            <v>26</v>
          </cell>
          <cell r="O2493" t="str">
            <v>Управління НБУ в Донец.обл.</v>
          </cell>
        </row>
        <row r="2494">
          <cell r="A2494">
            <v>334215</v>
          </cell>
          <cell r="B2494">
            <v>300012</v>
          </cell>
          <cell r="D2494">
            <v>0</v>
          </cell>
          <cell r="E2494">
            <v>3</v>
          </cell>
          <cell r="F2494">
            <v>0</v>
          </cell>
          <cell r="G2494" t="str">
            <v>3</v>
          </cell>
          <cell r="H2494">
            <v>308</v>
          </cell>
          <cell r="I2494" t="str">
            <v>Ф."ВІД. ПІБ В М.ЄНАКІЄВЕ ДОНЕЦЬК.ОБЛ."</v>
          </cell>
          <cell r="J2494" t="str">
            <v>Ф."ВІД.ПІБ В М.ЄНАКІЄВО ДОН</v>
          </cell>
          <cell r="K2494" t="str">
            <v>UDAI</v>
          </cell>
          <cell r="L2494" t="str">
            <v>UDA0</v>
          </cell>
          <cell r="M2494">
            <v>4</v>
          </cell>
          <cell r="N2494">
            <v>26</v>
          </cell>
          <cell r="O2494" t="str">
            <v>Управління НБУ в Донец.обл.</v>
          </cell>
        </row>
        <row r="2495">
          <cell r="A2495">
            <v>334237</v>
          </cell>
          <cell r="B2495">
            <v>300012</v>
          </cell>
          <cell r="D2495">
            <v>0</v>
          </cell>
          <cell r="E2495">
            <v>3</v>
          </cell>
          <cell r="F2495">
            <v>0</v>
          </cell>
          <cell r="G2495" t="str">
            <v>3</v>
          </cell>
          <cell r="H2495">
            <v>313</v>
          </cell>
          <cell r="I2495" t="str">
            <v>Ф."ВІД. ПІБ В М.СНІЖНЕ ДОНЕЦЬКОЇ ОБЛ."</v>
          </cell>
          <cell r="J2495" t="str">
            <v>Ф."ВІД.ПІБ В М.СНІЖНЕ ДОН."</v>
          </cell>
          <cell r="K2495" t="str">
            <v>UDAN</v>
          </cell>
          <cell r="L2495" t="str">
            <v>UDA0</v>
          </cell>
          <cell r="M2495">
            <v>4</v>
          </cell>
          <cell r="N2495">
            <v>26</v>
          </cell>
          <cell r="O2495" t="str">
            <v>Управління НБУ в Донец.обл.</v>
          </cell>
        </row>
        <row r="2496">
          <cell r="A2496">
            <v>334271</v>
          </cell>
          <cell r="B2496">
            <v>300012</v>
          </cell>
          <cell r="D2496">
            <v>0</v>
          </cell>
          <cell r="E2496">
            <v>3</v>
          </cell>
          <cell r="F2496">
            <v>0</v>
          </cell>
          <cell r="G2496" t="str">
            <v>3</v>
          </cell>
          <cell r="H2496">
            <v>317</v>
          </cell>
          <cell r="I2496" t="str">
            <v>ФІЛІЯ"КИЇВСЬКЕ ВІД. ПІБ В М.ДОНЕЦЬК"</v>
          </cell>
          <cell r="J2496" t="str">
            <v>Ф"КИЇВ.ВІД.ПІБ В М.ДОНЕЦЬК"</v>
          </cell>
          <cell r="K2496" t="str">
            <v>UDAR</v>
          </cell>
          <cell r="L2496" t="str">
            <v>UDA0</v>
          </cell>
          <cell r="M2496">
            <v>4</v>
          </cell>
          <cell r="N2496">
            <v>26</v>
          </cell>
          <cell r="O2496" t="str">
            <v>Управління НБУ в Донец.обл.</v>
          </cell>
        </row>
        <row r="2497">
          <cell r="A2497">
            <v>334282</v>
          </cell>
          <cell r="B2497">
            <v>300012</v>
          </cell>
          <cell r="D2497">
            <v>0</v>
          </cell>
          <cell r="E2497">
            <v>3</v>
          </cell>
          <cell r="F2497">
            <v>0</v>
          </cell>
          <cell r="G2497" t="str">
            <v>3</v>
          </cell>
          <cell r="H2497">
            <v>305</v>
          </cell>
          <cell r="I2497" t="str">
            <v>Ф."ВІД. ПІБ В М.ТОРЕЗ ДОНЕЦЬКОЇ ОБЛ."</v>
          </cell>
          <cell r="J2497" t="str">
            <v>Ф."ВІД.ПІБ В М.ТОРЕЗ ДОНЕЦЬ</v>
          </cell>
          <cell r="K2497" t="str">
            <v>UDAF</v>
          </cell>
          <cell r="L2497" t="str">
            <v>UDA0</v>
          </cell>
          <cell r="M2497">
            <v>4</v>
          </cell>
          <cell r="N2497">
            <v>26</v>
          </cell>
          <cell r="O2497" t="str">
            <v>Управління НБУ в Донец.обл.</v>
          </cell>
        </row>
        <row r="2498">
          <cell r="A2498">
            <v>334301</v>
          </cell>
          <cell r="B2498">
            <v>300012</v>
          </cell>
          <cell r="D2498">
            <v>0</v>
          </cell>
          <cell r="E2498">
            <v>3</v>
          </cell>
          <cell r="F2498">
            <v>0</v>
          </cell>
          <cell r="G2498" t="str">
            <v>3</v>
          </cell>
          <cell r="H2498">
            <v>320</v>
          </cell>
          <cell r="I2498" t="str">
            <v>Ф."ПРОЛЕТАРСЬКЕ ВІД. ПІБ В М.ДОНЕЦЬК"</v>
          </cell>
          <cell r="J2498" t="str">
            <v>Ф."ПРОЛЕТАР. ВІД.ПІБ В ДОН.</v>
          </cell>
          <cell r="K2498" t="str">
            <v>UDAU</v>
          </cell>
          <cell r="L2498" t="str">
            <v>UDA0</v>
          </cell>
          <cell r="M2498">
            <v>4</v>
          </cell>
          <cell r="N2498">
            <v>26</v>
          </cell>
          <cell r="O2498" t="str">
            <v>Управління НБУ в Донец.обл.</v>
          </cell>
        </row>
        <row r="2499">
          <cell r="A2499">
            <v>334312</v>
          </cell>
          <cell r="B2499">
            <v>300012</v>
          </cell>
          <cell r="D2499">
            <v>0</v>
          </cell>
          <cell r="E2499">
            <v>3</v>
          </cell>
          <cell r="F2499">
            <v>0</v>
          </cell>
          <cell r="G2499" t="str">
            <v>3</v>
          </cell>
          <cell r="H2499">
            <v>318</v>
          </cell>
          <cell r="I2499" t="str">
            <v>Ф."ВІД. ПІБ В М.СЕЛИДОВЕ ДОНЕЦЬК.ОБЛ."</v>
          </cell>
          <cell r="J2499" t="str">
            <v>Ф."ВІД.ПІБ В М.СЕЛИДОВЕ ДОН</v>
          </cell>
          <cell r="K2499" t="str">
            <v>UDAS</v>
          </cell>
          <cell r="L2499" t="str">
            <v>UDA0</v>
          </cell>
          <cell r="M2499">
            <v>4</v>
          </cell>
          <cell r="N2499">
            <v>26</v>
          </cell>
          <cell r="O2499" t="str">
            <v>Управління НБУ в Донец.обл.</v>
          </cell>
        </row>
        <row r="2500">
          <cell r="A2500">
            <v>334334</v>
          </cell>
          <cell r="B2500">
            <v>300012</v>
          </cell>
          <cell r="D2500">
            <v>0</v>
          </cell>
          <cell r="E2500">
            <v>3</v>
          </cell>
          <cell r="F2500">
            <v>0</v>
          </cell>
          <cell r="G2500" t="str">
            <v>3</v>
          </cell>
          <cell r="H2500">
            <v>310</v>
          </cell>
          <cell r="I2500" t="str">
            <v>Ф."ВІД. ПІБ В М.ДРУЖКІВКА ДОНЕЦЬК.ОБЛ"</v>
          </cell>
          <cell r="J2500" t="str">
            <v>Ф."ВІД.ПІБ В М.ДРУЖКІВКА"</v>
          </cell>
          <cell r="K2500" t="str">
            <v>UDAK</v>
          </cell>
          <cell r="L2500" t="str">
            <v>UDA0</v>
          </cell>
          <cell r="M2500">
            <v>4</v>
          </cell>
          <cell r="N2500">
            <v>26</v>
          </cell>
          <cell r="O2500" t="str">
            <v>Управління НБУ в Донец.обл.</v>
          </cell>
        </row>
        <row r="2501">
          <cell r="A2501">
            <v>334345</v>
          </cell>
          <cell r="B2501">
            <v>300012</v>
          </cell>
          <cell r="D2501">
            <v>0</v>
          </cell>
          <cell r="E2501">
            <v>3</v>
          </cell>
          <cell r="F2501">
            <v>0</v>
          </cell>
          <cell r="G2501" t="str">
            <v>3</v>
          </cell>
          <cell r="H2501">
            <v>311</v>
          </cell>
          <cell r="I2501" t="str">
            <v>Ф."ВІД.  ПІБ В М.ХАРЦИЗСЬК ДОНЕЦ.ОБЛ."</v>
          </cell>
          <cell r="J2501" t="str">
            <v>Ф."ВІД.ПІБ В М.ХАРЦИЗСЬК"</v>
          </cell>
          <cell r="K2501" t="str">
            <v>UDAL</v>
          </cell>
          <cell r="L2501" t="str">
            <v>UDA0</v>
          </cell>
          <cell r="M2501">
            <v>4</v>
          </cell>
          <cell r="N2501">
            <v>26</v>
          </cell>
          <cell r="O2501" t="str">
            <v>Управління НБУ в Донец.обл.</v>
          </cell>
        </row>
        <row r="2502">
          <cell r="A2502">
            <v>334389</v>
          </cell>
          <cell r="B2502">
            <v>300012</v>
          </cell>
          <cell r="D2502">
            <v>0</v>
          </cell>
          <cell r="E2502">
            <v>3</v>
          </cell>
          <cell r="F2502">
            <v>0</v>
          </cell>
          <cell r="G2502" t="str">
            <v>3</v>
          </cell>
          <cell r="H2502">
            <v>315</v>
          </cell>
          <cell r="I2502" t="str">
            <v>Ф."ОРДЖОН.В.ПІБ В М.МАРІУПОЛЬ ДОН.ОБЛ"</v>
          </cell>
          <cell r="J2502" t="str">
            <v>Ф."ОРДЖОН.ВІД.ПІБ В МАРІУП.</v>
          </cell>
          <cell r="K2502" t="str">
            <v>UDAP</v>
          </cell>
          <cell r="L2502" t="str">
            <v>UDA0</v>
          </cell>
          <cell r="M2502">
            <v>4</v>
          </cell>
          <cell r="N2502">
            <v>26</v>
          </cell>
          <cell r="O2502" t="str">
            <v>Управління НБУ в Донец.обл.</v>
          </cell>
        </row>
        <row r="2503">
          <cell r="A2503">
            <v>334408</v>
          </cell>
          <cell r="B2503">
            <v>300012</v>
          </cell>
          <cell r="D2503">
            <v>0</v>
          </cell>
          <cell r="E2503">
            <v>3</v>
          </cell>
          <cell r="F2503">
            <v>0</v>
          </cell>
          <cell r="G2503" t="str">
            <v>3</v>
          </cell>
          <cell r="H2503">
            <v>314</v>
          </cell>
          <cell r="I2503" t="str">
            <v>Ф."КУЙБИШЕВСЬКЕ ВІД.ПІБ В М.ДОНЕЦЬК"</v>
          </cell>
          <cell r="J2503" t="str">
            <v>Ф."КУЙБИШ.ВІД.ПІБ М.ДОНЕЦЬК</v>
          </cell>
          <cell r="K2503" t="str">
            <v>UDAO</v>
          </cell>
          <cell r="L2503" t="str">
            <v>UDA0</v>
          </cell>
          <cell r="M2503">
            <v>4</v>
          </cell>
          <cell r="N2503">
            <v>26</v>
          </cell>
          <cell r="O2503" t="str">
            <v>Управління НБУ в Донец.обл.</v>
          </cell>
        </row>
        <row r="2504">
          <cell r="A2504">
            <v>334420</v>
          </cell>
          <cell r="B2504">
            <v>300012</v>
          </cell>
          <cell r="D2504">
            <v>0</v>
          </cell>
          <cell r="E2504">
            <v>3</v>
          </cell>
          <cell r="F2504">
            <v>0</v>
          </cell>
          <cell r="G2504" t="str">
            <v>3</v>
          </cell>
          <cell r="H2504">
            <v>316</v>
          </cell>
          <cell r="I2504" t="str">
            <v>Ф."ВІД. ПІБ В М.ЯСИНУВАТА ДОНЕЦЬК.ОБЛ"</v>
          </cell>
          <cell r="J2504" t="str">
            <v>Ф."ВІД.ПІБ В М.ЯСИНУВАТА"</v>
          </cell>
          <cell r="K2504" t="str">
            <v>UDAQ</v>
          </cell>
          <cell r="L2504" t="str">
            <v>UDA0</v>
          </cell>
          <cell r="M2504">
            <v>4</v>
          </cell>
          <cell r="N2504">
            <v>26</v>
          </cell>
          <cell r="O2504" t="str">
            <v>Управління НБУ в Донец.обл.</v>
          </cell>
        </row>
        <row r="2505">
          <cell r="A2505">
            <v>334442</v>
          </cell>
          <cell r="B2505">
            <v>300012</v>
          </cell>
          <cell r="D2505">
            <v>0</v>
          </cell>
          <cell r="E2505">
            <v>3</v>
          </cell>
          <cell r="F2505">
            <v>0</v>
          </cell>
          <cell r="G2505" t="str">
            <v>3</v>
          </cell>
          <cell r="H2505">
            <v>321</v>
          </cell>
          <cell r="I2505" t="str">
            <v>Ф."ІЛЛІЧ.ГОЛ.В.ПІБ В М.МАРІУП.ДОН.ОБЛ"</v>
          </cell>
          <cell r="J2505" t="str">
            <v>Ф."ІЛЛІЧІВ. ГВ ПІБ В МАРІУП</v>
          </cell>
          <cell r="K2505" t="str">
            <v>UDAV</v>
          </cell>
          <cell r="L2505" t="str">
            <v>UDA0</v>
          </cell>
          <cell r="M2505">
            <v>4</v>
          </cell>
          <cell r="N2505">
            <v>26</v>
          </cell>
          <cell r="O2505" t="str">
            <v>Управління НБУ в Донец.обл.</v>
          </cell>
        </row>
        <row r="2506">
          <cell r="A2506">
            <v>334464</v>
          </cell>
          <cell r="B2506">
            <v>300012</v>
          </cell>
          <cell r="D2506">
            <v>0</v>
          </cell>
          <cell r="E2506">
            <v>3</v>
          </cell>
          <cell r="F2506">
            <v>0</v>
          </cell>
          <cell r="G2506" t="str">
            <v>3</v>
          </cell>
          <cell r="H2506">
            <v>323</v>
          </cell>
          <cell r="I2506" t="str">
            <v>Ф."Ц-МІС. В.ПІБ В М.ГОРЛІВКА ДОН.ОБЛ."</v>
          </cell>
          <cell r="J2506" t="str">
            <v>Ф."ЦЕНТР-МІС.ВІД.ПІБ ГОРЛІВ</v>
          </cell>
          <cell r="K2506" t="str">
            <v>UDAX</v>
          </cell>
          <cell r="L2506" t="str">
            <v>UDA0</v>
          </cell>
          <cell r="M2506">
            <v>4</v>
          </cell>
          <cell r="N2506">
            <v>26</v>
          </cell>
          <cell r="O2506" t="str">
            <v>Управління НБУ в Донец.обл.</v>
          </cell>
        </row>
        <row r="2507">
          <cell r="A2507">
            <v>334475</v>
          </cell>
          <cell r="B2507">
            <v>300012</v>
          </cell>
          <cell r="D2507">
            <v>0</v>
          </cell>
          <cell r="E2507">
            <v>3</v>
          </cell>
          <cell r="F2507">
            <v>0</v>
          </cell>
          <cell r="G2507" t="str">
            <v>3</v>
          </cell>
          <cell r="H2507">
            <v>324</v>
          </cell>
          <cell r="I2507" t="str">
            <v>Ф."ЖОВТН. В.ПІБ В М.МАРІУПОЛЬ ДОН.ОБЛ"</v>
          </cell>
          <cell r="J2507" t="str">
            <v>Ф."ЖОВТН. ВІД.ПІБ В М.МАРІУ</v>
          </cell>
          <cell r="K2507" t="str">
            <v>UDAY</v>
          </cell>
          <cell r="L2507" t="str">
            <v>UDA0</v>
          </cell>
          <cell r="M2507">
            <v>4</v>
          </cell>
          <cell r="N2507">
            <v>26</v>
          </cell>
          <cell r="O2507" t="str">
            <v>Управління НБУ в Донец.обл.</v>
          </cell>
        </row>
        <row r="2508">
          <cell r="A2508">
            <v>334497</v>
          </cell>
          <cell r="B2508">
            <v>300012</v>
          </cell>
          <cell r="D2508">
            <v>0</v>
          </cell>
          <cell r="E2508">
            <v>3</v>
          </cell>
          <cell r="F2508">
            <v>0</v>
          </cell>
          <cell r="G2508" t="str">
            <v>3</v>
          </cell>
          <cell r="H2508">
            <v>326</v>
          </cell>
          <cell r="I2508" t="str">
            <v>Ф"ВІД.ПІБ В М.КРАСНОАРМІЙСЬК ДОН.ОБЛ."</v>
          </cell>
          <cell r="J2508" t="str">
            <v>Ф."ВІД.ПІБ М.КРАСНОАРМ.ДОН"</v>
          </cell>
          <cell r="K2508" t="str">
            <v>UDBA</v>
          </cell>
          <cell r="L2508" t="str">
            <v>UDA0</v>
          </cell>
          <cell r="M2508">
            <v>4</v>
          </cell>
          <cell r="N2508">
            <v>26</v>
          </cell>
          <cell r="O2508" t="str">
            <v>Управління НБУ в Донец.обл.</v>
          </cell>
        </row>
        <row r="2509">
          <cell r="A2509">
            <v>334516</v>
          </cell>
          <cell r="B2509">
            <v>300012</v>
          </cell>
          <cell r="D2509">
            <v>0</v>
          </cell>
          <cell r="E2509">
            <v>3</v>
          </cell>
          <cell r="F2509">
            <v>0</v>
          </cell>
          <cell r="G2509" t="str">
            <v>3</v>
          </cell>
          <cell r="H2509">
            <v>312</v>
          </cell>
          <cell r="I2509" t="str">
            <v>Ф."Ц.-МІС. В.ПІБ В М.МАКІЇВКА ДОН.ОБЛ"</v>
          </cell>
          <cell r="J2509" t="str">
            <v>Ф.Ц-МІСЬК.ВІД.ПІБ МАКІЇВКА</v>
          </cell>
          <cell r="K2509" t="str">
            <v>UDAM</v>
          </cell>
          <cell r="L2509" t="str">
            <v>UDA0</v>
          </cell>
          <cell r="M2509">
            <v>4</v>
          </cell>
          <cell r="N2509">
            <v>26</v>
          </cell>
          <cell r="O2509" t="str">
            <v>Управління НБУ в Донец.обл.</v>
          </cell>
        </row>
        <row r="2510">
          <cell r="A2510">
            <v>334550</v>
          </cell>
          <cell r="B2510">
            <v>300012</v>
          </cell>
          <cell r="D2510">
            <v>0</v>
          </cell>
          <cell r="E2510">
            <v>3</v>
          </cell>
          <cell r="F2510">
            <v>0</v>
          </cell>
          <cell r="G2510" t="str">
            <v>3</v>
          </cell>
          <cell r="H2510">
            <v>329</v>
          </cell>
          <cell r="I2510" t="str">
            <v>Ф."ВІД.ПІБ В М.КОСТЯНТИНІВКА ДОН.ОБЛ."</v>
          </cell>
          <cell r="J2510" t="str">
            <v>Ф."ВІД.ПІБ В М.КОСТЯНТИН."</v>
          </cell>
          <cell r="K2510" t="str">
            <v>UDBC</v>
          </cell>
          <cell r="L2510" t="str">
            <v>UDA0</v>
          </cell>
          <cell r="M2510">
            <v>4</v>
          </cell>
          <cell r="N2510">
            <v>26</v>
          </cell>
          <cell r="O2510" t="str">
            <v>Управління НБУ в Донец.обл.</v>
          </cell>
        </row>
        <row r="2511">
          <cell r="A2511">
            <v>334561</v>
          </cell>
          <cell r="B2511">
            <v>300012</v>
          </cell>
          <cell r="D2511">
            <v>0</v>
          </cell>
          <cell r="E2511">
            <v>3</v>
          </cell>
          <cell r="F2511">
            <v>0</v>
          </cell>
          <cell r="G2511" t="str">
            <v>3</v>
          </cell>
          <cell r="H2511">
            <v>346</v>
          </cell>
          <cell r="I2511" t="str">
            <v>Ф."ВІД. ПІБ В М.СЛОВ`ЯНСЬК ДОНЕЦ.ОБЛ."</v>
          </cell>
          <cell r="J2511" t="str">
            <v>Ф."ВІД.ПІБ В М.СЛОВ"ЯНСЬК"</v>
          </cell>
          <cell r="K2511" t="str">
            <v>UDBK</v>
          </cell>
          <cell r="L2511" t="str">
            <v>UDA0</v>
          </cell>
          <cell r="M2511">
            <v>4</v>
          </cell>
          <cell r="N2511">
            <v>26</v>
          </cell>
          <cell r="O2511" t="str">
            <v>Управління НБУ в Донец.обл.</v>
          </cell>
        </row>
        <row r="2512">
          <cell r="A2512">
            <v>334594</v>
          </cell>
          <cell r="B2512">
            <v>334594</v>
          </cell>
          <cell r="C2512" t="str">
            <v>ВАТ "ПроФін Банк"</v>
          </cell>
          <cell r="D2512">
            <v>53</v>
          </cell>
          <cell r="E2512">
            <v>53</v>
          </cell>
          <cell r="F2512">
            <v>0</v>
          </cell>
          <cell r="G2512" t="str">
            <v>B</v>
          </cell>
          <cell r="H2512">
            <v>701</v>
          </cell>
          <cell r="I2512" t="str">
            <v>ВАТ "ПроФін Банк"</v>
          </cell>
          <cell r="J2512" t="str">
            <v>ВАТ "ПроФін Банк"</v>
          </cell>
          <cell r="K2512" t="str">
            <v>UDIA</v>
          </cell>
          <cell r="L2512" t="str">
            <v>UDIA</v>
          </cell>
          <cell r="M2512">
            <v>4</v>
          </cell>
          <cell r="N2512">
            <v>4</v>
          </cell>
          <cell r="O2512" t="str">
            <v>Управління НБУ в Донец.обл.</v>
          </cell>
        </row>
        <row r="2513">
          <cell r="A2513">
            <v>334613</v>
          </cell>
          <cell r="B2513">
            <v>300012</v>
          </cell>
          <cell r="D2513">
            <v>0</v>
          </cell>
          <cell r="E2513">
            <v>3</v>
          </cell>
          <cell r="F2513">
            <v>0</v>
          </cell>
          <cell r="G2513" t="str">
            <v>3</v>
          </cell>
          <cell r="H2513">
            <v>322</v>
          </cell>
          <cell r="I2513" t="str">
            <v>Ф."ВІД. ПІБ В М.ШАХТАРСЬК ДОНЕЦ.ОБЛ."</v>
          </cell>
          <cell r="J2513" t="str">
            <v>Ф."ВІД.ПІБ В М.ШАХТАРСЬК ДО</v>
          </cell>
          <cell r="K2513" t="str">
            <v>UDAW</v>
          </cell>
          <cell r="L2513" t="str">
            <v>UDA0</v>
          </cell>
          <cell r="M2513">
            <v>4</v>
          </cell>
          <cell r="N2513">
            <v>26</v>
          </cell>
          <cell r="O2513" t="str">
            <v>Управління НБУ в Донец.обл.</v>
          </cell>
        </row>
        <row r="2514">
          <cell r="A2514">
            <v>334624</v>
          </cell>
          <cell r="B2514">
            <v>300001</v>
          </cell>
          <cell r="D2514">
            <v>0</v>
          </cell>
          <cell r="E2514">
            <v>1</v>
          </cell>
          <cell r="F2514">
            <v>0</v>
          </cell>
          <cell r="G2514" t="str">
            <v>1</v>
          </cell>
          <cell r="H2514">
            <v>105</v>
          </cell>
          <cell r="I2514" t="str">
            <v>УПРАВЛІННЯ НБУ В ДОНЕЦЬКІЙ ОБЛАСТІ</v>
          </cell>
          <cell r="J2514" t="str">
            <v>Упр. НБУ в Донецькій обл.</v>
          </cell>
          <cell r="K2514" t="str">
            <v>UDHA</v>
          </cell>
          <cell r="L2514" t="str">
            <v>UDH0</v>
          </cell>
          <cell r="M2514">
            <v>4</v>
          </cell>
          <cell r="N2514">
            <v>27</v>
          </cell>
          <cell r="O2514" t="str">
            <v>Управління НБУ в Донец.обл.</v>
          </cell>
        </row>
        <row r="2515">
          <cell r="A2515">
            <v>334635</v>
          </cell>
          <cell r="B2515">
            <v>300012</v>
          </cell>
          <cell r="D2515">
            <v>0</v>
          </cell>
          <cell r="E2515">
            <v>3</v>
          </cell>
          <cell r="F2515">
            <v>0</v>
          </cell>
          <cell r="G2515" t="str">
            <v>3</v>
          </cell>
          <cell r="H2515">
            <v>337</v>
          </cell>
          <cell r="I2515" t="str">
            <v>Ф."ГУ ПІБ В ДОНЕЦЬКІЙ.ОБЛ.", М.ДОНЕЦЬК</v>
          </cell>
          <cell r="J2515" t="str">
            <v>Ф-я"ГУ ПІБ В ДОНЕЦЬКІЙ ОБЛ.</v>
          </cell>
          <cell r="K2515" t="str">
            <v>UDAA</v>
          </cell>
          <cell r="L2515" t="str">
            <v>UDA0</v>
          </cell>
          <cell r="M2515">
            <v>4</v>
          </cell>
          <cell r="N2515">
            <v>26</v>
          </cell>
          <cell r="O2515" t="str">
            <v>Управління НБУ в Донец.обл.</v>
          </cell>
        </row>
        <row r="2516">
          <cell r="A2516">
            <v>334646</v>
          </cell>
          <cell r="B2516">
            <v>300012</v>
          </cell>
          <cell r="D2516">
            <v>0</v>
          </cell>
          <cell r="E2516">
            <v>3</v>
          </cell>
          <cell r="F2516">
            <v>0</v>
          </cell>
          <cell r="G2516" t="str">
            <v>3</v>
          </cell>
          <cell r="H2516">
            <v>325</v>
          </cell>
          <cell r="I2516" t="str">
            <v>Ф."ВІД. ПІБ В М.ВОЛНОВАХА ДОНЕЦЬК.ОБЛ"</v>
          </cell>
          <cell r="J2516" t="str">
            <v>Ф."ВІД.ПІБ В М.ВОЛНОВАХА"</v>
          </cell>
          <cell r="K2516" t="str">
            <v>UDAZ</v>
          </cell>
          <cell r="L2516" t="str">
            <v>UDA0</v>
          </cell>
          <cell r="M2516">
            <v>4</v>
          </cell>
          <cell r="N2516">
            <v>26</v>
          </cell>
          <cell r="O2516" t="str">
            <v>Управління НБУ в Донец.обл.</v>
          </cell>
        </row>
        <row r="2517">
          <cell r="A2517">
            <v>334754</v>
          </cell>
          <cell r="B2517">
            <v>300012</v>
          </cell>
          <cell r="D2517">
            <v>0</v>
          </cell>
          <cell r="E2517">
            <v>3</v>
          </cell>
          <cell r="F2517">
            <v>0</v>
          </cell>
          <cell r="G2517" t="str">
            <v>3</v>
          </cell>
          <cell r="H2517">
            <v>336</v>
          </cell>
          <cell r="I2517" t="str">
            <v>Ф."ВІД. ПІБ В М.КІРОВСЬКЕ ДОНЕЦЬК.ОБЛ"</v>
          </cell>
          <cell r="J2517" t="str">
            <v>Ф."ВІД.ПІБ В М.КІРОВСЬКЕ ДО</v>
          </cell>
          <cell r="K2517" t="str">
            <v>UDBF</v>
          </cell>
          <cell r="L2517" t="str">
            <v>UDA0</v>
          </cell>
          <cell r="M2517">
            <v>4</v>
          </cell>
          <cell r="N2517">
            <v>26</v>
          </cell>
          <cell r="O2517" t="str">
            <v>Управління НБУ в Донец.обл.</v>
          </cell>
        </row>
        <row r="2518">
          <cell r="A2518">
            <v>334765</v>
          </cell>
          <cell r="B2518">
            <v>300012</v>
          </cell>
          <cell r="D2518">
            <v>0</v>
          </cell>
          <cell r="E2518">
            <v>3</v>
          </cell>
          <cell r="F2518">
            <v>0</v>
          </cell>
          <cell r="G2518" t="str">
            <v>3</v>
          </cell>
          <cell r="H2518">
            <v>340</v>
          </cell>
          <cell r="I2518" t="str">
            <v>Ф."СТАРОБЕШ.В.ПІБ В М.КОМС-КЕ ДОН.ОБЛ"</v>
          </cell>
          <cell r="J2518" t="str">
            <v>Ф."СТАРОБЕШ.ВІД.ПІБ КОМСОМ"</v>
          </cell>
          <cell r="K2518" t="str">
            <v>UDBI</v>
          </cell>
          <cell r="L2518" t="str">
            <v>UDA0</v>
          </cell>
          <cell r="M2518">
            <v>4</v>
          </cell>
          <cell r="N2518">
            <v>26</v>
          </cell>
          <cell r="O2518" t="str">
            <v>Управління НБУ в Донец.обл.</v>
          </cell>
        </row>
        <row r="2519">
          <cell r="A2519">
            <v>334806</v>
          </cell>
          <cell r="B2519">
            <v>300012</v>
          </cell>
          <cell r="D2519">
            <v>0</v>
          </cell>
          <cell r="E2519">
            <v>3</v>
          </cell>
          <cell r="F2519">
            <v>0</v>
          </cell>
          <cell r="G2519" t="str">
            <v>3</v>
          </cell>
          <cell r="H2519">
            <v>341</v>
          </cell>
          <cell r="I2519" t="str">
            <v>Ф."ВІД. ПІБ В М.ДИМИТРОВ ДОНЕЦЬК.ОБЛ."</v>
          </cell>
          <cell r="J2519" t="str">
            <v>Ф."ВІД.ПІБ В М.ДИМИТРОВ</v>
          </cell>
          <cell r="K2519" t="str">
            <v>UDBJ</v>
          </cell>
          <cell r="L2519" t="str">
            <v>UDA0</v>
          </cell>
          <cell r="M2519">
            <v>4</v>
          </cell>
          <cell r="N2519">
            <v>26</v>
          </cell>
          <cell r="O2519" t="str">
            <v>Управління НБУ в Донец.обл.</v>
          </cell>
        </row>
        <row r="2520">
          <cell r="A2520">
            <v>334817</v>
          </cell>
          <cell r="B2520">
            <v>322313</v>
          </cell>
          <cell r="D2520">
            <v>0</v>
          </cell>
          <cell r="E2520">
            <v>2</v>
          </cell>
          <cell r="F2520">
            <v>0</v>
          </cell>
          <cell r="G2520" t="str">
            <v>2</v>
          </cell>
          <cell r="H2520">
            <v>209</v>
          </cell>
          <cell r="I2520" t="str">
            <v>Ф-Я ВАТ "УКРЕКСІМБАНК", М.ДОНЕЦЬК</v>
          </cell>
          <cell r="J2520" t="str">
            <v>Ф-я Укрексiмбанк, м.Донецьк</v>
          </cell>
          <cell r="K2520" t="str">
            <v>UDGA</v>
          </cell>
          <cell r="L2520" t="str">
            <v>UDGA</v>
          </cell>
          <cell r="M2520">
            <v>4</v>
          </cell>
          <cell r="N2520">
            <v>26</v>
          </cell>
          <cell r="O2520" t="str">
            <v>Управління НБУ в Донец.обл.</v>
          </cell>
        </row>
        <row r="2521">
          <cell r="A2521">
            <v>334828</v>
          </cell>
          <cell r="B2521">
            <v>334828</v>
          </cell>
          <cell r="C2521" t="str">
            <v>ВАТ"АКБ "КАПІТАЛ"</v>
          </cell>
          <cell r="D2521">
            <v>57</v>
          </cell>
          <cell r="E2521">
            <v>57</v>
          </cell>
          <cell r="F2521">
            <v>0</v>
          </cell>
          <cell r="G2521" t="str">
            <v>8</v>
          </cell>
          <cell r="H2521">
            <v>705</v>
          </cell>
          <cell r="I2521" t="str">
            <v>ВАТ "АКЦ.-КОМ.БАНК "КАПІТАЛ",М.ДОНЕЦЬК</v>
          </cell>
          <cell r="J2521" t="str">
            <v>ВАТ"АКБ "КАПІТАЛ"</v>
          </cell>
          <cell r="K2521" t="str">
            <v>UDIE</v>
          </cell>
          <cell r="L2521" t="str">
            <v>UDIE</v>
          </cell>
          <cell r="M2521">
            <v>4</v>
          </cell>
          <cell r="N2521">
            <v>4</v>
          </cell>
          <cell r="O2521" t="str">
            <v>Управління НБУ в Донец.обл.</v>
          </cell>
        </row>
        <row r="2522">
          <cell r="A2522">
            <v>334840</v>
          </cell>
          <cell r="B2522">
            <v>334840</v>
          </cell>
          <cell r="C2522" t="str">
            <v>ТОВ "Банк Фамільний"</v>
          </cell>
          <cell r="D2522">
            <v>72</v>
          </cell>
          <cell r="E2522">
            <v>72</v>
          </cell>
          <cell r="F2522">
            <v>0</v>
          </cell>
          <cell r="G2522" t="str">
            <v>8</v>
          </cell>
          <cell r="H2522">
            <v>707</v>
          </cell>
          <cell r="I2522" t="str">
            <v>ТОВ "БАНК ФАМІЛЬНИЙ", ДОНЕЦЬК</v>
          </cell>
          <cell r="J2522" t="str">
            <v>ТОВ "Банк Фамільний"</v>
          </cell>
          <cell r="K2522" t="str">
            <v>UDIG</v>
          </cell>
          <cell r="L2522" t="str">
            <v>UDIG</v>
          </cell>
          <cell r="M2522">
            <v>4</v>
          </cell>
          <cell r="N2522">
            <v>4</v>
          </cell>
          <cell r="O2522" t="str">
            <v>Управління НБУ в Донец.обл.</v>
          </cell>
        </row>
        <row r="2523">
          <cell r="A2523">
            <v>334851</v>
          </cell>
          <cell r="B2523">
            <v>334851</v>
          </cell>
          <cell r="C2523" t="str">
            <v>ЗАТ "ПУМБ"</v>
          </cell>
          <cell r="D2523">
            <v>115</v>
          </cell>
          <cell r="E2523">
            <v>115</v>
          </cell>
          <cell r="F2523">
            <v>0</v>
          </cell>
          <cell r="G2523" t="str">
            <v>8</v>
          </cell>
          <cell r="H2523">
            <v>708</v>
          </cell>
          <cell r="I2523" t="str">
            <v>ЗАТ "ПУМБ"</v>
          </cell>
          <cell r="J2523" t="str">
            <v>ЗАТ "ПУМБ"</v>
          </cell>
          <cell r="K2523" t="str">
            <v>UDIH</v>
          </cell>
          <cell r="L2523" t="str">
            <v>UDIH</v>
          </cell>
          <cell r="M2523">
            <v>4</v>
          </cell>
          <cell r="N2523">
            <v>4</v>
          </cell>
          <cell r="O2523" t="str">
            <v>Управління НБУ в Донец.обл.</v>
          </cell>
        </row>
        <row r="2524">
          <cell r="A2524">
            <v>334862</v>
          </cell>
          <cell r="B2524">
            <v>320003</v>
          </cell>
          <cell r="D2524">
            <v>0</v>
          </cell>
          <cell r="E2524">
            <v>225</v>
          </cell>
          <cell r="F2524">
            <v>0</v>
          </cell>
          <cell r="G2524" t="str">
            <v>B</v>
          </cell>
          <cell r="H2524">
            <v>712</v>
          </cell>
          <cell r="I2524" t="str">
            <v>Ф ВАТ КБ "НАДРА" Донецьке РУ</v>
          </cell>
          <cell r="J2524" t="str">
            <v>Ф ВАТ КБ"Надра"ДонецькеРУ</v>
          </cell>
          <cell r="K2524" t="str">
            <v>UDIL</v>
          </cell>
          <cell r="L2524" t="str">
            <v>UDIL</v>
          </cell>
          <cell r="M2524">
            <v>4</v>
          </cell>
          <cell r="N2524">
            <v>26</v>
          </cell>
          <cell r="O2524" t="str">
            <v>Управління НБУ в Донец.обл.</v>
          </cell>
        </row>
        <row r="2525">
          <cell r="A2525">
            <v>334873</v>
          </cell>
          <cell r="B2525">
            <v>300142</v>
          </cell>
          <cell r="D2525">
            <v>0</v>
          </cell>
          <cell r="E2525">
            <v>18</v>
          </cell>
          <cell r="F2525">
            <v>0</v>
          </cell>
          <cell r="G2525" t="str">
            <v>8</v>
          </cell>
          <cell r="H2525">
            <v>726</v>
          </cell>
          <cell r="I2525" t="str">
            <v>ДОНЕЦЬКА ФАТ"УКРІНБАНК" М.ДОНЕЦЬК</v>
          </cell>
          <cell r="J2525" t="str">
            <v>Донецька ФАТ"Укрінбанк"</v>
          </cell>
          <cell r="K2525" t="str">
            <v>UDIS</v>
          </cell>
          <cell r="L2525" t="str">
            <v>UDIS</v>
          </cell>
          <cell r="M2525">
            <v>4</v>
          </cell>
          <cell r="N2525">
            <v>26</v>
          </cell>
          <cell r="O2525" t="str">
            <v>Управління НБУ в Донец.обл.</v>
          </cell>
        </row>
        <row r="2526">
          <cell r="A2526">
            <v>334895</v>
          </cell>
          <cell r="B2526">
            <v>334895</v>
          </cell>
          <cell r="C2526" t="str">
            <v>"ДОНВУГЛЕКОМБАНК"</v>
          </cell>
          <cell r="D2526">
            <v>54</v>
          </cell>
          <cell r="E2526">
            <v>54</v>
          </cell>
          <cell r="F2526">
            <v>0</v>
          </cell>
          <cell r="G2526" t="str">
            <v>8</v>
          </cell>
          <cell r="H2526">
            <v>702</v>
          </cell>
          <cell r="I2526" t="str">
            <v>АБ "ДОНВУГЛЕКОМБАНК"  М.ДОНЕЦЬК</v>
          </cell>
          <cell r="J2526" t="str">
            <v>"ДОНВУГЛЕКОМБАНК"</v>
          </cell>
          <cell r="K2526" t="str">
            <v>UDIB</v>
          </cell>
          <cell r="L2526" t="str">
            <v>UDIB</v>
          </cell>
          <cell r="M2526">
            <v>4</v>
          </cell>
          <cell r="N2526">
            <v>4</v>
          </cell>
          <cell r="O2526" t="str">
            <v>Управління НБУ в Донец.обл.</v>
          </cell>
        </row>
        <row r="2527">
          <cell r="A2527">
            <v>334914</v>
          </cell>
          <cell r="B2527">
            <v>300012</v>
          </cell>
          <cell r="D2527">
            <v>0</v>
          </cell>
          <cell r="E2527">
            <v>3</v>
          </cell>
          <cell r="F2527">
            <v>0</v>
          </cell>
          <cell r="G2527" t="str">
            <v>3</v>
          </cell>
          <cell r="H2527">
            <v>349</v>
          </cell>
          <cell r="I2527" t="str">
            <v>ФІЛІЯ"ПУТІЛОВСЬКЕ ВІД.ПІБ В М.ДОНЕЦЬК"</v>
          </cell>
          <cell r="J2527" t="str">
            <v>Ф."ПУТІЛОВ. ВІД.ПІБ В М.ДОН</v>
          </cell>
          <cell r="K2527" t="str">
            <v>UDBM</v>
          </cell>
          <cell r="L2527" t="str">
            <v>UDA0</v>
          </cell>
          <cell r="M2527">
            <v>4</v>
          </cell>
          <cell r="N2527">
            <v>26</v>
          </cell>
          <cell r="O2527" t="str">
            <v>Управління НБУ в Донец.обл.</v>
          </cell>
        </row>
        <row r="2528">
          <cell r="A2528">
            <v>334969</v>
          </cell>
          <cell r="B2528">
            <v>334969</v>
          </cell>
          <cell r="C2528" t="str">
            <v>АБ "УкрБізнесБанк"</v>
          </cell>
          <cell r="D2528">
            <v>186</v>
          </cell>
          <cell r="E2528">
            <v>186</v>
          </cell>
          <cell r="F2528">
            <v>0</v>
          </cell>
          <cell r="G2528" t="str">
            <v>B</v>
          </cell>
          <cell r="H2528">
            <v>719</v>
          </cell>
          <cell r="I2528" t="str">
            <v>АБ "УКРАЇНСЬКИЙ БІЗНЕС БАНК", ДОНЕЦЬК</v>
          </cell>
          <cell r="J2528" t="str">
            <v>АБ "УкрБізнесБанк"</v>
          </cell>
          <cell r="K2528" t="str">
            <v>UDIV</v>
          </cell>
          <cell r="L2528" t="str">
            <v>UDIV</v>
          </cell>
          <cell r="M2528">
            <v>4</v>
          </cell>
          <cell r="N2528">
            <v>4</v>
          </cell>
          <cell r="O2528" t="str">
            <v>Управління НБУ в Донец.обл.</v>
          </cell>
        </row>
        <row r="2529">
          <cell r="A2529">
            <v>334970</v>
          </cell>
          <cell r="B2529">
            <v>334970</v>
          </cell>
          <cell r="C2529" t="str">
            <v>ЗАТ "ДОНГОРБАНК"</v>
          </cell>
          <cell r="D2529">
            <v>139</v>
          </cell>
          <cell r="E2529">
            <v>139</v>
          </cell>
          <cell r="F2529">
            <v>0</v>
          </cell>
          <cell r="G2529" t="str">
            <v>8</v>
          </cell>
          <cell r="H2529">
            <v>710</v>
          </cell>
          <cell r="I2529" t="str">
            <v>ЗАТ "ДОНГОРБАНК", М.ДОНЕЦЬК</v>
          </cell>
          <cell r="J2529" t="str">
            <v>ЗАТ "ДОНГОРБАНК"</v>
          </cell>
          <cell r="K2529" t="str">
            <v>UDIJ</v>
          </cell>
          <cell r="L2529" t="str">
            <v>UDIJ</v>
          </cell>
          <cell r="M2529">
            <v>4</v>
          </cell>
          <cell r="N2529">
            <v>4</v>
          </cell>
          <cell r="O2529" t="str">
            <v>Управління НБУ в Донец.обл.</v>
          </cell>
        </row>
        <row r="2530">
          <cell r="A2530">
            <v>334992</v>
          </cell>
          <cell r="B2530">
            <v>334992</v>
          </cell>
          <cell r="C2530" t="str">
            <v>ВАТ КБ "ПРОМЕКОНОМБАНК"</v>
          </cell>
          <cell r="D2530">
            <v>59</v>
          </cell>
          <cell r="E2530">
            <v>59</v>
          </cell>
          <cell r="F2530">
            <v>0</v>
          </cell>
          <cell r="G2530" t="str">
            <v>8</v>
          </cell>
          <cell r="H2530">
            <v>770</v>
          </cell>
          <cell r="I2530" t="str">
            <v>ВАТ КБ "ПРОМЕКОНОМБАНК", ДОНЕЦЬК</v>
          </cell>
          <cell r="J2530" t="str">
            <v>ВАТ КБ "ПРОМЕКОНОМБАНК"</v>
          </cell>
          <cell r="K2530" t="str">
            <v>UDIT</v>
          </cell>
          <cell r="L2530" t="str">
            <v>UDIT</v>
          </cell>
          <cell r="M2530">
            <v>4</v>
          </cell>
          <cell r="N2530">
            <v>4</v>
          </cell>
          <cell r="O2530" t="str">
            <v>Управління НБУ в Донец.обл.</v>
          </cell>
        </row>
        <row r="2531">
          <cell r="A2531">
            <v>335009</v>
          </cell>
          <cell r="B2531">
            <v>300926</v>
          </cell>
          <cell r="D2531">
            <v>0</v>
          </cell>
          <cell r="E2531">
            <v>899</v>
          </cell>
          <cell r="F2531">
            <v>0</v>
          </cell>
          <cell r="G2531" t="str">
            <v>8</v>
          </cell>
          <cell r="H2531">
            <v>807</v>
          </cell>
          <cell r="I2531" t="str">
            <v>ФІЛІЯ АТ "УФГ" В М.ДОНЕЦЬК</v>
          </cell>
          <cell r="J2531" t="str">
            <v>Філія АТ "УФГ" в м.Донецьк</v>
          </cell>
          <cell r="K2531" t="str">
            <v>UDW1</v>
          </cell>
          <cell r="L2531" t="str">
            <v>U1WF</v>
          </cell>
          <cell r="M2531">
            <v>4</v>
          </cell>
          <cell r="N2531">
            <v>26</v>
          </cell>
          <cell r="O2531" t="str">
            <v>Управління НБУ в Донец.обл.</v>
          </cell>
        </row>
        <row r="2532">
          <cell r="A2532">
            <v>335076</v>
          </cell>
          <cell r="B2532">
            <v>300335</v>
          </cell>
          <cell r="D2532">
            <v>0</v>
          </cell>
          <cell r="E2532">
            <v>36</v>
          </cell>
          <cell r="F2532">
            <v>0</v>
          </cell>
          <cell r="G2532" t="str">
            <v>7</v>
          </cell>
          <cell r="H2532">
            <v>732</v>
          </cell>
          <cell r="I2532" t="str">
            <v>ОБЛ.ДИР."РАЙФФАЙЗЕН БАНК АВАЛЬ"ДОНЕЦЬК</v>
          </cell>
          <cell r="J2532" t="str">
            <v>Донецька обл.дирекція "РБА"</v>
          </cell>
          <cell r="K2532" t="str">
            <v>UDJC</v>
          </cell>
          <cell r="L2532" t="str">
            <v>UDJC</v>
          </cell>
          <cell r="M2532">
            <v>4</v>
          </cell>
          <cell r="N2532">
            <v>26</v>
          </cell>
          <cell r="O2532" t="str">
            <v>Управління НБУ в Донец.обл.</v>
          </cell>
        </row>
        <row r="2533">
          <cell r="A2533">
            <v>335106</v>
          </cell>
          <cell r="B2533">
            <v>300465</v>
          </cell>
          <cell r="D2533">
            <v>0</v>
          </cell>
          <cell r="E2533">
            <v>6</v>
          </cell>
          <cell r="F2533">
            <v>0</v>
          </cell>
          <cell r="G2533" t="str">
            <v>6</v>
          </cell>
          <cell r="H2533">
            <v>602</v>
          </cell>
          <cell r="I2533" t="str">
            <v>ФДОНЕЦЬКЕ ОБЛАСНЕ УП ВАТОЩАД М.ДОНЕЦЬК</v>
          </cell>
          <cell r="J2533" t="str">
            <v>ФДонецьке обласне упВАТОщад</v>
          </cell>
          <cell r="K2533" t="str">
            <v>UDLA</v>
          </cell>
          <cell r="L2533" t="str">
            <v>UDLA</v>
          </cell>
          <cell r="M2533">
            <v>4</v>
          </cell>
          <cell r="N2533">
            <v>26</v>
          </cell>
          <cell r="O2533" t="str">
            <v>Управління НБУ в Донец.обл.</v>
          </cell>
        </row>
        <row r="2534">
          <cell r="A2534">
            <v>335151</v>
          </cell>
          <cell r="B2534">
            <v>300465</v>
          </cell>
          <cell r="D2534">
            <v>0</v>
          </cell>
          <cell r="E2534">
            <v>6</v>
          </cell>
          <cell r="F2534">
            <v>0</v>
          </cell>
          <cell r="G2534" t="str">
            <v>6</v>
          </cell>
          <cell r="H2534">
            <v>636</v>
          </cell>
          <cell r="I2534" t="str">
            <v>ФХАРЦИЗЬКЕ ВІДДІЛЕН ВАТОЩАД М.ХАРЦИЗЬК</v>
          </cell>
          <cell r="J2534" t="str">
            <v>ФХарцизьке відділеннВАТОщад</v>
          </cell>
          <cell r="K2534" t="str">
            <v>UDLB</v>
          </cell>
          <cell r="L2534" t="str">
            <v>UDLA</v>
          </cell>
          <cell r="M2534">
            <v>4</v>
          </cell>
          <cell r="N2534">
            <v>26</v>
          </cell>
          <cell r="O2534" t="str">
            <v>Управління НБУ в Донец.обл.</v>
          </cell>
        </row>
        <row r="2535">
          <cell r="A2535">
            <v>335300</v>
          </cell>
          <cell r="B2535">
            <v>322603</v>
          </cell>
          <cell r="D2535">
            <v>0</v>
          </cell>
          <cell r="E2535">
            <v>216</v>
          </cell>
          <cell r="F2535">
            <v>0</v>
          </cell>
          <cell r="G2535" t="str">
            <v>8</v>
          </cell>
          <cell r="H2535">
            <v>723</v>
          </cell>
          <cell r="I2535" t="str">
            <v>МФ ВАТ БАНКУ "БІГ ЕНЕРГІЯ" М.МАРІУПОЛЬ</v>
          </cell>
          <cell r="J2535" t="str">
            <v>МФ ВАТ Банку "БІГ Енергія"</v>
          </cell>
          <cell r="K2535" t="str">
            <v>UDKR</v>
          </cell>
          <cell r="L2535" t="str">
            <v>UDKR</v>
          </cell>
          <cell r="M2535">
            <v>4</v>
          </cell>
          <cell r="N2535">
            <v>26</v>
          </cell>
          <cell r="O2535" t="str">
            <v>Управління НБУ в Донец.обл.</v>
          </cell>
        </row>
        <row r="2536">
          <cell r="A2536">
            <v>335322</v>
          </cell>
          <cell r="B2536">
            <v>300012</v>
          </cell>
          <cell r="D2536">
            <v>0</v>
          </cell>
          <cell r="E2536">
            <v>3</v>
          </cell>
          <cell r="F2536">
            <v>0</v>
          </cell>
          <cell r="G2536" t="str">
            <v>3</v>
          </cell>
          <cell r="H2536">
            <v>350</v>
          </cell>
          <cell r="I2536" t="str">
            <v>ФІЛІЯ"КАЛЬМІУСЬКЕ ВІД.ПІБ В М.ДОНЕЦЬК"</v>
          </cell>
          <cell r="J2536" t="str">
            <v>Ф."КАЛЬМІУС. ВІД.ПІБ В ДОН.</v>
          </cell>
          <cell r="K2536" t="str">
            <v>UDBN</v>
          </cell>
          <cell r="L2536" t="str">
            <v>UDA0</v>
          </cell>
          <cell r="M2536">
            <v>4</v>
          </cell>
          <cell r="N2536">
            <v>26</v>
          </cell>
          <cell r="O2536" t="str">
            <v>Управління НБУ в Донец.обл.</v>
          </cell>
        </row>
        <row r="2537">
          <cell r="A2537">
            <v>335429</v>
          </cell>
          <cell r="B2537">
            <v>305299</v>
          </cell>
          <cell r="D2537">
            <v>0</v>
          </cell>
          <cell r="E2537">
            <v>46</v>
          </cell>
          <cell r="F2537">
            <v>0</v>
          </cell>
          <cell r="G2537" t="str">
            <v>A</v>
          </cell>
          <cell r="H2537">
            <v>764</v>
          </cell>
          <cell r="I2537" t="str">
            <v>МАРІУПОЛЬС.Ф.ПРИВАТБАНКУ М.МАРІУПОЛЬ</v>
          </cell>
          <cell r="J2537" t="str">
            <v>Маріупол.філія ПриватБанку</v>
          </cell>
          <cell r="K2537" t="str">
            <v>UDKF</v>
          </cell>
          <cell r="L2537" t="str">
            <v>UDKF</v>
          </cell>
          <cell r="M2537">
            <v>4</v>
          </cell>
          <cell r="N2537">
            <v>3</v>
          </cell>
          <cell r="O2537" t="str">
            <v>Управління НБУ в Донец.обл.</v>
          </cell>
        </row>
        <row r="2538">
          <cell r="A2538">
            <v>335441</v>
          </cell>
          <cell r="B2538">
            <v>300272</v>
          </cell>
          <cell r="D2538">
            <v>0</v>
          </cell>
          <cell r="E2538">
            <v>31</v>
          </cell>
          <cell r="F2538">
            <v>0</v>
          </cell>
          <cell r="G2538" t="str">
            <v>B</v>
          </cell>
          <cell r="H2538">
            <v>766</v>
          </cell>
          <cell r="I2538" t="str">
            <v>ФІЛІЯ АБ "ЕНЕРГОБАНК" В М.КУРАХОВЕ</v>
          </cell>
          <cell r="J2538" t="str">
            <v>ФАБ"Енергобанк"в м.Курахове</v>
          </cell>
          <cell r="K2538" t="str">
            <v>UDKH</v>
          </cell>
          <cell r="L2538" t="str">
            <v>UDKH</v>
          </cell>
          <cell r="M2538">
            <v>4</v>
          </cell>
          <cell r="N2538">
            <v>26</v>
          </cell>
          <cell r="O2538" t="str">
            <v>Управління НБУ в Донец.обл.</v>
          </cell>
        </row>
        <row r="2539">
          <cell r="A2539">
            <v>335496</v>
          </cell>
          <cell r="B2539">
            <v>305299</v>
          </cell>
          <cell r="D2539">
            <v>0</v>
          </cell>
          <cell r="E2539">
            <v>46</v>
          </cell>
          <cell r="F2539">
            <v>0</v>
          </cell>
          <cell r="G2539" t="str">
            <v>A</v>
          </cell>
          <cell r="H2539">
            <v>761</v>
          </cell>
          <cell r="I2539" t="str">
            <v>ДОНЕЦЬКЕ РУ ПРИВАТБАНКУ, М.ДОНЕЦЬК</v>
          </cell>
          <cell r="J2539" t="str">
            <v>Донецьке РУ ПриватБанку</v>
          </cell>
          <cell r="K2539" t="str">
            <v>UDKC</v>
          </cell>
          <cell r="L2539" t="str">
            <v>UDKC</v>
          </cell>
          <cell r="M2539">
            <v>4</v>
          </cell>
          <cell r="N2539">
            <v>3</v>
          </cell>
          <cell r="O2539" t="str">
            <v>Управління НБУ в Донец.обл.</v>
          </cell>
        </row>
        <row r="2540">
          <cell r="A2540">
            <v>335515</v>
          </cell>
          <cell r="B2540">
            <v>305299</v>
          </cell>
          <cell r="D2540">
            <v>0</v>
          </cell>
          <cell r="E2540">
            <v>46</v>
          </cell>
          <cell r="F2540">
            <v>0</v>
          </cell>
          <cell r="G2540" t="str">
            <v>A</v>
          </cell>
          <cell r="H2540">
            <v>773</v>
          </cell>
          <cell r="I2540" t="str">
            <v>ГОРЛІВСЬКА ФІЛ. ПРИВАТБАНКУ М.ГОРЛІВКА</v>
          </cell>
          <cell r="J2540" t="str">
            <v>Горлівська ф-я ПриватБанку</v>
          </cell>
          <cell r="K2540" t="str">
            <v>UDKN</v>
          </cell>
          <cell r="L2540" t="str">
            <v>UDKN</v>
          </cell>
          <cell r="M2540">
            <v>4</v>
          </cell>
          <cell r="N2540">
            <v>3</v>
          </cell>
          <cell r="O2540" t="str">
            <v>Управління НБУ в Донец.обл.</v>
          </cell>
        </row>
        <row r="2541">
          <cell r="A2541">
            <v>335537</v>
          </cell>
          <cell r="B2541">
            <v>334851</v>
          </cell>
          <cell r="D2541">
            <v>0</v>
          </cell>
          <cell r="E2541">
            <v>115</v>
          </cell>
          <cell r="F2541">
            <v>0</v>
          </cell>
          <cell r="G2541" t="str">
            <v>8</v>
          </cell>
          <cell r="H2541">
            <v>775</v>
          </cell>
          <cell r="I2541" t="str">
            <v>ФІЛІЯ ЗАТ "ПУМБ" В М.ДОНЕЦЬКУ</v>
          </cell>
          <cell r="J2541" t="str">
            <v>Філія ЗАТ ПУМБ в м.Донецьку</v>
          </cell>
          <cell r="K2541" t="str">
            <v>UDKP</v>
          </cell>
          <cell r="L2541" t="str">
            <v>UDKP</v>
          </cell>
          <cell r="M2541">
            <v>4</v>
          </cell>
          <cell r="N2541">
            <v>4</v>
          </cell>
          <cell r="O2541" t="str">
            <v>Управління НБУ в Донец.обл.</v>
          </cell>
        </row>
        <row r="2542">
          <cell r="A2542">
            <v>335548</v>
          </cell>
          <cell r="B2542">
            <v>305299</v>
          </cell>
          <cell r="D2542">
            <v>0</v>
          </cell>
          <cell r="E2542">
            <v>46</v>
          </cell>
          <cell r="F2542">
            <v>0</v>
          </cell>
          <cell r="G2542" t="str">
            <v>A</v>
          </cell>
          <cell r="H2542">
            <v>763</v>
          </cell>
          <cell r="I2542" t="str">
            <v>КРАМАТ.Ф. ПРИВАТБАНК, М. КРАМАТОРСЬК</v>
          </cell>
          <cell r="J2542" t="str">
            <v>Краматор.філія Приватбанку</v>
          </cell>
          <cell r="K2542" t="str">
            <v>UDKE</v>
          </cell>
          <cell r="L2542" t="str">
            <v>UDKE</v>
          </cell>
          <cell r="M2542">
            <v>4</v>
          </cell>
          <cell r="N2542">
            <v>3</v>
          </cell>
          <cell r="O2542" t="str">
            <v>Управління НБУ в Донец.обл.</v>
          </cell>
        </row>
        <row r="2543">
          <cell r="A2543">
            <v>335571</v>
          </cell>
          <cell r="B2543">
            <v>321767</v>
          </cell>
          <cell r="D2543">
            <v>0</v>
          </cell>
          <cell r="E2543">
            <v>42</v>
          </cell>
          <cell r="F2543">
            <v>0</v>
          </cell>
          <cell r="G2543" t="str">
            <v>B</v>
          </cell>
          <cell r="H2543">
            <v>779</v>
          </cell>
          <cell r="I2543" t="str">
            <v>ДОНЕЦЬКА Ф ВАТ ВТБ БАНК, М.ДОНЕЦЬК</v>
          </cell>
          <cell r="J2543" t="str">
            <v>Донецька фiлiя ВАТ ВТБ Банк</v>
          </cell>
          <cell r="K2543" t="str">
            <v>UDKU</v>
          </cell>
          <cell r="L2543" t="str">
            <v>UDKU</v>
          </cell>
          <cell r="M2543">
            <v>4</v>
          </cell>
          <cell r="N2543">
            <v>26</v>
          </cell>
          <cell r="O2543" t="str">
            <v>Управління НБУ в Донец.обл.</v>
          </cell>
        </row>
        <row r="2544">
          <cell r="A2544">
            <v>335593</v>
          </cell>
          <cell r="B2544">
            <v>300863</v>
          </cell>
          <cell r="D2544">
            <v>0</v>
          </cell>
          <cell r="E2544">
            <v>289</v>
          </cell>
          <cell r="F2544">
            <v>0</v>
          </cell>
          <cell r="G2544" t="str">
            <v>9</v>
          </cell>
          <cell r="H2544">
            <v>784</v>
          </cell>
          <cell r="I2544" t="str">
            <v>ДОНБАС.Ф-Я ВАТ"КРЕДИТПРОМБАНК" ДОНЕЦЬК</v>
          </cell>
          <cell r="J2544" t="str">
            <v>Донб.ФВАТ "КРЕДИТПРОМБАНК"</v>
          </cell>
          <cell r="K2544" t="str">
            <v>UDSD</v>
          </cell>
          <cell r="L2544" t="str">
            <v>UDSD</v>
          </cell>
          <cell r="M2544">
            <v>4</v>
          </cell>
          <cell r="N2544">
            <v>26</v>
          </cell>
          <cell r="O2544" t="str">
            <v>Управління НБУ в Донец.обл.</v>
          </cell>
        </row>
        <row r="2545">
          <cell r="A2545">
            <v>335656</v>
          </cell>
          <cell r="B2545">
            <v>334828</v>
          </cell>
          <cell r="D2545">
            <v>0</v>
          </cell>
          <cell r="E2545">
            <v>57</v>
          </cell>
          <cell r="F2545">
            <v>0</v>
          </cell>
          <cell r="G2545" t="str">
            <v>8</v>
          </cell>
          <cell r="H2545">
            <v>787</v>
          </cell>
          <cell r="I2545" t="str">
            <v>ФІЛІЯ №2 ВАТ "АКБ "КАПІТАЛ"</v>
          </cell>
          <cell r="J2545" t="str">
            <v>ф.№2 ВАТ "АКБ "КАПІТАЛ"</v>
          </cell>
          <cell r="K2545" t="str">
            <v>UDSG</v>
          </cell>
          <cell r="L2545" t="str">
            <v>UDSG</v>
          </cell>
          <cell r="M2545">
            <v>4</v>
          </cell>
          <cell r="N2545">
            <v>4</v>
          </cell>
          <cell r="O2545" t="str">
            <v>Управління НБУ в Донец.обл.</v>
          </cell>
        </row>
        <row r="2546">
          <cell r="A2546">
            <v>335678</v>
          </cell>
          <cell r="B2546">
            <v>300249</v>
          </cell>
          <cell r="D2546">
            <v>0</v>
          </cell>
          <cell r="E2546">
            <v>37</v>
          </cell>
          <cell r="F2546">
            <v>0</v>
          </cell>
          <cell r="G2546" t="str">
            <v>8</v>
          </cell>
          <cell r="H2546">
            <v>776</v>
          </cell>
          <cell r="I2546" t="str">
            <v>ДОНЕЦЬКА ФАБ"БРОКБІЗНЕСБАНК" М.ДОНЕЦЬК</v>
          </cell>
          <cell r="J2546" t="str">
            <v>ДФ АБ "БРОКБІЗНЕСБАНК"</v>
          </cell>
          <cell r="K2546" t="str">
            <v>UDKQ</v>
          </cell>
          <cell r="L2546" t="str">
            <v>UDKQ</v>
          </cell>
          <cell r="M2546">
            <v>4</v>
          </cell>
          <cell r="N2546">
            <v>26</v>
          </cell>
          <cell r="O2546" t="str">
            <v>Управління НБУ в Донец.обл.</v>
          </cell>
        </row>
        <row r="2547">
          <cell r="A2547">
            <v>335690</v>
          </cell>
          <cell r="B2547">
            <v>300272</v>
          </cell>
          <cell r="D2547">
            <v>0</v>
          </cell>
          <cell r="E2547">
            <v>31</v>
          </cell>
          <cell r="F2547">
            <v>0</v>
          </cell>
          <cell r="G2547" t="str">
            <v>B</v>
          </cell>
          <cell r="H2547">
            <v>781</v>
          </cell>
          <cell r="I2547" t="str">
            <v>ФАБ "ЕНЕРГОБАНК" У М. СЛОВ"ЯНСЬК</v>
          </cell>
          <cell r="J2547" t="str">
            <v>ФАБ"Енергобанк"вм.Слов`янсь</v>
          </cell>
          <cell r="K2547" t="str">
            <v>UDKZ</v>
          </cell>
          <cell r="L2547" t="str">
            <v>UDKZ</v>
          </cell>
          <cell r="M2547">
            <v>4</v>
          </cell>
          <cell r="N2547">
            <v>26</v>
          </cell>
          <cell r="O2547" t="str">
            <v>Управління НБУ в Донец.обл.</v>
          </cell>
        </row>
        <row r="2548">
          <cell r="A2548">
            <v>335708</v>
          </cell>
          <cell r="B2548">
            <v>320702</v>
          </cell>
          <cell r="D2548">
            <v>0</v>
          </cell>
          <cell r="E2548">
            <v>277</v>
          </cell>
          <cell r="F2548">
            <v>0</v>
          </cell>
          <cell r="G2548" t="str">
            <v>8</v>
          </cell>
          <cell r="H2548">
            <v>789</v>
          </cell>
          <cell r="I2548" t="str">
            <v>ФАКБ "НАЦ.КРЕДИТ" В М.АРТЕМІВСЬК</v>
          </cell>
          <cell r="J2548" t="str">
            <v>ФАКБ "НК" в м.Артемівськ</v>
          </cell>
          <cell r="K2548" t="str">
            <v>UDSI</v>
          </cell>
          <cell r="L2548" t="str">
            <v>UDSI</v>
          </cell>
          <cell r="M2548">
            <v>4</v>
          </cell>
          <cell r="N2548">
            <v>26</v>
          </cell>
          <cell r="O2548" t="str">
            <v>Управління НБУ в Донец.обл.</v>
          </cell>
        </row>
        <row r="2549">
          <cell r="A2549">
            <v>335720</v>
          </cell>
          <cell r="B2549">
            <v>320702</v>
          </cell>
          <cell r="D2549">
            <v>0</v>
          </cell>
          <cell r="E2549">
            <v>277</v>
          </cell>
          <cell r="F2549">
            <v>0</v>
          </cell>
          <cell r="G2549" t="str">
            <v>8</v>
          </cell>
          <cell r="H2549">
            <v>794</v>
          </cell>
          <cell r="I2549" t="str">
            <v>КАЛІНІНСЬКА ФАКБ"НАЦ.КРЕДИТ"М.ДОНЕЦЬК</v>
          </cell>
          <cell r="J2549" t="str">
            <v>Калін.ФАКБ "НК" в м.Донецьк</v>
          </cell>
          <cell r="K2549" t="str">
            <v>UDSO</v>
          </cell>
          <cell r="L2549" t="str">
            <v>UDSO</v>
          </cell>
          <cell r="M2549">
            <v>4</v>
          </cell>
          <cell r="N2549">
            <v>26</v>
          </cell>
          <cell r="O2549" t="str">
            <v>Управління НБУ в Донец.обл.</v>
          </cell>
        </row>
        <row r="2550">
          <cell r="A2550">
            <v>335742</v>
          </cell>
          <cell r="B2550">
            <v>334851</v>
          </cell>
          <cell r="D2550">
            <v>0</v>
          </cell>
          <cell r="E2550">
            <v>115</v>
          </cell>
          <cell r="F2550">
            <v>0</v>
          </cell>
          <cell r="G2550" t="str">
            <v>8</v>
          </cell>
          <cell r="H2550">
            <v>783</v>
          </cell>
          <cell r="I2550" t="str">
            <v>ФІЛІЯ ЗАТ "ПУМБ" В М. МАРІУПОЛІ</v>
          </cell>
          <cell r="J2550" t="str">
            <v>Філія ПУМБ в м.Маріуполі</v>
          </cell>
          <cell r="K2550" t="str">
            <v>UDSC</v>
          </cell>
          <cell r="L2550" t="str">
            <v>UDSC</v>
          </cell>
          <cell r="M2550">
            <v>4</v>
          </cell>
          <cell r="N2550">
            <v>4</v>
          </cell>
          <cell r="O2550" t="str">
            <v>Управління НБУ в Донец.обл.</v>
          </cell>
        </row>
        <row r="2551">
          <cell r="A2551">
            <v>335753</v>
          </cell>
          <cell r="B2551">
            <v>325912</v>
          </cell>
          <cell r="D2551">
            <v>0</v>
          </cell>
          <cell r="E2551">
            <v>88</v>
          </cell>
          <cell r="F2551">
            <v>0</v>
          </cell>
          <cell r="G2551" t="str">
            <v>B</v>
          </cell>
          <cell r="H2551">
            <v>801</v>
          </cell>
          <cell r="I2551" t="str">
            <v>Донецька філія ВАТ "КРЕДОБАНК"</v>
          </cell>
          <cell r="J2551" t="str">
            <v>Донецька ф.ВАТ "КРЕДОБАНК"</v>
          </cell>
          <cell r="K2551" t="str">
            <v>UDSR</v>
          </cell>
          <cell r="L2551" t="str">
            <v>UDSR</v>
          </cell>
          <cell r="M2551">
            <v>4</v>
          </cell>
          <cell r="N2551">
            <v>13</v>
          </cell>
          <cell r="O2551" t="str">
            <v>Управління НБУ в Донец.обл.</v>
          </cell>
        </row>
        <row r="2552">
          <cell r="A2552">
            <v>335764</v>
          </cell>
          <cell r="B2552">
            <v>331100</v>
          </cell>
          <cell r="D2552">
            <v>0</v>
          </cell>
          <cell r="E2552">
            <v>198</v>
          </cell>
          <cell r="F2552">
            <v>0</v>
          </cell>
          <cell r="G2552" t="str">
            <v>8</v>
          </cell>
          <cell r="H2552">
            <v>727</v>
          </cell>
          <cell r="I2552" t="str">
            <v>ФВАТ "АКБ "АВТОКРАЗБАНК", М.ДОНЕЦЬК</v>
          </cell>
          <cell r="J2552" t="str">
            <v>ДФ ВАТ "АКБ "АВТОКРАЗБАНК"</v>
          </cell>
          <cell r="K2552" t="str">
            <v>UDSS</v>
          </cell>
          <cell r="L2552" t="str">
            <v>UDSS</v>
          </cell>
          <cell r="M2552">
            <v>4</v>
          </cell>
          <cell r="N2552">
            <v>16</v>
          </cell>
          <cell r="O2552" t="str">
            <v>Управління НБУ в Донец.обл.</v>
          </cell>
        </row>
        <row r="2553">
          <cell r="A2553">
            <v>335775</v>
          </cell>
          <cell r="B2553">
            <v>300528</v>
          </cell>
          <cell r="D2553">
            <v>0</v>
          </cell>
          <cell r="E2553">
            <v>296</v>
          </cell>
          <cell r="F2553">
            <v>0</v>
          </cell>
          <cell r="G2553" t="str">
            <v>F</v>
          </cell>
          <cell r="H2553">
            <v>799</v>
          </cell>
          <cell r="I2553" t="str">
            <v>ФІЛІЯ ЗАТ "ОТП БАНК", М.ДОНЕЦЬК</v>
          </cell>
          <cell r="J2553" t="str">
            <v>Філія ЗАТ "ОТП Банк"</v>
          </cell>
          <cell r="K2553" t="str">
            <v>UDST</v>
          </cell>
          <cell r="L2553" t="str">
            <v>UDST</v>
          </cell>
          <cell r="M2553">
            <v>4</v>
          </cell>
          <cell r="N2553">
            <v>26</v>
          </cell>
          <cell r="O2553" t="str">
            <v>Управління НБУ в Донец.обл.</v>
          </cell>
        </row>
        <row r="2554">
          <cell r="A2554">
            <v>335797</v>
          </cell>
          <cell r="B2554">
            <v>320702</v>
          </cell>
          <cell r="D2554">
            <v>0</v>
          </cell>
          <cell r="E2554">
            <v>277</v>
          </cell>
          <cell r="F2554">
            <v>0</v>
          </cell>
          <cell r="G2554" t="str">
            <v>8</v>
          </cell>
          <cell r="H2554">
            <v>788</v>
          </cell>
          <cell r="I2554" t="str">
            <v>МИК.ФАКБ "НАЦ.КРЕДИТ" В М.ГОР.</v>
          </cell>
          <cell r="J2554" t="str">
            <v>Мик.ФАКБ "НК" в м.Гор.</v>
          </cell>
          <cell r="K2554" t="str">
            <v>UDSH</v>
          </cell>
          <cell r="L2554" t="str">
            <v>UDSH</v>
          </cell>
          <cell r="M2554">
            <v>4</v>
          </cell>
          <cell r="N2554">
            <v>26</v>
          </cell>
          <cell r="O2554" t="str">
            <v>Управління НБУ в Донец.обл.</v>
          </cell>
        </row>
        <row r="2555">
          <cell r="A2555">
            <v>335816</v>
          </cell>
          <cell r="B2555">
            <v>300131</v>
          </cell>
          <cell r="D2555">
            <v>0</v>
          </cell>
          <cell r="E2555">
            <v>17</v>
          </cell>
          <cell r="F2555">
            <v>0</v>
          </cell>
          <cell r="G2555" t="str">
            <v>8</v>
          </cell>
          <cell r="H2555">
            <v>716</v>
          </cell>
          <cell r="I2555" t="str">
            <v>Ф."ДРУ" ВАТ"Б."ФІН ТА КРЕД" М.ДОНЕЦЬК</v>
          </cell>
          <cell r="J2555" t="str">
            <v>ф."ДРУ"ВАТ"Банку"ФтК"</v>
          </cell>
          <cell r="K2555" t="str">
            <v>UDSK</v>
          </cell>
          <cell r="L2555" t="str">
            <v>UDSK</v>
          </cell>
          <cell r="M2555">
            <v>4</v>
          </cell>
          <cell r="N2555">
            <v>26</v>
          </cell>
          <cell r="O2555" t="str">
            <v>Управління НБУ в Донец.обл.</v>
          </cell>
        </row>
        <row r="2556">
          <cell r="A2556">
            <v>335838</v>
          </cell>
          <cell r="B2556">
            <v>322959</v>
          </cell>
          <cell r="D2556">
            <v>0</v>
          </cell>
          <cell r="E2556">
            <v>262</v>
          </cell>
          <cell r="F2556">
            <v>0</v>
          </cell>
          <cell r="G2556" t="str">
            <v>8</v>
          </cell>
          <cell r="H2556">
            <v>792</v>
          </cell>
          <cell r="I2556" t="str">
            <v>ДОНЕЦЬКА Ф-Я АБ"ЕКСПРЕС-БАНК", ДОНЕЦЬК</v>
          </cell>
          <cell r="J2556" t="str">
            <v>Дон.Ф АБ "ЕКСПРЕС-БАНК"</v>
          </cell>
          <cell r="K2556" t="str">
            <v>UDSL</v>
          </cell>
          <cell r="L2556" t="str">
            <v>UDSL</v>
          </cell>
          <cell r="M2556">
            <v>4</v>
          </cell>
          <cell r="N2556">
            <v>26</v>
          </cell>
          <cell r="O2556" t="str">
            <v>Управління НБУ в Донец.обл.</v>
          </cell>
        </row>
        <row r="2557">
          <cell r="A2557">
            <v>335850</v>
          </cell>
          <cell r="B2557">
            <v>300614</v>
          </cell>
          <cell r="D2557">
            <v>0</v>
          </cell>
          <cell r="E2557">
            <v>171</v>
          </cell>
          <cell r="F2557">
            <v>0</v>
          </cell>
          <cell r="G2557" t="str">
            <v>8</v>
          </cell>
          <cell r="H2557">
            <v>808</v>
          </cell>
          <cell r="I2557" t="str">
            <v>Ф-Я"ДОН.ДИР."АТ"ІНД-БАНК" М.ДОНЕЦЬК</v>
          </cell>
          <cell r="J2557" t="str">
            <v>Ф-я Дон.дир"АТ"ІНДЕКС-БАНК"</v>
          </cell>
          <cell r="K2557" t="str">
            <v>UDSU</v>
          </cell>
          <cell r="L2557" t="str">
            <v>UDSU</v>
          </cell>
          <cell r="M2557">
            <v>4</v>
          </cell>
          <cell r="N2557">
            <v>26</v>
          </cell>
          <cell r="O2557" t="str">
            <v>Управління НБУ в Донец.обл.</v>
          </cell>
        </row>
        <row r="2558">
          <cell r="A2558">
            <v>335883</v>
          </cell>
          <cell r="B2558">
            <v>353489</v>
          </cell>
          <cell r="D2558">
            <v>0</v>
          </cell>
          <cell r="E2558">
            <v>133</v>
          </cell>
          <cell r="F2558">
            <v>0</v>
          </cell>
          <cell r="G2558" t="str">
            <v>8</v>
          </cell>
          <cell r="H2558">
            <v>814</v>
          </cell>
          <cell r="I2558" t="str">
            <v>КРАМАТОРСЬКА ФІЛІЯ АБ "ПРИВАТІНВЕСТ"</v>
          </cell>
          <cell r="J2558" t="str">
            <v>Краматорська ф.Приватінвест</v>
          </cell>
          <cell r="K2558" t="str">
            <v>UDSX</v>
          </cell>
          <cell r="L2558" t="str">
            <v>UDSX</v>
          </cell>
          <cell r="M2558">
            <v>4</v>
          </cell>
          <cell r="N2558">
            <v>24</v>
          </cell>
          <cell r="O2558" t="str">
            <v>Управління НБУ в Донец.обл.</v>
          </cell>
        </row>
        <row r="2559">
          <cell r="A2559">
            <v>335894</v>
          </cell>
          <cell r="B2559">
            <v>320478</v>
          </cell>
          <cell r="D2559">
            <v>0</v>
          </cell>
          <cell r="E2559">
            <v>274</v>
          </cell>
          <cell r="F2559">
            <v>0</v>
          </cell>
          <cell r="G2559" t="str">
            <v>8</v>
          </cell>
          <cell r="H2559">
            <v>798</v>
          </cell>
          <cell r="I2559" t="str">
            <v>ДОНЕЦЬКА ФВАТ АБ"УКРГАЗБАНК"М.ДОНЕЦЬК</v>
          </cell>
          <cell r="J2559" t="str">
            <v>Донецька ФВАТ АБ"УКРГАЗБАНК</v>
          </cell>
          <cell r="K2559" t="str">
            <v>UDSZ</v>
          </cell>
          <cell r="L2559" t="str">
            <v>UDSZ</v>
          </cell>
          <cell r="M2559">
            <v>4</v>
          </cell>
          <cell r="N2559">
            <v>26</v>
          </cell>
          <cell r="O2559" t="str">
            <v>Управління НБУ в Донец.обл.</v>
          </cell>
        </row>
        <row r="2560">
          <cell r="A2560">
            <v>335902</v>
          </cell>
          <cell r="B2560">
            <v>335902</v>
          </cell>
          <cell r="C2560" t="str">
            <v>ТОВ "УНІКОМБАНК"</v>
          </cell>
          <cell r="D2560">
            <v>306</v>
          </cell>
          <cell r="E2560">
            <v>306</v>
          </cell>
          <cell r="F2560">
            <v>0</v>
          </cell>
          <cell r="G2560" t="str">
            <v>8</v>
          </cell>
          <cell r="H2560">
            <v>826</v>
          </cell>
          <cell r="I2560" t="str">
            <v>ТОВ "УНІКОМБАНК", М.ДОНЕЦЬК</v>
          </cell>
          <cell r="J2560" t="str">
            <v>ТОВ "УНІКОМБАНК"</v>
          </cell>
          <cell r="K2560" t="str">
            <v>UDNB</v>
          </cell>
          <cell r="L2560" t="str">
            <v>UDNB</v>
          </cell>
          <cell r="M2560">
            <v>4</v>
          </cell>
          <cell r="N2560">
            <v>4</v>
          </cell>
          <cell r="O2560" t="str">
            <v>Управління НБУ в Донец.обл.</v>
          </cell>
        </row>
        <row r="2561">
          <cell r="A2561">
            <v>335913</v>
          </cell>
          <cell r="B2561">
            <v>334992</v>
          </cell>
          <cell r="D2561">
            <v>0</v>
          </cell>
          <cell r="E2561">
            <v>59</v>
          </cell>
          <cell r="F2561">
            <v>0</v>
          </cell>
          <cell r="G2561" t="str">
            <v>8</v>
          </cell>
          <cell r="H2561">
            <v>827</v>
          </cell>
          <cell r="I2561" t="str">
            <v>ФВАТ КБ"ПРОМЕКОНОМБАНК", М.КРАМАТОРСЬК</v>
          </cell>
          <cell r="J2561" t="str">
            <v>КФ ВАТ КБ "Промекономбанк"</v>
          </cell>
          <cell r="K2561" t="str">
            <v>UDNC</v>
          </cell>
          <cell r="L2561" t="str">
            <v>UDNC</v>
          </cell>
          <cell r="M2561">
            <v>4</v>
          </cell>
          <cell r="N2561">
            <v>4</v>
          </cell>
          <cell r="O2561" t="str">
            <v>Управління НБУ в Донец.обл.</v>
          </cell>
        </row>
        <row r="2562">
          <cell r="A2562">
            <v>335924</v>
          </cell>
          <cell r="B2562">
            <v>321228</v>
          </cell>
          <cell r="D2562">
            <v>0</v>
          </cell>
          <cell r="E2562">
            <v>68</v>
          </cell>
          <cell r="F2562">
            <v>0</v>
          </cell>
          <cell r="G2562" t="str">
            <v>8</v>
          </cell>
          <cell r="H2562">
            <v>802</v>
          </cell>
          <cell r="I2562" t="str">
            <v>ДОНЕЦЬКА Ф-Я ТОВ"УКРПРОМБАНК"М.ДОНЕЦЬК</v>
          </cell>
          <cell r="J2562" t="str">
            <v>ДонецькаФТОВ "Укрпромбанк"</v>
          </cell>
          <cell r="K2562" t="str">
            <v>UDJQ</v>
          </cell>
          <cell r="L2562" t="str">
            <v>UDJQ</v>
          </cell>
          <cell r="M2562">
            <v>4</v>
          </cell>
          <cell r="N2562">
            <v>26</v>
          </cell>
          <cell r="O2562" t="str">
            <v>Управління НБУ в Донец.обл.</v>
          </cell>
        </row>
        <row r="2563">
          <cell r="A2563">
            <v>335935</v>
          </cell>
          <cell r="B2563">
            <v>321723</v>
          </cell>
          <cell r="D2563">
            <v>0</v>
          </cell>
          <cell r="E2563">
            <v>129</v>
          </cell>
          <cell r="F2563">
            <v>0</v>
          </cell>
          <cell r="G2563" t="str">
            <v>8</v>
          </cell>
          <cell r="H2563">
            <v>816</v>
          </cell>
          <cell r="I2563" t="str">
            <v>ФІЛІЯ ВАТ "БТА БАНК" М.ДОНЕЦЬК</v>
          </cell>
          <cell r="J2563" t="str">
            <v>Ф ВАТ "БТА Банк"в м.Донецьк</v>
          </cell>
          <cell r="K2563" t="str">
            <v>UDJS</v>
          </cell>
          <cell r="L2563" t="str">
            <v>UDJS</v>
          </cell>
          <cell r="M2563">
            <v>4</v>
          </cell>
          <cell r="N2563">
            <v>26</v>
          </cell>
          <cell r="O2563" t="str">
            <v>Управління НБУ в Донец.обл.</v>
          </cell>
        </row>
        <row r="2564">
          <cell r="A2564">
            <v>335946</v>
          </cell>
          <cell r="B2564">
            <v>335946</v>
          </cell>
          <cell r="C2564" t="str">
            <v>ВАТ КБ "ПІВДЕНКОМБАНК"</v>
          </cell>
          <cell r="D2564">
            <v>45</v>
          </cell>
          <cell r="E2564">
            <v>45</v>
          </cell>
          <cell r="F2564">
            <v>0</v>
          </cell>
          <cell r="G2564" t="str">
            <v>8</v>
          </cell>
          <cell r="H2564">
            <v>729</v>
          </cell>
          <cell r="I2564" t="str">
            <v>ВАТ КБ "ПІВДЕНКОМБАНК", ДОНЕЦЬК</v>
          </cell>
          <cell r="J2564" t="str">
            <v>ВАТ КБ "ПІВДЕНКОМБАНК"</v>
          </cell>
          <cell r="K2564" t="str">
            <v>UDKY</v>
          </cell>
          <cell r="L2564" t="str">
            <v>UDKY</v>
          </cell>
          <cell r="M2564">
            <v>4</v>
          </cell>
          <cell r="N2564">
            <v>4</v>
          </cell>
          <cell r="O2564" t="str">
            <v>Управління НБУ в Донец.обл.</v>
          </cell>
        </row>
        <row r="2565">
          <cell r="A2565">
            <v>335957</v>
          </cell>
          <cell r="B2565">
            <v>322313</v>
          </cell>
          <cell r="D2565">
            <v>0</v>
          </cell>
          <cell r="E2565">
            <v>2</v>
          </cell>
          <cell r="F2565">
            <v>0</v>
          </cell>
          <cell r="G2565" t="str">
            <v>2</v>
          </cell>
          <cell r="H2565">
            <v>212</v>
          </cell>
          <cell r="I2565" t="str">
            <v>Ф-Я ВАТ "УКРЕКСІМБАНК", МАРІУПОЛЬ</v>
          </cell>
          <cell r="J2565" t="str">
            <v>Ф-я Укрексiмбанк, Маріуполь</v>
          </cell>
          <cell r="K2565" t="str">
            <v>UDGB</v>
          </cell>
          <cell r="L2565" t="str">
            <v>UDGB</v>
          </cell>
          <cell r="M2565">
            <v>4</v>
          </cell>
          <cell r="N2565">
            <v>26</v>
          </cell>
          <cell r="O2565" t="str">
            <v>Управління НБУ в Донец.обл.</v>
          </cell>
        </row>
        <row r="2566">
          <cell r="A2566">
            <v>335968</v>
          </cell>
          <cell r="B2566">
            <v>328760</v>
          </cell>
          <cell r="D2566">
            <v>0</v>
          </cell>
          <cell r="E2566">
            <v>206</v>
          </cell>
          <cell r="F2566">
            <v>0</v>
          </cell>
          <cell r="G2566" t="str">
            <v>8</v>
          </cell>
          <cell r="H2566">
            <v>806</v>
          </cell>
          <cell r="I2566" t="str">
            <v>ДОНЕЦЬКА ФКБ ТОВ"МІСТО БАНК"</v>
          </cell>
          <cell r="J2566" t="str">
            <v>ДОНЕЦЬКА ФКБ ТОВ"МІСТО БАНК</v>
          </cell>
          <cell r="K2566" t="str">
            <v>UDNE</v>
          </cell>
          <cell r="L2566" t="str">
            <v>UDNE</v>
          </cell>
          <cell r="M2566">
            <v>4</v>
          </cell>
          <cell r="N2566">
            <v>15</v>
          </cell>
          <cell r="O2566" t="str">
            <v>Управління НБУ в Донец.обл.</v>
          </cell>
        </row>
        <row r="2567">
          <cell r="A2567">
            <v>335980</v>
          </cell>
          <cell r="B2567">
            <v>334969</v>
          </cell>
          <cell r="D2567">
            <v>0</v>
          </cell>
          <cell r="E2567">
            <v>186</v>
          </cell>
          <cell r="F2567">
            <v>0</v>
          </cell>
          <cell r="G2567" t="str">
            <v>8</v>
          </cell>
          <cell r="H2567">
            <v>811</v>
          </cell>
          <cell r="I2567" t="str">
            <v>ФАБ"УКРАЇНСЬКИЙ БІЗНЕС БАНК", МАКІЇВКА</v>
          </cell>
          <cell r="J2567" t="str">
            <v>Макіїв.ФАБ "УкрБізнесБанк"</v>
          </cell>
          <cell r="K2567" t="str">
            <v>UDNG</v>
          </cell>
          <cell r="L2567" t="str">
            <v>UDNG</v>
          </cell>
          <cell r="M2567">
            <v>4</v>
          </cell>
          <cell r="N2567">
            <v>4</v>
          </cell>
          <cell r="O2567" t="str">
            <v>Управління НБУ в Донец.обл.</v>
          </cell>
        </row>
        <row r="2568">
          <cell r="A2568">
            <v>336008</v>
          </cell>
          <cell r="B2568">
            <v>319092</v>
          </cell>
          <cell r="D2568">
            <v>0</v>
          </cell>
          <cell r="E2568">
            <v>280</v>
          </cell>
          <cell r="F2568">
            <v>0</v>
          </cell>
          <cell r="G2568" t="str">
            <v>B</v>
          </cell>
          <cell r="H2568">
            <v>503</v>
          </cell>
          <cell r="I2568" t="str">
            <v>ІФФАБ"КИЇВСЬКА РУСЬ"М.ІВАНО-ФРАНКІВСЬК</v>
          </cell>
          <cell r="J2568" t="str">
            <v>Івано-Франківська Ф АБ "КР"</v>
          </cell>
          <cell r="K2568" t="str">
            <v>UHFA</v>
          </cell>
          <cell r="L2568" t="str">
            <v>UHFA</v>
          </cell>
          <cell r="M2568">
            <v>8</v>
          </cell>
          <cell r="N2568">
            <v>26</v>
          </cell>
          <cell r="O2568" t="str">
            <v>Управління НБУ Ів-Фpанк.обл</v>
          </cell>
        </row>
        <row r="2569">
          <cell r="A2569">
            <v>336019</v>
          </cell>
          <cell r="B2569">
            <v>300023</v>
          </cell>
          <cell r="D2569">
            <v>0</v>
          </cell>
          <cell r="E2569">
            <v>5</v>
          </cell>
          <cell r="F2569">
            <v>0</v>
          </cell>
          <cell r="G2569" t="str">
            <v>5</v>
          </cell>
          <cell r="H2569">
            <v>504</v>
          </cell>
          <cell r="I2569" t="str">
            <v>ІВ-ФРАН.ОФАКБ"УСБ"М.ІВ-ФРАНКІВСЬК</v>
          </cell>
          <cell r="J2569" t="str">
            <v>Ів-Фран.обл.філ.АКБ"УСБ"</v>
          </cell>
          <cell r="K2569" t="str">
            <v>UHCA</v>
          </cell>
          <cell r="L2569" t="str">
            <v>UHCA</v>
          </cell>
          <cell r="M2569">
            <v>8</v>
          </cell>
          <cell r="N2569">
            <v>26</v>
          </cell>
          <cell r="O2569" t="str">
            <v>Управління НБУ Ів-Фpанк.обл</v>
          </cell>
        </row>
        <row r="2570">
          <cell r="A2570">
            <v>336161</v>
          </cell>
          <cell r="B2570">
            <v>325912</v>
          </cell>
          <cell r="D2570">
            <v>0</v>
          </cell>
          <cell r="E2570">
            <v>88</v>
          </cell>
          <cell r="F2570">
            <v>0</v>
          </cell>
          <cell r="G2570" t="str">
            <v>B</v>
          </cell>
          <cell r="H2570">
            <v>708</v>
          </cell>
          <cell r="I2570" t="str">
            <v>Івано-Франківська філія ВАТ"КРЕДОБАНК"</v>
          </cell>
          <cell r="J2570" t="str">
            <v>ІФФ ВАТ "КРЕДОБАНК"</v>
          </cell>
          <cell r="K2570" t="str">
            <v>UHIH</v>
          </cell>
          <cell r="L2570" t="str">
            <v>UHIH</v>
          </cell>
          <cell r="M2570">
            <v>8</v>
          </cell>
          <cell r="N2570">
            <v>13</v>
          </cell>
          <cell r="O2570" t="str">
            <v>Управління НБУ Ів-Фpанк.обл</v>
          </cell>
        </row>
        <row r="2571">
          <cell r="A2571">
            <v>336202</v>
          </cell>
          <cell r="B2571">
            <v>300142</v>
          </cell>
          <cell r="D2571">
            <v>0</v>
          </cell>
          <cell r="E2571">
            <v>18</v>
          </cell>
          <cell r="F2571">
            <v>0</v>
          </cell>
          <cell r="G2571" t="str">
            <v>8</v>
          </cell>
          <cell r="H2571">
            <v>709</v>
          </cell>
          <cell r="I2571" t="str">
            <v>ІВ-ФРАН. ФАТ"УКРІНБ." М.ІВ-ФРАНКІВСЬК</v>
          </cell>
          <cell r="J2571" t="str">
            <v>Ів-Франк.ФАТ"Укрінбанк"</v>
          </cell>
          <cell r="K2571" t="str">
            <v>UHII</v>
          </cell>
          <cell r="L2571" t="str">
            <v>UHII</v>
          </cell>
          <cell r="M2571">
            <v>8</v>
          </cell>
          <cell r="N2571">
            <v>26</v>
          </cell>
          <cell r="O2571" t="str">
            <v>Управління НБУ Ів-Фpанк.обл</v>
          </cell>
        </row>
        <row r="2572">
          <cell r="A2572">
            <v>336235</v>
          </cell>
          <cell r="B2572">
            <v>300131</v>
          </cell>
          <cell r="D2572">
            <v>0</v>
          </cell>
          <cell r="E2572">
            <v>17</v>
          </cell>
          <cell r="F2572">
            <v>0</v>
          </cell>
          <cell r="G2572" t="str">
            <v>8</v>
          </cell>
          <cell r="H2572">
            <v>728</v>
          </cell>
          <cell r="I2572" t="str">
            <v>Ф."ПРРУ" ВАТ"Б."Ф.ТА К." М.ІВ-ФРАНК.</v>
          </cell>
          <cell r="J2572" t="str">
            <v>Філ."ПРРУ"ВАТ"Б."Ф. таКр."</v>
          </cell>
          <cell r="K2572" t="str">
            <v>UHIK</v>
          </cell>
          <cell r="L2572" t="str">
            <v>UHIK</v>
          </cell>
          <cell r="M2572">
            <v>8</v>
          </cell>
          <cell r="N2572">
            <v>26</v>
          </cell>
          <cell r="O2572" t="str">
            <v>Управління НБУ Ів-Фpанк.обл</v>
          </cell>
        </row>
        <row r="2573">
          <cell r="A2573">
            <v>336310</v>
          </cell>
          <cell r="B2573">
            <v>336310</v>
          </cell>
          <cell r="C2573" t="str">
            <v>ВАТ "ПЛЮС БАНК"</v>
          </cell>
          <cell r="D2573">
            <v>142</v>
          </cell>
          <cell r="E2573">
            <v>142</v>
          </cell>
          <cell r="F2573">
            <v>0</v>
          </cell>
          <cell r="G2573" t="str">
            <v>B</v>
          </cell>
          <cell r="H2573">
            <v>707</v>
          </cell>
          <cell r="I2573" t="str">
            <v>ВАТ "ПЛЮС БАНК"</v>
          </cell>
          <cell r="J2573" t="str">
            <v>ВАТ "ПЛЮС БАНК"</v>
          </cell>
          <cell r="K2573" t="str">
            <v>UHIB</v>
          </cell>
          <cell r="L2573" t="str">
            <v>UHIB</v>
          </cell>
          <cell r="M2573">
            <v>8</v>
          </cell>
          <cell r="N2573">
            <v>8</v>
          </cell>
          <cell r="O2573" t="str">
            <v>Управління НБУ Ів-Фpанк.обл</v>
          </cell>
        </row>
        <row r="2574">
          <cell r="A2574">
            <v>336343</v>
          </cell>
          <cell r="B2574">
            <v>300001</v>
          </cell>
          <cell r="D2574">
            <v>0</v>
          </cell>
          <cell r="E2574">
            <v>1</v>
          </cell>
          <cell r="F2574">
            <v>0</v>
          </cell>
          <cell r="G2574" t="str">
            <v>1</v>
          </cell>
          <cell r="H2574">
            <v>133</v>
          </cell>
          <cell r="I2574" t="str">
            <v>УПРАВЛІННЯ НБУ В ІВ.-ФРАНКІВСЬКІЙ ОБЛ.</v>
          </cell>
          <cell r="J2574" t="str">
            <v>Упр. НБУ Ів-Фpанків. обл.</v>
          </cell>
          <cell r="K2574" t="str">
            <v>UHHA</v>
          </cell>
          <cell r="L2574" t="str">
            <v>UHH0</v>
          </cell>
          <cell r="M2574">
            <v>8</v>
          </cell>
          <cell r="N2574">
            <v>27</v>
          </cell>
          <cell r="O2574" t="str">
            <v>Управління НБУ Ів-Фpанк.обл</v>
          </cell>
        </row>
        <row r="2575">
          <cell r="A2575">
            <v>336354</v>
          </cell>
          <cell r="B2575">
            <v>300012</v>
          </cell>
          <cell r="D2575">
            <v>0</v>
          </cell>
          <cell r="E2575">
            <v>3</v>
          </cell>
          <cell r="F2575">
            <v>0</v>
          </cell>
          <cell r="G2575" t="str">
            <v>3</v>
          </cell>
          <cell r="H2575">
            <v>310</v>
          </cell>
          <cell r="I2575" t="str">
            <v>Ф."ВІД.ПРОМІНВЕСТБАНКУ,М.І-ФРАНКІВСЬК"</v>
          </cell>
          <cell r="J2575" t="str">
            <v>Ф.ВІД.ПІБ м.ІВ-Франківськ</v>
          </cell>
          <cell r="K2575" t="str">
            <v>UHAA</v>
          </cell>
          <cell r="L2575" t="str">
            <v>UHAA</v>
          </cell>
          <cell r="M2575">
            <v>8</v>
          </cell>
          <cell r="N2575">
            <v>26</v>
          </cell>
          <cell r="O2575" t="str">
            <v>Управління НБУ Ів-Фpанк.обл</v>
          </cell>
        </row>
        <row r="2576">
          <cell r="A2576">
            <v>336387</v>
          </cell>
          <cell r="B2576">
            <v>300012</v>
          </cell>
          <cell r="D2576">
            <v>0</v>
          </cell>
          <cell r="E2576">
            <v>3</v>
          </cell>
          <cell r="F2576">
            <v>0</v>
          </cell>
          <cell r="G2576" t="str">
            <v>3</v>
          </cell>
          <cell r="H2576">
            <v>342</v>
          </cell>
          <cell r="I2576" t="str">
            <v>Ф."В.ПІБ В М.КАЛУШ ІВАНО-ФРАНК.ОБЛ."</v>
          </cell>
          <cell r="J2576" t="str">
            <v>Ф.В.ПІБв м.Калуш Ів-Франк</v>
          </cell>
          <cell r="K2576" t="str">
            <v>UHAE</v>
          </cell>
          <cell r="L2576" t="str">
            <v>UHAE</v>
          </cell>
          <cell r="M2576">
            <v>8</v>
          </cell>
          <cell r="N2576">
            <v>26</v>
          </cell>
          <cell r="O2576" t="str">
            <v>Управління НБУ Ів-Фpанк.обл</v>
          </cell>
        </row>
        <row r="2577">
          <cell r="A2577">
            <v>336398</v>
          </cell>
          <cell r="B2577">
            <v>300012</v>
          </cell>
          <cell r="D2577">
            <v>0</v>
          </cell>
          <cell r="E2577">
            <v>3</v>
          </cell>
          <cell r="F2577">
            <v>0</v>
          </cell>
          <cell r="G2577" t="str">
            <v>3</v>
          </cell>
          <cell r="H2577">
            <v>327</v>
          </cell>
          <cell r="I2577" t="str">
            <v>Ф."В.ПІБ В М.НАДВІРНА ІВАНО-ФРАНК.ОБЛ"</v>
          </cell>
          <cell r="J2577" t="str">
            <v>Ф. ВІД.ПІБ мНадвір ІВ-Франк</v>
          </cell>
          <cell r="K2577" t="str">
            <v>UHAB</v>
          </cell>
          <cell r="L2577" t="str">
            <v>UHAB</v>
          </cell>
          <cell r="M2577">
            <v>8</v>
          </cell>
          <cell r="N2577">
            <v>26</v>
          </cell>
          <cell r="O2577" t="str">
            <v>Управління НБУ Ів-Фpанк.обл</v>
          </cell>
        </row>
        <row r="2578">
          <cell r="A2578">
            <v>336417</v>
          </cell>
          <cell r="B2578">
            <v>300012</v>
          </cell>
          <cell r="D2578">
            <v>0</v>
          </cell>
          <cell r="E2578">
            <v>3</v>
          </cell>
          <cell r="F2578">
            <v>0</v>
          </cell>
          <cell r="G2578" t="str">
            <v>3</v>
          </cell>
          <cell r="H2578">
            <v>355</v>
          </cell>
          <cell r="I2578" t="str">
            <v>Ф."В.ПІБ В М.БУРШТИН ІВАНО-ФРАНК.ОБЛ."</v>
          </cell>
          <cell r="J2578" t="str">
            <v>Ф.ВІД.ПІБ М.БУPШТИН ІВ.-ФР.</v>
          </cell>
          <cell r="K2578" t="str">
            <v>UHAF</v>
          </cell>
          <cell r="L2578" t="str">
            <v>UHAF</v>
          </cell>
          <cell r="M2578">
            <v>8</v>
          </cell>
          <cell r="N2578">
            <v>26</v>
          </cell>
          <cell r="O2578" t="str">
            <v>Управління НБУ Ів-Фpанк.обл</v>
          </cell>
        </row>
        <row r="2579">
          <cell r="A2579">
            <v>336440</v>
          </cell>
          <cell r="B2579">
            <v>300078</v>
          </cell>
          <cell r="D2579">
            <v>0</v>
          </cell>
          <cell r="E2579">
            <v>15</v>
          </cell>
          <cell r="F2579">
            <v>0</v>
          </cell>
          <cell r="G2579" t="str">
            <v>8</v>
          </cell>
          <cell r="H2579">
            <v>723</v>
          </cell>
          <cell r="I2579" t="str">
            <v>Ф-Я КИЇВ. АТ "ГРАДОБАНК" ІВАНО-ФРАНК.</v>
          </cell>
          <cell r="J2579" t="str">
            <v>ФАТ  "ГРАДОБАНК" Ів.-Франк.</v>
          </cell>
          <cell r="K2579" t="str">
            <v>UHIN</v>
          </cell>
          <cell r="L2579" t="str">
            <v>UHHR</v>
          </cell>
          <cell r="M2579">
            <v>8</v>
          </cell>
          <cell r="N2579">
            <v>26</v>
          </cell>
          <cell r="O2579" t="str">
            <v>Управління НБУ Ів-Фpанк.обл</v>
          </cell>
        </row>
        <row r="2580">
          <cell r="A2580">
            <v>336462</v>
          </cell>
          <cell r="B2580">
            <v>300335</v>
          </cell>
          <cell r="D2580">
            <v>0</v>
          </cell>
          <cell r="E2580">
            <v>36</v>
          </cell>
          <cell r="F2580">
            <v>0</v>
          </cell>
          <cell r="G2580" t="str">
            <v>7</v>
          </cell>
          <cell r="H2580">
            <v>725</v>
          </cell>
          <cell r="I2580" t="str">
            <v>ОД "РАЙФФАЙЗЕН БАНК АВАЛЬ",М.ІВ-ФРАНК.</v>
          </cell>
          <cell r="J2580" t="str">
            <v>ОД "Райффайзен Банк Аваль"</v>
          </cell>
          <cell r="K2580" t="str">
            <v>UHIS</v>
          </cell>
          <cell r="L2580" t="str">
            <v>UHIS</v>
          </cell>
          <cell r="M2580">
            <v>8</v>
          </cell>
          <cell r="N2580">
            <v>26</v>
          </cell>
          <cell r="O2580" t="str">
            <v>Управління НБУ Ів-Фpанк.обл</v>
          </cell>
        </row>
        <row r="2581">
          <cell r="A2581">
            <v>336473</v>
          </cell>
          <cell r="B2581">
            <v>300926</v>
          </cell>
          <cell r="D2581">
            <v>0</v>
          </cell>
          <cell r="E2581">
            <v>899</v>
          </cell>
          <cell r="F2581">
            <v>0</v>
          </cell>
          <cell r="G2581" t="str">
            <v>8</v>
          </cell>
          <cell r="H2581">
            <v>801</v>
          </cell>
          <cell r="I2581" t="str">
            <v>ІВ-ФР.РЕГІОНАЛЬНА ФАТ"УФГ",М.ІВ-ФРАНК.</v>
          </cell>
          <cell r="J2581" t="str">
            <v>Івано-Франк.регіон.ФАТ"УФГ"</v>
          </cell>
          <cell r="K2581" t="str">
            <v>UHW1</v>
          </cell>
          <cell r="L2581" t="str">
            <v>U1WF</v>
          </cell>
          <cell r="M2581">
            <v>8</v>
          </cell>
          <cell r="N2581">
            <v>26</v>
          </cell>
          <cell r="O2581" t="str">
            <v>Управління НБУ Ів-Фpанк.обл</v>
          </cell>
        </row>
        <row r="2582">
          <cell r="A2582">
            <v>336503</v>
          </cell>
          <cell r="B2582">
            <v>300465</v>
          </cell>
          <cell r="D2582">
            <v>0</v>
          </cell>
          <cell r="E2582">
            <v>6</v>
          </cell>
          <cell r="F2582">
            <v>0</v>
          </cell>
          <cell r="G2582" t="str">
            <v>6</v>
          </cell>
          <cell r="H2582">
            <v>609</v>
          </cell>
          <cell r="I2582" t="str">
            <v>ІВАНО-ФРАНКІВСЬК,ОБЛАСНЕ УПРАВЛІННЯ ОБ</v>
          </cell>
          <cell r="J2582" t="str">
            <v>Обласне упр.ОБ Ів-Фpанків.</v>
          </cell>
          <cell r="K2582" t="str">
            <v>UHLA</v>
          </cell>
          <cell r="L2582" t="str">
            <v>UHLA</v>
          </cell>
          <cell r="M2582">
            <v>8</v>
          </cell>
          <cell r="N2582">
            <v>26</v>
          </cell>
          <cell r="O2582" t="str">
            <v>Управління НБУ Ів-Фpанк.обл</v>
          </cell>
        </row>
        <row r="2583">
          <cell r="A2583">
            <v>336514</v>
          </cell>
          <cell r="B2583">
            <v>300465</v>
          </cell>
          <cell r="D2583">
            <v>0</v>
          </cell>
          <cell r="E2583">
            <v>6</v>
          </cell>
          <cell r="F2583">
            <v>0</v>
          </cell>
          <cell r="G2583" t="str">
            <v>6</v>
          </cell>
          <cell r="H2583">
            <v>626</v>
          </cell>
          <cell r="I2583" t="str">
            <v>ФГАЛИЦЬКЕ ВІДДІЛЕННЯ № ВАТОЩАД М.ГАЛИЧ</v>
          </cell>
          <cell r="J2583" t="str">
            <v>ФГалицьке відділенняВАТОщад</v>
          </cell>
          <cell r="K2583" t="str">
            <v>UHLC</v>
          </cell>
          <cell r="L2583" t="str">
            <v>UHLA</v>
          </cell>
          <cell r="M2583">
            <v>8</v>
          </cell>
          <cell r="N2583">
            <v>26</v>
          </cell>
          <cell r="O2583" t="str">
            <v>Управління НБУ Ів-Фpанк.обл</v>
          </cell>
        </row>
        <row r="2584">
          <cell r="A2584">
            <v>336525</v>
          </cell>
          <cell r="B2584">
            <v>300465</v>
          </cell>
          <cell r="D2584">
            <v>0</v>
          </cell>
          <cell r="E2584">
            <v>6</v>
          </cell>
          <cell r="F2584">
            <v>0</v>
          </cell>
          <cell r="G2584" t="str">
            <v>6</v>
          </cell>
          <cell r="H2584">
            <v>601</v>
          </cell>
          <cell r="I2584" t="str">
            <v>ФГОРОДЕНКІВСЬКЕ ВІД ВАТОЩАД М.ГОРОДЕНК</v>
          </cell>
          <cell r="J2584" t="str">
            <v>ФГороденківське віддВАТОщад</v>
          </cell>
          <cell r="K2584" t="str">
            <v>UHLD</v>
          </cell>
          <cell r="L2584" t="str">
            <v>UHLA</v>
          </cell>
          <cell r="M2584">
            <v>8</v>
          </cell>
          <cell r="N2584">
            <v>26</v>
          </cell>
          <cell r="O2584" t="str">
            <v>Управління НБУ Ів-Фpанк.обл</v>
          </cell>
        </row>
        <row r="2585">
          <cell r="A2585">
            <v>336536</v>
          </cell>
          <cell r="B2585">
            <v>300465</v>
          </cell>
          <cell r="D2585">
            <v>0</v>
          </cell>
          <cell r="E2585">
            <v>6</v>
          </cell>
          <cell r="F2585">
            <v>0</v>
          </cell>
          <cell r="G2585" t="str">
            <v>6</v>
          </cell>
          <cell r="H2585">
            <v>602</v>
          </cell>
          <cell r="I2585" t="str">
            <v>ФДОЛИНСЬКЕ ВІДДІЛЕННЯ ВАТОЩАД М.ДОЛИНА</v>
          </cell>
          <cell r="J2585" t="str">
            <v>ФДолинське відділеннВАТОщад</v>
          </cell>
          <cell r="K2585" t="str">
            <v>UHLE</v>
          </cell>
          <cell r="L2585" t="str">
            <v>UHLA</v>
          </cell>
          <cell r="M2585">
            <v>8</v>
          </cell>
          <cell r="N2585">
            <v>26</v>
          </cell>
          <cell r="O2585" t="str">
            <v>Управління НБУ Ів-Фpанк.обл</v>
          </cell>
        </row>
        <row r="2586">
          <cell r="A2586">
            <v>336547</v>
          </cell>
          <cell r="B2586">
            <v>300465</v>
          </cell>
          <cell r="D2586">
            <v>0</v>
          </cell>
          <cell r="E2586">
            <v>6</v>
          </cell>
          <cell r="F2586">
            <v>0</v>
          </cell>
          <cell r="G2586" t="str">
            <v>6</v>
          </cell>
          <cell r="H2586">
            <v>603</v>
          </cell>
          <cell r="I2586" t="str">
            <v>ФКАЛУСЬКЕ ВІДДІЛЕННЯ № ВАТОЩАД М.КАЛУШ</v>
          </cell>
          <cell r="J2586" t="str">
            <v>ФКалуське відділенняВАТОщад</v>
          </cell>
          <cell r="K2586" t="str">
            <v>UHLF</v>
          </cell>
          <cell r="L2586" t="str">
            <v>UHLA</v>
          </cell>
          <cell r="M2586">
            <v>8</v>
          </cell>
          <cell r="N2586">
            <v>26</v>
          </cell>
          <cell r="O2586" t="str">
            <v>Управління НБУ Ів-Фpанк.обл</v>
          </cell>
        </row>
        <row r="2587">
          <cell r="A2587">
            <v>336558</v>
          </cell>
          <cell r="B2587">
            <v>300465</v>
          </cell>
          <cell r="D2587">
            <v>0</v>
          </cell>
          <cell r="E2587">
            <v>6</v>
          </cell>
          <cell r="F2587">
            <v>0</v>
          </cell>
          <cell r="G2587" t="str">
            <v>6</v>
          </cell>
          <cell r="H2587">
            <v>604</v>
          </cell>
          <cell r="I2587" t="str">
            <v>ФКОЛОМИЙСЬКЕ ВІДДІЛЕ ВАТОЩАД М.КОЛОМИЯ</v>
          </cell>
          <cell r="J2587" t="str">
            <v>ФКоломийське відділеВАТОщад</v>
          </cell>
          <cell r="K2587" t="str">
            <v>UHLG</v>
          </cell>
          <cell r="L2587" t="str">
            <v>UHLA</v>
          </cell>
          <cell r="M2587">
            <v>8</v>
          </cell>
          <cell r="N2587">
            <v>26</v>
          </cell>
          <cell r="O2587" t="str">
            <v>Управління НБУ Ів-Фpанк.обл</v>
          </cell>
        </row>
        <row r="2588">
          <cell r="A2588">
            <v>336569</v>
          </cell>
          <cell r="B2588">
            <v>300465</v>
          </cell>
          <cell r="D2588">
            <v>0</v>
          </cell>
          <cell r="E2588">
            <v>6</v>
          </cell>
          <cell r="F2588">
            <v>0</v>
          </cell>
          <cell r="G2588" t="str">
            <v>6</v>
          </cell>
          <cell r="H2588">
            <v>605</v>
          </cell>
          <cell r="I2588" t="str">
            <v>ФКОСІВСЬКЕ ВІДДІЛЕННЯ  ВАТОЩАД М.КОСІВ</v>
          </cell>
          <cell r="J2588" t="str">
            <v>ФКосівське відділеннВАТОщад</v>
          </cell>
          <cell r="K2588" t="str">
            <v>UHLH</v>
          </cell>
          <cell r="L2588" t="str">
            <v>UHLA</v>
          </cell>
          <cell r="M2588">
            <v>8</v>
          </cell>
          <cell r="N2588">
            <v>26</v>
          </cell>
          <cell r="O2588" t="str">
            <v>Управління НБУ Ів-Фpанк.обл</v>
          </cell>
        </row>
        <row r="2589">
          <cell r="A2589">
            <v>336570</v>
          </cell>
          <cell r="B2589">
            <v>300465</v>
          </cell>
          <cell r="D2589">
            <v>0</v>
          </cell>
          <cell r="E2589">
            <v>6</v>
          </cell>
          <cell r="F2589">
            <v>0</v>
          </cell>
          <cell r="G2589" t="str">
            <v>6</v>
          </cell>
          <cell r="H2589">
            <v>606</v>
          </cell>
          <cell r="I2589" t="str">
            <v>ФНАДВІРНЯНСЬКЕ ВІДД ВАТОЩАД М.НАДВІРНА</v>
          </cell>
          <cell r="J2589" t="str">
            <v>ФНадвірнянське віддіВАТОщад</v>
          </cell>
          <cell r="K2589" t="str">
            <v>UHLI</v>
          </cell>
          <cell r="L2589" t="str">
            <v>UHLA</v>
          </cell>
          <cell r="M2589">
            <v>8</v>
          </cell>
          <cell r="N2589">
            <v>26</v>
          </cell>
          <cell r="O2589" t="str">
            <v>Управління НБУ Ів-Фpанк.обл</v>
          </cell>
        </row>
        <row r="2590">
          <cell r="A2590">
            <v>336581</v>
          </cell>
          <cell r="B2590">
            <v>300465</v>
          </cell>
          <cell r="D2590">
            <v>0</v>
          </cell>
          <cell r="E2590">
            <v>6</v>
          </cell>
          <cell r="F2590">
            <v>0</v>
          </cell>
          <cell r="G2590" t="str">
            <v>6</v>
          </cell>
          <cell r="H2590">
            <v>607</v>
          </cell>
          <cell r="I2590" t="str">
            <v>ФРОГАТИНСЬКЕ ВІДДІЛЕ ВАТОЩАД М.РОГАТИН</v>
          </cell>
          <cell r="J2590" t="str">
            <v>ФРогатинське відділеВАТОщад</v>
          </cell>
          <cell r="K2590" t="str">
            <v>UHLJ</v>
          </cell>
          <cell r="L2590" t="str">
            <v>UHLA</v>
          </cell>
          <cell r="M2590">
            <v>8</v>
          </cell>
          <cell r="N2590">
            <v>26</v>
          </cell>
          <cell r="O2590" t="str">
            <v>Управління НБУ Ів-Фpанк.обл</v>
          </cell>
        </row>
        <row r="2591">
          <cell r="A2591">
            <v>336592</v>
          </cell>
          <cell r="B2591">
            <v>300465</v>
          </cell>
          <cell r="D2591">
            <v>0</v>
          </cell>
          <cell r="E2591">
            <v>6</v>
          </cell>
          <cell r="F2591">
            <v>0</v>
          </cell>
          <cell r="G2591" t="str">
            <v>6</v>
          </cell>
          <cell r="H2591">
            <v>608</v>
          </cell>
          <cell r="I2591" t="str">
            <v>ФСНЯТИНСЬКЕ ВІДДІЛЕНН ВАТОЩАД М.СНЯТИН</v>
          </cell>
          <cell r="J2591" t="str">
            <v>ФСнятинське відділенВАТОщад</v>
          </cell>
          <cell r="K2591" t="str">
            <v>UHLK</v>
          </cell>
          <cell r="L2591" t="str">
            <v>UHLA</v>
          </cell>
          <cell r="M2591">
            <v>8</v>
          </cell>
          <cell r="N2591">
            <v>26</v>
          </cell>
          <cell r="O2591" t="str">
            <v>Управління НБУ Ів-Фpанк.обл</v>
          </cell>
        </row>
        <row r="2592">
          <cell r="A2592">
            <v>336600</v>
          </cell>
          <cell r="B2592">
            <v>300465</v>
          </cell>
          <cell r="D2592">
            <v>0</v>
          </cell>
          <cell r="E2592">
            <v>6</v>
          </cell>
          <cell r="F2592">
            <v>0</v>
          </cell>
          <cell r="G2592" t="str">
            <v>6</v>
          </cell>
          <cell r="H2592">
            <v>619</v>
          </cell>
          <cell r="I2592" t="str">
            <v>ФТЛУМАЦЬКЕ ВІДДІЛЕННЯ ВАТОЩАД М.ТЛУМАЧ</v>
          </cell>
          <cell r="J2592" t="str">
            <v>ФТлумацьке відділеннВАТОщад</v>
          </cell>
          <cell r="K2592" t="str">
            <v>UHLL</v>
          </cell>
          <cell r="L2592" t="str">
            <v>UHLA</v>
          </cell>
          <cell r="M2592">
            <v>8</v>
          </cell>
          <cell r="N2592">
            <v>26</v>
          </cell>
          <cell r="O2592" t="str">
            <v>Управління НБУ Ів-Фpанк.обл</v>
          </cell>
        </row>
        <row r="2593">
          <cell r="A2593">
            <v>336622</v>
          </cell>
          <cell r="B2593">
            <v>300465</v>
          </cell>
          <cell r="D2593">
            <v>0</v>
          </cell>
          <cell r="E2593">
            <v>6</v>
          </cell>
          <cell r="F2593">
            <v>0</v>
          </cell>
          <cell r="G2593" t="str">
            <v>6</v>
          </cell>
          <cell r="H2593">
            <v>611</v>
          </cell>
          <cell r="I2593" t="str">
            <v>ФБОГОРОДЧАНСЬКЕ ВІД ВАТОЩАД СМТ.БОГОРО</v>
          </cell>
          <cell r="J2593" t="str">
            <v>ФБогородчанське віддВАТОщад</v>
          </cell>
          <cell r="K2593" t="str">
            <v>UHLN</v>
          </cell>
          <cell r="L2593" t="str">
            <v>UHLA</v>
          </cell>
          <cell r="M2593">
            <v>8</v>
          </cell>
          <cell r="N2593">
            <v>26</v>
          </cell>
          <cell r="O2593" t="str">
            <v>Управління НБУ Ів-Фpанк.обл</v>
          </cell>
        </row>
        <row r="2594">
          <cell r="A2594">
            <v>336633</v>
          </cell>
          <cell r="B2594">
            <v>300465</v>
          </cell>
          <cell r="D2594">
            <v>0</v>
          </cell>
          <cell r="E2594">
            <v>6</v>
          </cell>
          <cell r="F2594">
            <v>0</v>
          </cell>
          <cell r="G2594" t="str">
            <v>6</v>
          </cell>
          <cell r="H2594">
            <v>612</v>
          </cell>
          <cell r="I2594" t="str">
            <v>ФРОЖНЯТІВСЬКЕ ВІДДІ ВАТОЩАД СМТ.РОЖНЯТ</v>
          </cell>
          <cell r="J2594" t="str">
            <v>ФРожнятівське відділВАТОщад</v>
          </cell>
          <cell r="K2594" t="str">
            <v>UHLO</v>
          </cell>
          <cell r="L2594" t="str">
            <v>UHLA</v>
          </cell>
          <cell r="M2594">
            <v>8</v>
          </cell>
          <cell r="N2594">
            <v>26</v>
          </cell>
          <cell r="O2594" t="str">
            <v>Управління НБУ Ів-Фpанк.обл</v>
          </cell>
        </row>
        <row r="2595">
          <cell r="A2595">
            <v>336644</v>
          </cell>
          <cell r="B2595">
            <v>300465</v>
          </cell>
          <cell r="D2595">
            <v>0</v>
          </cell>
          <cell r="E2595">
            <v>6</v>
          </cell>
          <cell r="F2595">
            <v>0</v>
          </cell>
          <cell r="G2595" t="str">
            <v>6</v>
          </cell>
          <cell r="H2595">
            <v>613</v>
          </cell>
          <cell r="I2595" t="str">
            <v>ФВЕРХОВИНСЬКЕ ВІДДІ ВАТОЩАД СМТ.ВЕРХОВ</v>
          </cell>
          <cell r="J2595" t="str">
            <v>ФВерховинське відділВАТОщад</v>
          </cell>
          <cell r="K2595" t="str">
            <v>UHLP</v>
          </cell>
          <cell r="L2595" t="str">
            <v>UHLA</v>
          </cell>
          <cell r="M2595">
            <v>8</v>
          </cell>
          <cell r="N2595">
            <v>26</v>
          </cell>
          <cell r="O2595" t="str">
            <v>Управління НБУ Ів-Фpанк.обл</v>
          </cell>
        </row>
        <row r="2596">
          <cell r="A2596">
            <v>336655</v>
          </cell>
          <cell r="B2596">
            <v>300465</v>
          </cell>
          <cell r="D2596">
            <v>0</v>
          </cell>
          <cell r="E2596">
            <v>6</v>
          </cell>
          <cell r="F2596">
            <v>0</v>
          </cell>
          <cell r="G2596" t="str">
            <v>6</v>
          </cell>
          <cell r="H2596">
            <v>614</v>
          </cell>
          <cell r="I2596" t="str">
            <v>ФТИСМЕНИЦЬКЕ ВІДДІЛ ВАТОЩАД М.ТИСМЕНИЦ</v>
          </cell>
          <cell r="J2596" t="str">
            <v>ФТисменицьке відділеВАТОщад</v>
          </cell>
          <cell r="K2596" t="str">
            <v>UHLQ</v>
          </cell>
          <cell r="L2596" t="str">
            <v>UHLA</v>
          </cell>
          <cell r="M2596">
            <v>8</v>
          </cell>
          <cell r="N2596">
            <v>26</v>
          </cell>
          <cell r="O2596" t="str">
            <v>Управління НБУ Ів-Фpанк.обл</v>
          </cell>
        </row>
        <row r="2597">
          <cell r="A2597">
            <v>336677</v>
          </cell>
          <cell r="B2597">
            <v>305299</v>
          </cell>
          <cell r="D2597">
            <v>0</v>
          </cell>
          <cell r="E2597">
            <v>46</v>
          </cell>
          <cell r="F2597">
            <v>0</v>
          </cell>
          <cell r="G2597" t="str">
            <v>A</v>
          </cell>
          <cell r="H2597">
            <v>717</v>
          </cell>
          <cell r="I2597" t="str">
            <v>ІВ-ФР.ФКБ"ПРИВАТБАНК",М.ІВАНО-ФРАНК.</v>
          </cell>
          <cell r="J2597" t="str">
            <v>Ів.-Франк. ФКБ "ПРИВАТБАНК"</v>
          </cell>
          <cell r="K2597" t="str">
            <v>UHIW</v>
          </cell>
          <cell r="L2597" t="str">
            <v>UHIW</v>
          </cell>
          <cell r="M2597">
            <v>8</v>
          </cell>
          <cell r="N2597">
            <v>3</v>
          </cell>
          <cell r="O2597" t="str">
            <v>Управління НБУ Ів-Фpанк.обл</v>
          </cell>
        </row>
        <row r="2598">
          <cell r="A2598">
            <v>336688</v>
          </cell>
          <cell r="B2598">
            <v>322313</v>
          </cell>
          <cell r="D2598">
            <v>0</v>
          </cell>
          <cell r="E2598">
            <v>2</v>
          </cell>
          <cell r="F2598">
            <v>0</v>
          </cell>
          <cell r="G2598" t="str">
            <v>2</v>
          </cell>
          <cell r="H2598">
            <v>213</v>
          </cell>
          <cell r="I2598" t="str">
            <v>Ф.ВАТ "УКРЕКСІМБАНК", ІВ-ФРАНКІВСЬК</v>
          </cell>
          <cell r="J2598" t="str">
            <v>Ф.Укрексімбанк, Ів.-Франк</v>
          </cell>
          <cell r="K2598" t="str">
            <v>UHGA</v>
          </cell>
          <cell r="L2598" t="str">
            <v>UHGA</v>
          </cell>
          <cell r="M2598">
            <v>8</v>
          </cell>
          <cell r="N2598">
            <v>26</v>
          </cell>
          <cell r="O2598" t="str">
            <v>Управління НБУ Ів-Фpанк.обл</v>
          </cell>
        </row>
        <row r="2599">
          <cell r="A2599">
            <v>336741</v>
          </cell>
          <cell r="B2599">
            <v>300926</v>
          </cell>
          <cell r="D2599">
            <v>0</v>
          </cell>
          <cell r="E2599">
            <v>899</v>
          </cell>
          <cell r="F2599">
            <v>0</v>
          </cell>
          <cell r="G2599" t="str">
            <v>8</v>
          </cell>
          <cell r="H2599">
            <v>766</v>
          </cell>
          <cell r="I2599" t="str">
            <v>ІВ-ФР.ФАТ "УФГ" У М.ІВАНО-ФРАНКІВСЬК</v>
          </cell>
          <cell r="J2599" t="str">
            <v>ФАТ "УФГ", м.Івано-Франківс</v>
          </cell>
          <cell r="K2599" t="str">
            <v>UHW3</v>
          </cell>
          <cell r="L2599" t="str">
            <v>U1WF</v>
          </cell>
          <cell r="M2599">
            <v>8</v>
          </cell>
          <cell r="N2599">
            <v>26</v>
          </cell>
          <cell r="O2599" t="str">
            <v>Управління НБУ Ів-Фpанк.обл</v>
          </cell>
        </row>
        <row r="2600">
          <cell r="A2600">
            <v>336752</v>
          </cell>
          <cell r="B2600">
            <v>300670</v>
          </cell>
          <cell r="D2600">
            <v>0</v>
          </cell>
          <cell r="E2600">
            <v>202</v>
          </cell>
          <cell r="F2600">
            <v>0</v>
          </cell>
          <cell r="G2600" t="str">
            <v>8</v>
          </cell>
          <cell r="H2600">
            <v>783</v>
          </cell>
          <cell r="I2600" t="str">
            <v>ІВ-ФР.ФВАТКБ"ХРЕЩАТИК"ІВАНО-ФРАНКІВСЬК</v>
          </cell>
          <cell r="J2600" t="str">
            <v>Ів.Фр.ФВАТ КБ "Хрещатик"</v>
          </cell>
          <cell r="K2600" t="str">
            <v>UHKC</v>
          </cell>
          <cell r="L2600" t="str">
            <v>UHKC</v>
          </cell>
          <cell r="M2600">
            <v>8</v>
          </cell>
          <cell r="N2600">
            <v>26</v>
          </cell>
          <cell r="O2600" t="str">
            <v>Управління НБУ Ів-Фpанк.обл</v>
          </cell>
        </row>
        <row r="2601">
          <cell r="A2601">
            <v>336763</v>
          </cell>
          <cell r="B2601">
            <v>300614</v>
          </cell>
          <cell r="D2601">
            <v>0</v>
          </cell>
          <cell r="E2601">
            <v>171</v>
          </cell>
          <cell r="F2601">
            <v>0</v>
          </cell>
          <cell r="G2601" t="str">
            <v>8</v>
          </cell>
          <cell r="H2601">
            <v>771</v>
          </cell>
          <cell r="I2601" t="str">
            <v>Ф."ІВН-ФР.Д"АТ"ІНДЕКСБАНК"М.ІВАН-ФРАНК</v>
          </cell>
          <cell r="J2601" t="str">
            <v>Філія"ІФД"АТ"ІНДЕКС-БАНК"</v>
          </cell>
          <cell r="K2601" t="str">
            <v>UHKB</v>
          </cell>
          <cell r="L2601" t="str">
            <v>UHKB</v>
          </cell>
          <cell r="M2601">
            <v>8</v>
          </cell>
          <cell r="N2601">
            <v>26</v>
          </cell>
          <cell r="O2601" t="str">
            <v>Управління НБУ Ів-Фpанк.обл</v>
          </cell>
        </row>
        <row r="2602">
          <cell r="A2602">
            <v>336774</v>
          </cell>
          <cell r="B2602">
            <v>351931</v>
          </cell>
          <cell r="D2602">
            <v>0</v>
          </cell>
          <cell r="E2602">
            <v>209</v>
          </cell>
          <cell r="F2602">
            <v>0</v>
          </cell>
          <cell r="G2602" t="str">
            <v>8</v>
          </cell>
          <cell r="H2602">
            <v>785</v>
          </cell>
          <cell r="I2602" t="str">
            <v>ФІЛІЯ АКБ"ЗОЛОТІ ВОРОТА",М.ІВАНО-ФРАНК</v>
          </cell>
          <cell r="J2602" t="str">
            <v>Філія АКБ"ЗОЛОТІ ВОРОТА"</v>
          </cell>
          <cell r="K2602" t="str">
            <v>UHKD</v>
          </cell>
          <cell r="L2602" t="str">
            <v>UHKD</v>
          </cell>
          <cell r="M2602">
            <v>8</v>
          </cell>
          <cell r="N2602">
            <v>20</v>
          </cell>
          <cell r="O2602" t="str">
            <v>Управління НБУ Ів-Фpанк.обл</v>
          </cell>
        </row>
        <row r="2603">
          <cell r="A2603">
            <v>336785</v>
          </cell>
          <cell r="B2603">
            <v>328384</v>
          </cell>
          <cell r="D2603">
            <v>0</v>
          </cell>
          <cell r="E2603">
            <v>258</v>
          </cell>
          <cell r="F2603">
            <v>0</v>
          </cell>
          <cell r="G2603" t="str">
            <v>8</v>
          </cell>
          <cell r="H2603">
            <v>803</v>
          </cell>
          <cell r="I2603" t="str">
            <v>ФІЛІЯ АКБ "ІМЕКСБАНК" У М. ІВАНО-ФРАНК</v>
          </cell>
          <cell r="J2603" t="str">
            <v>І-ФФ АКБ "ІМЕКСБАНК"</v>
          </cell>
          <cell r="K2603" t="str">
            <v>UHFB</v>
          </cell>
          <cell r="L2603" t="str">
            <v>UHFB</v>
          </cell>
          <cell r="M2603">
            <v>8</v>
          </cell>
          <cell r="N2603">
            <v>15</v>
          </cell>
          <cell r="O2603" t="str">
            <v>Управління НБУ Ів-Фpанк.обл</v>
          </cell>
        </row>
        <row r="2604">
          <cell r="A2604">
            <v>336796</v>
          </cell>
          <cell r="B2604">
            <v>320702</v>
          </cell>
          <cell r="D2604">
            <v>0</v>
          </cell>
          <cell r="E2604">
            <v>277</v>
          </cell>
          <cell r="F2604">
            <v>0</v>
          </cell>
          <cell r="G2604" t="str">
            <v>8</v>
          </cell>
          <cell r="H2604">
            <v>703</v>
          </cell>
          <cell r="I2604" t="str">
            <v>ФАКБ"НАЦІОНАЛЬНИЙ КРЕДИТ" В М.ДОЛ.</v>
          </cell>
          <cell r="J2604" t="str">
            <v>ФАКБ "НК" м.Дол</v>
          </cell>
          <cell r="K2604" t="str">
            <v>UHJB</v>
          </cell>
          <cell r="L2604" t="str">
            <v>UHJB</v>
          </cell>
          <cell r="M2604">
            <v>8</v>
          </cell>
          <cell r="N2604">
            <v>26</v>
          </cell>
          <cell r="O2604" t="str">
            <v>Управління НБУ Ів-Фpанк.обл</v>
          </cell>
        </row>
        <row r="2605">
          <cell r="A2605">
            <v>336826</v>
          </cell>
          <cell r="B2605">
            <v>320702</v>
          </cell>
          <cell r="D2605">
            <v>0</v>
          </cell>
          <cell r="E2605">
            <v>277</v>
          </cell>
          <cell r="F2605">
            <v>0</v>
          </cell>
          <cell r="G2605" t="str">
            <v>8</v>
          </cell>
          <cell r="H2605">
            <v>716</v>
          </cell>
          <cell r="I2605" t="str">
            <v>ФАКБ "НАЦ. КРЕДИТ" В М.КОЛОМИЯ</v>
          </cell>
          <cell r="J2605" t="str">
            <v>ФАКБ "НК" в м.Коломия</v>
          </cell>
          <cell r="K2605" t="str">
            <v>UHJC</v>
          </cell>
          <cell r="L2605" t="str">
            <v>UHJC</v>
          </cell>
          <cell r="M2605">
            <v>8</v>
          </cell>
          <cell r="N2605">
            <v>26</v>
          </cell>
          <cell r="O2605" t="str">
            <v>Управління НБУ Ів-Фpанк.обл</v>
          </cell>
        </row>
        <row r="2606">
          <cell r="A2606">
            <v>336860</v>
          </cell>
          <cell r="B2606">
            <v>300926</v>
          </cell>
          <cell r="D2606">
            <v>0</v>
          </cell>
          <cell r="E2606">
            <v>899</v>
          </cell>
          <cell r="F2606">
            <v>0</v>
          </cell>
          <cell r="G2606" t="str">
            <v>8</v>
          </cell>
          <cell r="H2606">
            <v>710</v>
          </cell>
          <cell r="I2606" t="str">
            <v>ІВ-ФР.N1 ФАТ"УФГ" У М.ІВАНО-ФРАНКІВСЬК</v>
          </cell>
          <cell r="J2606" t="str">
            <v>Перша ФАТ "УФГ", м.Івано-Фр</v>
          </cell>
          <cell r="K2606" t="str">
            <v>UHW2</v>
          </cell>
          <cell r="L2606" t="str">
            <v>U1WF</v>
          </cell>
          <cell r="M2606">
            <v>8</v>
          </cell>
          <cell r="N2606">
            <v>26</v>
          </cell>
          <cell r="O2606" t="str">
            <v>Управління НБУ Ів-Фpанк.обл</v>
          </cell>
        </row>
        <row r="2607">
          <cell r="A2607">
            <v>336871</v>
          </cell>
          <cell r="B2607">
            <v>320003</v>
          </cell>
          <cell r="D2607">
            <v>0</v>
          </cell>
          <cell r="E2607">
            <v>225</v>
          </cell>
          <cell r="F2607">
            <v>0</v>
          </cell>
          <cell r="G2607" t="str">
            <v>B</v>
          </cell>
          <cell r="H2607">
            <v>740</v>
          </cell>
          <cell r="I2607" t="str">
            <v>Ф ВАТКБ"НАДРА" ІВ.-ФРАНК.РУ М.ІВ.-ФР.</v>
          </cell>
          <cell r="J2607" t="str">
            <v>ВАТКБ"Надра"Ів.-Франк. РУ</v>
          </cell>
          <cell r="K2607" t="str">
            <v>UHJG</v>
          </cell>
          <cell r="L2607" t="str">
            <v>UHJG</v>
          </cell>
          <cell r="M2607">
            <v>8</v>
          </cell>
          <cell r="N2607">
            <v>26</v>
          </cell>
          <cell r="O2607" t="str">
            <v>Управління НБУ Ів-Фpанк.обл</v>
          </cell>
        </row>
        <row r="2608">
          <cell r="A2608">
            <v>336882</v>
          </cell>
          <cell r="B2608">
            <v>300249</v>
          </cell>
          <cell r="D2608">
            <v>0</v>
          </cell>
          <cell r="E2608">
            <v>37</v>
          </cell>
          <cell r="F2608">
            <v>0</v>
          </cell>
          <cell r="G2608" t="str">
            <v>8</v>
          </cell>
          <cell r="H2608">
            <v>741</v>
          </cell>
          <cell r="I2608" t="str">
            <v>ІВ-ФР.ФАБ"БРОКБІЗНЕСБАНК", М.ІВ-ФРАНК.</v>
          </cell>
          <cell r="J2608" t="str">
            <v>Ів.Фр.ФАБ "БРОКБІЗНЕСБАНК"</v>
          </cell>
          <cell r="K2608" t="str">
            <v>UHJI</v>
          </cell>
          <cell r="L2608" t="str">
            <v>UHJI</v>
          </cell>
          <cell r="M2608">
            <v>8</v>
          </cell>
          <cell r="N2608">
            <v>26</v>
          </cell>
          <cell r="O2608" t="str">
            <v>Управління НБУ Ів-Фpанк.обл</v>
          </cell>
        </row>
        <row r="2609">
          <cell r="A2609">
            <v>336893</v>
          </cell>
          <cell r="B2609">
            <v>321767</v>
          </cell>
          <cell r="D2609">
            <v>0</v>
          </cell>
          <cell r="E2609">
            <v>42</v>
          </cell>
          <cell r="F2609">
            <v>0</v>
          </cell>
          <cell r="G2609" t="str">
            <v>B</v>
          </cell>
          <cell r="H2609">
            <v>742</v>
          </cell>
          <cell r="I2609" t="str">
            <v>І.-Ф. Ф ВАТ ВТБ БАНК, ІВАНО-ФРАНКІВСЬК</v>
          </cell>
          <cell r="J2609" t="str">
            <v>Івано-Фр. Ф ВАТ ВТБ Банк</v>
          </cell>
          <cell r="K2609" t="str">
            <v>UHIE</v>
          </cell>
          <cell r="L2609" t="str">
            <v>UHIE</v>
          </cell>
          <cell r="M2609">
            <v>8</v>
          </cell>
          <cell r="N2609">
            <v>26</v>
          </cell>
          <cell r="O2609" t="str">
            <v>Управління НБУ Ів-Фpанк.обл</v>
          </cell>
        </row>
        <row r="2610">
          <cell r="A2610">
            <v>336912</v>
          </cell>
          <cell r="B2610">
            <v>321228</v>
          </cell>
          <cell r="D2610">
            <v>0</v>
          </cell>
          <cell r="E2610">
            <v>68</v>
          </cell>
          <cell r="F2610">
            <v>0</v>
          </cell>
          <cell r="G2610" t="str">
            <v>8</v>
          </cell>
          <cell r="H2610">
            <v>754</v>
          </cell>
          <cell r="I2610" t="str">
            <v>ІВ-ФР.ФТОВ"УКРПРОМБАНК"М.ІВ-ФРАНКІВСЬК</v>
          </cell>
          <cell r="J2610" t="str">
            <v>Ів-Франк.ФТОВ "Укрпромбанк"</v>
          </cell>
          <cell r="K2610" t="str">
            <v>UHJJ</v>
          </cell>
          <cell r="L2610" t="str">
            <v>UHJJ</v>
          </cell>
          <cell r="M2610">
            <v>8</v>
          </cell>
          <cell r="N2610">
            <v>26</v>
          </cell>
          <cell r="O2610" t="str">
            <v>Управління НБУ Ів-Фpанк.обл</v>
          </cell>
        </row>
        <row r="2611">
          <cell r="A2611">
            <v>336923</v>
          </cell>
          <cell r="B2611">
            <v>325569</v>
          </cell>
          <cell r="D2611">
            <v>0</v>
          </cell>
          <cell r="E2611">
            <v>93</v>
          </cell>
          <cell r="F2611">
            <v>0</v>
          </cell>
          <cell r="G2611" t="str">
            <v>8</v>
          </cell>
          <cell r="H2611">
            <v>700</v>
          </cell>
          <cell r="I2611" t="str">
            <v>Івано-Франківська ф-я ВАТ СКБ"Дністер"</v>
          </cell>
          <cell r="J2611" t="str">
            <v>Ів.-Франк.ФВАТ СКБ"Дністер"</v>
          </cell>
          <cell r="K2611" t="str">
            <v>UHJL</v>
          </cell>
          <cell r="L2611" t="str">
            <v>UHJL</v>
          </cell>
          <cell r="M2611">
            <v>8</v>
          </cell>
          <cell r="N2611">
            <v>13</v>
          </cell>
          <cell r="O2611" t="str">
            <v>Управління НБУ Ів-Фpанк.обл</v>
          </cell>
        </row>
        <row r="2612">
          <cell r="A2612">
            <v>336934</v>
          </cell>
          <cell r="B2612">
            <v>380537</v>
          </cell>
          <cell r="D2612">
            <v>0</v>
          </cell>
          <cell r="E2612">
            <v>76</v>
          </cell>
          <cell r="F2612">
            <v>0</v>
          </cell>
          <cell r="G2612" t="str">
            <v>B</v>
          </cell>
          <cell r="H2612">
            <v>730</v>
          </cell>
          <cell r="I2612" t="str">
            <v>ФІЛІЯ ВАТ"ВІЕЙБІ БАНК",М.ІВ-ФРАНКІВСЬК</v>
          </cell>
          <cell r="J2612" t="str">
            <v>Ів.-Франк.ФВАТ"ВіЕйБі Банк"</v>
          </cell>
          <cell r="K2612" t="str">
            <v>UHJP</v>
          </cell>
          <cell r="L2612" t="str">
            <v>UHJP</v>
          </cell>
          <cell r="M2612">
            <v>8</v>
          </cell>
          <cell r="N2612">
            <v>26</v>
          </cell>
          <cell r="O2612" t="str">
            <v>Управління НБУ Ів-Фpанк.обл</v>
          </cell>
        </row>
        <row r="2613">
          <cell r="A2613">
            <v>336956</v>
          </cell>
          <cell r="B2613">
            <v>322948</v>
          </cell>
          <cell r="D2613">
            <v>0</v>
          </cell>
          <cell r="E2613">
            <v>248</v>
          </cell>
          <cell r="F2613">
            <v>0</v>
          </cell>
          <cell r="G2613" t="str">
            <v>B</v>
          </cell>
          <cell r="H2613">
            <v>732</v>
          </cell>
          <cell r="I2613" t="str">
            <v>ІВ-ФР.Ф АКБ "ФОРУМ" М.ІВАНО-ФРАНКІВСЬК</v>
          </cell>
          <cell r="J2613" t="str">
            <v>Ів.-Франк.Ф АКБ "Форум"</v>
          </cell>
          <cell r="K2613" t="str">
            <v>UHJY</v>
          </cell>
          <cell r="L2613" t="str">
            <v>UHJY</v>
          </cell>
          <cell r="M2613">
            <v>8</v>
          </cell>
          <cell r="N2613">
            <v>26</v>
          </cell>
          <cell r="O2613" t="str">
            <v>Управління НБУ Ів-Фpанк.обл</v>
          </cell>
        </row>
        <row r="2614">
          <cell r="A2614">
            <v>336967</v>
          </cell>
          <cell r="B2614">
            <v>303484</v>
          </cell>
          <cell r="D2614">
            <v>0</v>
          </cell>
          <cell r="E2614">
            <v>273</v>
          </cell>
          <cell r="F2614">
            <v>0</v>
          </cell>
          <cell r="G2614" t="str">
            <v>8</v>
          </cell>
          <cell r="H2614">
            <v>759</v>
          </cell>
          <cell r="I2614" t="str">
            <v>Івано-Фр. Ф.КБ "Західінкомбанк" ТзОВ</v>
          </cell>
          <cell r="J2614" t="str">
            <v>Ів-Фр.ФКБ"Західінкомбанк"</v>
          </cell>
          <cell r="K2614" t="str">
            <v>UHKA</v>
          </cell>
          <cell r="L2614" t="str">
            <v>UHKA</v>
          </cell>
          <cell r="M2614">
            <v>8</v>
          </cell>
          <cell r="N2614">
            <v>2</v>
          </cell>
          <cell r="O2614" t="str">
            <v>Управління НБУ Ів-Фpанк.обл</v>
          </cell>
        </row>
        <row r="2615">
          <cell r="A2615">
            <v>336978</v>
          </cell>
          <cell r="B2615">
            <v>322498</v>
          </cell>
          <cell r="D2615">
            <v>0</v>
          </cell>
          <cell r="E2615">
            <v>203</v>
          </cell>
          <cell r="F2615">
            <v>0</v>
          </cell>
          <cell r="G2615" t="str">
            <v>8</v>
          </cell>
          <cell r="H2615">
            <v>763</v>
          </cell>
          <cell r="I2615" t="str">
            <v>ІВ.-ФРАНК.ФАКБ"КИЇВ"М.ІВАНО-ФРАНКІВСЬК</v>
          </cell>
          <cell r="J2615" t="str">
            <v>Івано-ФранківськаФАКБ"Київ"</v>
          </cell>
          <cell r="K2615" t="str">
            <v>UHJZ</v>
          </cell>
          <cell r="L2615" t="str">
            <v>UHJZ</v>
          </cell>
          <cell r="M2615">
            <v>8</v>
          </cell>
          <cell r="N2615">
            <v>26</v>
          </cell>
          <cell r="O2615" t="str">
            <v>Управління НБУ Ів-Фpанк.обл</v>
          </cell>
        </row>
        <row r="2616">
          <cell r="A2616">
            <v>337007</v>
          </cell>
          <cell r="B2616">
            <v>380537</v>
          </cell>
          <cell r="D2616">
            <v>0</v>
          </cell>
          <cell r="E2616">
            <v>76</v>
          </cell>
          <cell r="F2616">
            <v>0</v>
          </cell>
          <cell r="G2616" t="str">
            <v>B</v>
          </cell>
          <cell r="H2616">
            <v>717</v>
          </cell>
          <cell r="I2616" t="str">
            <v>СУМ.ФІЛІЯ ВАТ"ВІЕЙБІБАНК"М.СУМИ</v>
          </cell>
          <cell r="J2616" t="str">
            <v>Сум.Ф.ВАТ"ВІЕЙБІБАНК"</v>
          </cell>
          <cell r="K2616" t="str">
            <v>USJP</v>
          </cell>
          <cell r="L2616" t="str">
            <v>USJP</v>
          </cell>
          <cell r="M2616">
            <v>18</v>
          </cell>
          <cell r="N2616">
            <v>26</v>
          </cell>
          <cell r="O2616" t="str">
            <v>Управління НБУ в Сумськ.обл</v>
          </cell>
        </row>
        <row r="2617">
          <cell r="A2617">
            <v>337018</v>
          </cell>
          <cell r="B2617">
            <v>300023</v>
          </cell>
          <cell r="D2617">
            <v>0</v>
          </cell>
          <cell r="E2617">
            <v>5</v>
          </cell>
          <cell r="F2617">
            <v>0</v>
          </cell>
          <cell r="G2617" t="str">
            <v>5</v>
          </cell>
          <cell r="H2617">
            <v>561</v>
          </cell>
          <cell r="I2617" t="str">
            <v>СУМСЬКА ОБЛ.Ф-Я АКБ "УКРСОЦБАНК"М.СУМИ</v>
          </cell>
          <cell r="J2617" t="str">
            <v>Сумська обл.філія  АКБ"УСБ"</v>
          </cell>
          <cell r="K2617" t="str">
            <v>USCA</v>
          </cell>
          <cell r="L2617" t="str">
            <v>USCA</v>
          </cell>
          <cell r="M2617">
            <v>18</v>
          </cell>
          <cell r="N2617">
            <v>26</v>
          </cell>
          <cell r="O2617" t="str">
            <v>Управління НБУ в Сумськ.обл</v>
          </cell>
        </row>
        <row r="2618">
          <cell r="A2618">
            <v>337201</v>
          </cell>
          <cell r="B2618">
            <v>300142</v>
          </cell>
          <cell r="D2618">
            <v>0</v>
          </cell>
          <cell r="E2618">
            <v>18</v>
          </cell>
          <cell r="F2618">
            <v>0</v>
          </cell>
          <cell r="G2618" t="str">
            <v>8</v>
          </cell>
          <cell r="H2618">
            <v>708</v>
          </cell>
          <cell r="I2618" t="str">
            <v>РОМЕНСЬКА ФАТ "УКРІНБАНК" М.РОМНИ</v>
          </cell>
          <cell r="J2618" t="str">
            <v>Роменська ФАТ "Укрінбанк"</v>
          </cell>
          <cell r="K2618" t="str">
            <v>USIQ</v>
          </cell>
          <cell r="L2618" t="str">
            <v>USIQ</v>
          </cell>
          <cell r="M2618">
            <v>18</v>
          </cell>
          <cell r="N2618">
            <v>26</v>
          </cell>
          <cell r="O2618" t="str">
            <v>Управління НБУ в Сумськ.обл</v>
          </cell>
        </row>
        <row r="2619">
          <cell r="A2619">
            <v>337212</v>
          </cell>
          <cell r="B2619">
            <v>322959</v>
          </cell>
          <cell r="D2619">
            <v>0</v>
          </cell>
          <cell r="E2619">
            <v>262</v>
          </cell>
          <cell r="F2619">
            <v>0</v>
          </cell>
          <cell r="G2619" t="str">
            <v>8</v>
          </cell>
          <cell r="H2619">
            <v>712</v>
          </cell>
          <cell r="I2619" t="str">
            <v>КОНОТОПСЬК.ФАБ "ЕКСПРЕС-БАНК"М.КОНОТОП</v>
          </cell>
          <cell r="J2619" t="str">
            <v>Конотопс.ФАБ "Експрес-Банк"</v>
          </cell>
          <cell r="K2619" t="str">
            <v>USIT</v>
          </cell>
          <cell r="L2619" t="str">
            <v>USIT</v>
          </cell>
          <cell r="M2619">
            <v>18</v>
          </cell>
          <cell r="N2619">
            <v>26</v>
          </cell>
          <cell r="O2619" t="str">
            <v>Управління НБУ в Сумськ.обл</v>
          </cell>
        </row>
        <row r="2620">
          <cell r="A2620">
            <v>337256</v>
          </cell>
          <cell r="B2620">
            <v>300012</v>
          </cell>
          <cell r="D2620">
            <v>0</v>
          </cell>
          <cell r="E2620">
            <v>3</v>
          </cell>
          <cell r="F2620">
            <v>0</v>
          </cell>
          <cell r="G2620" t="str">
            <v>3</v>
          </cell>
          <cell r="H2620">
            <v>325</v>
          </cell>
          <cell r="I2620" t="str">
            <v>Ф-Я"ВІД.ПІБ В М.РОМНИ СУМСЬКОЇ ОБЛ."</v>
          </cell>
          <cell r="J2620" t="str">
            <v>Ф.ВІД.ПІБ В М.РОМНИ СУМ.</v>
          </cell>
          <cell r="K2620" t="str">
            <v>USAC</v>
          </cell>
          <cell r="L2620" t="str">
            <v>USA0</v>
          </cell>
          <cell r="M2620">
            <v>18</v>
          </cell>
          <cell r="N2620">
            <v>26</v>
          </cell>
          <cell r="O2620" t="str">
            <v>Управління НБУ в Сумськ.обл</v>
          </cell>
        </row>
        <row r="2621">
          <cell r="A2621">
            <v>337278</v>
          </cell>
          <cell r="B2621">
            <v>300012</v>
          </cell>
          <cell r="D2621">
            <v>0</v>
          </cell>
          <cell r="E2621">
            <v>3</v>
          </cell>
          <cell r="F2621">
            <v>0</v>
          </cell>
          <cell r="G2621" t="str">
            <v>3</v>
          </cell>
          <cell r="H2621">
            <v>327</v>
          </cell>
          <cell r="I2621" t="str">
            <v>Ф."ВІДДІЛЕННЯ ПРОМІНВЕСТБАНКУ, М.СУМИ"</v>
          </cell>
          <cell r="J2621" t="str">
            <v>Ф."ВІДДІЛЕННЯ ПІБ, М. СУМИ"</v>
          </cell>
          <cell r="K2621" t="str">
            <v>USAA</v>
          </cell>
          <cell r="L2621" t="str">
            <v>USA0</v>
          </cell>
          <cell r="M2621">
            <v>18</v>
          </cell>
          <cell r="N2621">
            <v>26</v>
          </cell>
          <cell r="O2621" t="str">
            <v>Управління НБУ в Сумськ.обл</v>
          </cell>
        </row>
        <row r="2622">
          <cell r="A2622">
            <v>337308</v>
          </cell>
          <cell r="B2622">
            <v>300001</v>
          </cell>
          <cell r="D2622">
            <v>0</v>
          </cell>
          <cell r="E2622">
            <v>1</v>
          </cell>
          <cell r="F2622">
            <v>0</v>
          </cell>
          <cell r="G2622" t="str">
            <v>1</v>
          </cell>
          <cell r="H2622">
            <v>170</v>
          </cell>
          <cell r="I2622" t="str">
            <v>УПРАВЛІННЯ НБУ В СУМСЬКІЙ ОБЛАСТІ</v>
          </cell>
          <cell r="J2622" t="str">
            <v>Упр. НБУ в Сумській обл.</v>
          </cell>
          <cell r="K2622" t="str">
            <v>USHA</v>
          </cell>
          <cell r="L2622" t="str">
            <v>USH0</v>
          </cell>
          <cell r="M2622">
            <v>18</v>
          </cell>
          <cell r="N2622">
            <v>27</v>
          </cell>
          <cell r="O2622" t="str">
            <v>Управління НБУ в Сумськ.обл</v>
          </cell>
        </row>
        <row r="2623">
          <cell r="A2623">
            <v>337342</v>
          </cell>
          <cell r="B2623">
            <v>320478</v>
          </cell>
          <cell r="D2623">
            <v>0</v>
          </cell>
          <cell r="E2623">
            <v>274</v>
          </cell>
          <cell r="F2623">
            <v>0</v>
          </cell>
          <cell r="G2623" t="str">
            <v>8</v>
          </cell>
          <cell r="H2623">
            <v>738</v>
          </cell>
          <cell r="I2623" t="str">
            <v>СУМСЬКА Ф-Я ВАТ АБ "УКРГАЗБАНК", СУМИ</v>
          </cell>
          <cell r="J2623" t="str">
            <v>СУМСЬКА ФІЛІЯ АБ"УКРГАЗБАНК</v>
          </cell>
          <cell r="K2623" t="str">
            <v>USIX</v>
          </cell>
          <cell r="L2623" t="str">
            <v>USIX</v>
          </cell>
          <cell r="M2623">
            <v>18</v>
          </cell>
          <cell r="N2623">
            <v>26</v>
          </cell>
          <cell r="O2623" t="str">
            <v>Управління НБУ в Сумськ.обл</v>
          </cell>
        </row>
        <row r="2624">
          <cell r="A2624">
            <v>337386</v>
          </cell>
          <cell r="B2624">
            <v>300012</v>
          </cell>
          <cell r="D2624">
            <v>0</v>
          </cell>
          <cell r="E2624">
            <v>3</v>
          </cell>
          <cell r="F2624">
            <v>0</v>
          </cell>
          <cell r="G2624" t="str">
            <v>3</v>
          </cell>
          <cell r="H2624">
            <v>338</v>
          </cell>
          <cell r="I2624" t="str">
            <v>Ф-Я"ВІД.ПІБ В М.КОНОТОП СУМСЬКОЇ ОБЛ."</v>
          </cell>
          <cell r="J2624" t="str">
            <v>Ф.ВІД.ПІБ В М.КОНОТОП СУМ.</v>
          </cell>
          <cell r="K2624" t="str">
            <v>USAG</v>
          </cell>
          <cell r="L2624" t="str">
            <v>USA0</v>
          </cell>
          <cell r="M2624">
            <v>18</v>
          </cell>
          <cell r="N2624">
            <v>26</v>
          </cell>
          <cell r="O2624" t="str">
            <v>Управління НБУ в Сумськ.обл</v>
          </cell>
        </row>
        <row r="2625">
          <cell r="A2625">
            <v>337397</v>
          </cell>
          <cell r="B2625">
            <v>300012</v>
          </cell>
          <cell r="D2625">
            <v>0</v>
          </cell>
          <cell r="E2625">
            <v>3</v>
          </cell>
          <cell r="F2625">
            <v>0</v>
          </cell>
          <cell r="G2625" t="str">
            <v>3</v>
          </cell>
          <cell r="H2625">
            <v>339</v>
          </cell>
          <cell r="I2625" t="str">
            <v>Ф-Я"ВІД.ПІБ В М.ШОСТКА СУМСЬКОЇ ОБЛ."</v>
          </cell>
          <cell r="J2625" t="str">
            <v>Ф.ВІД.ПІБ В М.ШОСТКА СУМ.</v>
          </cell>
          <cell r="K2625" t="str">
            <v>USAH</v>
          </cell>
          <cell r="L2625" t="str">
            <v>USA0</v>
          </cell>
          <cell r="M2625">
            <v>18</v>
          </cell>
          <cell r="N2625">
            <v>26</v>
          </cell>
          <cell r="O2625" t="str">
            <v>Управління НБУ в Сумськ.обл</v>
          </cell>
        </row>
        <row r="2626">
          <cell r="A2626">
            <v>337483</v>
          </cell>
          <cell r="B2626">
            <v>300335</v>
          </cell>
          <cell r="D2626">
            <v>0</v>
          </cell>
          <cell r="E2626">
            <v>36</v>
          </cell>
          <cell r="F2626">
            <v>0</v>
          </cell>
          <cell r="G2626" t="str">
            <v>7</v>
          </cell>
          <cell r="H2626">
            <v>713</v>
          </cell>
          <cell r="I2626" t="str">
            <v>СУМСЬКА ОД"РАЙФФАЙЗЕН БАНК АВАЛЬ",СУМИ</v>
          </cell>
          <cell r="J2626" t="str">
            <v>СОД "РАЙФФАЙЗЕН БАНК АВАЛЬ"</v>
          </cell>
          <cell r="K2626" t="str">
            <v>USII</v>
          </cell>
          <cell r="L2626" t="str">
            <v>USII</v>
          </cell>
          <cell r="M2626">
            <v>18</v>
          </cell>
          <cell r="N2626">
            <v>26</v>
          </cell>
          <cell r="O2626" t="str">
            <v>Управління НБУ в Сумськ.обл</v>
          </cell>
        </row>
        <row r="2627">
          <cell r="A2627">
            <v>337494</v>
          </cell>
          <cell r="B2627">
            <v>300142</v>
          </cell>
          <cell r="D2627">
            <v>0</v>
          </cell>
          <cell r="E2627">
            <v>18</v>
          </cell>
          <cell r="F2627">
            <v>0</v>
          </cell>
          <cell r="G2627" t="str">
            <v>8</v>
          </cell>
          <cell r="H2627">
            <v>769</v>
          </cell>
          <cell r="I2627" t="str">
            <v>СУМСЬКА ФАТ"УКРІНБАНК" М.СУМИ</v>
          </cell>
          <cell r="J2627" t="str">
            <v>Сумська ФАТ"Укрінбанк"</v>
          </cell>
          <cell r="K2627" t="str">
            <v>USIA</v>
          </cell>
          <cell r="L2627" t="str">
            <v>USIA</v>
          </cell>
          <cell r="M2627">
            <v>18</v>
          </cell>
          <cell r="N2627">
            <v>26</v>
          </cell>
          <cell r="O2627" t="str">
            <v>Управління НБУ в Сумськ.обл</v>
          </cell>
        </row>
        <row r="2628">
          <cell r="A2628">
            <v>337502</v>
          </cell>
          <cell r="B2628">
            <v>320702</v>
          </cell>
          <cell r="D2628">
            <v>0</v>
          </cell>
          <cell r="E2628">
            <v>277</v>
          </cell>
          <cell r="F2628">
            <v>0</v>
          </cell>
          <cell r="G2628" t="str">
            <v>8</v>
          </cell>
          <cell r="H2628">
            <v>725</v>
          </cell>
          <cell r="I2628" t="str">
            <v>КОВП.ФАКБ "НАЦ.КРЕДИТ"В М.СУМИ</v>
          </cell>
          <cell r="J2628" t="str">
            <v>Ковп.ФАКБ"НК" в м.Суми</v>
          </cell>
          <cell r="K2628" t="str">
            <v>USIU</v>
          </cell>
          <cell r="L2628" t="str">
            <v>USIU</v>
          </cell>
          <cell r="M2628">
            <v>18</v>
          </cell>
          <cell r="N2628">
            <v>26</v>
          </cell>
          <cell r="O2628" t="str">
            <v>Управління НБУ в Сумськ.обл</v>
          </cell>
        </row>
        <row r="2629">
          <cell r="A2629">
            <v>337513</v>
          </cell>
          <cell r="B2629">
            <v>321228</v>
          </cell>
          <cell r="D2629">
            <v>0</v>
          </cell>
          <cell r="E2629">
            <v>68</v>
          </cell>
          <cell r="F2629">
            <v>0</v>
          </cell>
          <cell r="G2629" t="str">
            <v>8</v>
          </cell>
          <cell r="H2629">
            <v>739</v>
          </cell>
          <cell r="I2629" t="str">
            <v>СУМСЬКА Ф.ТОВ "УКРПРОМБАНК", М.СУМИ</v>
          </cell>
          <cell r="J2629" t="str">
            <v>Сумська ф.ТОВ"Укрпромбанк"</v>
          </cell>
          <cell r="K2629" t="str">
            <v>USIW</v>
          </cell>
          <cell r="L2629" t="str">
            <v>USIW</v>
          </cell>
          <cell r="M2629">
            <v>18</v>
          </cell>
          <cell r="N2629">
            <v>26</v>
          </cell>
          <cell r="O2629" t="str">
            <v>Управління НБУ в Сумськ.обл</v>
          </cell>
        </row>
        <row r="2630">
          <cell r="A2630">
            <v>337535</v>
          </cell>
          <cell r="B2630">
            <v>320003</v>
          </cell>
          <cell r="D2630">
            <v>0</v>
          </cell>
          <cell r="E2630">
            <v>225</v>
          </cell>
          <cell r="F2630">
            <v>0</v>
          </cell>
          <cell r="G2630" t="str">
            <v>B</v>
          </cell>
          <cell r="H2630">
            <v>773</v>
          </cell>
          <cell r="I2630" t="str">
            <v>Ф ВАТ КБ "НАДРА"Сумське РУ "Слобожан."</v>
          </cell>
          <cell r="J2630" t="str">
            <v>Ф ВАТКБ"Надра"СумськеРУ"Сл"</v>
          </cell>
          <cell r="K2630" t="str">
            <v>USIB</v>
          </cell>
          <cell r="L2630" t="str">
            <v>USIB</v>
          </cell>
          <cell r="M2630">
            <v>18</v>
          </cell>
          <cell r="N2630">
            <v>26</v>
          </cell>
          <cell r="O2630" t="str">
            <v>Управління НБУ в Сумськ.обл</v>
          </cell>
        </row>
        <row r="2631">
          <cell r="A2631">
            <v>337546</v>
          </cell>
          <cell r="B2631">
            <v>305299</v>
          </cell>
          <cell r="D2631">
            <v>0</v>
          </cell>
          <cell r="E2631">
            <v>46</v>
          </cell>
          <cell r="F2631">
            <v>0</v>
          </cell>
          <cell r="G2631" t="str">
            <v>A</v>
          </cell>
          <cell r="H2631">
            <v>703</v>
          </cell>
          <cell r="I2631" t="str">
            <v>СУМСЬКА ФІЛІЯ ПРИВАТБАНКУ, М. СУМИ</v>
          </cell>
          <cell r="J2631" t="str">
            <v>Сумська ф-я  ПриватБанку</v>
          </cell>
          <cell r="K2631" t="str">
            <v>USIM</v>
          </cell>
          <cell r="L2631" t="str">
            <v>USIM</v>
          </cell>
          <cell r="M2631">
            <v>18</v>
          </cell>
          <cell r="N2631">
            <v>3</v>
          </cell>
          <cell r="O2631" t="str">
            <v>Управління НБУ в Сумськ.обл</v>
          </cell>
        </row>
        <row r="2632">
          <cell r="A2632">
            <v>337568</v>
          </cell>
          <cell r="B2632">
            <v>300465</v>
          </cell>
          <cell r="D2632">
            <v>0</v>
          </cell>
          <cell r="E2632">
            <v>6</v>
          </cell>
          <cell r="F2632">
            <v>0</v>
          </cell>
          <cell r="G2632" t="str">
            <v>6</v>
          </cell>
          <cell r="H2632">
            <v>604</v>
          </cell>
          <cell r="I2632" t="str">
            <v>ФСУМСЬКЕ ОБЛАСНЕ УПРАВЛ ВАТОЩАД М.СУМИ</v>
          </cell>
          <cell r="J2632" t="str">
            <v>ФСумське обласне упрВАТОщад</v>
          </cell>
          <cell r="K2632" t="str">
            <v>USLB</v>
          </cell>
          <cell r="L2632" t="str">
            <v>USLB</v>
          </cell>
          <cell r="M2632">
            <v>18</v>
          </cell>
          <cell r="N2632">
            <v>26</v>
          </cell>
          <cell r="O2632" t="str">
            <v>Управління НБУ в Сумськ.обл</v>
          </cell>
        </row>
        <row r="2633">
          <cell r="A2633">
            <v>337579</v>
          </cell>
          <cell r="B2633">
            <v>300465</v>
          </cell>
          <cell r="D2633">
            <v>0</v>
          </cell>
          <cell r="E2633">
            <v>6</v>
          </cell>
          <cell r="F2633">
            <v>0</v>
          </cell>
          <cell r="G2633" t="str">
            <v>6</v>
          </cell>
          <cell r="H2633">
            <v>621</v>
          </cell>
          <cell r="I2633" t="str">
            <v>ФСУМСЬКЕ ВІДДІЛЕННЯ № 4 ВАТОЩАД М.СУМИ</v>
          </cell>
          <cell r="J2633" t="str">
            <v>ФСумське відділення ВАТОщад</v>
          </cell>
          <cell r="K2633" t="str">
            <v>USLU</v>
          </cell>
          <cell r="L2633" t="str">
            <v>USLB</v>
          </cell>
          <cell r="M2633">
            <v>18</v>
          </cell>
          <cell r="N2633">
            <v>26</v>
          </cell>
          <cell r="O2633" t="str">
            <v>Управління НБУ в Сумськ.обл</v>
          </cell>
        </row>
        <row r="2634">
          <cell r="A2634">
            <v>337609</v>
          </cell>
          <cell r="B2634">
            <v>300465</v>
          </cell>
          <cell r="D2634">
            <v>0</v>
          </cell>
          <cell r="E2634">
            <v>6</v>
          </cell>
          <cell r="F2634">
            <v>0</v>
          </cell>
          <cell r="G2634" t="str">
            <v>6</v>
          </cell>
          <cell r="H2634">
            <v>605</v>
          </cell>
          <cell r="I2634" t="str">
            <v>ФОХТИРСЬКЕ ВІДДІЛЕНН ВАТОЩАД М.ОХТИРКА</v>
          </cell>
          <cell r="J2634" t="str">
            <v>ФОхтирське відділеннВАТОщад</v>
          </cell>
          <cell r="K2634" t="str">
            <v>USLC</v>
          </cell>
          <cell r="L2634" t="str">
            <v>USLB</v>
          </cell>
          <cell r="M2634">
            <v>18</v>
          </cell>
          <cell r="N2634">
            <v>26</v>
          </cell>
          <cell r="O2634" t="str">
            <v>Управління НБУ в Сумськ.обл</v>
          </cell>
        </row>
        <row r="2635">
          <cell r="A2635">
            <v>337610</v>
          </cell>
          <cell r="B2635">
            <v>300465</v>
          </cell>
          <cell r="D2635">
            <v>0</v>
          </cell>
          <cell r="E2635">
            <v>6</v>
          </cell>
          <cell r="F2635">
            <v>0</v>
          </cell>
          <cell r="G2635" t="str">
            <v>6</v>
          </cell>
          <cell r="H2635">
            <v>606</v>
          </cell>
          <cell r="I2635" t="str">
            <v>ФБІЛОПІЛЬСЬКЕ ВІДДІ ВАТОЩАД М.БІЛОПІЛЛ</v>
          </cell>
          <cell r="J2635" t="str">
            <v>ФБілопільське відділВАТОщад</v>
          </cell>
          <cell r="K2635" t="str">
            <v>USLD</v>
          </cell>
          <cell r="L2635" t="str">
            <v>USLB</v>
          </cell>
          <cell r="M2635">
            <v>18</v>
          </cell>
          <cell r="N2635">
            <v>26</v>
          </cell>
          <cell r="O2635" t="str">
            <v>Управління НБУ в Сумськ.обл</v>
          </cell>
        </row>
        <row r="2636">
          <cell r="A2636">
            <v>337632</v>
          </cell>
          <cell r="B2636">
            <v>300465</v>
          </cell>
          <cell r="D2636">
            <v>0</v>
          </cell>
          <cell r="E2636">
            <v>6</v>
          </cell>
          <cell r="F2636">
            <v>0</v>
          </cell>
          <cell r="G2636" t="str">
            <v>6</v>
          </cell>
          <cell r="H2636">
            <v>608</v>
          </cell>
          <cell r="I2636" t="str">
            <v>ФБУРИНСЬКЕ ВІДДІЛЕННЯ ВАТОЩАД М.БУРИНЬ</v>
          </cell>
          <cell r="J2636" t="str">
            <v>ФБуринське відділеннВАТОщад</v>
          </cell>
          <cell r="K2636" t="str">
            <v>USLF</v>
          </cell>
          <cell r="L2636" t="str">
            <v>USLB</v>
          </cell>
          <cell r="M2636">
            <v>18</v>
          </cell>
          <cell r="N2636">
            <v>26</v>
          </cell>
          <cell r="O2636" t="str">
            <v>Управління НБУ в Сумськ.обл</v>
          </cell>
        </row>
        <row r="2637">
          <cell r="A2637">
            <v>337643</v>
          </cell>
          <cell r="B2637">
            <v>300465</v>
          </cell>
          <cell r="D2637">
            <v>0</v>
          </cell>
          <cell r="E2637">
            <v>6</v>
          </cell>
          <cell r="F2637">
            <v>0</v>
          </cell>
          <cell r="G2637" t="str">
            <v>6</v>
          </cell>
          <cell r="H2637">
            <v>609</v>
          </cell>
          <cell r="I2637" t="str">
            <v>ФГЛУХІВСЬКЕ ВІДДІЛЕНН ВАТОЩАД М.ГЛУХІВ</v>
          </cell>
          <cell r="J2637" t="str">
            <v>ФГлухівське відділенВАТОщад</v>
          </cell>
          <cell r="K2637" t="str">
            <v>USLG</v>
          </cell>
          <cell r="L2637" t="str">
            <v>USLB</v>
          </cell>
          <cell r="M2637">
            <v>18</v>
          </cell>
          <cell r="N2637">
            <v>26</v>
          </cell>
          <cell r="O2637" t="str">
            <v>Управління НБУ в Сумськ.обл</v>
          </cell>
        </row>
        <row r="2638">
          <cell r="A2638">
            <v>337654</v>
          </cell>
          <cell r="B2638">
            <v>300465</v>
          </cell>
          <cell r="D2638">
            <v>0</v>
          </cell>
          <cell r="E2638">
            <v>6</v>
          </cell>
          <cell r="F2638">
            <v>0</v>
          </cell>
          <cell r="G2638" t="str">
            <v>6</v>
          </cell>
          <cell r="H2638">
            <v>613</v>
          </cell>
          <cell r="I2638" t="str">
            <v>ФКОНОТОПСЬКЕ ВІДДІЛЕ ВАТОЩАД М.КОНОТОП</v>
          </cell>
          <cell r="J2638" t="str">
            <v>ФКонотопське відділеВАТОщад</v>
          </cell>
          <cell r="K2638" t="str">
            <v>USLH</v>
          </cell>
          <cell r="L2638" t="str">
            <v>USLB</v>
          </cell>
          <cell r="M2638">
            <v>18</v>
          </cell>
          <cell r="N2638">
            <v>26</v>
          </cell>
          <cell r="O2638" t="str">
            <v>Управління НБУ в Сумськ.обл</v>
          </cell>
        </row>
        <row r="2639">
          <cell r="A2639">
            <v>337665</v>
          </cell>
          <cell r="B2639">
            <v>300465</v>
          </cell>
          <cell r="D2639">
            <v>0</v>
          </cell>
          <cell r="E2639">
            <v>6</v>
          </cell>
          <cell r="F2639">
            <v>0</v>
          </cell>
          <cell r="G2639" t="str">
            <v>6</v>
          </cell>
          <cell r="H2639">
            <v>601</v>
          </cell>
          <cell r="I2639" t="str">
            <v>ФКРАСНОПІЛЬСЬКЕ ВІД ВАТОЩАД СМТ.КРАСНО</v>
          </cell>
          <cell r="J2639" t="str">
            <v>ФКраснопільське віддВАТОщад</v>
          </cell>
          <cell r="K2639" t="str">
            <v>USLI</v>
          </cell>
          <cell r="L2639" t="str">
            <v>USLB</v>
          </cell>
          <cell r="M2639">
            <v>18</v>
          </cell>
          <cell r="N2639">
            <v>26</v>
          </cell>
          <cell r="O2639" t="str">
            <v>Управління НБУ в Сумськ.обл</v>
          </cell>
        </row>
        <row r="2640">
          <cell r="A2640">
            <v>337676</v>
          </cell>
          <cell r="B2640">
            <v>300465</v>
          </cell>
          <cell r="D2640">
            <v>0</v>
          </cell>
          <cell r="E2640">
            <v>6</v>
          </cell>
          <cell r="F2640">
            <v>0</v>
          </cell>
          <cell r="G2640" t="str">
            <v>6</v>
          </cell>
          <cell r="H2640">
            <v>602</v>
          </cell>
          <cell r="I2640" t="str">
            <v>ФКРОЛЕВЕЦЬКЕ ВІДДІЛ ВАТОЩАД М.КРОЛЕВЕЦ</v>
          </cell>
          <cell r="J2640" t="str">
            <v>ФКролевецьке відділеВАТОщад</v>
          </cell>
          <cell r="K2640" t="str">
            <v>USLJ</v>
          </cell>
          <cell r="L2640" t="str">
            <v>USLB</v>
          </cell>
          <cell r="M2640">
            <v>18</v>
          </cell>
          <cell r="N2640">
            <v>26</v>
          </cell>
          <cell r="O2640" t="str">
            <v>Управління НБУ в Сумськ.обл</v>
          </cell>
        </row>
        <row r="2641">
          <cell r="A2641">
            <v>337687</v>
          </cell>
          <cell r="B2641">
            <v>300465</v>
          </cell>
          <cell r="D2641">
            <v>0</v>
          </cell>
          <cell r="E2641">
            <v>6</v>
          </cell>
          <cell r="F2641">
            <v>0</v>
          </cell>
          <cell r="G2641" t="str">
            <v>6</v>
          </cell>
          <cell r="H2641">
            <v>603</v>
          </cell>
          <cell r="I2641" t="str">
            <v>ФЛЕБЕДИНСЬКЕ ВІДДІЛЕ ВАТОЩАД М.ЛЕБЕДИН</v>
          </cell>
          <cell r="J2641" t="str">
            <v>ФЛебединське відділеВАТОщад</v>
          </cell>
          <cell r="K2641" t="str">
            <v>USLK</v>
          </cell>
          <cell r="L2641" t="str">
            <v>USLB</v>
          </cell>
          <cell r="M2641">
            <v>18</v>
          </cell>
          <cell r="N2641">
            <v>26</v>
          </cell>
          <cell r="O2641" t="str">
            <v>Управління НБУ в Сумськ.обл</v>
          </cell>
        </row>
        <row r="2642">
          <cell r="A2642">
            <v>337706</v>
          </cell>
          <cell r="B2642">
            <v>300465</v>
          </cell>
          <cell r="D2642">
            <v>0</v>
          </cell>
          <cell r="E2642">
            <v>6</v>
          </cell>
          <cell r="F2642">
            <v>0</v>
          </cell>
          <cell r="G2642" t="str">
            <v>6</v>
          </cell>
          <cell r="H2642">
            <v>615</v>
          </cell>
          <cell r="I2642" t="str">
            <v>ФНЕДРИГАЙЛІВСЬКЕ ВІ ВАТОЩАД СМТ.НЕДРИГ</v>
          </cell>
          <cell r="J2642" t="str">
            <v>ФНедригайлівське відВАТОщад</v>
          </cell>
          <cell r="K2642" t="str">
            <v>USLM</v>
          </cell>
          <cell r="L2642" t="str">
            <v>USLB</v>
          </cell>
          <cell r="M2642">
            <v>18</v>
          </cell>
          <cell r="N2642">
            <v>26</v>
          </cell>
          <cell r="O2642" t="str">
            <v>Управління НБУ в Сумськ.обл</v>
          </cell>
        </row>
        <row r="2643">
          <cell r="A2643">
            <v>337728</v>
          </cell>
          <cell r="B2643">
            <v>300465</v>
          </cell>
          <cell r="D2643">
            <v>0</v>
          </cell>
          <cell r="E2643">
            <v>6</v>
          </cell>
          <cell r="F2643">
            <v>0</v>
          </cell>
          <cell r="G2643" t="str">
            <v>6</v>
          </cell>
          <cell r="H2643">
            <v>617</v>
          </cell>
          <cell r="I2643" t="str">
            <v>ФРОМЕНСЬКЕ ВІДДІЛЕННЯ  ВАТОЩАД М.РОМНИ</v>
          </cell>
          <cell r="J2643" t="str">
            <v>ФРоменське відділеннВАТОщад</v>
          </cell>
          <cell r="K2643" t="str">
            <v>USLO</v>
          </cell>
          <cell r="L2643" t="str">
            <v>USLB</v>
          </cell>
          <cell r="M2643">
            <v>18</v>
          </cell>
          <cell r="N2643">
            <v>26</v>
          </cell>
          <cell r="O2643" t="str">
            <v>Управління НБУ в Сумськ.обл</v>
          </cell>
        </row>
        <row r="2644">
          <cell r="A2644">
            <v>337751</v>
          </cell>
          <cell r="B2644">
            <v>300465</v>
          </cell>
          <cell r="D2644">
            <v>0</v>
          </cell>
          <cell r="E2644">
            <v>6</v>
          </cell>
          <cell r="F2644">
            <v>0</v>
          </cell>
          <cell r="G2644" t="str">
            <v>6</v>
          </cell>
          <cell r="H2644">
            <v>610</v>
          </cell>
          <cell r="I2644" t="str">
            <v>ФШОСТКИНСЬКЕ ВІДДІЛЕН ВАТОЩАД М.ШОСТКА</v>
          </cell>
          <cell r="J2644" t="str">
            <v>ФШосткинське відділеВАТОщад</v>
          </cell>
          <cell r="K2644" t="str">
            <v>USLR</v>
          </cell>
          <cell r="L2644" t="str">
            <v>USLB</v>
          </cell>
          <cell r="M2644">
            <v>18</v>
          </cell>
          <cell r="N2644">
            <v>26</v>
          </cell>
          <cell r="O2644" t="str">
            <v>Управління НБУ в Сумськ.обл</v>
          </cell>
        </row>
        <row r="2645">
          <cell r="A2645">
            <v>337784</v>
          </cell>
          <cell r="B2645">
            <v>322711</v>
          </cell>
          <cell r="D2645">
            <v>0</v>
          </cell>
          <cell r="E2645">
            <v>238</v>
          </cell>
          <cell r="F2645">
            <v>0</v>
          </cell>
          <cell r="G2645" t="str">
            <v>8</v>
          </cell>
          <cell r="H2645">
            <v>714</v>
          </cell>
          <cell r="I2645" t="str">
            <v>СУМСЬКА ФІЛІЯ АБ "СИНТЕЗ"М.СУМИ</v>
          </cell>
          <cell r="J2645" t="str">
            <v>Сумська філія АБ "СИНТЕЗ"</v>
          </cell>
          <cell r="K2645" t="str">
            <v>USIZ</v>
          </cell>
          <cell r="L2645" t="str">
            <v>USIZ</v>
          </cell>
          <cell r="M2645">
            <v>18</v>
          </cell>
          <cell r="N2645">
            <v>26</v>
          </cell>
          <cell r="O2645" t="str">
            <v>Управління НБУ в Сумськ.обл</v>
          </cell>
        </row>
        <row r="2646">
          <cell r="A2646">
            <v>337795</v>
          </cell>
          <cell r="B2646">
            <v>351607</v>
          </cell>
          <cell r="D2646">
            <v>0</v>
          </cell>
          <cell r="E2646">
            <v>123</v>
          </cell>
          <cell r="F2646">
            <v>0</v>
          </cell>
          <cell r="G2646" t="str">
            <v>8</v>
          </cell>
          <cell r="H2646">
            <v>702</v>
          </cell>
          <cell r="I2646" t="str">
            <v>Ф-Я "ШОСТКА-ГРАНТ"БАНКУ"ГРАНТ", ШОСТКА</v>
          </cell>
          <cell r="J2646" t="str">
            <v>Ф."Шостка-Грант"АСУБ"Грант"</v>
          </cell>
          <cell r="K2646" t="str">
            <v>USIL</v>
          </cell>
          <cell r="L2646" t="str">
            <v>USIL</v>
          </cell>
          <cell r="M2646">
            <v>18</v>
          </cell>
          <cell r="N2646">
            <v>20</v>
          </cell>
          <cell r="O2646" t="str">
            <v>Управління НБУ в Сумськ.обл</v>
          </cell>
        </row>
        <row r="2647">
          <cell r="A2647">
            <v>337803</v>
          </cell>
          <cell r="B2647">
            <v>322603</v>
          </cell>
          <cell r="D2647">
            <v>0</v>
          </cell>
          <cell r="E2647">
            <v>216</v>
          </cell>
          <cell r="F2647">
            <v>0</v>
          </cell>
          <cell r="G2647" t="str">
            <v>8</v>
          </cell>
          <cell r="H2647">
            <v>726</v>
          </cell>
          <cell r="I2647" t="str">
            <v>СФ ВАТ БАНКУ "БІГ ЕНЕРГІЯ" М.СУМИ</v>
          </cell>
          <cell r="J2647" t="str">
            <v>СФ ВАТ Банку "БІГ Енергія"</v>
          </cell>
          <cell r="K2647" t="str">
            <v>USIV</v>
          </cell>
          <cell r="L2647" t="str">
            <v>USIV</v>
          </cell>
          <cell r="M2647">
            <v>18</v>
          </cell>
          <cell r="N2647">
            <v>26</v>
          </cell>
          <cell r="O2647" t="str">
            <v>Управління НБУ в Сумськ.обл</v>
          </cell>
        </row>
        <row r="2648">
          <cell r="A2648">
            <v>337825</v>
          </cell>
          <cell r="B2648">
            <v>305749</v>
          </cell>
          <cell r="D2648">
            <v>0</v>
          </cell>
          <cell r="E2648">
            <v>270</v>
          </cell>
          <cell r="F2648">
            <v>0</v>
          </cell>
          <cell r="G2648" t="str">
            <v>B</v>
          </cell>
          <cell r="H2648">
            <v>715</v>
          </cell>
          <cell r="I2648" t="str">
            <v>СУМСЬКА Ф-Я АБ "КРЕДИТ-ДНІПРО",М. СУМИ</v>
          </cell>
          <cell r="J2648" t="str">
            <v>Сумська ФАБ "КРЕДИТ-ДНІПРО"</v>
          </cell>
          <cell r="K2648" t="str">
            <v>USJB</v>
          </cell>
          <cell r="L2648" t="str">
            <v>USJB</v>
          </cell>
          <cell r="M2648">
            <v>18</v>
          </cell>
          <cell r="N2648">
            <v>3</v>
          </cell>
          <cell r="O2648" t="str">
            <v>Управління НБУ в Сумськ.обл</v>
          </cell>
        </row>
        <row r="2649">
          <cell r="A2649">
            <v>337836</v>
          </cell>
          <cell r="B2649">
            <v>337933</v>
          </cell>
          <cell r="D2649">
            <v>0</v>
          </cell>
          <cell r="E2649">
            <v>301</v>
          </cell>
          <cell r="F2649">
            <v>0</v>
          </cell>
          <cell r="G2649" t="str">
            <v>8</v>
          </cell>
          <cell r="H2649">
            <v>716</v>
          </cell>
          <cell r="I2649" t="str">
            <v>СУМ.Ф-Я ВАТ "КБ "ВОЛОДИМИРСЬКИЙ", СУМИ</v>
          </cell>
          <cell r="J2649" t="str">
            <v>Сумська КБ"ВОЛОДИМИРСЬКИЙ"</v>
          </cell>
          <cell r="K2649" t="str">
            <v>USJC</v>
          </cell>
          <cell r="L2649" t="str">
            <v>USJC</v>
          </cell>
          <cell r="M2649">
            <v>18</v>
          </cell>
          <cell r="N2649">
            <v>18</v>
          </cell>
          <cell r="O2649" t="str">
            <v>Управління НБУ в Сумськ.обл</v>
          </cell>
        </row>
        <row r="2650">
          <cell r="A2650">
            <v>337881</v>
          </cell>
          <cell r="B2650">
            <v>300658</v>
          </cell>
          <cell r="D2650">
            <v>0</v>
          </cell>
          <cell r="E2650">
            <v>251</v>
          </cell>
          <cell r="F2650">
            <v>0</v>
          </cell>
          <cell r="G2650" t="str">
            <v>B</v>
          </cell>
          <cell r="H2650">
            <v>724</v>
          </cell>
          <cell r="I2650" t="str">
            <v>СУМФ ВАТ "ПІРЕУС БАНК МКБ",М.СУМИ</v>
          </cell>
          <cell r="J2650" t="str">
            <v>СумФ ВАТ "ПІРЕУС БАНК МКБ"</v>
          </cell>
          <cell r="K2650" t="str">
            <v>USJE</v>
          </cell>
          <cell r="L2650" t="str">
            <v>USJE</v>
          </cell>
          <cell r="M2650">
            <v>18</v>
          </cell>
          <cell r="N2650">
            <v>26</v>
          </cell>
          <cell r="O2650" t="str">
            <v>Управління НБУ в Сумськ.обл</v>
          </cell>
        </row>
        <row r="2651">
          <cell r="A2651">
            <v>337892</v>
          </cell>
          <cell r="B2651">
            <v>313849</v>
          </cell>
          <cell r="D2651">
            <v>0</v>
          </cell>
          <cell r="E2651">
            <v>101</v>
          </cell>
          <cell r="F2651">
            <v>0</v>
          </cell>
          <cell r="G2651" t="str">
            <v>8</v>
          </cell>
          <cell r="H2651">
            <v>741</v>
          </cell>
          <cell r="I2651" t="str">
            <v>Сумська філія АКБ "ІНДУСТРІАЛБАНК"</v>
          </cell>
          <cell r="J2651" t="str">
            <v>СФ АКБ "ІНДУСТРІАЛБАНК"</v>
          </cell>
          <cell r="K2651" t="str">
            <v>USJG</v>
          </cell>
          <cell r="L2651" t="str">
            <v>USJG</v>
          </cell>
          <cell r="M2651">
            <v>18</v>
          </cell>
          <cell r="N2651">
            <v>7</v>
          </cell>
          <cell r="O2651" t="str">
            <v>Управління НБУ в Сумськ.обл</v>
          </cell>
        </row>
        <row r="2652">
          <cell r="A2652">
            <v>337900</v>
          </cell>
          <cell r="B2652">
            <v>300614</v>
          </cell>
          <cell r="D2652">
            <v>0</v>
          </cell>
          <cell r="E2652">
            <v>171</v>
          </cell>
          <cell r="F2652">
            <v>0</v>
          </cell>
          <cell r="G2652" t="str">
            <v>8</v>
          </cell>
          <cell r="H2652">
            <v>736</v>
          </cell>
          <cell r="I2652" t="str">
            <v>ФІЛІЯ СУМ.ДИР АТ"ІНДЕКС-БАНК" М.СУМИ</v>
          </cell>
          <cell r="J2652" t="str">
            <v>Ф.СД. АТ ІНД.-БАНК</v>
          </cell>
          <cell r="K2652" t="str">
            <v>USJJ</v>
          </cell>
          <cell r="L2652" t="str">
            <v>USJJ</v>
          </cell>
          <cell r="M2652">
            <v>18</v>
          </cell>
          <cell r="N2652">
            <v>26</v>
          </cell>
          <cell r="O2652" t="str">
            <v>Управління НБУ в Сумськ.обл</v>
          </cell>
        </row>
        <row r="2653">
          <cell r="A2653">
            <v>337922</v>
          </cell>
          <cell r="B2653">
            <v>300249</v>
          </cell>
          <cell r="D2653">
            <v>0</v>
          </cell>
          <cell r="E2653">
            <v>37</v>
          </cell>
          <cell r="F2653">
            <v>0</v>
          </cell>
          <cell r="G2653" t="str">
            <v>8</v>
          </cell>
          <cell r="H2653">
            <v>767</v>
          </cell>
          <cell r="I2653" t="str">
            <v>СУМСЬКА ФІЛІЯ АБ "БРОКБІЗНЕСБАНК",СУМИ</v>
          </cell>
          <cell r="J2653" t="str">
            <v>Сумська ФАБ"БРОКБІЗНЕСБАНК"</v>
          </cell>
          <cell r="K2653" t="str">
            <v>USJS</v>
          </cell>
          <cell r="L2653" t="str">
            <v>USJS</v>
          </cell>
          <cell r="M2653">
            <v>18</v>
          </cell>
          <cell r="N2653">
            <v>26</v>
          </cell>
          <cell r="O2653" t="str">
            <v>Управління НБУ в Сумськ.обл</v>
          </cell>
        </row>
        <row r="2654">
          <cell r="A2654">
            <v>337933</v>
          </cell>
          <cell r="B2654">
            <v>337933</v>
          </cell>
          <cell r="C2654" t="str">
            <v>ВАТ "КБ "ВОЛОДИМИРСЬКИЙ"</v>
          </cell>
          <cell r="D2654">
            <v>301</v>
          </cell>
          <cell r="E2654">
            <v>301</v>
          </cell>
          <cell r="F2654">
            <v>0</v>
          </cell>
          <cell r="G2654" t="str">
            <v>8</v>
          </cell>
          <cell r="H2654">
            <v>755</v>
          </cell>
          <cell r="I2654" t="str">
            <v>ВАТ "КБ "ВОЛОДИМИРСЬКИЙ"</v>
          </cell>
          <cell r="J2654" t="str">
            <v>ВАТ "КБ "ВОЛОДИМИРСЬКИЙ"</v>
          </cell>
          <cell r="K2654" t="str">
            <v>USJD</v>
          </cell>
          <cell r="L2654" t="str">
            <v>USJD</v>
          </cell>
          <cell r="M2654">
            <v>18</v>
          </cell>
          <cell r="N2654">
            <v>18</v>
          </cell>
          <cell r="O2654" t="str">
            <v>Управління НБУ в Сумськ.обл</v>
          </cell>
        </row>
        <row r="2655">
          <cell r="A2655">
            <v>337944</v>
          </cell>
          <cell r="B2655">
            <v>328384</v>
          </cell>
          <cell r="D2655">
            <v>0</v>
          </cell>
          <cell r="E2655">
            <v>258</v>
          </cell>
          <cell r="F2655">
            <v>0</v>
          </cell>
          <cell r="G2655" t="str">
            <v>8</v>
          </cell>
          <cell r="H2655">
            <v>743</v>
          </cell>
          <cell r="I2655" t="str">
            <v>ФІЛІЯ АКБ "ІМЕКСБАНК" У М.СУМИ</v>
          </cell>
          <cell r="J2655" t="str">
            <v>СУМСЬКАФ АКБ "ІМЕКСБАНК"</v>
          </cell>
          <cell r="K2655" t="str">
            <v>USJT</v>
          </cell>
          <cell r="L2655" t="str">
            <v>USJT</v>
          </cell>
          <cell r="M2655">
            <v>18</v>
          </cell>
          <cell r="N2655">
            <v>15</v>
          </cell>
          <cell r="O2655" t="str">
            <v>Управління НБУ в Сумськ.обл</v>
          </cell>
        </row>
        <row r="2656">
          <cell r="A2656">
            <v>337955</v>
          </cell>
          <cell r="B2656">
            <v>322948</v>
          </cell>
          <cell r="D2656">
            <v>0</v>
          </cell>
          <cell r="E2656">
            <v>248</v>
          </cell>
          <cell r="F2656">
            <v>0</v>
          </cell>
          <cell r="G2656" t="str">
            <v>B</v>
          </cell>
          <cell r="H2656">
            <v>757</v>
          </cell>
          <cell r="I2656" t="str">
            <v>СУМСЬКА ФІЛІЯ АКБ "ФОРУМ" М.СУМИ</v>
          </cell>
          <cell r="J2656" t="str">
            <v>Сумська філія АКБ "Форум"</v>
          </cell>
          <cell r="K2656" t="str">
            <v>USJU</v>
          </cell>
          <cell r="L2656" t="str">
            <v>USJU</v>
          </cell>
          <cell r="M2656">
            <v>18</v>
          </cell>
          <cell r="N2656">
            <v>26</v>
          </cell>
          <cell r="O2656" t="str">
            <v>Управління НБУ в Сумськ.обл</v>
          </cell>
        </row>
        <row r="2657">
          <cell r="A2657">
            <v>337966</v>
          </cell>
          <cell r="B2657">
            <v>300670</v>
          </cell>
          <cell r="D2657">
            <v>0</v>
          </cell>
          <cell r="E2657">
            <v>202</v>
          </cell>
          <cell r="F2657">
            <v>0</v>
          </cell>
          <cell r="G2657" t="str">
            <v>8</v>
          </cell>
          <cell r="H2657">
            <v>758</v>
          </cell>
          <cell r="I2657" t="str">
            <v>СУМСЬКА Ф-Я ВАТ КБ "ХРЕЩАТИК", СУМИ</v>
          </cell>
          <cell r="J2657" t="str">
            <v>Сумська ФВАТ КБ"Хрещатик"</v>
          </cell>
          <cell r="K2657" t="str">
            <v>USJY</v>
          </cell>
          <cell r="L2657" t="str">
            <v>USJY</v>
          </cell>
          <cell r="M2657">
            <v>18</v>
          </cell>
          <cell r="N2657">
            <v>26</v>
          </cell>
          <cell r="O2657" t="str">
            <v>Управління НБУ в Сумськ.обл</v>
          </cell>
        </row>
        <row r="2658">
          <cell r="A2658">
            <v>337977</v>
          </cell>
          <cell r="B2658">
            <v>300528</v>
          </cell>
          <cell r="D2658">
            <v>0</v>
          </cell>
          <cell r="E2658">
            <v>296</v>
          </cell>
          <cell r="F2658">
            <v>0</v>
          </cell>
          <cell r="G2658" t="str">
            <v>F</v>
          </cell>
          <cell r="H2658">
            <v>759</v>
          </cell>
          <cell r="I2658" t="str">
            <v>ФІЛІЯ ЗАТ "ОТП БАНК" В М. СУМИ</v>
          </cell>
          <cell r="J2658" t="str">
            <v>Філія ЗАТ "ОТП Банк"</v>
          </cell>
          <cell r="K2658" t="str">
            <v>USJV</v>
          </cell>
          <cell r="L2658" t="str">
            <v>USJV</v>
          </cell>
          <cell r="M2658">
            <v>18</v>
          </cell>
          <cell r="N2658">
            <v>26</v>
          </cell>
          <cell r="O2658" t="str">
            <v>Управління НБУ в Сумськ.обл</v>
          </cell>
        </row>
        <row r="2659">
          <cell r="A2659">
            <v>337999</v>
          </cell>
          <cell r="B2659">
            <v>303484</v>
          </cell>
          <cell r="D2659">
            <v>0</v>
          </cell>
          <cell r="E2659">
            <v>273</v>
          </cell>
          <cell r="F2659">
            <v>0</v>
          </cell>
          <cell r="G2659" t="str">
            <v>8</v>
          </cell>
          <cell r="H2659">
            <v>793</v>
          </cell>
          <cell r="I2659" t="str">
            <v>Сумська філія КБ "Західінкомбанк" ТзОВ</v>
          </cell>
          <cell r="J2659" t="str">
            <v>СФ КБ "Західінкомбанк" ТзОВ</v>
          </cell>
          <cell r="K2659" t="str">
            <v>USKA</v>
          </cell>
          <cell r="L2659" t="str">
            <v>USKA</v>
          </cell>
          <cell r="M2659">
            <v>18</v>
          </cell>
          <cell r="N2659">
            <v>2</v>
          </cell>
          <cell r="O2659" t="str">
            <v>Управління НБУ в Сумськ.обл</v>
          </cell>
        </row>
        <row r="2660">
          <cell r="A2660">
            <v>338017</v>
          </cell>
          <cell r="B2660">
            <v>300023</v>
          </cell>
          <cell r="D2660">
            <v>0</v>
          </cell>
          <cell r="E2660">
            <v>5</v>
          </cell>
          <cell r="F2660">
            <v>0</v>
          </cell>
          <cell r="G2660" t="str">
            <v>5</v>
          </cell>
          <cell r="H2660">
            <v>528</v>
          </cell>
          <cell r="I2660" t="str">
            <v>ТЕРНОП.ОБЛ.ФАКБ"УКРСОЦБАНК,М.ТЕРНОПІЛЬ</v>
          </cell>
          <cell r="J2660" t="str">
            <v>Тернопіль.обл.ф-я АКБ УСБ</v>
          </cell>
          <cell r="K2660" t="str">
            <v>UTCA</v>
          </cell>
          <cell r="L2660" t="str">
            <v>UTCA</v>
          </cell>
          <cell r="M2660">
            <v>19</v>
          </cell>
          <cell r="N2660">
            <v>26</v>
          </cell>
          <cell r="O2660" t="str">
            <v>Управління НБУ в Терноп.обл</v>
          </cell>
        </row>
        <row r="2661">
          <cell r="A2661">
            <v>338244</v>
          </cell>
          <cell r="B2661">
            <v>325912</v>
          </cell>
          <cell r="D2661">
            <v>0</v>
          </cell>
          <cell r="E2661">
            <v>88</v>
          </cell>
          <cell r="F2661">
            <v>0</v>
          </cell>
          <cell r="G2661" t="str">
            <v>B</v>
          </cell>
          <cell r="H2661">
            <v>701</v>
          </cell>
          <cell r="I2661" t="str">
            <v>Тернопільська філія ВАТ "КРЕДОБАНК"</v>
          </cell>
          <cell r="J2661" t="str">
            <v>Терноп.ф-я ВАТ "КРЕДОБАНК"</v>
          </cell>
          <cell r="K2661" t="str">
            <v>UTIE</v>
          </cell>
          <cell r="L2661" t="str">
            <v>UTIE</v>
          </cell>
          <cell r="M2661">
            <v>19</v>
          </cell>
          <cell r="N2661">
            <v>13</v>
          </cell>
          <cell r="O2661" t="str">
            <v>Управління НБУ в Терноп.обл</v>
          </cell>
        </row>
        <row r="2662">
          <cell r="A2662">
            <v>338415</v>
          </cell>
          <cell r="B2662">
            <v>300001</v>
          </cell>
          <cell r="D2662">
            <v>0</v>
          </cell>
          <cell r="E2662">
            <v>1</v>
          </cell>
          <cell r="F2662">
            <v>0</v>
          </cell>
          <cell r="G2662" t="str">
            <v>1</v>
          </cell>
          <cell r="H2662">
            <v>122</v>
          </cell>
          <cell r="I2662" t="str">
            <v>УПРАВЛІННЯ НБУ В ТЕРНОПІЛЬСЬКІЙ ОБЛ.</v>
          </cell>
          <cell r="J2662" t="str">
            <v>Упр. НБУ в Тернопіл. обл.</v>
          </cell>
          <cell r="K2662" t="str">
            <v>UTHA</v>
          </cell>
          <cell r="L2662" t="str">
            <v>UTH0</v>
          </cell>
          <cell r="M2662">
            <v>19</v>
          </cell>
          <cell r="N2662">
            <v>27</v>
          </cell>
          <cell r="O2662" t="str">
            <v>Управління НБУ в Терноп.обл</v>
          </cell>
        </row>
        <row r="2663">
          <cell r="A2663">
            <v>338426</v>
          </cell>
          <cell r="B2663">
            <v>300012</v>
          </cell>
          <cell r="D2663">
            <v>0</v>
          </cell>
          <cell r="E2663">
            <v>3</v>
          </cell>
          <cell r="F2663">
            <v>0</v>
          </cell>
          <cell r="G2663" t="str">
            <v>3</v>
          </cell>
          <cell r="H2663">
            <v>325</v>
          </cell>
          <cell r="I2663" t="str">
            <v>Ф."ВІДДІЛ.ПРОМІНВЕСТБАНКУ,М.ТЕРНОПІЛЬ"</v>
          </cell>
          <cell r="J2663" t="str">
            <v>Ф."ВІДДІЛ. ПІБ,М.ТЕРНОПІЛЬ"</v>
          </cell>
          <cell r="K2663" t="str">
            <v>UTAA</v>
          </cell>
          <cell r="L2663" t="str">
            <v>UTA0</v>
          </cell>
          <cell r="M2663">
            <v>19</v>
          </cell>
          <cell r="N2663">
            <v>26</v>
          </cell>
          <cell r="O2663" t="str">
            <v>Управління НБУ в Терноп.обл</v>
          </cell>
        </row>
        <row r="2664">
          <cell r="A2664">
            <v>338501</v>
          </cell>
          <cell r="B2664">
            <v>300335</v>
          </cell>
          <cell r="D2664">
            <v>0</v>
          </cell>
          <cell r="E2664">
            <v>36</v>
          </cell>
          <cell r="F2664">
            <v>0</v>
          </cell>
          <cell r="G2664" t="str">
            <v>7</v>
          </cell>
          <cell r="H2664">
            <v>711</v>
          </cell>
          <cell r="I2664" t="str">
            <v>ТОД ВАТ"РАЙФФАЙЗЕН БАНК АВАЛЬ",ТЕРНОП.</v>
          </cell>
          <cell r="J2664" t="str">
            <v>ТОД "РАЙФФАЙЗЕН БАНК АВАЛЬ"</v>
          </cell>
          <cell r="K2664" t="str">
            <v>UTIN</v>
          </cell>
          <cell r="L2664" t="str">
            <v>UTIN</v>
          </cell>
          <cell r="M2664">
            <v>19</v>
          </cell>
          <cell r="N2664">
            <v>26</v>
          </cell>
          <cell r="O2664" t="str">
            <v>Управління НБУ в Терноп.обл</v>
          </cell>
        </row>
        <row r="2665">
          <cell r="A2665">
            <v>338523</v>
          </cell>
          <cell r="B2665">
            <v>300142</v>
          </cell>
          <cell r="D2665">
            <v>0</v>
          </cell>
          <cell r="E2665">
            <v>18</v>
          </cell>
          <cell r="F2665">
            <v>0</v>
          </cell>
          <cell r="G2665" t="str">
            <v>8</v>
          </cell>
          <cell r="H2665">
            <v>742</v>
          </cell>
          <cell r="I2665" t="str">
            <v>ТЕРНОПІЛЬСЬКА ФАТ"УКРІНБ." М.ТЕРНОПІЛЬ</v>
          </cell>
          <cell r="J2665" t="str">
            <v>Тернопільська ФАТ"Укрінбанк</v>
          </cell>
          <cell r="K2665" t="str">
            <v>UTJD</v>
          </cell>
          <cell r="L2665" t="str">
            <v>UTJD</v>
          </cell>
          <cell r="M2665">
            <v>19</v>
          </cell>
          <cell r="N2665">
            <v>26</v>
          </cell>
          <cell r="O2665" t="str">
            <v>Управління НБУ в Терноп.обл</v>
          </cell>
        </row>
        <row r="2666">
          <cell r="A2666">
            <v>338545</v>
          </cell>
          <cell r="B2666">
            <v>300465</v>
          </cell>
          <cell r="D2666">
            <v>0</v>
          </cell>
          <cell r="E2666">
            <v>6</v>
          </cell>
          <cell r="F2666">
            <v>0</v>
          </cell>
          <cell r="G2666" t="str">
            <v>6</v>
          </cell>
          <cell r="H2666">
            <v>601</v>
          </cell>
          <cell r="I2666" t="str">
            <v>ФТЕРНОПІЛЬСЬКЕ ОБЛА ВАТОЩАД М.ТЕРНОПІЛ</v>
          </cell>
          <cell r="J2666" t="str">
            <v>ФТернопільське обласВАТОщад</v>
          </cell>
          <cell r="K2666" t="str">
            <v>UTLA</v>
          </cell>
          <cell r="L2666" t="str">
            <v>UTLA</v>
          </cell>
          <cell r="M2666">
            <v>19</v>
          </cell>
          <cell r="N2666">
            <v>26</v>
          </cell>
          <cell r="O2666" t="str">
            <v>Управління НБУ в Терноп.обл</v>
          </cell>
        </row>
        <row r="2667">
          <cell r="A2667">
            <v>338653</v>
          </cell>
          <cell r="B2667">
            <v>300670</v>
          </cell>
          <cell r="D2667">
            <v>0</v>
          </cell>
          <cell r="E2667">
            <v>202</v>
          </cell>
          <cell r="F2667">
            <v>0</v>
          </cell>
          <cell r="G2667" t="str">
            <v>8</v>
          </cell>
          <cell r="H2667">
            <v>755</v>
          </cell>
          <cell r="I2667" t="str">
            <v>ТФ ВАТ КБ "ХРЕЩАТИК", М.ТЕРНОПІЛЬ</v>
          </cell>
          <cell r="J2667" t="str">
            <v>Терноп. ф.ВАТ КБ "ХРЕЩАТИК"</v>
          </cell>
          <cell r="K2667" t="str">
            <v>UTJE</v>
          </cell>
          <cell r="L2667" t="str">
            <v>UTJE</v>
          </cell>
          <cell r="M2667">
            <v>19</v>
          </cell>
          <cell r="N2667">
            <v>26</v>
          </cell>
          <cell r="O2667" t="str">
            <v>Управління НБУ в Терноп.обл</v>
          </cell>
        </row>
        <row r="2668">
          <cell r="A2668">
            <v>338705</v>
          </cell>
          <cell r="B2668">
            <v>320003</v>
          </cell>
          <cell r="D2668">
            <v>0</v>
          </cell>
          <cell r="E2668">
            <v>225</v>
          </cell>
          <cell r="F2668">
            <v>0</v>
          </cell>
          <cell r="G2668" t="str">
            <v>B</v>
          </cell>
          <cell r="H2668">
            <v>728</v>
          </cell>
          <cell r="I2668" t="str">
            <v>Ф ВАТ КБ"НАДРА" ТЕРНОП. РУ М. ТЕРНОП.</v>
          </cell>
          <cell r="J2668" t="str">
            <v>ВАТКБ"Надра"Терноп. РУ</v>
          </cell>
          <cell r="K2668" t="str">
            <v>UTJC</v>
          </cell>
          <cell r="L2668" t="str">
            <v>UTJC</v>
          </cell>
          <cell r="M2668">
            <v>19</v>
          </cell>
          <cell r="N2668">
            <v>26</v>
          </cell>
          <cell r="O2668" t="str">
            <v>Управління НБУ в Терноп.обл</v>
          </cell>
        </row>
        <row r="2669">
          <cell r="A2669">
            <v>338716</v>
          </cell>
          <cell r="B2669">
            <v>353489</v>
          </cell>
          <cell r="D2669">
            <v>0</v>
          </cell>
          <cell r="E2669">
            <v>133</v>
          </cell>
          <cell r="F2669">
            <v>0</v>
          </cell>
          <cell r="G2669" t="str">
            <v>8</v>
          </cell>
          <cell r="H2669">
            <v>729</v>
          </cell>
          <cell r="I2669" t="str">
            <v>ТЕРНОПІЛЬСЬКА ФІЛІЯ АБ "ПРИВАТІНВЕСТ"</v>
          </cell>
          <cell r="J2669" t="str">
            <v>Тернопільська фПриватінвест</v>
          </cell>
          <cell r="K2669" t="str">
            <v>UTJH</v>
          </cell>
          <cell r="L2669" t="str">
            <v>UTJH</v>
          </cell>
          <cell r="M2669">
            <v>19</v>
          </cell>
          <cell r="N2669">
            <v>24</v>
          </cell>
          <cell r="O2669" t="str">
            <v>Управління НБУ в Терноп.обл</v>
          </cell>
        </row>
        <row r="2670">
          <cell r="A2670">
            <v>338738</v>
          </cell>
          <cell r="B2670">
            <v>321228</v>
          </cell>
          <cell r="D2670">
            <v>0</v>
          </cell>
          <cell r="E2670">
            <v>68</v>
          </cell>
          <cell r="F2670">
            <v>0</v>
          </cell>
          <cell r="G2670" t="str">
            <v>8</v>
          </cell>
          <cell r="H2670">
            <v>734</v>
          </cell>
          <cell r="I2670" t="str">
            <v>ТЕРНОП.Ф.ТОВ"УКРПРОМБАНК",М.ТЕРНОПІЛЬ</v>
          </cell>
          <cell r="J2670" t="str">
            <v>Тернопіль.ФТОВ"Укрпромбанк"</v>
          </cell>
          <cell r="K2670" t="str">
            <v>UTIC</v>
          </cell>
          <cell r="L2670" t="str">
            <v>UTIC</v>
          </cell>
          <cell r="M2670">
            <v>19</v>
          </cell>
          <cell r="N2670">
            <v>26</v>
          </cell>
          <cell r="O2670" t="str">
            <v>Управління НБУ в Терноп.обл</v>
          </cell>
        </row>
        <row r="2671">
          <cell r="A2671">
            <v>338783</v>
          </cell>
          <cell r="B2671">
            <v>305299</v>
          </cell>
          <cell r="D2671">
            <v>0</v>
          </cell>
          <cell r="E2671">
            <v>46</v>
          </cell>
          <cell r="F2671">
            <v>0</v>
          </cell>
          <cell r="G2671" t="str">
            <v>A</v>
          </cell>
          <cell r="H2671">
            <v>726</v>
          </cell>
          <cell r="I2671" t="str">
            <v>ТЕРНОПІЛЬСЬКА Ф-Я ПРИВАТБАНКУ,М.ТЕРНОП</v>
          </cell>
          <cell r="J2671" t="str">
            <v>Терноп.філія ПриватБанку</v>
          </cell>
          <cell r="K2671" t="str">
            <v>UTIQ</v>
          </cell>
          <cell r="L2671" t="str">
            <v>UTIQ</v>
          </cell>
          <cell r="M2671">
            <v>19</v>
          </cell>
          <cell r="N2671">
            <v>3</v>
          </cell>
          <cell r="O2671" t="str">
            <v>Управління НБУ в Терноп.обл</v>
          </cell>
        </row>
        <row r="2672">
          <cell r="A2672">
            <v>338802</v>
          </cell>
          <cell r="B2672">
            <v>328384</v>
          </cell>
          <cell r="D2672">
            <v>0</v>
          </cell>
          <cell r="E2672">
            <v>258</v>
          </cell>
          <cell r="F2672">
            <v>0</v>
          </cell>
          <cell r="G2672" t="str">
            <v>8</v>
          </cell>
          <cell r="H2672">
            <v>741</v>
          </cell>
          <cell r="I2672" t="str">
            <v>ФАКБ "ІМЕКСБАНК" У М. ТЕРНОПОЛІ</v>
          </cell>
          <cell r="J2672" t="str">
            <v>ТЕРНОПОЛЬСФ АКБ "ІМЕКСБАНК"</v>
          </cell>
          <cell r="K2672" t="str">
            <v>UTID</v>
          </cell>
          <cell r="L2672" t="str">
            <v>UTID</v>
          </cell>
          <cell r="M2672">
            <v>19</v>
          </cell>
          <cell r="N2672">
            <v>15</v>
          </cell>
          <cell r="O2672" t="str">
            <v>Управління НБУ в Терноп.обл</v>
          </cell>
        </row>
        <row r="2673">
          <cell r="A2673">
            <v>338813</v>
          </cell>
          <cell r="B2673">
            <v>321767</v>
          </cell>
          <cell r="D2673">
            <v>0</v>
          </cell>
          <cell r="E2673">
            <v>42</v>
          </cell>
          <cell r="F2673">
            <v>0</v>
          </cell>
          <cell r="G2673" t="str">
            <v>B</v>
          </cell>
          <cell r="H2673">
            <v>768</v>
          </cell>
          <cell r="I2673" t="str">
            <v>ТЕРНОП. Ф ВАТ ВТБ БАНК, М.ТЕРНОПІЛЬ</v>
          </cell>
          <cell r="J2673" t="str">
            <v>Терноп. Ф ВАТ ВТБ Банк</v>
          </cell>
          <cell r="K2673" t="str">
            <v>UTJI</v>
          </cell>
          <cell r="L2673" t="str">
            <v>UTJI</v>
          </cell>
          <cell r="M2673">
            <v>19</v>
          </cell>
          <cell r="N2673">
            <v>26</v>
          </cell>
          <cell r="O2673" t="str">
            <v>Управління НБУ в Терноп.обл</v>
          </cell>
        </row>
        <row r="2674">
          <cell r="A2674">
            <v>338824</v>
          </cell>
          <cell r="B2674">
            <v>320478</v>
          </cell>
          <cell r="D2674">
            <v>0</v>
          </cell>
          <cell r="E2674">
            <v>274</v>
          </cell>
          <cell r="F2674">
            <v>0</v>
          </cell>
          <cell r="G2674" t="str">
            <v>8</v>
          </cell>
          <cell r="H2674">
            <v>756</v>
          </cell>
          <cell r="I2674" t="str">
            <v>ТФ ВАТ АБ "УКРГАЗБАНК", М.ТЕРНОПІЛЬ</v>
          </cell>
          <cell r="J2674" t="str">
            <v>Тернопіль.ФВАТ"Укргазбанк"</v>
          </cell>
          <cell r="K2674" t="str">
            <v>UTJX</v>
          </cell>
          <cell r="L2674" t="str">
            <v>UTJX</v>
          </cell>
          <cell r="M2674">
            <v>19</v>
          </cell>
          <cell r="N2674">
            <v>26</v>
          </cell>
          <cell r="O2674" t="str">
            <v>Управління НБУ в Терноп.обл</v>
          </cell>
        </row>
        <row r="2675">
          <cell r="A2675">
            <v>338835</v>
          </cell>
          <cell r="B2675">
            <v>300614</v>
          </cell>
          <cell r="D2675">
            <v>0</v>
          </cell>
          <cell r="E2675">
            <v>171</v>
          </cell>
          <cell r="F2675">
            <v>0</v>
          </cell>
          <cell r="G2675" t="str">
            <v>8</v>
          </cell>
          <cell r="H2675">
            <v>757</v>
          </cell>
          <cell r="I2675" t="str">
            <v>ТЕРН.ФІЛІЯ АТ"ІНДЕКС-БАНК"М.ТЕРНОПІЛЬ</v>
          </cell>
          <cell r="J2675" t="str">
            <v>Філія"ТД"АТ"НДЕКС-БАНК"</v>
          </cell>
          <cell r="K2675" t="str">
            <v>UTKD</v>
          </cell>
          <cell r="L2675" t="str">
            <v>UTKD</v>
          </cell>
          <cell r="M2675">
            <v>19</v>
          </cell>
          <cell r="N2675">
            <v>26</v>
          </cell>
          <cell r="O2675" t="str">
            <v>Управління НБУ в Терноп.обл</v>
          </cell>
        </row>
        <row r="2676">
          <cell r="A2676">
            <v>338846</v>
          </cell>
          <cell r="B2676">
            <v>322948</v>
          </cell>
          <cell r="D2676">
            <v>0</v>
          </cell>
          <cell r="E2676">
            <v>248</v>
          </cell>
          <cell r="F2676">
            <v>0</v>
          </cell>
          <cell r="G2676" t="str">
            <v>B</v>
          </cell>
          <cell r="H2676">
            <v>761</v>
          </cell>
          <cell r="I2676" t="str">
            <v>ТЕРНОПІЛЬСЬКА ФАКБ "ФОРУМ" М.ТЕРНОПІЛЬ</v>
          </cell>
          <cell r="J2676" t="str">
            <v>Тернопільська Ф АКБ "Форум"</v>
          </cell>
          <cell r="K2676" t="str">
            <v>UTKF</v>
          </cell>
          <cell r="L2676" t="str">
            <v>UTKF</v>
          </cell>
          <cell r="M2676">
            <v>19</v>
          </cell>
          <cell r="N2676">
            <v>26</v>
          </cell>
          <cell r="O2676" t="str">
            <v>Управління НБУ в Терноп.обл</v>
          </cell>
        </row>
        <row r="2677">
          <cell r="A2677">
            <v>338868</v>
          </cell>
          <cell r="B2677">
            <v>300528</v>
          </cell>
          <cell r="D2677">
            <v>0</v>
          </cell>
          <cell r="E2677">
            <v>296</v>
          </cell>
          <cell r="F2677">
            <v>0</v>
          </cell>
          <cell r="G2677" t="str">
            <v>F</v>
          </cell>
          <cell r="H2677">
            <v>763</v>
          </cell>
          <cell r="I2677" t="str">
            <v>ФІЛІЯ ЗАТ "ОТП БАНК", М.ТЕРНОПІЛЬ</v>
          </cell>
          <cell r="J2677" t="str">
            <v>Філія ЗАТ "ОТП Банк"</v>
          </cell>
          <cell r="K2677" t="str">
            <v>UTKE</v>
          </cell>
          <cell r="L2677" t="str">
            <v>UTKE</v>
          </cell>
          <cell r="M2677">
            <v>19</v>
          </cell>
          <cell r="N2677">
            <v>26</v>
          </cell>
          <cell r="O2677" t="str">
            <v>Управління НБУ в Терноп.обл</v>
          </cell>
        </row>
        <row r="2678">
          <cell r="A2678">
            <v>338879</v>
          </cell>
          <cell r="B2678">
            <v>322313</v>
          </cell>
          <cell r="D2678">
            <v>0</v>
          </cell>
          <cell r="E2678">
            <v>2</v>
          </cell>
          <cell r="F2678">
            <v>0</v>
          </cell>
          <cell r="G2678" t="str">
            <v>2</v>
          </cell>
          <cell r="H2678">
            <v>201</v>
          </cell>
          <cell r="I2678" t="str">
            <v>Ф-Я ВАТ "УКРЕКСІМБАНК",ТЕРНОПІЛЬ</v>
          </cell>
          <cell r="J2678" t="str">
            <v>Ф-я Укрексімбанк,Тернопіль</v>
          </cell>
          <cell r="K2678" t="str">
            <v>UTGA</v>
          </cell>
          <cell r="L2678" t="str">
            <v>UTGA</v>
          </cell>
          <cell r="M2678">
            <v>19</v>
          </cell>
          <cell r="N2678">
            <v>26</v>
          </cell>
          <cell r="O2678" t="str">
            <v>Управління НБУ в Терноп.обл</v>
          </cell>
        </row>
        <row r="2679">
          <cell r="A2679">
            <v>338921</v>
          </cell>
          <cell r="B2679">
            <v>300012</v>
          </cell>
          <cell r="D2679">
            <v>0</v>
          </cell>
          <cell r="E2679">
            <v>3</v>
          </cell>
          <cell r="F2679">
            <v>0</v>
          </cell>
          <cell r="G2679" t="str">
            <v>3</v>
          </cell>
          <cell r="H2679">
            <v>304</v>
          </cell>
          <cell r="I2679" t="str">
            <v>Ф."ВІД. ПІБ В М.ЧОРТКІВ ТЕРНОПІЛ.ОБЛ"</v>
          </cell>
          <cell r="J2679" t="str">
            <v>Ф.ВІД.ПІБ В М.ЧОРТКІВ ТЕРН.</v>
          </cell>
          <cell r="K2679" t="str">
            <v>UTAK</v>
          </cell>
          <cell r="L2679" t="str">
            <v>UTA0</v>
          </cell>
          <cell r="M2679">
            <v>19</v>
          </cell>
          <cell r="N2679">
            <v>26</v>
          </cell>
          <cell r="O2679" t="str">
            <v>Управління НБУ в Терноп.обл</v>
          </cell>
        </row>
        <row r="2680">
          <cell r="A2680">
            <v>338987</v>
          </cell>
          <cell r="B2680">
            <v>380537</v>
          </cell>
          <cell r="D2680">
            <v>0</v>
          </cell>
          <cell r="E2680">
            <v>76</v>
          </cell>
          <cell r="F2680">
            <v>0</v>
          </cell>
          <cell r="G2680" t="str">
            <v>B</v>
          </cell>
          <cell r="H2680">
            <v>759</v>
          </cell>
          <cell r="I2680" t="str">
            <v>ТЕРНОПІЛ.ФВАТ"ВІЕЙБІ БАНК",М.ТЕРНОПІЛЬ</v>
          </cell>
          <cell r="J2680" t="str">
            <v>Тернопіл. ФВАТ"ВіЕйБі Банк"</v>
          </cell>
          <cell r="K2680" t="str">
            <v>UTKG</v>
          </cell>
          <cell r="L2680" t="str">
            <v>UTKG</v>
          </cell>
          <cell r="M2680">
            <v>19</v>
          </cell>
          <cell r="N2680">
            <v>26</v>
          </cell>
          <cell r="O2680" t="str">
            <v>Управління НБУ в Терноп.обл</v>
          </cell>
        </row>
        <row r="2681">
          <cell r="A2681">
            <v>339339</v>
          </cell>
          <cell r="B2681">
            <v>339339</v>
          </cell>
          <cell r="C2681" t="str">
            <v>ТОВ "ПАРТНЕР-БАНК"</v>
          </cell>
          <cell r="D2681">
            <v>333</v>
          </cell>
          <cell r="E2681">
            <v>333</v>
          </cell>
          <cell r="F2681">
            <v>0</v>
          </cell>
          <cell r="G2681" t="str">
            <v>8</v>
          </cell>
          <cell r="H2681">
            <v>474</v>
          </cell>
          <cell r="I2681" t="str">
            <v>ТОВ "ПАРТНЕР-БАНК", М.КИЇВ</v>
          </cell>
          <cell r="J2681" t="str">
            <v>ТОВ "ПАРТНЕР-БАНК"</v>
          </cell>
          <cell r="K2681" t="str">
            <v>UIFI</v>
          </cell>
          <cell r="L2681" t="str">
            <v>UIFI</v>
          </cell>
          <cell r="M2681">
            <v>26</v>
          </cell>
          <cell r="N2681">
            <v>26</v>
          </cell>
          <cell r="O2681" t="str">
            <v>ГУ НБУ по м.Києву і області</v>
          </cell>
        </row>
        <row r="2682">
          <cell r="A2682">
            <v>339500</v>
          </cell>
          <cell r="B2682">
            <v>339500</v>
          </cell>
          <cell r="C2682" t="str">
            <v>ВАТ "АБ "Бізнес Стандарт"</v>
          </cell>
          <cell r="D2682">
            <v>62</v>
          </cell>
          <cell r="E2682">
            <v>62</v>
          </cell>
          <cell r="F2682">
            <v>0</v>
          </cell>
          <cell r="G2682" t="str">
            <v>8</v>
          </cell>
          <cell r="H2682">
            <v>405</v>
          </cell>
          <cell r="I2682" t="str">
            <v>ВАТ "АБ "БІЗНЕС СТАНДАРТ", М.КИЇВ</v>
          </cell>
          <cell r="J2682" t="str">
            <v>ВАТ "АБ "Бізнес Стандарт"</v>
          </cell>
          <cell r="K2682" t="str">
            <v>UIOU</v>
          </cell>
          <cell r="L2682" t="str">
            <v>UIOU</v>
          </cell>
          <cell r="M2682">
            <v>26</v>
          </cell>
          <cell r="N2682">
            <v>26</v>
          </cell>
          <cell r="O2682" t="str">
            <v>ГУ НБУ по м.Києву і області</v>
          </cell>
        </row>
        <row r="2683">
          <cell r="A2683">
            <v>339555</v>
          </cell>
          <cell r="B2683">
            <v>339555</v>
          </cell>
          <cell r="C2683" t="str">
            <v>ВАТ "КБ "Преміум"</v>
          </cell>
          <cell r="D2683">
            <v>379</v>
          </cell>
          <cell r="E2683">
            <v>379</v>
          </cell>
          <cell r="F2683">
            <v>0</v>
          </cell>
          <cell r="H2683">
            <v>833</v>
          </cell>
          <cell r="I2683" t="str">
            <v>ВАТ "КБ"ПРЕМІУМ", М.КИЇВ</v>
          </cell>
          <cell r="J2683" t="str">
            <v>ВАТ "КБ "Преміум"</v>
          </cell>
          <cell r="K2683" t="str">
            <v>UIOO</v>
          </cell>
          <cell r="L2683" t="str">
            <v>UIOO</v>
          </cell>
          <cell r="M2683">
            <v>26</v>
          </cell>
          <cell r="N2683">
            <v>26</v>
          </cell>
          <cell r="O2683" t="str">
            <v>ГУ НБУ по м.Києву і області</v>
          </cell>
        </row>
        <row r="2684">
          <cell r="A2684">
            <v>342003</v>
          </cell>
          <cell r="B2684">
            <v>321767</v>
          </cell>
          <cell r="D2684">
            <v>0</v>
          </cell>
          <cell r="E2684">
            <v>42</v>
          </cell>
          <cell r="F2684">
            <v>0</v>
          </cell>
          <cell r="G2684" t="str">
            <v>B</v>
          </cell>
          <cell r="H2684">
            <v>700</v>
          </cell>
          <cell r="I2684" t="str">
            <v>ХЕРСОНСЬКА Ф ВАТ ВТБ БАНК , М.ХЕРСОН</v>
          </cell>
          <cell r="J2684" t="str">
            <v>Херсонська Ф ВАТ ВТБ Банк</v>
          </cell>
          <cell r="K2684" t="str">
            <v>UVKV</v>
          </cell>
          <cell r="L2684" t="str">
            <v>UVKV</v>
          </cell>
          <cell r="M2684">
            <v>21</v>
          </cell>
          <cell r="N2684">
            <v>26</v>
          </cell>
          <cell r="O2684" t="str">
            <v>Управління НБУ в Херсон.обл</v>
          </cell>
        </row>
        <row r="2685">
          <cell r="A2685">
            <v>342047</v>
          </cell>
          <cell r="B2685">
            <v>300465</v>
          </cell>
          <cell r="D2685">
            <v>0</v>
          </cell>
          <cell r="E2685">
            <v>6</v>
          </cell>
          <cell r="F2685">
            <v>0</v>
          </cell>
          <cell r="G2685" t="str">
            <v>6</v>
          </cell>
          <cell r="H2685">
            <v>616</v>
          </cell>
          <cell r="I2685" t="str">
            <v>ФСКАДОВСЬКЕ ВІДДІЛ ВАТОЩАД М.СКАДОВСЬК</v>
          </cell>
          <cell r="J2685" t="str">
            <v>ФСкадовське відділенВАТОщад</v>
          </cell>
          <cell r="K2685" t="str">
            <v>UVLP</v>
          </cell>
          <cell r="L2685" t="str">
            <v>UVLA</v>
          </cell>
          <cell r="M2685">
            <v>21</v>
          </cell>
          <cell r="N2685">
            <v>26</v>
          </cell>
          <cell r="O2685" t="str">
            <v>Управління НБУ в Херсон.обл</v>
          </cell>
        </row>
        <row r="2686">
          <cell r="A2686">
            <v>342070</v>
          </cell>
          <cell r="B2686">
            <v>300465</v>
          </cell>
          <cell r="D2686">
            <v>0</v>
          </cell>
          <cell r="E2686">
            <v>6</v>
          </cell>
          <cell r="F2686">
            <v>0</v>
          </cell>
          <cell r="G2686" t="str">
            <v>6</v>
          </cell>
          <cell r="H2686">
            <v>606</v>
          </cell>
          <cell r="I2686" t="str">
            <v>ФВЕЛИКООЛЕКСАНДРIВС ВАТОЩАД СМТ.ВЕЛИКА</v>
          </cell>
          <cell r="J2686" t="str">
            <v>ФВеликоолександрiвсьВАТОщад</v>
          </cell>
          <cell r="K2686" t="str">
            <v>UVLF</v>
          </cell>
          <cell r="L2686" t="str">
            <v>UVLA</v>
          </cell>
          <cell r="M2686">
            <v>21</v>
          </cell>
          <cell r="N2686">
            <v>26</v>
          </cell>
          <cell r="O2686" t="str">
            <v>Управління НБУ в Херсон.обл</v>
          </cell>
        </row>
        <row r="2687">
          <cell r="A2687">
            <v>342081</v>
          </cell>
          <cell r="B2687">
            <v>300465</v>
          </cell>
          <cell r="D2687">
            <v>0</v>
          </cell>
          <cell r="E2687">
            <v>6</v>
          </cell>
          <cell r="F2687">
            <v>0</v>
          </cell>
          <cell r="G2687" t="str">
            <v>6</v>
          </cell>
          <cell r="H2687">
            <v>607</v>
          </cell>
          <cell r="I2687" t="str">
            <v>ФВЕЛИКОЛЕПЕТИСЬКЕ В ВАТОЩАД СМТ.ВЕЛИКА</v>
          </cell>
          <cell r="J2687" t="str">
            <v>ФВеликолепетиське віВАТОщад</v>
          </cell>
          <cell r="K2687" t="str">
            <v>UVLG</v>
          </cell>
          <cell r="L2687" t="str">
            <v>UVLA</v>
          </cell>
          <cell r="M2687">
            <v>21</v>
          </cell>
          <cell r="N2687">
            <v>26</v>
          </cell>
          <cell r="O2687" t="str">
            <v>Управління НБУ в Херсон.обл</v>
          </cell>
        </row>
        <row r="2688">
          <cell r="A2688">
            <v>342092</v>
          </cell>
          <cell r="B2688">
            <v>300465</v>
          </cell>
          <cell r="D2688">
            <v>0</v>
          </cell>
          <cell r="E2688">
            <v>6</v>
          </cell>
          <cell r="F2688">
            <v>0</v>
          </cell>
          <cell r="G2688" t="str">
            <v>6</v>
          </cell>
          <cell r="H2688">
            <v>608</v>
          </cell>
          <cell r="I2688" t="str">
            <v>ФГЕНІЧЕСЬКЕ ВІДДІЛ ВАТОЩАД М.ГЕНІЧЕСЬК</v>
          </cell>
          <cell r="J2688" t="str">
            <v>ФГенічеське відділенВАТОщад</v>
          </cell>
          <cell r="K2688" t="str">
            <v>UVLH</v>
          </cell>
          <cell r="L2688" t="str">
            <v>UVLA</v>
          </cell>
          <cell r="M2688">
            <v>21</v>
          </cell>
          <cell r="N2688">
            <v>26</v>
          </cell>
          <cell r="O2688" t="str">
            <v>Управління НБУ в Херсон.обл</v>
          </cell>
        </row>
        <row r="2689">
          <cell r="A2689">
            <v>342111</v>
          </cell>
          <cell r="B2689">
            <v>300465</v>
          </cell>
          <cell r="D2689">
            <v>0</v>
          </cell>
          <cell r="E2689">
            <v>6</v>
          </cell>
          <cell r="F2689">
            <v>0</v>
          </cell>
          <cell r="G2689" t="str">
            <v>6</v>
          </cell>
          <cell r="H2689">
            <v>610</v>
          </cell>
          <cell r="I2689" t="str">
            <v>ФГОРНОСТАЇВСЬКЕ ВІД ВАТОЩАД СМТ.ГОРНОС</v>
          </cell>
          <cell r="J2689" t="str">
            <v>ФГорностаївське віддВАТОщад</v>
          </cell>
          <cell r="K2689" t="str">
            <v>UVLJ</v>
          </cell>
          <cell r="L2689" t="str">
            <v>UVLA</v>
          </cell>
          <cell r="M2689">
            <v>21</v>
          </cell>
          <cell r="N2689">
            <v>26</v>
          </cell>
          <cell r="O2689" t="str">
            <v>Управління НБУ в Херсон.обл</v>
          </cell>
        </row>
        <row r="2690">
          <cell r="A2690">
            <v>342133</v>
          </cell>
          <cell r="B2690">
            <v>300465</v>
          </cell>
          <cell r="D2690">
            <v>0</v>
          </cell>
          <cell r="E2690">
            <v>6</v>
          </cell>
          <cell r="F2690">
            <v>0</v>
          </cell>
          <cell r="G2690" t="str">
            <v>6</v>
          </cell>
          <cell r="H2690">
            <v>609</v>
          </cell>
          <cell r="I2690" t="str">
            <v>ФГОЛОПРИСТАНСЬКЕ ВІ ВАТОЩАД М.ГОЛА ПРИ</v>
          </cell>
          <cell r="J2690" t="str">
            <v>ФГолопристанське відВАТОщад</v>
          </cell>
          <cell r="K2690" t="str">
            <v>UVLI</v>
          </cell>
          <cell r="L2690" t="str">
            <v>UVLA</v>
          </cell>
          <cell r="M2690">
            <v>21</v>
          </cell>
          <cell r="N2690">
            <v>26</v>
          </cell>
          <cell r="O2690" t="str">
            <v>Управління НБУ в Херсон.обл</v>
          </cell>
        </row>
        <row r="2691">
          <cell r="A2691">
            <v>342144</v>
          </cell>
          <cell r="B2691">
            <v>300142</v>
          </cell>
          <cell r="D2691">
            <v>0</v>
          </cell>
          <cell r="E2691">
            <v>18</v>
          </cell>
          <cell r="F2691">
            <v>0</v>
          </cell>
          <cell r="G2691" t="str">
            <v>8</v>
          </cell>
          <cell r="H2691">
            <v>756</v>
          </cell>
          <cell r="I2691" t="str">
            <v>ХЕРСОНСЬКА ФАТ"УКРІНБАНК" М.ХЕРСОН</v>
          </cell>
          <cell r="J2691" t="str">
            <v>Херсонська ФАТ"Укрінбанк"</v>
          </cell>
          <cell r="K2691" t="str">
            <v>UVKW</v>
          </cell>
          <cell r="L2691" t="str">
            <v>UVKW</v>
          </cell>
          <cell r="M2691">
            <v>21</v>
          </cell>
          <cell r="N2691">
            <v>26</v>
          </cell>
          <cell r="O2691" t="str">
            <v>Управління НБУ в Херсон.обл</v>
          </cell>
        </row>
        <row r="2692">
          <cell r="A2692">
            <v>342166</v>
          </cell>
          <cell r="B2692">
            <v>300465</v>
          </cell>
          <cell r="D2692">
            <v>0</v>
          </cell>
          <cell r="E2692">
            <v>6</v>
          </cell>
          <cell r="F2692">
            <v>0</v>
          </cell>
          <cell r="G2692" t="str">
            <v>6</v>
          </cell>
          <cell r="H2692">
            <v>615</v>
          </cell>
          <cell r="I2692" t="str">
            <v>ФНОВОТРОЇЦЬКЕ ВІДДІ ВАТОЩАД СМТ.НОВОТР</v>
          </cell>
          <cell r="J2692" t="str">
            <v>ФНовотроїцьке відділВАТОщад</v>
          </cell>
          <cell r="K2692" t="str">
            <v>UVLO</v>
          </cell>
          <cell r="L2692" t="str">
            <v>UVLA</v>
          </cell>
          <cell r="M2692">
            <v>21</v>
          </cell>
          <cell r="N2692">
            <v>26</v>
          </cell>
          <cell r="O2692" t="str">
            <v>Управління НБУ в Херсон.обл</v>
          </cell>
        </row>
        <row r="2693">
          <cell r="A2693">
            <v>342177</v>
          </cell>
          <cell r="B2693">
            <v>320478</v>
          </cell>
          <cell r="D2693">
            <v>0</v>
          </cell>
          <cell r="E2693">
            <v>274</v>
          </cell>
          <cell r="F2693">
            <v>0</v>
          </cell>
          <cell r="G2693" t="str">
            <v>8</v>
          </cell>
          <cell r="H2693">
            <v>717</v>
          </cell>
          <cell r="I2693" t="str">
            <v>ХЕРСОНСЬКА ФВАТ АБ"УКРГАЗБАHК", ХЕРСОН</v>
          </cell>
          <cell r="J2693" t="str">
            <v>Херсонська ФАБ"Укргазбанк"</v>
          </cell>
          <cell r="K2693" t="str">
            <v>UVKF</v>
          </cell>
          <cell r="L2693" t="str">
            <v>UVKF</v>
          </cell>
          <cell r="M2693">
            <v>21</v>
          </cell>
          <cell r="N2693">
            <v>26</v>
          </cell>
          <cell r="O2693" t="str">
            <v>Управління НБУ в Херсон.обл</v>
          </cell>
        </row>
        <row r="2694">
          <cell r="A2694">
            <v>342188</v>
          </cell>
          <cell r="B2694">
            <v>300465</v>
          </cell>
          <cell r="D2694">
            <v>0</v>
          </cell>
          <cell r="E2694">
            <v>6</v>
          </cell>
          <cell r="F2694">
            <v>0</v>
          </cell>
          <cell r="G2694" t="str">
            <v>6</v>
          </cell>
          <cell r="H2694">
            <v>617</v>
          </cell>
          <cell r="I2694" t="str">
            <v>ФКАЛАНЧАЦЬКЕ ВІДДІЛ ВАТОЩАД СМТ.КАЛАНЧ</v>
          </cell>
          <cell r="J2694" t="str">
            <v>ФКаланчацьке відділеВАТОщад</v>
          </cell>
          <cell r="K2694" t="str">
            <v>UVLQ</v>
          </cell>
          <cell r="L2694" t="str">
            <v>UVLA</v>
          </cell>
          <cell r="M2694">
            <v>21</v>
          </cell>
          <cell r="N2694">
            <v>26</v>
          </cell>
          <cell r="O2694" t="str">
            <v>Управління НБУ в Херсон.обл</v>
          </cell>
        </row>
        <row r="2695">
          <cell r="A2695">
            <v>342207</v>
          </cell>
          <cell r="B2695">
            <v>300670</v>
          </cell>
          <cell r="D2695">
            <v>0</v>
          </cell>
          <cell r="E2695">
            <v>202</v>
          </cell>
          <cell r="F2695">
            <v>0</v>
          </cell>
          <cell r="G2695" t="str">
            <v>8</v>
          </cell>
          <cell r="H2695">
            <v>733</v>
          </cell>
          <cell r="I2695" t="str">
            <v>ФІЛІЯ ВАТ КБ "ХРЕЩАТИК",М.ХЕРСОН</v>
          </cell>
          <cell r="J2695" t="str">
            <v>Херсон.ФВАТ КБ "Хрещатик"</v>
          </cell>
          <cell r="K2695" t="str">
            <v>UVKU</v>
          </cell>
          <cell r="L2695" t="str">
            <v>UVKU</v>
          </cell>
          <cell r="M2695">
            <v>21</v>
          </cell>
          <cell r="N2695">
            <v>26</v>
          </cell>
          <cell r="O2695" t="str">
            <v>Управління НБУ в Херсон.обл</v>
          </cell>
        </row>
        <row r="2696">
          <cell r="A2696">
            <v>342230</v>
          </cell>
          <cell r="B2696">
            <v>300465</v>
          </cell>
          <cell r="D2696">
            <v>0</v>
          </cell>
          <cell r="E2696">
            <v>6</v>
          </cell>
          <cell r="F2696">
            <v>0</v>
          </cell>
          <cell r="G2696" t="str">
            <v>6</v>
          </cell>
          <cell r="H2696">
            <v>622</v>
          </cell>
          <cell r="I2696" t="str">
            <v>ФБIЛОЗЕРСЬКЕ ВІДДІЛ ВАТОЩАД СМТ.БІЛОЗЕ</v>
          </cell>
          <cell r="J2696" t="str">
            <v>ФБiлозерське відділеВАТОщад</v>
          </cell>
          <cell r="K2696" t="str">
            <v>UVLV</v>
          </cell>
          <cell r="L2696" t="str">
            <v>UVLA</v>
          </cell>
          <cell r="M2696">
            <v>21</v>
          </cell>
          <cell r="N2696">
            <v>26</v>
          </cell>
          <cell r="O2696" t="str">
            <v>Управління НБУ в Херсон.обл</v>
          </cell>
        </row>
        <row r="2697">
          <cell r="A2697">
            <v>342241</v>
          </cell>
          <cell r="B2697">
            <v>300465</v>
          </cell>
          <cell r="D2697">
            <v>0</v>
          </cell>
          <cell r="E2697">
            <v>6</v>
          </cell>
          <cell r="F2697">
            <v>0</v>
          </cell>
          <cell r="G2697" t="str">
            <v>6</v>
          </cell>
          <cell r="H2697">
            <v>623</v>
          </cell>
          <cell r="I2697" t="str">
            <v>ФНОВОКАХОВСЬКЕ ВІДД ВАТОЩАД М.НОВА КАХ</v>
          </cell>
          <cell r="J2697" t="str">
            <v>ФНовокаховське віддіВАТОщад</v>
          </cell>
          <cell r="K2697" t="str">
            <v>UVLW</v>
          </cell>
          <cell r="L2697" t="str">
            <v>UVLA</v>
          </cell>
          <cell r="M2697">
            <v>21</v>
          </cell>
          <cell r="N2697">
            <v>26</v>
          </cell>
          <cell r="O2697" t="str">
            <v>Управління НБУ в Херсон.обл</v>
          </cell>
        </row>
        <row r="2698">
          <cell r="A2698">
            <v>342252</v>
          </cell>
          <cell r="B2698">
            <v>322948</v>
          </cell>
          <cell r="D2698">
            <v>0</v>
          </cell>
          <cell r="E2698">
            <v>248</v>
          </cell>
          <cell r="F2698">
            <v>0</v>
          </cell>
          <cell r="G2698" t="str">
            <v>B</v>
          </cell>
          <cell r="H2698">
            <v>712</v>
          </cell>
          <cell r="I2698" t="str">
            <v>ХЕРСОНСЬКА ФІЛІЯ АКБ "ФОРУМ" М.ХЕРСОН</v>
          </cell>
          <cell r="J2698" t="str">
            <v>Херсонська філія АКБ"Форум"</v>
          </cell>
          <cell r="K2698" t="str">
            <v>UVKG</v>
          </cell>
          <cell r="L2698" t="str">
            <v>UVKG</v>
          </cell>
          <cell r="M2698">
            <v>21</v>
          </cell>
          <cell r="N2698">
            <v>26</v>
          </cell>
          <cell r="O2698" t="str">
            <v>Управління НБУ в Херсон.обл</v>
          </cell>
        </row>
        <row r="2699">
          <cell r="A2699">
            <v>342285</v>
          </cell>
          <cell r="B2699">
            <v>328168</v>
          </cell>
          <cell r="D2699">
            <v>0</v>
          </cell>
          <cell r="E2699">
            <v>105</v>
          </cell>
          <cell r="F2699">
            <v>0</v>
          </cell>
          <cell r="G2699" t="str">
            <v>B</v>
          </cell>
          <cell r="H2699">
            <v>757</v>
          </cell>
          <cell r="I2699" t="str">
            <v>ФІЛІЯ ВАТ "МТБ" У М.ХЕРСОНІ</v>
          </cell>
          <cell r="J2699" t="str">
            <v>ФІЛІЯ ВАТ "МТБ" У М.ХЕРСОНІ</v>
          </cell>
          <cell r="K2699" t="str">
            <v>UVKT</v>
          </cell>
          <cell r="L2699" t="str">
            <v>UVKT</v>
          </cell>
          <cell r="M2699">
            <v>21</v>
          </cell>
          <cell r="N2699">
            <v>15</v>
          </cell>
          <cell r="O2699" t="str">
            <v>Управління НБУ в Херсон.обл</v>
          </cell>
        </row>
        <row r="2700">
          <cell r="A2700">
            <v>342296</v>
          </cell>
          <cell r="B2700">
            <v>328384</v>
          </cell>
          <cell r="D2700">
            <v>0</v>
          </cell>
          <cell r="E2700">
            <v>258</v>
          </cell>
          <cell r="F2700">
            <v>0</v>
          </cell>
          <cell r="G2700" t="str">
            <v>8</v>
          </cell>
          <cell r="H2700">
            <v>732</v>
          </cell>
          <cell r="I2700" t="str">
            <v>ФІЛІЯ АКБ "ІМЕКСБАНК" У М.ХЕРСОНІ</v>
          </cell>
          <cell r="J2700" t="str">
            <v>ХЕРСОНСФ АКБ "ІМЕКСБАНК"</v>
          </cell>
          <cell r="K2700" t="str">
            <v>UVKS</v>
          </cell>
          <cell r="L2700" t="str">
            <v>UVKS</v>
          </cell>
          <cell r="M2700">
            <v>21</v>
          </cell>
          <cell r="N2700">
            <v>15</v>
          </cell>
          <cell r="O2700" t="str">
            <v>Управління НБУ в Херсон.обл</v>
          </cell>
        </row>
        <row r="2701">
          <cell r="A2701">
            <v>342337</v>
          </cell>
          <cell r="B2701">
            <v>380537</v>
          </cell>
          <cell r="D2701">
            <v>0</v>
          </cell>
          <cell r="E2701">
            <v>76</v>
          </cell>
          <cell r="F2701">
            <v>0</v>
          </cell>
          <cell r="G2701" t="str">
            <v>B</v>
          </cell>
          <cell r="H2701">
            <v>759</v>
          </cell>
          <cell r="I2701" t="str">
            <v>ХЕРСОНСЬКА ФВАТ "ВІЕЙБІ БАНК",М.ХЕРСОН</v>
          </cell>
          <cell r="J2701" t="str">
            <v>Херсонська ФВАТ"ВіЕйБі Банк</v>
          </cell>
          <cell r="K2701" t="str">
            <v>UVKX</v>
          </cell>
          <cell r="L2701" t="str">
            <v>UVKX</v>
          </cell>
          <cell r="M2701">
            <v>21</v>
          </cell>
          <cell r="N2701">
            <v>26</v>
          </cell>
          <cell r="O2701" t="str">
            <v>Управління НБУ в Херсон.обл</v>
          </cell>
        </row>
        <row r="2702">
          <cell r="A2702">
            <v>343002</v>
          </cell>
          <cell r="B2702">
            <v>322948</v>
          </cell>
          <cell r="D2702">
            <v>0</v>
          </cell>
          <cell r="E2702">
            <v>248</v>
          </cell>
          <cell r="F2702">
            <v>0</v>
          </cell>
          <cell r="G2702" t="str">
            <v>B</v>
          </cell>
          <cell r="H2702">
            <v>770</v>
          </cell>
          <cell r="I2702" t="str">
            <v>ЧЕРНІГІВСЬКА ФІЛ АКБ"ФОРУМ" М.ЧЕРНІГІВ</v>
          </cell>
          <cell r="J2702" t="str">
            <v>Чернігівська Ф АКБ "Форум"</v>
          </cell>
          <cell r="K2702" t="str">
            <v>UYKI</v>
          </cell>
          <cell r="L2702" t="str">
            <v>UYKI</v>
          </cell>
          <cell r="M2702">
            <v>24</v>
          </cell>
          <cell r="N2702">
            <v>26</v>
          </cell>
          <cell r="O2702" t="str">
            <v>Упр.НБУ в Чернігівській.обл</v>
          </cell>
        </row>
        <row r="2703">
          <cell r="A2703">
            <v>343013</v>
          </cell>
          <cell r="B2703">
            <v>300465</v>
          </cell>
          <cell r="D2703">
            <v>0</v>
          </cell>
          <cell r="E2703">
            <v>6</v>
          </cell>
          <cell r="F2703">
            <v>0</v>
          </cell>
          <cell r="G2703" t="str">
            <v>6</v>
          </cell>
          <cell r="H2703">
            <v>670</v>
          </cell>
          <cell r="I2703" t="str">
            <v>ФБАХМАЦЬКЕ ВІДДІЛЕННЯ ВАТОЩАД М.БАХМАЧ</v>
          </cell>
          <cell r="J2703" t="str">
            <v>ФБахмацьке відділеннВАТОщад</v>
          </cell>
          <cell r="K2703" t="str">
            <v>UYLB</v>
          </cell>
          <cell r="L2703" t="str">
            <v>UYLA</v>
          </cell>
          <cell r="M2703">
            <v>24</v>
          </cell>
          <cell r="N2703">
            <v>26</v>
          </cell>
          <cell r="O2703" t="str">
            <v>Упр.НБУ в Чернігівській.обл</v>
          </cell>
        </row>
        <row r="2704">
          <cell r="A2704">
            <v>343024</v>
          </cell>
          <cell r="B2704">
            <v>300465</v>
          </cell>
          <cell r="D2704">
            <v>0</v>
          </cell>
          <cell r="E2704">
            <v>6</v>
          </cell>
          <cell r="F2704">
            <v>0</v>
          </cell>
          <cell r="G2704" t="str">
            <v>6</v>
          </cell>
          <cell r="H2704">
            <v>671</v>
          </cell>
          <cell r="I2704" t="str">
            <v>ФБОБРОВИЦЬКЕ ВІДДІЛ ВАТОЩАД М.БОБРОВИЦ</v>
          </cell>
          <cell r="J2704" t="str">
            <v>ФБобровицьке відділеВАТОщад</v>
          </cell>
          <cell r="K2704" t="str">
            <v>UYLC</v>
          </cell>
          <cell r="L2704" t="str">
            <v>UYLA</v>
          </cell>
          <cell r="M2704">
            <v>24</v>
          </cell>
          <cell r="N2704">
            <v>26</v>
          </cell>
          <cell r="O2704" t="str">
            <v>Упр.НБУ в Чернігівській.обл</v>
          </cell>
        </row>
        <row r="2705">
          <cell r="A2705">
            <v>343035</v>
          </cell>
          <cell r="B2705">
            <v>300465</v>
          </cell>
          <cell r="D2705">
            <v>0</v>
          </cell>
          <cell r="E2705">
            <v>6</v>
          </cell>
          <cell r="F2705">
            <v>0</v>
          </cell>
          <cell r="G2705" t="str">
            <v>6</v>
          </cell>
          <cell r="H2705">
            <v>672</v>
          </cell>
          <cell r="I2705" t="str">
            <v>ФБОРЗНЯНСЬКЕ ВІДДІЛЕН ВАТОЩАД М.БОРЗНА</v>
          </cell>
          <cell r="J2705" t="str">
            <v>ФБорзнянське відділеВАТОщад</v>
          </cell>
          <cell r="K2705" t="str">
            <v>UYLD</v>
          </cell>
          <cell r="L2705" t="str">
            <v>UYLA</v>
          </cell>
          <cell r="M2705">
            <v>24</v>
          </cell>
          <cell r="N2705">
            <v>26</v>
          </cell>
          <cell r="O2705" t="str">
            <v>Упр.НБУ в Чернігівській.обл</v>
          </cell>
        </row>
        <row r="2706">
          <cell r="A2706">
            <v>343046</v>
          </cell>
          <cell r="B2706">
            <v>300465</v>
          </cell>
          <cell r="D2706">
            <v>0</v>
          </cell>
          <cell r="E2706">
            <v>6</v>
          </cell>
          <cell r="F2706">
            <v>0</v>
          </cell>
          <cell r="G2706" t="str">
            <v>6</v>
          </cell>
          <cell r="H2706">
            <v>673</v>
          </cell>
          <cell r="I2706" t="str">
            <v>ФВАРВИНСЬКЕ ВІДДІЛЕН ВАТОЩАД СМТ.ВАРВА</v>
          </cell>
          <cell r="J2706" t="str">
            <v>ФВарвинське відділенВАТОщад</v>
          </cell>
          <cell r="K2706" t="str">
            <v>UYLE</v>
          </cell>
          <cell r="L2706" t="str">
            <v>UYLA</v>
          </cell>
          <cell r="M2706">
            <v>24</v>
          </cell>
          <cell r="N2706">
            <v>26</v>
          </cell>
          <cell r="O2706" t="str">
            <v>Упр.НБУ в Чернігівській.обл</v>
          </cell>
        </row>
        <row r="2707">
          <cell r="A2707">
            <v>343057</v>
          </cell>
          <cell r="B2707">
            <v>300465</v>
          </cell>
          <cell r="D2707">
            <v>0</v>
          </cell>
          <cell r="E2707">
            <v>6</v>
          </cell>
          <cell r="F2707">
            <v>0</v>
          </cell>
          <cell r="G2707" t="str">
            <v>6</v>
          </cell>
          <cell r="H2707">
            <v>674</v>
          </cell>
          <cell r="I2707" t="str">
            <v>ФГОРОДНЯНСЬКЕ ВІДДІЛ ВАТОЩАД М.ГОРОДНЯ</v>
          </cell>
          <cell r="J2707" t="str">
            <v>ФГороднянське відділВАТОщад</v>
          </cell>
          <cell r="K2707" t="str">
            <v>UYLF</v>
          </cell>
          <cell r="L2707" t="str">
            <v>UYLA</v>
          </cell>
          <cell r="M2707">
            <v>24</v>
          </cell>
          <cell r="N2707">
            <v>26</v>
          </cell>
          <cell r="O2707" t="str">
            <v>Упр.НБУ в Чернігівській.обл</v>
          </cell>
        </row>
        <row r="2708">
          <cell r="A2708">
            <v>343068</v>
          </cell>
          <cell r="B2708">
            <v>300465</v>
          </cell>
          <cell r="D2708">
            <v>0</v>
          </cell>
          <cell r="E2708">
            <v>6</v>
          </cell>
          <cell r="F2708">
            <v>0</v>
          </cell>
          <cell r="G2708" t="str">
            <v>6</v>
          </cell>
          <cell r="H2708">
            <v>675</v>
          </cell>
          <cell r="I2708" t="str">
            <v>ФІЧНЯНСЬКЕ ВІДДІЛЕННЯ ВАТОЩАД М.ІЧНЯ</v>
          </cell>
          <cell r="J2708" t="str">
            <v>ФІчнянське відділеннВАТОщад</v>
          </cell>
          <cell r="K2708" t="str">
            <v>UYLG</v>
          </cell>
          <cell r="L2708" t="str">
            <v>UYLA</v>
          </cell>
          <cell r="M2708">
            <v>24</v>
          </cell>
          <cell r="N2708">
            <v>26</v>
          </cell>
          <cell r="O2708" t="str">
            <v>Упр.НБУ в Чернігівській.обл</v>
          </cell>
        </row>
        <row r="2709">
          <cell r="A2709">
            <v>343079</v>
          </cell>
          <cell r="B2709">
            <v>300465</v>
          </cell>
          <cell r="D2709">
            <v>0</v>
          </cell>
          <cell r="E2709">
            <v>6</v>
          </cell>
          <cell r="F2709">
            <v>0</v>
          </cell>
          <cell r="G2709" t="str">
            <v>6</v>
          </cell>
          <cell r="H2709">
            <v>676</v>
          </cell>
          <cell r="I2709" t="str">
            <v>ФКОЗЕЛЕЦЬКЕ ВІДДІЛ ВАТОЩАД СМТ.КОЗЕЛЕЦ</v>
          </cell>
          <cell r="J2709" t="str">
            <v>ФКозелецьке відділенВАТОщад</v>
          </cell>
          <cell r="K2709" t="str">
            <v>UYLH</v>
          </cell>
          <cell r="L2709" t="str">
            <v>UYLA</v>
          </cell>
          <cell r="M2709">
            <v>24</v>
          </cell>
          <cell r="N2709">
            <v>26</v>
          </cell>
          <cell r="O2709" t="str">
            <v>Упр.НБУ в Чернігівській.обл</v>
          </cell>
        </row>
        <row r="2710">
          <cell r="A2710">
            <v>343080</v>
          </cell>
          <cell r="B2710">
            <v>300465</v>
          </cell>
          <cell r="D2710">
            <v>0</v>
          </cell>
          <cell r="E2710">
            <v>6</v>
          </cell>
          <cell r="F2710">
            <v>0</v>
          </cell>
          <cell r="G2710" t="str">
            <v>6</v>
          </cell>
          <cell r="H2710">
            <v>677</v>
          </cell>
          <cell r="I2710" t="str">
            <v>ФКОРОПСЬКЕ ВІДДІЛЕНН ВАТОЩАД СМТ.КОРОП</v>
          </cell>
          <cell r="J2710" t="str">
            <v>ФКоропське відділеннВАТОщад</v>
          </cell>
          <cell r="K2710" t="str">
            <v>UYLI</v>
          </cell>
          <cell r="L2710" t="str">
            <v>UYLA</v>
          </cell>
          <cell r="M2710">
            <v>24</v>
          </cell>
          <cell r="N2710">
            <v>26</v>
          </cell>
          <cell r="O2710" t="str">
            <v>Упр.НБУ в Чернігівській.обл</v>
          </cell>
        </row>
        <row r="2711">
          <cell r="A2711">
            <v>343091</v>
          </cell>
          <cell r="B2711">
            <v>300465</v>
          </cell>
          <cell r="D2711">
            <v>0</v>
          </cell>
          <cell r="E2711">
            <v>6</v>
          </cell>
          <cell r="F2711">
            <v>0</v>
          </cell>
          <cell r="G2711" t="str">
            <v>6</v>
          </cell>
          <cell r="H2711">
            <v>678</v>
          </cell>
          <cell r="I2711" t="str">
            <v>ФКОРЮКІВСЬКЕ ВІДДІЛ ВАТОЩАД М.КОРЮКІВК</v>
          </cell>
          <cell r="J2711" t="str">
            <v>ФКорюківське відділеВАТОщад</v>
          </cell>
          <cell r="K2711" t="str">
            <v>UYLJ</v>
          </cell>
          <cell r="L2711" t="str">
            <v>UYLA</v>
          </cell>
          <cell r="M2711">
            <v>24</v>
          </cell>
          <cell r="N2711">
            <v>26</v>
          </cell>
          <cell r="O2711" t="str">
            <v>Упр.НБУ в Чернігівській.обл</v>
          </cell>
        </row>
        <row r="2712">
          <cell r="A2712">
            <v>343109</v>
          </cell>
          <cell r="B2712">
            <v>300465</v>
          </cell>
          <cell r="D2712">
            <v>0</v>
          </cell>
          <cell r="E2712">
            <v>6</v>
          </cell>
          <cell r="F2712">
            <v>0</v>
          </cell>
          <cell r="G2712" t="str">
            <v>6</v>
          </cell>
          <cell r="H2712">
            <v>689</v>
          </cell>
          <cell r="I2712" t="str">
            <v>ФТАЛАЛАЇВСЬКЕ ВІДДІ ВАТОЩАД СМТ.ТАЛАЛА</v>
          </cell>
          <cell r="J2712" t="str">
            <v>ФТалалаївське відділВАТОщад</v>
          </cell>
          <cell r="K2712" t="str">
            <v>UYLU</v>
          </cell>
          <cell r="L2712" t="str">
            <v>UYLA</v>
          </cell>
          <cell r="M2712">
            <v>24</v>
          </cell>
          <cell r="N2712">
            <v>26</v>
          </cell>
          <cell r="O2712" t="str">
            <v>Упр.НБУ в Чернігівській.обл</v>
          </cell>
        </row>
        <row r="2713">
          <cell r="A2713">
            <v>343110</v>
          </cell>
          <cell r="B2713">
            <v>300465</v>
          </cell>
          <cell r="D2713">
            <v>0</v>
          </cell>
          <cell r="E2713">
            <v>6</v>
          </cell>
          <cell r="F2713">
            <v>0</v>
          </cell>
          <cell r="G2713" t="str">
            <v>6</v>
          </cell>
          <cell r="H2713">
            <v>680</v>
          </cell>
          <cell r="I2713" t="str">
            <v>ФМЕНСЬКЕ ВІДДІЛЕННЯ № 3 ВАТОЩАД М.МЕНА</v>
          </cell>
          <cell r="J2713" t="str">
            <v>ФМенське відділення ВАТОщад</v>
          </cell>
          <cell r="K2713" t="str">
            <v>UYLL</v>
          </cell>
          <cell r="L2713" t="str">
            <v>UYLA</v>
          </cell>
          <cell r="M2713">
            <v>24</v>
          </cell>
          <cell r="N2713">
            <v>26</v>
          </cell>
          <cell r="O2713" t="str">
            <v>Упр.НБУ в Чернігівській.обл</v>
          </cell>
        </row>
        <row r="2714">
          <cell r="A2714">
            <v>343121</v>
          </cell>
          <cell r="B2714">
            <v>300465</v>
          </cell>
          <cell r="D2714">
            <v>0</v>
          </cell>
          <cell r="E2714">
            <v>6</v>
          </cell>
          <cell r="F2714">
            <v>0</v>
          </cell>
          <cell r="G2714" t="str">
            <v>6</v>
          </cell>
          <cell r="H2714">
            <v>681</v>
          </cell>
          <cell r="I2714" t="str">
            <v>ФНІЖИНСЬКЕ ВІДДІЛЕННЯ  ВАТОЩАД М.НІЖИН</v>
          </cell>
          <cell r="J2714" t="str">
            <v>ФНіжинське відділеннВАТОщад</v>
          </cell>
          <cell r="K2714" t="str">
            <v>UYLM</v>
          </cell>
          <cell r="L2714" t="str">
            <v>UYLA</v>
          </cell>
          <cell r="M2714">
            <v>24</v>
          </cell>
          <cell r="N2714">
            <v>26</v>
          </cell>
          <cell r="O2714" t="str">
            <v>Упр.НБУ в Чернігівській.обл</v>
          </cell>
        </row>
        <row r="2715">
          <cell r="A2715">
            <v>343143</v>
          </cell>
          <cell r="B2715">
            <v>300465</v>
          </cell>
          <cell r="D2715">
            <v>0</v>
          </cell>
          <cell r="E2715">
            <v>6</v>
          </cell>
          <cell r="F2715">
            <v>0</v>
          </cell>
          <cell r="G2715" t="str">
            <v>6</v>
          </cell>
          <cell r="H2715">
            <v>683</v>
          </cell>
          <cell r="I2715" t="str">
            <v>ФНОВГОРОД-СІВЕРСЬКЕ ВАТОЩАД М.НОВГОРОД</v>
          </cell>
          <cell r="J2715" t="str">
            <v>ФНовгород-Сіверське ВАТОщад</v>
          </cell>
          <cell r="K2715" t="str">
            <v>UYLO</v>
          </cell>
          <cell r="L2715" t="str">
            <v>UYLA</v>
          </cell>
          <cell r="M2715">
            <v>24</v>
          </cell>
          <cell r="N2715">
            <v>26</v>
          </cell>
          <cell r="O2715" t="str">
            <v>Упр.НБУ в Чернігівській.обл</v>
          </cell>
        </row>
        <row r="2716">
          <cell r="A2716">
            <v>343154</v>
          </cell>
          <cell r="B2716">
            <v>300465</v>
          </cell>
          <cell r="D2716">
            <v>0</v>
          </cell>
          <cell r="E2716">
            <v>6</v>
          </cell>
          <cell r="F2716">
            <v>0</v>
          </cell>
          <cell r="G2716" t="str">
            <v>6</v>
          </cell>
          <cell r="H2716">
            <v>684</v>
          </cell>
          <cell r="I2716" t="str">
            <v>ФПРИЛУЦЬКЕ ВІДДІЛЕНН ВАТОЩАД М.ПРИЛУКИ</v>
          </cell>
          <cell r="J2716" t="str">
            <v>ФПрилуцьке відділеннВАТОщад</v>
          </cell>
          <cell r="K2716" t="str">
            <v>UYLP</v>
          </cell>
          <cell r="L2716" t="str">
            <v>UYLA</v>
          </cell>
          <cell r="M2716">
            <v>24</v>
          </cell>
          <cell r="N2716">
            <v>26</v>
          </cell>
          <cell r="O2716" t="str">
            <v>Упр.НБУ в Чернігівській.обл</v>
          </cell>
        </row>
        <row r="2717">
          <cell r="A2717">
            <v>343165</v>
          </cell>
          <cell r="B2717">
            <v>300465</v>
          </cell>
          <cell r="D2717">
            <v>0</v>
          </cell>
          <cell r="E2717">
            <v>6</v>
          </cell>
          <cell r="F2717">
            <v>0</v>
          </cell>
          <cell r="G2717" t="str">
            <v>6</v>
          </cell>
          <cell r="H2717">
            <v>685</v>
          </cell>
          <cell r="I2717" t="str">
            <v>ФРІПКИНСЬКЕ ВІДДІЛЕН ВАТОЩАД СМТ.РІПКИ</v>
          </cell>
          <cell r="J2717" t="str">
            <v>ФРіпкинське відділенВАТОщад</v>
          </cell>
          <cell r="K2717" t="str">
            <v>UYLQ</v>
          </cell>
          <cell r="L2717" t="str">
            <v>UYLA</v>
          </cell>
          <cell r="M2717">
            <v>24</v>
          </cell>
          <cell r="N2717">
            <v>26</v>
          </cell>
          <cell r="O2717" t="str">
            <v>Упр.НБУ в Чернігівській.обл</v>
          </cell>
        </row>
        <row r="2718">
          <cell r="A2718">
            <v>343176</v>
          </cell>
          <cell r="B2718">
            <v>300465</v>
          </cell>
          <cell r="D2718">
            <v>0</v>
          </cell>
          <cell r="E2718">
            <v>6</v>
          </cell>
          <cell r="F2718">
            <v>0</v>
          </cell>
          <cell r="G2718" t="str">
            <v>6</v>
          </cell>
          <cell r="H2718">
            <v>686</v>
          </cell>
          <cell r="I2718" t="str">
            <v>ФСЕМЕНІВСЬКЕ ВІДДІЛ ВАТОЩАД М.СЕМЕНІВК</v>
          </cell>
          <cell r="J2718" t="str">
            <v>ФСеменівське відділеВАТОщад</v>
          </cell>
          <cell r="K2718" t="str">
            <v>UYLR</v>
          </cell>
          <cell r="L2718" t="str">
            <v>UYLA</v>
          </cell>
          <cell r="M2718">
            <v>24</v>
          </cell>
          <cell r="N2718">
            <v>26</v>
          </cell>
          <cell r="O2718" t="str">
            <v>Упр.НБУ в Чернігівській.обл</v>
          </cell>
        </row>
        <row r="2719">
          <cell r="A2719">
            <v>343239</v>
          </cell>
          <cell r="B2719">
            <v>300465</v>
          </cell>
          <cell r="D2719">
            <v>0</v>
          </cell>
          <cell r="E2719">
            <v>6</v>
          </cell>
          <cell r="F2719">
            <v>0</v>
          </cell>
          <cell r="G2719" t="str">
            <v>6</v>
          </cell>
          <cell r="H2719">
            <v>692</v>
          </cell>
          <cell r="I2719" t="str">
            <v>ФЧЕРНІГІВСЬКЕ ВІДДІ ВАТОЩАД М.ЧЕРНІГІВ</v>
          </cell>
          <cell r="J2719" t="str">
            <v>ФЧернігівське відділВАТОщад</v>
          </cell>
          <cell r="K2719" t="str">
            <v>UYLX</v>
          </cell>
          <cell r="L2719" t="str">
            <v>UYLA</v>
          </cell>
          <cell r="M2719">
            <v>24</v>
          </cell>
          <cell r="N2719">
            <v>26</v>
          </cell>
          <cell r="O2719" t="str">
            <v>Упр.НБУ в Чернігівській.обл</v>
          </cell>
        </row>
        <row r="2720">
          <cell r="A2720">
            <v>343240</v>
          </cell>
          <cell r="B2720">
            <v>300465</v>
          </cell>
          <cell r="D2720">
            <v>0</v>
          </cell>
          <cell r="E2720">
            <v>6</v>
          </cell>
          <cell r="F2720">
            <v>0</v>
          </cell>
          <cell r="G2720" t="str">
            <v>6</v>
          </cell>
          <cell r="H2720">
            <v>693</v>
          </cell>
          <cell r="I2720" t="str">
            <v>ФЩОРСЬКЕ ВІДДІЛЕННЯ № 3 ВАТОЩАД М.ЩОРС</v>
          </cell>
          <cell r="J2720" t="str">
            <v>ФЩорське відділення ВАТОщад</v>
          </cell>
          <cell r="K2720" t="str">
            <v>UYLY</v>
          </cell>
          <cell r="L2720" t="str">
            <v>UYLA</v>
          </cell>
          <cell r="M2720">
            <v>24</v>
          </cell>
          <cell r="N2720">
            <v>26</v>
          </cell>
          <cell r="O2720" t="str">
            <v>Упр.НБУ в Чернігівській.обл</v>
          </cell>
        </row>
        <row r="2721">
          <cell r="A2721">
            <v>343262</v>
          </cell>
          <cell r="B2721">
            <v>300465</v>
          </cell>
          <cell r="D2721">
            <v>0</v>
          </cell>
          <cell r="E2721">
            <v>6</v>
          </cell>
          <cell r="F2721">
            <v>0</v>
          </cell>
          <cell r="G2721" t="str">
            <v>6</v>
          </cell>
          <cell r="H2721">
            <v>682</v>
          </cell>
          <cell r="I2721" t="str">
            <v>ФНОСІВСЬКЕ ВІДДІЛЕНН ВАТОЩАД М.НОСІВКА</v>
          </cell>
          <cell r="J2721" t="str">
            <v>ФНосівське відділеннВАТОщад</v>
          </cell>
          <cell r="K2721" t="str">
            <v>UYLN</v>
          </cell>
          <cell r="L2721" t="str">
            <v>UYLA</v>
          </cell>
          <cell r="M2721">
            <v>24</v>
          </cell>
          <cell r="N2721">
            <v>26</v>
          </cell>
          <cell r="O2721" t="str">
            <v>Упр.НБУ в Чернігівській.обл</v>
          </cell>
        </row>
        <row r="2722">
          <cell r="A2722">
            <v>343273</v>
          </cell>
          <cell r="B2722">
            <v>300614</v>
          </cell>
          <cell r="D2722">
            <v>0</v>
          </cell>
          <cell r="E2722">
            <v>171</v>
          </cell>
          <cell r="F2722">
            <v>0</v>
          </cell>
          <cell r="G2722" t="str">
            <v>8</v>
          </cell>
          <cell r="H2722">
            <v>700</v>
          </cell>
          <cell r="I2722" t="str">
            <v>ФІЛ"ЧЕРН.Д"АТ"ІНДЕКС-БАНК" М.ЧЕРНІГІВ</v>
          </cell>
          <cell r="J2722" t="str">
            <v>Філ."Чернг.Д"АТ"ІНД-БАНК"</v>
          </cell>
          <cell r="K2722" t="str">
            <v>UYKG</v>
          </cell>
          <cell r="L2722" t="str">
            <v>UYKG</v>
          </cell>
          <cell r="M2722">
            <v>24</v>
          </cell>
          <cell r="N2722">
            <v>26</v>
          </cell>
          <cell r="O2722" t="str">
            <v>Упр.НБУ в Чернігівській.обл</v>
          </cell>
        </row>
        <row r="2723">
          <cell r="A2723">
            <v>344001</v>
          </cell>
          <cell r="B2723">
            <v>380537</v>
          </cell>
          <cell r="D2723">
            <v>0</v>
          </cell>
          <cell r="E2723">
            <v>76</v>
          </cell>
          <cell r="F2723">
            <v>0</v>
          </cell>
          <cell r="G2723" t="str">
            <v>B</v>
          </cell>
          <cell r="H2723">
            <v>740</v>
          </cell>
          <cell r="I2723" t="str">
            <v>ЧЕРКАСЬКА Ф."ВІЕЙБІБАНК" М.ЧЕРКАСИ</v>
          </cell>
          <cell r="J2723" t="str">
            <v>Черкаська ФВАТ"ВіЕйБі Банк"</v>
          </cell>
          <cell r="K2723" t="str">
            <v>UXJZ</v>
          </cell>
          <cell r="L2723" t="str">
            <v>UXJZ</v>
          </cell>
          <cell r="M2723">
            <v>23</v>
          </cell>
          <cell r="N2723">
            <v>26</v>
          </cell>
          <cell r="O2723" t="str">
            <v>Управління НБУ в Чеpкас.обл</v>
          </cell>
        </row>
        <row r="2724">
          <cell r="A2724">
            <v>344034</v>
          </cell>
          <cell r="B2724">
            <v>300528</v>
          </cell>
          <cell r="D2724">
            <v>0</v>
          </cell>
          <cell r="E2724">
            <v>296</v>
          </cell>
          <cell r="F2724">
            <v>0</v>
          </cell>
          <cell r="G2724" t="str">
            <v>F</v>
          </cell>
          <cell r="H2724">
            <v>756</v>
          </cell>
          <cell r="I2724" t="str">
            <v>ФІЛІЯ ЗАТ "ОТП БАНК", М.ЧЕРКАСИ</v>
          </cell>
          <cell r="J2724" t="str">
            <v>Філія ЗАТ "ОТП Банк"</v>
          </cell>
          <cell r="K2724" t="str">
            <v>UXKC</v>
          </cell>
          <cell r="L2724" t="str">
            <v>UXKC</v>
          </cell>
          <cell r="M2724">
            <v>23</v>
          </cell>
          <cell r="N2724">
            <v>26</v>
          </cell>
          <cell r="O2724" t="str">
            <v>Управління НБУ в Чеpкас.обл</v>
          </cell>
        </row>
        <row r="2725">
          <cell r="A2725">
            <v>344045</v>
          </cell>
          <cell r="B2725">
            <v>380623</v>
          </cell>
          <cell r="D2725">
            <v>0</v>
          </cell>
          <cell r="E2725">
            <v>312</v>
          </cell>
          <cell r="F2725">
            <v>0</v>
          </cell>
          <cell r="G2725" t="str">
            <v>8</v>
          </cell>
          <cell r="H2725">
            <v>773</v>
          </cell>
          <cell r="I2725" t="str">
            <v>ФІЛІЯ ТОВ КБ "СТОЛИЦЯ" У М.ЧЕРКАСИ</v>
          </cell>
          <cell r="J2725" t="str">
            <v>Ф.ТОВКБ"Столиця"у м.Черкаси</v>
          </cell>
          <cell r="K2725" t="str">
            <v>UXKD</v>
          </cell>
          <cell r="L2725" t="str">
            <v>UXKD</v>
          </cell>
          <cell r="M2725">
            <v>23</v>
          </cell>
          <cell r="N2725">
            <v>26</v>
          </cell>
          <cell r="O2725" t="str">
            <v>Управління НБУ в Чеpкас.обл</v>
          </cell>
        </row>
        <row r="2726">
          <cell r="A2726">
            <v>344056</v>
          </cell>
          <cell r="B2726">
            <v>328384</v>
          </cell>
          <cell r="D2726">
            <v>0</v>
          </cell>
          <cell r="E2726">
            <v>258</v>
          </cell>
          <cell r="F2726">
            <v>0</v>
          </cell>
          <cell r="G2726" t="str">
            <v>8</v>
          </cell>
          <cell r="H2726">
            <v>711</v>
          </cell>
          <cell r="I2726" t="str">
            <v>ФІЛІЯ АКБ "ІМЕКСБАНК" У М. ЧЕРКАСИ</v>
          </cell>
          <cell r="J2726" t="str">
            <v>ЧЕРКАСЬКА ФАКБ "ІМЕКСБАНК"</v>
          </cell>
          <cell r="K2726" t="str">
            <v>UXXA</v>
          </cell>
          <cell r="L2726" t="str">
            <v>UXXA</v>
          </cell>
          <cell r="M2726">
            <v>23</v>
          </cell>
          <cell r="N2726">
            <v>15</v>
          </cell>
          <cell r="O2726" t="str">
            <v>Управління НБУ в Чеpкас.обл</v>
          </cell>
        </row>
        <row r="2727">
          <cell r="A2727">
            <v>344090</v>
          </cell>
          <cell r="B2727">
            <v>322948</v>
          </cell>
          <cell r="D2727">
            <v>0</v>
          </cell>
          <cell r="E2727">
            <v>248</v>
          </cell>
          <cell r="F2727">
            <v>0</v>
          </cell>
          <cell r="G2727" t="str">
            <v>B</v>
          </cell>
          <cell r="H2727">
            <v>778</v>
          </cell>
          <cell r="I2727" t="str">
            <v>ЧЕРКАСЬКА ФІЛІЯ АКБ "ФОРУМ" М.ЧЕРКАСИ</v>
          </cell>
          <cell r="J2727" t="str">
            <v>Черкаська філія АКБ "Форум"</v>
          </cell>
          <cell r="K2727" t="str">
            <v>UXKE</v>
          </cell>
          <cell r="L2727" t="str">
            <v>UXKE</v>
          </cell>
          <cell r="M2727">
            <v>23</v>
          </cell>
          <cell r="N2727">
            <v>26</v>
          </cell>
          <cell r="O2727" t="str">
            <v>Управління НБУ в Чеpкас.обл</v>
          </cell>
        </row>
        <row r="2728">
          <cell r="A2728">
            <v>344153</v>
          </cell>
          <cell r="B2728">
            <v>303484</v>
          </cell>
          <cell r="D2728">
            <v>0</v>
          </cell>
          <cell r="E2728">
            <v>273</v>
          </cell>
          <cell r="F2728">
            <v>0</v>
          </cell>
          <cell r="G2728" t="str">
            <v>8</v>
          </cell>
          <cell r="H2728">
            <v>700</v>
          </cell>
          <cell r="I2728" t="str">
            <v>Черкаська Ф.КБ "Західінкомбанк" ТзОВ</v>
          </cell>
          <cell r="J2728" t="str">
            <v>ЧФ КБ "Західінкомбанк" ТзОВ</v>
          </cell>
          <cell r="K2728" t="str">
            <v>UXKB</v>
          </cell>
          <cell r="L2728" t="str">
            <v>UXKB</v>
          </cell>
          <cell r="M2728">
            <v>23</v>
          </cell>
          <cell r="N2728">
            <v>2</v>
          </cell>
          <cell r="O2728" t="str">
            <v>Управління НБУ в Чеpкас.обл</v>
          </cell>
        </row>
        <row r="2729">
          <cell r="A2729">
            <v>350006</v>
          </cell>
          <cell r="B2729">
            <v>335902</v>
          </cell>
          <cell r="D2729">
            <v>0</v>
          </cell>
          <cell r="E2729">
            <v>306</v>
          </cell>
          <cell r="F2729">
            <v>0</v>
          </cell>
          <cell r="G2729" t="str">
            <v>8</v>
          </cell>
          <cell r="H2729">
            <v>200</v>
          </cell>
          <cell r="I2729" t="str">
            <v>ХАРКІВСЬКА ФТОВ "УНІКОМБАНК", М.ХАРКІВ</v>
          </cell>
          <cell r="J2729" t="str">
            <v>Харківська ФТОВ"УНІКОМБАНК"</v>
          </cell>
          <cell r="K2729" t="str">
            <v>UUUA</v>
          </cell>
          <cell r="L2729" t="str">
            <v>UUUA</v>
          </cell>
          <cell r="M2729">
            <v>20</v>
          </cell>
          <cell r="N2729">
            <v>4</v>
          </cell>
          <cell r="O2729" t="str">
            <v>Управління НБУ в Харків.обл</v>
          </cell>
        </row>
        <row r="2730">
          <cell r="A2730">
            <v>350017</v>
          </cell>
          <cell r="B2730">
            <v>300465</v>
          </cell>
          <cell r="D2730">
            <v>0</v>
          </cell>
          <cell r="E2730">
            <v>6</v>
          </cell>
          <cell r="F2730">
            <v>0</v>
          </cell>
          <cell r="G2730" t="str">
            <v>6</v>
          </cell>
          <cell r="H2730">
            <v>603</v>
          </cell>
          <cell r="I2730" t="str">
            <v>ФПЕРВОМАЙСЬКЕ ВІДДІ ВАТОЩАД М.ПЕРВОМАЙ</v>
          </cell>
          <cell r="J2730" t="str">
            <v>ФПервомайське відділВАТОщад</v>
          </cell>
          <cell r="K2730" t="str">
            <v>UULB</v>
          </cell>
          <cell r="L2730" t="str">
            <v>UULA</v>
          </cell>
          <cell r="M2730">
            <v>20</v>
          </cell>
          <cell r="N2730">
            <v>26</v>
          </cell>
          <cell r="O2730" t="str">
            <v>Управління НБУ в Харків.обл</v>
          </cell>
        </row>
        <row r="2731">
          <cell r="A2731">
            <v>350114</v>
          </cell>
          <cell r="B2731">
            <v>300465</v>
          </cell>
          <cell r="D2731">
            <v>0</v>
          </cell>
          <cell r="E2731">
            <v>6</v>
          </cell>
          <cell r="F2731">
            <v>0</v>
          </cell>
          <cell r="G2731" t="str">
            <v>6</v>
          </cell>
          <cell r="H2731">
            <v>613</v>
          </cell>
          <cell r="I2731" t="str">
            <v>ФДЕРГАЧІВСЬКЕ ВІДДІЛ ВАТОЩАД М.ДЕРГАЧІ</v>
          </cell>
          <cell r="J2731" t="str">
            <v>ФДергачівське відділВАТОщад</v>
          </cell>
          <cell r="K2731" t="str">
            <v>UULL</v>
          </cell>
          <cell r="L2731" t="str">
            <v>UULA</v>
          </cell>
          <cell r="M2731">
            <v>20</v>
          </cell>
          <cell r="N2731">
            <v>26</v>
          </cell>
          <cell r="O2731" t="str">
            <v>Управління НБУ в Харків.обл</v>
          </cell>
        </row>
        <row r="2732">
          <cell r="A2732">
            <v>350125</v>
          </cell>
          <cell r="B2732">
            <v>300465</v>
          </cell>
          <cell r="D2732">
            <v>0</v>
          </cell>
          <cell r="E2732">
            <v>6</v>
          </cell>
          <cell r="F2732">
            <v>0</v>
          </cell>
          <cell r="G2732" t="str">
            <v>6</v>
          </cell>
          <cell r="H2732">
            <v>614</v>
          </cell>
          <cell r="I2732" t="str">
            <v>ФЗМІЇВСЬКЕ ВІДДІЛЕННЯ  ВАТОЩАД М.ЗМІЇВ</v>
          </cell>
          <cell r="J2732" t="str">
            <v>ФЗміївське відділеннВАТОщад</v>
          </cell>
          <cell r="K2732" t="str">
            <v>UULM</v>
          </cell>
          <cell r="L2732" t="str">
            <v>UULA</v>
          </cell>
          <cell r="M2732">
            <v>20</v>
          </cell>
          <cell r="N2732">
            <v>26</v>
          </cell>
          <cell r="O2732" t="str">
            <v>Управління НБУ в Харків.обл</v>
          </cell>
        </row>
        <row r="2733">
          <cell r="A2733">
            <v>350147</v>
          </cell>
          <cell r="B2733">
            <v>300465</v>
          </cell>
          <cell r="D2733">
            <v>0</v>
          </cell>
          <cell r="E2733">
            <v>6</v>
          </cell>
          <cell r="F2733">
            <v>0</v>
          </cell>
          <cell r="G2733" t="str">
            <v>6</v>
          </cell>
          <cell r="H2733">
            <v>616</v>
          </cell>
          <cell r="I2733" t="str">
            <v>Ф ІЗЮМСЬКЕ ВІДДІЛЕННЯ  ВАТОЩАД М. ІЗЮМ</v>
          </cell>
          <cell r="J2733" t="str">
            <v>ФІзюмське відділенняВАТОщад</v>
          </cell>
          <cell r="K2733" t="str">
            <v>UULO</v>
          </cell>
          <cell r="L2733" t="str">
            <v>UULA</v>
          </cell>
          <cell r="M2733">
            <v>20</v>
          </cell>
          <cell r="N2733">
            <v>26</v>
          </cell>
          <cell r="O2733" t="str">
            <v>Управління НБУ в Харків.обл</v>
          </cell>
        </row>
        <row r="2734">
          <cell r="A2734">
            <v>350158</v>
          </cell>
          <cell r="B2734">
            <v>300465</v>
          </cell>
          <cell r="D2734">
            <v>0</v>
          </cell>
          <cell r="E2734">
            <v>6</v>
          </cell>
          <cell r="F2734">
            <v>0</v>
          </cell>
          <cell r="G2734" t="str">
            <v>6</v>
          </cell>
          <cell r="H2734">
            <v>617</v>
          </cell>
          <cell r="I2734" t="str">
            <v>ФКЕГИЧІВСЬКЕ ВІДДІЛ ВАТОЩАД СМТ.КЕГИЧІ</v>
          </cell>
          <cell r="J2734" t="str">
            <v>ФКегичівське відділеВАТОщад</v>
          </cell>
          <cell r="K2734" t="str">
            <v>UULP</v>
          </cell>
          <cell r="L2734" t="str">
            <v>UULA</v>
          </cell>
          <cell r="M2734">
            <v>20</v>
          </cell>
          <cell r="N2734">
            <v>26</v>
          </cell>
          <cell r="O2734" t="str">
            <v>Управління НБУ в Харків.обл</v>
          </cell>
        </row>
        <row r="2735">
          <cell r="A2735">
            <v>350181</v>
          </cell>
          <cell r="B2735">
            <v>300465</v>
          </cell>
          <cell r="D2735">
            <v>0</v>
          </cell>
          <cell r="E2735">
            <v>6</v>
          </cell>
          <cell r="F2735">
            <v>0</v>
          </cell>
          <cell r="G2735" t="str">
            <v>6</v>
          </cell>
          <cell r="H2735">
            <v>623</v>
          </cell>
          <cell r="I2735" t="str">
            <v>ФКУП`ЯНСЬКЕ ВІДДІЛЕ ВАТОЩАД М.КУП`ЯНСЬ</v>
          </cell>
          <cell r="J2735" t="str">
            <v>ФКуп`янське відділенВАТОщад</v>
          </cell>
          <cell r="K2735" t="str">
            <v>UULS</v>
          </cell>
          <cell r="L2735" t="str">
            <v>UULA</v>
          </cell>
          <cell r="M2735">
            <v>20</v>
          </cell>
          <cell r="N2735">
            <v>26</v>
          </cell>
          <cell r="O2735" t="str">
            <v>Управління НБУ в Харків.обл</v>
          </cell>
        </row>
        <row r="2736">
          <cell r="A2736">
            <v>350192</v>
          </cell>
          <cell r="B2736">
            <v>300465</v>
          </cell>
          <cell r="D2736">
            <v>0</v>
          </cell>
          <cell r="E2736">
            <v>6</v>
          </cell>
          <cell r="F2736">
            <v>0</v>
          </cell>
          <cell r="G2736" t="str">
            <v>6</v>
          </cell>
          <cell r="H2736">
            <v>624</v>
          </cell>
          <cell r="I2736" t="str">
            <v>ФЛОЗІВСЬКЕ ВІДДІЛЕННЯ ВАТОЩАД М.ЛОЗОВА</v>
          </cell>
          <cell r="J2736" t="str">
            <v>ФЛозівське відділеннВАТОщад</v>
          </cell>
          <cell r="K2736" t="str">
            <v>UULT</v>
          </cell>
          <cell r="L2736" t="str">
            <v>UULA</v>
          </cell>
          <cell r="M2736">
            <v>20</v>
          </cell>
          <cell r="N2736">
            <v>26</v>
          </cell>
          <cell r="O2736" t="str">
            <v>Управління НБУ в Харків.обл</v>
          </cell>
        </row>
        <row r="2737">
          <cell r="A2737">
            <v>350222</v>
          </cell>
          <cell r="B2737">
            <v>300465</v>
          </cell>
          <cell r="D2737">
            <v>0</v>
          </cell>
          <cell r="E2737">
            <v>6</v>
          </cell>
          <cell r="F2737">
            <v>0</v>
          </cell>
          <cell r="G2737" t="str">
            <v>6</v>
          </cell>
          <cell r="H2737">
            <v>611</v>
          </cell>
          <cell r="I2737" t="str">
            <v>ФЧУГУЇВСЬКЕ ВІДДІЛЕНН ВАТОЩАД М.ЧУГУЇВ</v>
          </cell>
          <cell r="J2737" t="str">
            <v>ФЧугуївське відділенВАТОщад</v>
          </cell>
          <cell r="K2737" t="str">
            <v>UULW</v>
          </cell>
          <cell r="L2737" t="str">
            <v>UULA</v>
          </cell>
          <cell r="M2737">
            <v>20</v>
          </cell>
          <cell r="N2737">
            <v>26</v>
          </cell>
          <cell r="O2737" t="str">
            <v>Управління НБУ в Харків.обл</v>
          </cell>
        </row>
        <row r="2738">
          <cell r="A2738">
            <v>350288</v>
          </cell>
          <cell r="B2738">
            <v>300465</v>
          </cell>
          <cell r="D2738">
            <v>0</v>
          </cell>
          <cell r="E2738">
            <v>6</v>
          </cell>
          <cell r="F2738">
            <v>0</v>
          </cell>
          <cell r="G2738" t="str">
            <v>6</v>
          </cell>
          <cell r="H2738">
            <v>620</v>
          </cell>
          <cell r="I2738" t="str">
            <v>ФХАРКІВСЬКЕ ВІДДІЛЕНН ВАТОЩАД М.ХАРКІВ</v>
          </cell>
          <cell r="J2738" t="str">
            <v>ФХарківське відділенВАТОщад</v>
          </cell>
          <cell r="K2738" t="str">
            <v>UUMC</v>
          </cell>
          <cell r="L2738" t="str">
            <v>UULA</v>
          </cell>
          <cell r="M2738">
            <v>20</v>
          </cell>
          <cell r="N2738">
            <v>26</v>
          </cell>
          <cell r="O2738" t="str">
            <v>Управління НБУ в Харків.обл</v>
          </cell>
        </row>
        <row r="2739">
          <cell r="A2739">
            <v>350385</v>
          </cell>
          <cell r="B2739">
            <v>334851</v>
          </cell>
          <cell r="D2739">
            <v>0</v>
          </cell>
          <cell r="E2739">
            <v>115</v>
          </cell>
          <cell r="F2739">
            <v>0</v>
          </cell>
          <cell r="G2739" t="str">
            <v>8</v>
          </cell>
          <cell r="H2739">
            <v>744</v>
          </cell>
          <cell r="I2739" t="str">
            <v>ФІЛІЯ ЗАТ "ПУМБ" В М.ХАРКОВІ</v>
          </cell>
          <cell r="J2739" t="str">
            <v>Філія ПУМБ в м. Харкові</v>
          </cell>
          <cell r="K2739" t="str">
            <v>UUJU</v>
          </cell>
          <cell r="L2739" t="str">
            <v>UUJU</v>
          </cell>
          <cell r="M2739">
            <v>20</v>
          </cell>
          <cell r="N2739">
            <v>4</v>
          </cell>
          <cell r="O2739" t="str">
            <v>Управління НБУ в Харків.обл</v>
          </cell>
        </row>
        <row r="2740">
          <cell r="A2740">
            <v>350415</v>
          </cell>
          <cell r="B2740">
            <v>325912</v>
          </cell>
          <cell r="D2740">
            <v>0</v>
          </cell>
          <cell r="E2740">
            <v>88</v>
          </cell>
          <cell r="F2740">
            <v>0</v>
          </cell>
          <cell r="G2740" t="str">
            <v>B</v>
          </cell>
          <cell r="H2740">
            <v>702</v>
          </cell>
          <cell r="I2740" t="str">
            <v>Харківська філія ВАТ "КРЕДОБАНК"</v>
          </cell>
          <cell r="J2740" t="str">
            <v>ХарківськаФ.ВАТ "КРЕДОБАНК"</v>
          </cell>
          <cell r="K2740" t="str">
            <v>UUKG</v>
          </cell>
          <cell r="L2740" t="str">
            <v>UUKG</v>
          </cell>
          <cell r="M2740">
            <v>20</v>
          </cell>
          <cell r="N2740">
            <v>13</v>
          </cell>
          <cell r="O2740" t="str">
            <v>Управління НБУ в Харків.обл</v>
          </cell>
        </row>
        <row r="2741">
          <cell r="A2741">
            <v>350448</v>
          </cell>
          <cell r="B2741">
            <v>320478</v>
          </cell>
          <cell r="D2741">
            <v>0</v>
          </cell>
          <cell r="E2741">
            <v>274</v>
          </cell>
          <cell r="F2741">
            <v>0</v>
          </cell>
          <cell r="G2741" t="str">
            <v>8</v>
          </cell>
          <cell r="H2741">
            <v>721</v>
          </cell>
          <cell r="I2741" t="str">
            <v>ХАР.ФІЛІЯ ВАТ АБ "УКРГАЗБАНК",М.ХАРКІВ</v>
          </cell>
          <cell r="J2741" t="str">
            <v>ХФ ВАТ АБ "УКРГАЗБАНК"</v>
          </cell>
          <cell r="K2741" t="str">
            <v>UUKI</v>
          </cell>
          <cell r="L2741" t="str">
            <v>UUKI</v>
          </cell>
          <cell r="M2741">
            <v>20</v>
          </cell>
          <cell r="N2741">
            <v>26</v>
          </cell>
          <cell r="O2741" t="str">
            <v>Управління НБУ в Харків.обл</v>
          </cell>
        </row>
        <row r="2742">
          <cell r="A2742">
            <v>350459</v>
          </cell>
          <cell r="B2742">
            <v>351607</v>
          </cell>
          <cell r="D2742">
            <v>0</v>
          </cell>
          <cell r="E2742">
            <v>123</v>
          </cell>
          <cell r="F2742">
            <v>0</v>
          </cell>
          <cell r="G2742" t="str">
            <v>8</v>
          </cell>
          <cell r="H2742">
            <v>706</v>
          </cell>
          <cell r="I2742" t="str">
            <v>ФІЛІЯ №6 БАНКУ "ГРАНТ", СОЛОНІЦЕВКА</v>
          </cell>
          <cell r="J2742" t="str">
            <v>Ф-я N6 АСУБ "Грант"</v>
          </cell>
          <cell r="K2742" t="str">
            <v>UUKJ</v>
          </cell>
          <cell r="L2742" t="str">
            <v>UUKJ</v>
          </cell>
          <cell r="M2742">
            <v>20</v>
          </cell>
          <cell r="N2742">
            <v>20</v>
          </cell>
          <cell r="O2742" t="str">
            <v>Управління НБУ в Харків.обл</v>
          </cell>
        </row>
        <row r="2743">
          <cell r="A2743">
            <v>350578</v>
          </cell>
          <cell r="B2743">
            <v>322711</v>
          </cell>
          <cell r="D2743">
            <v>0</v>
          </cell>
          <cell r="E2743">
            <v>238</v>
          </cell>
          <cell r="F2743">
            <v>0</v>
          </cell>
          <cell r="G2743" t="str">
            <v>8</v>
          </cell>
          <cell r="H2743">
            <v>705</v>
          </cell>
          <cell r="I2743" t="str">
            <v>ХФ АБ "СИНТЕЗ", М.ХАРКІВ</v>
          </cell>
          <cell r="J2743" t="str">
            <v>ХФ АБ "Синтез", м.Харків</v>
          </cell>
          <cell r="K2743" t="str">
            <v>UUKE</v>
          </cell>
          <cell r="L2743" t="str">
            <v>UUKE</v>
          </cell>
          <cell r="M2743">
            <v>20</v>
          </cell>
          <cell r="N2743">
            <v>26</v>
          </cell>
          <cell r="O2743" t="str">
            <v>Управління НБУ в Харків.обл</v>
          </cell>
        </row>
        <row r="2744">
          <cell r="A2744">
            <v>350589</v>
          </cell>
          <cell r="B2744">
            <v>300335</v>
          </cell>
          <cell r="D2744">
            <v>0</v>
          </cell>
          <cell r="E2744">
            <v>36</v>
          </cell>
          <cell r="F2744">
            <v>0</v>
          </cell>
          <cell r="G2744" t="str">
            <v>7</v>
          </cell>
          <cell r="H2744">
            <v>748</v>
          </cell>
          <cell r="I2744" t="str">
            <v>ХОД "РАЙФФАЙЗЕН БАНК АВАЛЬ", М.ХАРКІВ</v>
          </cell>
          <cell r="J2744" t="str">
            <v>ХОД "Райффайзен Банк Аваль"</v>
          </cell>
          <cell r="K2744" t="str">
            <v>UUKF</v>
          </cell>
          <cell r="L2744" t="str">
            <v>UUKF</v>
          </cell>
          <cell r="M2744">
            <v>20</v>
          </cell>
          <cell r="N2744">
            <v>26</v>
          </cell>
          <cell r="O2744" t="str">
            <v>Управління НБУ в Харків.обл</v>
          </cell>
        </row>
        <row r="2745">
          <cell r="A2745">
            <v>350619</v>
          </cell>
          <cell r="B2745">
            <v>300614</v>
          </cell>
          <cell r="D2745">
            <v>0</v>
          </cell>
          <cell r="E2745">
            <v>171</v>
          </cell>
          <cell r="F2745">
            <v>0</v>
          </cell>
          <cell r="G2745" t="str">
            <v>8</v>
          </cell>
          <cell r="H2745">
            <v>719</v>
          </cell>
          <cell r="I2745" t="str">
            <v>Ф."ХАР.ДИР"АТ"ІНДЕКС-БАНК" В М.ХАРКІВ</v>
          </cell>
          <cell r="J2745" t="str">
            <v>Ф"Харків.Дир." АТ"ІНДЕКС-Б"</v>
          </cell>
          <cell r="K2745" t="str">
            <v>UUKR</v>
          </cell>
          <cell r="L2745" t="str">
            <v>UUKR</v>
          </cell>
          <cell r="M2745">
            <v>20</v>
          </cell>
          <cell r="N2745">
            <v>26</v>
          </cell>
          <cell r="O2745" t="str">
            <v>Управління НБУ в Харків.обл</v>
          </cell>
        </row>
        <row r="2746">
          <cell r="A2746">
            <v>350620</v>
          </cell>
          <cell r="B2746">
            <v>380537</v>
          </cell>
          <cell r="D2746">
            <v>0</v>
          </cell>
          <cell r="E2746">
            <v>76</v>
          </cell>
          <cell r="F2746">
            <v>0</v>
          </cell>
          <cell r="G2746" t="str">
            <v>B</v>
          </cell>
          <cell r="H2746">
            <v>707</v>
          </cell>
          <cell r="I2746" t="str">
            <v>ХАРКІВСЬКА ФІЛІЯ ВАТ"ВІЕЙБІБАНК"М.ХАРК</v>
          </cell>
          <cell r="J2746" t="str">
            <v>Харків.Ф.ВАТ"ВІЕЙБІБАНК"</v>
          </cell>
          <cell r="K2746" t="str">
            <v>UUKV</v>
          </cell>
          <cell r="L2746" t="str">
            <v>UUKV</v>
          </cell>
          <cell r="M2746">
            <v>20</v>
          </cell>
          <cell r="N2746">
            <v>26</v>
          </cell>
          <cell r="O2746" t="str">
            <v>Управління НБУ в Харків.обл</v>
          </cell>
        </row>
        <row r="2747">
          <cell r="A2747">
            <v>350631</v>
          </cell>
          <cell r="B2747">
            <v>321767</v>
          </cell>
          <cell r="D2747">
            <v>0</v>
          </cell>
          <cell r="E2747">
            <v>42</v>
          </cell>
          <cell r="F2747">
            <v>0</v>
          </cell>
          <cell r="G2747" t="str">
            <v>B</v>
          </cell>
          <cell r="H2747">
            <v>708</v>
          </cell>
          <cell r="I2747" t="str">
            <v>ХАРКІВСЬКА Ф ВАТ ВТБ БАНК, М.ХАРКІВ</v>
          </cell>
          <cell r="J2747" t="str">
            <v>Харківська Ф ВАТ ВТБ Банк</v>
          </cell>
          <cell r="K2747" t="str">
            <v>UUJR</v>
          </cell>
          <cell r="L2747" t="str">
            <v>UUJR</v>
          </cell>
          <cell r="M2747">
            <v>20</v>
          </cell>
          <cell r="N2747">
            <v>26</v>
          </cell>
          <cell r="O2747" t="str">
            <v>Управління НБУ в Харків.обл</v>
          </cell>
        </row>
        <row r="2748">
          <cell r="A2748">
            <v>350653</v>
          </cell>
          <cell r="B2748">
            <v>300926</v>
          </cell>
          <cell r="D2748">
            <v>0</v>
          </cell>
          <cell r="E2748">
            <v>899</v>
          </cell>
          <cell r="F2748">
            <v>0</v>
          </cell>
          <cell r="G2748" t="str">
            <v>8</v>
          </cell>
          <cell r="H2748">
            <v>885</v>
          </cell>
          <cell r="I2748" t="str">
            <v>ФАТ "УФГ" У М. ХАРКІВ</v>
          </cell>
          <cell r="J2748" t="str">
            <v>ФАТ "УФГ", м.Харків</v>
          </cell>
          <cell r="K2748" t="str">
            <v>UUW1</v>
          </cell>
          <cell r="L2748" t="str">
            <v>U1WF</v>
          </cell>
          <cell r="M2748">
            <v>20</v>
          </cell>
          <cell r="N2748">
            <v>26</v>
          </cell>
          <cell r="O2748" t="str">
            <v>Управління НБУ в Харків.обл</v>
          </cell>
        </row>
        <row r="2749">
          <cell r="A2749">
            <v>350686</v>
          </cell>
          <cell r="B2749">
            <v>321228</v>
          </cell>
          <cell r="D2749">
            <v>0</v>
          </cell>
          <cell r="E2749">
            <v>68</v>
          </cell>
          <cell r="F2749">
            <v>0</v>
          </cell>
          <cell r="G2749" t="str">
            <v>8</v>
          </cell>
          <cell r="H2749">
            <v>729</v>
          </cell>
          <cell r="I2749" t="str">
            <v>ХАРК.Ф. ТОВ "УКРПРОМБАНК", М.ХАРКІВ</v>
          </cell>
          <cell r="J2749" t="str">
            <v>Харків.ф.ТОВ"Укрпромбанк"</v>
          </cell>
          <cell r="K2749" t="str">
            <v>UUKU</v>
          </cell>
          <cell r="L2749" t="str">
            <v>UUKU</v>
          </cell>
          <cell r="M2749">
            <v>20</v>
          </cell>
          <cell r="N2749">
            <v>26</v>
          </cell>
          <cell r="O2749" t="str">
            <v>Управління НБУ в Харків.обл</v>
          </cell>
        </row>
        <row r="2750">
          <cell r="A2750">
            <v>350697</v>
          </cell>
          <cell r="B2750">
            <v>300131</v>
          </cell>
          <cell r="D2750">
            <v>0</v>
          </cell>
          <cell r="E2750">
            <v>17</v>
          </cell>
          <cell r="F2750">
            <v>0</v>
          </cell>
          <cell r="G2750" t="str">
            <v>8</v>
          </cell>
          <cell r="H2750">
            <v>704</v>
          </cell>
          <cell r="I2750" t="str">
            <v>Ф"СЛОБОЖАНСЬКЕРУ"ВАТ"Б"ФІН ТА КР"Харк</v>
          </cell>
          <cell r="J2750" t="str">
            <v>ФСлобожанськеРУ Б ФІН ТА КР</v>
          </cell>
          <cell r="K2750" t="str">
            <v>UUKM</v>
          </cell>
          <cell r="L2750" t="str">
            <v>UUKM</v>
          </cell>
          <cell r="M2750">
            <v>20</v>
          </cell>
          <cell r="N2750">
            <v>26</v>
          </cell>
          <cell r="O2750" t="str">
            <v>Управління НБУ в Харків.обл</v>
          </cell>
        </row>
        <row r="2751">
          <cell r="A2751">
            <v>350705</v>
          </cell>
          <cell r="B2751">
            <v>320702</v>
          </cell>
          <cell r="D2751">
            <v>0</v>
          </cell>
          <cell r="E2751">
            <v>277</v>
          </cell>
          <cell r="F2751">
            <v>0</v>
          </cell>
          <cell r="G2751" t="str">
            <v>8</v>
          </cell>
          <cell r="H2751">
            <v>715</v>
          </cell>
          <cell r="I2751" t="str">
            <v>ФАКБ"НАЦ. КРЕДИТ" В М.БАЛАКЛІЯ</v>
          </cell>
          <cell r="J2751" t="str">
            <v>ФАКБ "НК" в м.Балаклія</v>
          </cell>
          <cell r="K2751" t="str">
            <v>UUKN</v>
          </cell>
          <cell r="L2751" t="str">
            <v>UUKN</v>
          </cell>
          <cell r="M2751">
            <v>20</v>
          </cell>
          <cell r="N2751">
            <v>26</v>
          </cell>
          <cell r="O2751" t="str">
            <v>Управління НБУ в Харків.обл</v>
          </cell>
        </row>
        <row r="2752">
          <cell r="A2752">
            <v>350716</v>
          </cell>
          <cell r="B2752">
            <v>322959</v>
          </cell>
          <cell r="D2752">
            <v>0</v>
          </cell>
          <cell r="E2752">
            <v>262</v>
          </cell>
          <cell r="F2752">
            <v>0</v>
          </cell>
          <cell r="G2752" t="str">
            <v>8</v>
          </cell>
          <cell r="H2752">
            <v>716</v>
          </cell>
          <cell r="I2752" t="str">
            <v>ХАРКІВ. Ф-Я АБ"ЕКСПРЕС-БАНК", М.ХАРКІВ</v>
          </cell>
          <cell r="J2752" t="str">
            <v>Харківська філ.АБ "Експр-Б"</v>
          </cell>
          <cell r="K2752" t="str">
            <v>UUKO</v>
          </cell>
          <cell r="L2752" t="str">
            <v>UUKO</v>
          </cell>
          <cell r="M2752">
            <v>20</v>
          </cell>
          <cell r="N2752">
            <v>26</v>
          </cell>
          <cell r="O2752" t="str">
            <v>Управління НБУ в Харків.обл</v>
          </cell>
        </row>
        <row r="2753">
          <cell r="A2753">
            <v>350727</v>
          </cell>
          <cell r="B2753">
            <v>300863</v>
          </cell>
          <cell r="D2753">
            <v>0</v>
          </cell>
          <cell r="E2753">
            <v>289</v>
          </cell>
          <cell r="F2753">
            <v>0</v>
          </cell>
          <cell r="G2753" t="str">
            <v>9</v>
          </cell>
          <cell r="H2753">
            <v>720</v>
          </cell>
          <cell r="I2753" t="str">
            <v>ХАРКІВ.Ф ВАТ "КРЕДИТПРОМБАНК",М.ХАРКІВ</v>
          </cell>
          <cell r="J2753" t="str">
            <v>ХФ ВАТ "КРЕДИТПРОМБАНК"</v>
          </cell>
          <cell r="K2753" t="str">
            <v>UUKQ</v>
          </cell>
          <cell r="L2753" t="str">
            <v>UUKQ</v>
          </cell>
          <cell r="M2753">
            <v>20</v>
          </cell>
          <cell r="N2753">
            <v>26</v>
          </cell>
          <cell r="O2753" t="str">
            <v>Управління НБУ в Харків.обл</v>
          </cell>
        </row>
        <row r="2754">
          <cell r="A2754">
            <v>350749</v>
          </cell>
          <cell r="B2754">
            <v>300658</v>
          </cell>
          <cell r="D2754">
            <v>0</v>
          </cell>
          <cell r="E2754">
            <v>251</v>
          </cell>
          <cell r="F2754">
            <v>0</v>
          </cell>
          <cell r="G2754" t="str">
            <v>B</v>
          </cell>
          <cell r="H2754">
            <v>722</v>
          </cell>
          <cell r="I2754" t="str">
            <v>ХФ ВАТ "ПІРЕУС БАНК МКБ", М.ХАРКІВ</v>
          </cell>
          <cell r="J2754" t="str">
            <v>ХФ ВАТ "ПІРЕУС БАНК МКБ"</v>
          </cell>
          <cell r="K2754" t="str">
            <v>UUKY</v>
          </cell>
          <cell r="L2754" t="str">
            <v>UUKY</v>
          </cell>
          <cell r="M2754">
            <v>20</v>
          </cell>
          <cell r="N2754">
            <v>26</v>
          </cell>
          <cell r="O2754" t="str">
            <v>Управління НБУ в Харків.обл</v>
          </cell>
        </row>
        <row r="2755">
          <cell r="A2755">
            <v>350750</v>
          </cell>
          <cell r="B2755">
            <v>300528</v>
          </cell>
          <cell r="D2755">
            <v>0</v>
          </cell>
          <cell r="E2755">
            <v>296</v>
          </cell>
          <cell r="F2755">
            <v>0</v>
          </cell>
          <cell r="G2755" t="str">
            <v>F</v>
          </cell>
          <cell r="H2755">
            <v>710</v>
          </cell>
          <cell r="I2755" t="str">
            <v>ФІЛІЯ ЗАТ "ОТП БАНК" В М.ХАРКІВ</v>
          </cell>
          <cell r="J2755" t="str">
            <v>Філія ЗАТ "ОТП Банк"</v>
          </cell>
          <cell r="K2755" t="str">
            <v>UUKZ</v>
          </cell>
          <cell r="L2755" t="str">
            <v>UUKZ</v>
          </cell>
          <cell r="M2755">
            <v>20</v>
          </cell>
          <cell r="N2755">
            <v>26</v>
          </cell>
          <cell r="O2755" t="str">
            <v>Управління НБУ в Харків.обл</v>
          </cell>
        </row>
        <row r="2756">
          <cell r="A2756">
            <v>350761</v>
          </cell>
          <cell r="B2756">
            <v>328209</v>
          </cell>
          <cell r="D2756">
            <v>0</v>
          </cell>
          <cell r="E2756">
            <v>106</v>
          </cell>
          <cell r="F2756">
            <v>0</v>
          </cell>
          <cell r="G2756" t="str">
            <v>8</v>
          </cell>
          <cell r="H2756">
            <v>724</v>
          </cell>
          <cell r="I2756" t="str">
            <v>ФІЛІЯ АБ "ПІВДЕННИЙ" В М.ХАРКІВ</v>
          </cell>
          <cell r="J2756" t="str">
            <v>ФАБ "Південний" в м.Харків</v>
          </cell>
          <cell r="K2756" t="str">
            <v>UUNB</v>
          </cell>
          <cell r="L2756" t="str">
            <v>UUNB</v>
          </cell>
          <cell r="M2756">
            <v>20</v>
          </cell>
          <cell r="N2756">
            <v>15</v>
          </cell>
          <cell r="O2756" t="str">
            <v>Управління НБУ в Харків.обл</v>
          </cell>
        </row>
        <row r="2757">
          <cell r="A2757">
            <v>350772</v>
          </cell>
          <cell r="B2757">
            <v>322948</v>
          </cell>
          <cell r="D2757">
            <v>0</v>
          </cell>
          <cell r="E2757">
            <v>248</v>
          </cell>
          <cell r="F2757">
            <v>0</v>
          </cell>
          <cell r="G2757" t="str">
            <v>B</v>
          </cell>
          <cell r="H2757">
            <v>725</v>
          </cell>
          <cell r="I2757" t="str">
            <v>ХАРКІВСЬКА ФАКБ "ФОРУМ" М.ХАРКІВ</v>
          </cell>
          <cell r="J2757" t="str">
            <v>Харківська ФАКБ "Форум"</v>
          </cell>
          <cell r="K2757" t="str">
            <v>UUNE</v>
          </cell>
          <cell r="L2757" t="str">
            <v>UUNE</v>
          </cell>
          <cell r="M2757">
            <v>20</v>
          </cell>
          <cell r="N2757">
            <v>26</v>
          </cell>
          <cell r="O2757" t="str">
            <v>Управління НБУ в Харків.обл</v>
          </cell>
        </row>
        <row r="2758">
          <cell r="A2758">
            <v>350783</v>
          </cell>
          <cell r="B2758">
            <v>300506</v>
          </cell>
          <cell r="D2758">
            <v>0</v>
          </cell>
          <cell r="E2758">
            <v>290</v>
          </cell>
          <cell r="F2758">
            <v>0</v>
          </cell>
          <cell r="G2758" t="str">
            <v>8</v>
          </cell>
          <cell r="H2758">
            <v>700</v>
          </cell>
          <cell r="I2758" t="str">
            <v>Ф ВАТ "ПЕРШИЙ ІНВЕСТИЦ. БАНК" М.ХАРКІВ</v>
          </cell>
          <cell r="J2758" t="str">
            <v>Ф ВАТ "ПершІнвБ"в м.Харкові</v>
          </cell>
          <cell r="K2758" t="str">
            <v>UUNN</v>
          </cell>
          <cell r="L2758" t="str">
            <v>UUNN</v>
          </cell>
          <cell r="M2758">
            <v>20</v>
          </cell>
          <cell r="N2758">
            <v>26</v>
          </cell>
          <cell r="O2758" t="str">
            <v>Управління НБУ в Харків.обл</v>
          </cell>
        </row>
        <row r="2759">
          <cell r="A2759">
            <v>350794</v>
          </cell>
          <cell r="B2759">
            <v>328384</v>
          </cell>
          <cell r="D2759">
            <v>0</v>
          </cell>
          <cell r="E2759">
            <v>258</v>
          </cell>
          <cell r="F2759">
            <v>0</v>
          </cell>
          <cell r="G2759" t="str">
            <v>8</v>
          </cell>
          <cell r="H2759">
            <v>727</v>
          </cell>
          <cell r="I2759" t="str">
            <v>ФІЛІЯ АКБ "ІМЕКСБАНК" У М. ХАРКОВІ</v>
          </cell>
          <cell r="J2759" t="str">
            <v>ХАРКІВСФ АКБ "ІМЕКСБАНК"</v>
          </cell>
          <cell r="K2759" t="str">
            <v>UUNJ</v>
          </cell>
          <cell r="L2759" t="str">
            <v>UUNJ</v>
          </cell>
          <cell r="M2759">
            <v>20</v>
          </cell>
          <cell r="N2759">
            <v>15</v>
          </cell>
          <cell r="O2759" t="str">
            <v>Управління НБУ в Харків.обл</v>
          </cell>
        </row>
        <row r="2760">
          <cell r="A2760">
            <v>350802</v>
          </cell>
          <cell r="B2760">
            <v>320940</v>
          </cell>
          <cell r="D2760">
            <v>0</v>
          </cell>
          <cell r="E2760">
            <v>43</v>
          </cell>
          <cell r="F2760">
            <v>0</v>
          </cell>
          <cell r="G2760" t="str">
            <v>8</v>
          </cell>
          <cell r="H2760">
            <v>839</v>
          </cell>
          <cell r="I2760" t="str">
            <v>ФІЛІЯ АБ "АВТОЗАЗБАНК" В М.ХАРКІВ</v>
          </cell>
          <cell r="J2760" t="str">
            <v>Ф АБ"АвтоЗАЗбанк"в м.Харків</v>
          </cell>
          <cell r="K2760" t="str">
            <v>UUNL</v>
          </cell>
          <cell r="L2760" t="str">
            <v>UUNL</v>
          </cell>
          <cell r="M2760">
            <v>20</v>
          </cell>
          <cell r="N2760">
            <v>26</v>
          </cell>
          <cell r="O2760" t="str">
            <v>Управління НБУ в Харків.обл</v>
          </cell>
        </row>
        <row r="2761">
          <cell r="A2761">
            <v>350813</v>
          </cell>
          <cell r="B2761">
            <v>335946</v>
          </cell>
          <cell r="D2761">
            <v>0</v>
          </cell>
          <cell r="E2761">
            <v>45</v>
          </cell>
          <cell r="F2761">
            <v>0</v>
          </cell>
          <cell r="G2761" t="str">
            <v>8</v>
          </cell>
          <cell r="H2761">
            <v>503</v>
          </cell>
          <cell r="I2761" t="str">
            <v>Х.ФВАТ КБ "ПІВДЕНКОМБАНК",М.Харків</v>
          </cell>
          <cell r="J2761" t="str">
            <v>Х.ФВАТ КБ "ПІВДЕНКОМБАНК"</v>
          </cell>
          <cell r="K2761" t="str">
            <v>UUFD</v>
          </cell>
          <cell r="L2761" t="str">
            <v>UUFD</v>
          </cell>
          <cell r="M2761">
            <v>20</v>
          </cell>
          <cell r="N2761">
            <v>4</v>
          </cell>
          <cell r="O2761" t="str">
            <v>Управління НБУ в Харків.обл</v>
          </cell>
        </row>
        <row r="2762">
          <cell r="A2762">
            <v>350824</v>
          </cell>
          <cell r="B2762">
            <v>300272</v>
          </cell>
          <cell r="D2762">
            <v>0</v>
          </cell>
          <cell r="E2762">
            <v>31</v>
          </cell>
          <cell r="F2762">
            <v>0</v>
          </cell>
          <cell r="G2762" t="str">
            <v>B</v>
          </cell>
          <cell r="H2762">
            <v>803</v>
          </cell>
          <cell r="I2762" t="str">
            <v>ФІЛІЯ АБ "ЕНЕРГОБАНК" М.ХАРКІВ</v>
          </cell>
          <cell r="J2762" t="str">
            <v>ФАБ "Енергобанк" м.Харків</v>
          </cell>
          <cell r="K2762" t="str">
            <v>UUFE</v>
          </cell>
          <cell r="L2762" t="str">
            <v>UUFE</v>
          </cell>
          <cell r="M2762">
            <v>20</v>
          </cell>
          <cell r="N2762">
            <v>26</v>
          </cell>
          <cell r="O2762" t="str">
            <v>Управління НБУ в Харків.обл</v>
          </cell>
        </row>
        <row r="2763">
          <cell r="A2763">
            <v>350880</v>
          </cell>
          <cell r="B2763">
            <v>300670</v>
          </cell>
          <cell r="D2763">
            <v>0</v>
          </cell>
          <cell r="E2763">
            <v>202</v>
          </cell>
          <cell r="F2763">
            <v>0</v>
          </cell>
          <cell r="G2763" t="str">
            <v>8</v>
          </cell>
          <cell r="H2763">
            <v>723</v>
          </cell>
          <cell r="I2763" t="str">
            <v>ХАРЬКІВСЬКА ФВАТ КБ"ХРЕЩАТИК",М.ХАРКІВ</v>
          </cell>
          <cell r="J2763" t="str">
            <v>Харківська ФВАТКБ"Хрещатик"</v>
          </cell>
          <cell r="K2763" t="str">
            <v>UUNI</v>
          </cell>
          <cell r="L2763" t="str">
            <v>UUNI</v>
          </cell>
          <cell r="M2763">
            <v>20</v>
          </cell>
          <cell r="N2763">
            <v>26</v>
          </cell>
          <cell r="O2763" t="str">
            <v>Управління НБУ в Харків.обл</v>
          </cell>
        </row>
        <row r="2764">
          <cell r="A2764">
            <v>350910</v>
          </cell>
          <cell r="B2764">
            <v>300249</v>
          </cell>
          <cell r="D2764">
            <v>0</v>
          </cell>
          <cell r="E2764">
            <v>37</v>
          </cell>
          <cell r="F2764">
            <v>0</v>
          </cell>
          <cell r="G2764" t="str">
            <v>8</v>
          </cell>
          <cell r="H2764">
            <v>749</v>
          </cell>
          <cell r="I2764" t="str">
            <v>ХАРКІВСЬКА ФАБ "БРОКБІЗНЕСБАНК"</v>
          </cell>
          <cell r="J2764" t="str">
            <v>Харківська ФАБ"БРОКБІЗНЕСБ"</v>
          </cell>
          <cell r="K2764" t="str">
            <v>UUNK</v>
          </cell>
          <cell r="L2764" t="str">
            <v>UUNK</v>
          </cell>
          <cell r="M2764">
            <v>20</v>
          </cell>
          <cell r="N2764">
            <v>26</v>
          </cell>
          <cell r="O2764" t="str">
            <v>Управління НБУ в Харків.обл</v>
          </cell>
        </row>
        <row r="2765">
          <cell r="A2765">
            <v>351005</v>
          </cell>
          <cell r="B2765">
            <v>351005</v>
          </cell>
          <cell r="C2765" t="str">
            <v>АКІБ "УКРСИББАНК"</v>
          </cell>
          <cell r="D2765">
            <v>136</v>
          </cell>
          <cell r="E2765">
            <v>136</v>
          </cell>
          <cell r="F2765">
            <v>0</v>
          </cell>
          <cell r="G2765" t="str">
            <v>C</v>
          </cell>
          <cell r="H2765">
            <v>728</v>
          </cell>
          <cell r="I2765" t="str">
            <v>АКЦ.-КОМ.ІННОВ.БАНК"УКРСИББАНК",ХАРКІВ</v>
          </cell>
          <cell r="J2765" t="str">
            <v>АКІБ "УКРСИББАНК"</v>
          </cell>
          <cell r="K2765" t="str">
            <v>UUKP</v>
          </cell>
          <cell r="L2765" t="str">
            <v>UUKP</v>
          </cell>
          <cell r="M2765">
            <v>20</v>
          </cell>
          <cell r="N2765">
            <v>20</v>
          </cell>
          <cell r="O2765" t="str">
            <v>Управління НБУ в Харків.обл</v>
          </cell>
        </row>
        <row r="2766">
          <cell r="A2766">
            <v>351016</v>
          </cell>
          <cell r="B2766">
            <v>300023</v>
          </cell>
          <cell r="D2766">
            <v>0</v>
          </cell>
          <cell r="E2766">
            <v>5</v>
          </cell>
          <cell r="F2766">
            <v>0</v>
          </cell>
          <cell r="G2766" t="str">
            <v>5</v>
          </cell>
          <cell r="H2766">
            <v>501</v>
          </cell>
          <cell r="I2766" t="str">
            <v>ХАРК.ОБЛ.ФІЛІЯ АКБ"УКРСОЦБАНК"М.ХАРКІВ</v>
          </cell>
          <cell r="J2766" t="str">
            <v>ХОФ АКБ "Укрсоцбанк"</v>
          </cell>
          <cell r="K2766" t="str">
            <v>UUCA</v>
          </cell>
          <cell r="L2766" t="str">
            <v>UUCA</v>
          </cell>
          <cell r="M2766">
            <v>20</v>
          </cell>
          <cell r="N2766">
            <v>26</v>
          </cell>
          <cell r="O2766" t="str">
            <v>Управління НБУ в Харків.обл</v>
          </cell>
        </row>
        <row r="2767">
          <cell r="A2767">
            <v>351210</v>
          </cell>
          <cell r="B2767">
            <v>300012</v>
          </cell>
          <cell r="D2767">
            <v>0</v>
          </cell>
          <cell r="E2767">
            <v>3</v>
          </cell>
          <cell r="F2767">
            <v>0</v>
          </cell>
          <cell r="G2767" t="str">
            <v>3</v>
          </cell>
          <cell r="H2767">
            <v>329</v>
          </cell>
          <cell r="I2767" t="str">
            <v>Ф."В.ПІБ В СМТ.КОМСОМОЛЬСЬКЕ ХАРК.ОБЛ"</v>
          </cell>
          <cell r="J2767" t="str">
            <v>Ф."ВІД.ПІБ В СМТ.КОМСОМ.ХАР</v>
          </cell>
          <cell r="K2767" t="str">
            <v>UUAP</v>
          </cell>
          <cell r="L2767" t="str">
            <v>UUA0</v>
          </cell>
          <cell r="M2767">
            <v>20</v>
          </cell>
          <cell r="N2767">
            <v>26</v>
          </cell>
          <cell r="O2767" t="str">
            <v>Управління НБУ в Харків.обл</v>
          </cell>
        </row>
        <row r="2768">
          <cell r="A2768">
            <v>351243</v>
          </cell>
          <cell r="B2768">
            <v>300142</v>
          </cell>
          <cell r="D2768">
            <v>0</v>
          </cell>
          <cell r="E2768">
            <v>18</v>
          </cell>
          <cell r="F2768">
            <v>0</v>
          </cell>
          <cell r="G2768" t="str">
            <v>8</v>
          </cell>
          <cell r="H2768">
            <v>784</v>
          </cell>
          <cell r="I2768" t="str">
            <v>ХАРКІВСЬКА ФАТ"УКРІНБАНК" М.ХАРКІВ</v>
          </cell>
          <cell r="J2768" t="str">
            <v>Харківська ФАТ"Укрінбанк"</v>
          </cell>
          <cell r="K2768" t="str">
            <v>UUIQ</v>
          </cell>
          <cell r="L2768" t="str">
            <v>UUIQ</v>
          </cell>
          <cell r="M2768">
            <v>20</v>
          </cell>
          <cell r="N2768">
            <v>26</v>
          </cell>
          <cell r="O2768" t="str">
            <v>Управління НБУ в Харків.обл</v>
          </cell>
        </row>
        <row r="2769">
          <cell r="A2769">
            <v>351254</v>
          </cell>
          <cell r="B2769">
            <v>351254</v>
          </cell>
          <cell r="C2769" t="str">
            <v>АКРБ "РЕГІОН-БАНК"</v>
          </cell>
          <cell r="D2769">
            <v>128</v>
          </cell>
          <cell r="E2769">
            <v>128</v>
          </cell>
          <cell r="F2769">
            <v>0</v>
          </cell>
          <cell r="G2769" t="str">
            <v>8</v>
          </cell>
          <cell r="H2769">
            <v>798</v>
          </cell>
          <cell r="I2769" t="str">
            <v>АК РЕГ. БАНК  "РЕГІОН-БАНК", ХАРКІВ</v>
          </cell>
          <cell r="J2769" t="str">
            <v>АКРБ "РЕГІОН-БАНК"</v>
          </cell>
          <cell r="K2769" t="str">
            <v>UUIH</v>
          </cell>
          <cell r="L2769" t="str">
            <v>UUIH</v>
          </cell>
          <cell r="M2769">
            <v>20</v>
          </cell>
          <cell r="N2769">
            <v>20</v>
          </cell>
          <cell r="O2769" t="str">
            <v>Управління НБУ в Харків.обл</v>
          </cell>
        </row>
        <row r="2770">
          <cell r="A2770">
            <v>351362</v>
          </cell>
          <cell r="B2770">
            <v>300012</v>
          </cell>
          <cell r="D2770">
            <v>0</v>
          </cell>
          <cell r="E2770">
            <v>3</v>
          </cell>
          <cell r="F2770">
            <v>0</v>
          </cell>
          <cell r="G2770" t="str">
            <v>3</v>
          </cell>
          <cell r="H2770">
            <v>334</v>
          </cell>
          <cell r="I2770" t="str">
            <v>Ф."КОМІНТЕРНІВСЬКЕ ВІД.ПІБ В М.ХАРКІВ"</v>
          </cell>
          <cell r="J2770" t="str">
            <v>Ф."КОМІНТЕРН.ВІД.ПІБ В ХАР.</v>
          </cell>
          <cell r="K2770" t="str">
            <v>UUAJ</v>
          </cell>
          <cell r="L2770" t="str">
            <v>UUA0</v>
          </cell>
          <cell r="M2770">
            <v>20</v>
          </cell>
          <cell r="N2770">
            <v>26</v>
          </cell>
          <cell r="O2770" t="str">
            <v>Управління НБУ в Харків.обл</v>
          </cell>
        </row>
        <row r="2771">
          <cell r="A2771">
            <v>351447</v>
          </cell>
          <cell r="B2771">
            <v>300001</v>
          </cell>
          <cell r="D2771">
            <v>0</v>
          </cell>
          <cell r="E2771">
            <v>1</v>
          </cell>
          <cell r="F2771">
            <v>0</v>
          </cell>
          <cell r="G2771" t="str">
            <v>1</v>
          </cell>
          <cell r="H2771">
            <v>49</v>
          </cell>
          <cell r="I2771" t="str">
            <v>УПРАВЛІННЯ НБУ В ХАРКІВСЬКІЙ ОБЛАСТІ</v>
          </cell>
          <cell r="J2771" t="str">
            <v>Упр. НБУ в Харківській обл.</v>
          </cell>
          <cell r="K2771" t="str">
            <v>UUHA</v>
          </cell>
          <cell r="L2771" t="str">
            <v>UUH0</v>
          </cell>
          <cell r="M2771">
            <v>20</v>
          </cell>
          <cell r="N2771">
            <v>27</v>
          </cell>
          <cell r="O2771" t="str">
            <v>Управління НБУ в Харків.обл</v>
          </cell>
        </row>
        <row r="2772">
          <cell r="A2772">
            <v>351458</v>
          </cell>
          <cell r="B2772">
            <v>300012</v>
          </cell>
          <cell r="D2772">
            <v>0</v>
          </cell>
          <cell r="E2772">
            <v>3</v>
          </cell>
          <cell r="F2772">
            <v>0</v>
          </cell>
          <cell r="G2772" t="str">
            <v>3</v>
          </cell>
          <cell r="H2772">
            <v>343</v>
          </cell>
          <cell r="I2772" t="str">
            <v>Ф."ВІДДІЛ. ПРОМІНВЕСТБАНКУ, М. ХАРКІВ"</v>
          </cell>
          <cell r="J2772" t="str">
            <v>Ф."ВІДДІЛЕННЯ ПІБ,М.ХАРКІВ"</v>
          </cell>
          <cell r="K2772" t="str">
            <v>UUAA</v>
          </cell>
          <cell r="L2772" t="str">
            <v>UUA0</v>
          </cell>
          <cell r="M2772">
            <v>20</v>
          </cell>
          <cell r="N2772">
            <v>26</v>
          </cell>
          <cell r="O2772" t="str">
            <v>Управління НБУ в Харків.обл</v>
          </cell>
        </row>
        <row r="2773">
          <cell r="A2773">
            <v>351492</v>
          </cell>
          <cell r="B2773">
            <v>300012</v>
          </cell>
          <cell r="D2773">
            <v>0</v>
          </cell>
          <cell r="E2773">
            <v>3</v>
          </cell>
          <cell r="F2773">
            <v>0</v>
          </cell>
          <cell r="G2773" t="str">
            <v>3</v>
          </cell>
          <cell r="H2773">
            <v>347</v>
          </cell>
          <cell r="I2773" t="str">
            <v>Ф."ВІД.ПІБ В М.ІЗЮМ  ХАРКІВСЬКОЇ ОБЛ."</v>
          </cell>
          <cell r="J2773" t="str">
            <v>Ф."ВІД.ПІБ В М.ІЗЮМ ХАРКІВ.</v>
          </cell>
          <cell r="K2773" t="str">
            <v>UUAC</v>
          </cell>
          <cell r="L2773" t="str">
            <v>UUA0</v>
          </cell>
          <cell r="M2773">
            <v>20</v>
          </cell>
          <cell r="N2773">
            <v>26</v>
          </cell>
          <cell r="O2773" t="str">
            <v>Управління НБУ в Харків.обл</v>
          </cell>
        </row>
        <row r="2774">
          <cell r="A2774">
            <v>351511</v>
          </cell>
          <cell r="B2774">
            <v>300012</v>
          </cell>
          <cell r="D2774">
            <v>0</v>
          </cell>
          <cell r="E2774">
            <v>3</v>
          </cell>
          <cell r="F2774">
            <v>0</v>
          </cell>
          <cell r="G2774" t="str">
            <v>3</v>
          </cell>
          <cell r="H2774">
            <v>359</v>
          </cell>
          <cell r="I2774" t="str">
            <v>Ф."В.ПІБ В М.КУП`ЯНСЬК ХАРКІВСЬК.ОБЛ."</v>
          </cell>
          <cell r="J2774" t="str">
            <v>Ф."ВІД.ПІБ В М.КУП"ЯНСЬК"</v>
          </cell>
          <cell r="K2774" t="str">
            <v>UUAO</v>
          </cell>
          <cell r="L2774" t="str">
            <v>UUA0</v>
          </cell>
          <cell r="M2774">
            <v>20</v>
          </cell>
          <cell r="N2774">
            <v>26</v>
          </cell>
          <cell r="O2774" t="str">
            <v>Управління НБУ в Харків.обл</v>
          </cell>
        </row>
        <row r="2775">
          <cell r="A2775">
            <v>351522</v>
          </cell>
          <cell r="B2775">
            <v>300012</v>
          </cell>
          <cell r="D2775">
            <v>0</v>
          </cell>
          <cell r="E2775">
            <v>3</v>
          </cell>
          <cell r="F2775">
            <v>0</v>
          </cell>
          <cell r="G2775" t="str">
            <v>3</v>
          </cell>
          <cell r="H2775">
            <v>350</v>
          </cell>
          <cell r="I2775" t="str">
            <v>Ф."ВІД.ПІБ В М.ЛОЗОВА ХАРКІВСЬКОЇ ОБЛ"</v>
          </cell>
          <cell r="J2775" t="str">
            <v>Ф."ВІД.ПІБ В М.ЛОЗОВА ХАРК.</v>
          </cell>
          <cell r="K2775" t="str">
            <v>UUAI</v>
          </cell>
          <cell r="L2775" t="str">
            <v>UUA0</v>
          </cell>
          <cell r="M2775">
            <v>20</v>
          </cell>
          <cell r="N2775">
            <v>26</v>
          </cell>
          <cell r="O2775" t="str">
            <v>Управління НБУ в Харків.обл</v>
          </cell>
        </row>
        <row r="2776">
          <cell r="A2776">
            <v>351533</v>
          </cell>
          <cell r="B2776">
            <v>305299</v>
          </cell>
          <cell r="D2776">
            <v>0</v>
          </cell>
          <cell r="E2776">
            <v>46</v>
          </cell>
          <cell r="F2776">
            <v>0</v>
          </cell>
          <cell r="G2776" t="str">
            <v>A</v>
          </cell>
          <cell r="H2776">
            <v>797</v>
          </cell>
          <cell r="I2776" t="str">
            <v>ХАРКІВСЬКЕ ГРУ ПРИВАТБАНКУ, М.ХАРКІВ</v>
          </cell>
          <cell r="J2776" t="str">
            <v>ХАРКІВСЬКЕ ГРУ ПРИВАТБАНКУ</v>
          </cell>
          <cell r="K2776" t="str">
            <v>UUJN</v>
          </cell>
          <cell r="L2776" t="str">
            <v>UUJN</v>
          </cell>
          <cell r="M2776">
            <v>20</v>
          </cell>
          <cell r="N2776">
            <v>3</v>
          </cell>
          <cell r="O2776" t="str">
            <v>Управління НБУ в Харків.обл</v>
          </cell>
        </row>
        <row r="2777">
          <cell r="A2777">
            <v>351588</v>
          </cell>
          <cell r="B2777">
            <v>351588</v>
          </cell>
          <cell r="C2777" t="str">
            <v>ВАТ РЕАЛ БАНК</v>
          </cell>
          <cell r="D2777">
            <v>124</v>
          </cell>
          <cell r="E2777">
            <v>124</v>
          </cell>
          <cell r="F2777">
            <v>0</v>
          </cell>
          <cell r="G2777" t="str">
            <v>8</v>
          </cell>
          <cell r="H2777">
            <v>789</v>
          </cell>
          <cell r="I2777" t="str">
            <v>ВАТ РЕАЛ БАНК В М.ХАРКОВІ</v>
          </cell>
          <cell r="J2777" t="str">
            <v>ВАТ РЕАЛ БАНК</v>
          </cell>
          <cell r="K2777" t="str">
            <v>UUIE</v>
          </cell>
          <cell r="L2777" t="str">
            <v>UUIE</v>
          </cell>
          <cell r="M2777">
            <v>20</v>
          </cell>
          <cell r="N2777">
            <v>20</v>
          </cell>
          <cell r="O2777" t="str">
            <v>Управління НБУ в Харків.обл</v>
          </cell>
        </row>
        <row r="2778">
          <cell r="A2778">
            <v>351599</v>
          </cell>
          <cell r="B2778">
            <v>351760</v>
          </cell>
          <cell r="D2778">
            <v>0</v>
          </cell>
          <cell r="E2778">
            <v>144</v>
          </cell>
          <cell r="F2778">
            <v>0</v>
          </cell>
          <cell r="G2778" t="str">
            <v>8</v>
          </cell>
          <cell r="H2778">
            <v>780</v>
          </cell>
          <cell r="I2778" t="str">
            <v>ПЕРША ХАРКІВСЬКА ФАКБ"БАЗИС", М.ХАРКІВ</v>
          </cell>
          <cell r="J2778" t="str">
            <v>Перша Харківс.ФАКБ "БАЗИС"</v>
          </cell>
          <cell r="K2778" t="str">
            <v>UUIJ</v>
          </cell>
          <cell r="L2778" t="str">
            <v>UUIJ</v>
          </cell>
          <cell r="M2778">
            <v>20</v>
          </cell>
          <cell r="N2778">
            <v>20</v>
          </cell>
          <cell r="O2778" t="str">
            <v>Управління НБУ в Харків.обл</v>
          </cell>
        </row>
        <row r="2779">
          <cell r="A2779">
            <v>351607</v>
          </cell>
          <cell r="B2779">
            <v>351607</v>
          </cell>
          <cell r="C2779" t="str">
            <v>АСУБ "ГРАНТ"</v>
          </cell>
          <cell r="D2779">
            <v>123</v>
          </cell>
          <cell r="E2779">
            <v>123</v>
          </cell>
          <cell r="F2779">
            <v>0</v>
          </cell>
          <cell r="G2779" t="str">
            <v>8</v>
          </cell>
          <cell r="H2779">
            <v>788</v>
          </cell>
          <cell r="I2779" t="str">
            <v>АКЦ.СХІДНО-УКРАЇН.БАНК"ГРАНТ",М.ХАРКІВ</v>
          </cell>
          <cell r="J2779" t="str">
            <v>АСУБ "ГРАНТ"</v>
          </cell>
          <cell r="K2779" t="str">
            <v>UUIF</v>
          </cell>
          <cell r="L2779" t="str">
            <v>UUIF</v>
          </cell>
          <cell r="M2779">
            <v>20</v>
          </cell>
          <cell r="N2779">
            <v>20</v>
          </cell>
          <cell r="O2779" t="str">
            <v>Управління НБУ в Харків.обл</v>
          </cell>
        </row>
        <row r="2780">
          <cell r="A2780">
            <v>351618</v>
          </cell>
          <cell r="B2780">
            <v>322313</v>
          </cell>
          <cell r="D2780">
            <v>0</v>
          </cell>
          <cell r="E2780">
            <v>2</v>
          </cell>
          <cell r="F2780">
            <v>0</v>
          </cell>
          <cell r="G2780" t="str">
            <v>2</v>
          </cell>
          <cell r="H2780">
            <v>213</v>
          </cell>
          <cell r="I2780" t="str">
            <v>Ф-Я ВАТ "УКРЕКСІМБАНК", ХАРКІВ</v>
          </cell>
          <cell r="J2780" t="str">
            <v>Ф-я Укрексімбанк, Харків</v>
          </cell>
          <cell r="K2780" t="str">
            <v>UUGA</v>
          </cell>
          <cell r="L2780" t="str">
            <v>UUGA</v>
          </cell>
          <cell r="M2780">
            <v>20</v>
          </cell>
          <cell r="N2780">
            <v>26</v>
          </cell>
          <cell r="O2780" t="str">
            <v>Управління НБУ в Харків.обл</v>
          </cell>
        </row>
        <row r="2781">
          <cell r="A2781">
            <v>351629</v>
          </cell>
          <cell r="B2781">
            <v>351629</v>
          </cell>
          <cell r="C2781" t="str">
            <v>ВАТ "МЕГАБАНК"</v>
          </cell>
          <cell r="D2781">
            <v>126</v>
          </cell>
          <cell r="E2781">
            <v>126</v>
          </cell>
          <cell r="F2781">
            <v>0</v>
          </cell>
          <cell r="G2781" t="str">
            <v>8</v>
          </cell>
          <cell r="H2781">
            <v>793</v>
          </cell>
          <cell r="I2781" t="str">
            <v>ВАТ "МЕГАБАНК" У М.ХАРКІВ</v>
          </cell>
          <cell r="J2781" t="str">
            <v>ВАТ "МЕГАБАНК"</v>
          </cell>
          <cell r="K2781" t="str">
            <v>UUIA</v>
          </cell>
          <cell r="L2781" t="str">
            <v>UUIA</v>
          </cell>
          <cell r="M2781">
            <v>20</v>
          </cell>
          <cell r="N2781">
            <v>20</v>
          </cell>
          <cell r="O2781" t="str">
            <v>Управління НБУ в Харків.обл</v>
          </cell>
        </row>
        <row r="2782">
          <cell r="A2782">
            <v>351652</v>
          </cell>
          <cell r="B2782">
            <v>351652</v>
          </cell>
          <cell r="C2782" t="str">
            <v>ХАК  "ЗЕМБАНК"</v>
          </cell>
          <cell r="D2782">
            <v>125</v>
          </cell>
          <cell r="E2782">
            <v>125</v>
          </cell>
          <cell r="F2782">
            <v>0</v>
          </cell>
          <cell r="G2782" t="str">
            <v>8</v>
          </cell>
          <cell r="H2782">
            <v>796</v>
          </cell>
          <cell r="I2782" t="str">
            <v>ХАК "ЗЕМБАНК", М.ХАРКІВ</v>
          </cell>
          <cell r="J2782" t="str">
            <v>ХАК  "ЗЕМБАНК"</v>
          </cell>
          <cell r="K2782" t="str">
            <v>UUIG</v>
          </cell>
          <cell r="L2782" t="str">
            <v>UUIG</v>
          </cell>
          <cell r="M2782">
            <v>20</v>
          </cell>
          <cell r="N2782">
            <v>20</v>
          </cell>
          <cell r="O2782" t="str">
            <v>Управління НБУ в Харків.обл</v>
          </cell>
        </row>
        <row r="2783">
          <cell r="A2783">
            <v>351663</v>
          </cell>
          <cell r="B2783">
            <v>351663</v>
          </cell>
          <cell r="C2783" t="str">
            <v>АКБ "МЕРКУРІЙ"</v>
          </cell>
          <cell r="D2783">
            <v>98</v>
          </cell>
          <cell r="E2783">
            <v>98</v>
          </cell>
          <cell r="F2783">
            <v>0</v>
          </cell>
          <cell r="G2783" t="str">
            <v>8</v>
          </cell>
          <cell r="H2783">
            <v>768</v>
          </cell>
          <cell r="I2783" t="str">
            <v>АКБ "МЕРКУРІЙ" У М.ХАРКОВІ</v>
          </cell>
          <cell r="J2783" t="str">
            <v>АКБ "МЕРКУРІЙ"</v>
          </cell>
          <cell r="K2783" t="str">
            <v>UUIK</v>
          </cell>
          <cell r="L2783" t="str">
            <v>UUIK</v>
          </cell>
          <cell r="M2783">
            <v>20</v>
          </cell>
          <cell r="N2783">
            <v>20</v>
          </cell>
          <cell r="O2783" t="str">
            <v>Управління НБУ в Харків.обл</v>
          </cell>
        </row>
        <row r="2784">
          <cell r="A2784">
            <v>351715</v>
          </cell>
          <cell r="B2784">
            <v>351715</v>
          </cell>
          <cell r="C2784" t="str">
            <v>АБ "ФАКТОРІАЛ-БАНК"</v>
          </cell>
          <cell r="D2784">
            <v>20</v>
          </cell>
          <cell r="E2784">
            <v>20</v>
          </cell>
          <cell r="F2784">
            <v>0</v>
          </cell>
          <cell r="G2784" t="str">
            <v>B</v>
          </cell>
          <cell r="H2784">
            <v>757</v>
          </cell>
          <cell r="I2784" t="str">
            <v>АБ "ФАКТОРІАЛ-БАНК",  М.ХАРКІВ</v>
          </cell>
          <cell r="J2784" t="str">
            <v>АБ "ФАКТОРІАЛ-БАНК"</v>
          </cell>
          <cell r="K2784" t="str">
            <v>UUIZ</v>
          </cell>
          <cell r="L2784" t="str">
            <v>UUIZ</v>
          </cell>
          <cell r="M2784">
            <v>20</v>
          </cell>
          <cell r="N2784">
            <v>20</v>
          </cell>
          <cell r="O2784" t="str">
            <v>Управління НБУ в Харків.обл</v>
          </cell>
        </row>
        <row r="2785">
          <cell r="A2785">
            <v>351760</v>
          </cell>
          <cell r="B2785">
            <v>351760</v>
          </cell>
          <cell r="C2785" t="str">
            <v>АКБ "БАЗИС"</v>
          </cell>
          <cell r="D2785">
            <v>144</v>
          </cell>
          <cell r="E2785">
            <v>144</v>
          </cell>
          <cell r="F2785">
            <v>0</v>
          </cell>
          <cell r="G2785" t="str">
            <v>8</v>
          </cell>
          <cell r="H2785">
            <v>765</v>
          </cell>
          <cell r="I2785" t="str">
            <v>АКЦ.КОМЕРЦІЙНИЙ БАНК "БАЗИС", М.ХАРКІВ</v>
          </cell>
          <cell r="J2785" t="str">
            <v>АКБ "БАЗИС"</v>
          </cell>
          <cell r="K2785" t="str">
            <v>UUIX</v>
          </cell>
          <cell r="L2785" t="str">
            <v>UUIX</v>
          </cell>
          <cell r="M2785">
            <v>20</v>
          </cell>
          <cell r="N2785">
            <v>20</v>
          </cell>
          <cell r="O2785" t="str">
            <v>Управління НБУ в Харків.обл</v>
          </cell>
        </row>
        <row r="2786">
          <cell r="A2786">
            <v>351823</v>
          </cell>
          <cell r="B2786">
            <v>300465</v>
          </cell>
          <cell r="D2786">
            <v>0</v>
          </cell>
          <cell r="E2786">
            <v>6</v>
          </cell>
          <cell r="F2786">
            <v>0</v>
          </cell>
          <cell r="G2786" t="str">
            <v>6</v>
          </cell>
          <cell r="H2786">
            <v>609</v>
          </cell>
          <cell r="I2786" t="str">
            <v>ФХАРКІВСЬКЕ ОБЛАСНЕ У ВАТОЩАД М.ХАРКІВ</v>
          </cell>
          <cell r="J2786" t="str">
            <v>ФХарківське обласне ВАТОщад</v>
          </cell>
          <cell r="K2786" t="str">
            <v>UULA</v>
          </cell>
          <cell r="L2786" t="str">
            <v>UULA</v>
          </cell>
          <cell r="M2786">
            <v>20</v>
          </cell>
          <cell r="N2786">
            <v>26</v>
          </cell>
          <cell r="O2786" t="str">
            <v>Управління НБУ в Харків.обл</v>
          </cell>
        </row>
        <row r="2787">
          <cell r="A2787">
            <v>351834</v>
          </cell>
          <cell r="B2787">
            <v>320003</v>
          </cell>
          <cell r="D2787">
            <v>0</v>
          </cell>
          <cell r="E2787">
            <v>225</v>
          </cell>
          <cell r="F2787">
            <v>0</v>
          </cell>
          <cell r="G2787" t="str">
            <v>B</v>
          </cell>
          <cell r="H2787">
            <v>756</v>
          </cell>
          <cell r="I2787" t="str">
            <v>Ф ВАТ КБ "НАДРА" Харківське РУ</v>
          </cell>
          <cell r="J2787" t="str">
            <v>Ф ВАТ КБ"Надра"ХарківськеРУ</v>
          </cell>
          <cell r="K2787" t="str">
            <v>UUJL</v>
          </cell>
          <cell r="L2787" t="str">
            <v>UUJL</v>
          </cell>
          <cell r="M2787">
            <v>20</v>
          </cell>
          <cell r="N2787">
            <v>26</v>
          </cell>
          <cell r="O2787" t="str">
            <v>Управління НБУ в Харків.обл</v>
          </cell>
        </row>
        <row r="2788">
          <cell r="A2788">
            <v>351878</v>
          </cell>
          <cell r="B2788">
            <v>351878</v>
          </cell>
          <cell r="C2788" t="str">
            <v>ВАТ "ІНПРОМБАНК"</v>
          </cell>
          <cell r="D2788">
            <v>135</v>
          </cell>
          <cell r="E2788">
            <v>135</v>
          </cell>
          <cell r="F2788">
            <v>0</v>
          </cell>
          <cell r="G2788" t="str">
            <v>8</v>
          </cell>
          <cell r="H2788">
            <v>750</v>
          </cell>
          <cell r="I2788" t="str">
            <v>ВАТ "ІНПРОМБАНК", М.ХАРКІВ</v>
          </cell>
          <cell r="J2788" t="str">
            <v>ВАТ "ІНПРОМБАНК"</v>
          </cell>
          <cell r="K2788" t="str">
            <v>UUJD</v>
          </cell>
          <cell r="L2788" t="str">
            <v>UUJD</v>
          </cell>
          <cell r="M2788">
            <v>20</v>
          </cell>
          <cell r="N2788">
            <v>20</v>
          </cell>
          <cell r="O2788" t="str">
            <v>Управління НБУ в Харків.обл</v>
          </cell>
        </row>
        <row r="2789">
          <cell r="A2789">
            <v>351931</v>
          </cell>
          <cell r="B2789">
            <v>351931</v>
          </cell>
          <cell r="C2789" t="str">
            <v>АКБ "ЗОЛОТІ ВОРОТА"</v>
          </cell>
          <cell r="D2789">
            <v>209</v>
          </cell>
          <cell r="E2789">
            <v>209</v>
          </cell>
          <cell r="F2789">
            <v>0</v>
          </cell>
          <cell r="G2789" t="str">
            <v>8</v>
          </cell>
          <cell r="H2789">
            <v>753</v>
          </cell>
          <cell r="I2789" t="str">
            <v>АКБ "ЗОЛОТІ ВОРОТА", М.ХАРКІВ</v>
          </cell>
          <cell r="J2789" t="str">
            <v>АКБ "ЗОЛОТІ ВОРОТА"</v>
          </cell>
          <cell r="K2789" t="str">
            <v>UUJG</v>
          </cell>
          <cell r="L2789" t="str">
            <v>UUJG</v>
          </cell>
          <cell r="M2789">
            <v>20</v>
          </cell>
          <cell r="N2789">
            <v>20</v>
          </cell>
          <cell r="O2789" t="str">
            <v>Управління НБУ в Харків.обл</v>
          </cell>
        </row>
        <row r="2790">
          <cell r="A2790">
            <v>351953</v>
          </cell>
          <cell r="B2790">
            <v>300788</v>
          </cell>
          <cell r="D2790">
            <v>0</v>
          </cell>
          <cell r="E2790">
            <v>84</v>
          </cell>
          <cell r="F2790">
            <v>0</v>
          </cell>
          <cell r="G2790" t="str">
            <v>8</v>
          </cell>
          <cell r="H2790">
            <v>771</v>
          </cell>
          <cell r="I2790" t="str">
            <v>ХАРКІВ. ФІЛІЯ АБ "ТАВРИКА" У М.ХАРКОВІ</v>
          </cell>
          <cell r="J2790" t="str">
            <v>ХАРКІВСЬКА ФАБ "ТАВРИКА"</v>
          </cell>
          <cell r="K2790" t="str">
            <v>UUIW</v>
          </cell>
          <cell r="L2790" t="str">
            <v>UUIW</v>
          </cell>
          <cell r="M2790">
            <v>20</v>
          </cell>
          <cell r="N2790">
            <v>26</v>
          </cell>
          <cell r="O2790" t="str">
            <v>Управління НБУ в Харків.обл</v>
          </cell>
        </row>
        <row r="2791">
          <cell r="A2791">
            <v>351964</v>
          </cell>
          <cell r="B2791">
            <v>322294</v>
          </cell>
          <cell r="D2791">
            <v>0</v>
          </cell>
          <cell r="E2791">
            <v>67</v>
          </cell>
          <cell r="F2791">
            <v>0</v>
          </cell>
          <cell r="G2791" t="str">
            <v>8</v>
          </cell>
          <cell r="H2791">
            <v>772</v>
          </cell>
          <cell r="I2791" t="str">
            <v>ФІЛІЯ ХАРКІВСЬКЕ РУ ВАТ "КБ"ЕКСПОБАНК"</v>
          </cell>
          <cell r="J2791" t="str">
            <v>ф.Харків.РУВАТ КБ Експобанк</v>
          </cell>
          <cell r="K2791" t="str">
            <v>UUJJ</v>
          </cell>
          <cell r="L2791" t="str">
            <v>UUJJ</v>
          </cell>
          <cell r="M2791">
            <v>20</v>
          </cell>
          <cell r="N2791">
            <v>26</v>
          </cell>
          <cell r="O2791" t="str">
            <v>Управління НБУ в Харків.обл</v>
          </cell>
        </row>
        <row r="2792">
          <cell r="A2792">
            <v>351975</v>
          </cell>
          <cell r="B2792">
            <v>351254</v>
          </cell>
          <cell r="D2792">
            <v>0</v>
          </cell>
          <cell r="E2792">
            <v>128</v>
          </cell>
          <cell r="F2792">
            <v>0</v>
          </cell>
          <cell r="G2792" t="str">
            <v>8</v>
          </cell>
          <cell r="H2792">
            <v>786</v>
          </cell>
          <cell r="I2792" t="str">
            <v>Ф-Я N 1 АКРБ  "РЕГІОН-БАНК",ХАРКІВ</v>
          </cell>
          <cell r="J2792" t="str">
            <v>Ф.N1 АКРБ"РЕГІОН-БАНК",Харк</v>
          </cell>
          <cell r="K2792" t="str">
            <v>UUJK</v>
          </cell>
          <cell r="L2792" t="str">
            <v>UUJK</v>
          </cell>
          <cell r="M2792">
            <v>20</v>
          </cell>
          <cell r="N2792">
            <v>20</v>
          </cell>
          <cell r="O2792" t="str">
            <v>Управління НБУ в Харків.обл</v>
          </cell>
        </row>
        <row r="2793">
          <cell r="A2793">
            <v>352015</v>
          </cell>
          <cell r="B2793">
            <v>300023</v>
          </cell>
          <cell r="D2793">
            <v>0</v>
          </cell>
          <cell r="E2793">
            <v>5</v>
          </cell>
          <cell r="F2793">
            <v>0</v>
          </cell>
          <cell r="G2793" t="str">
            <v>5</v>
          </cell>
          <cell r="H2793">
            <v>526</v>
          </cell>
          <cell r="I2793" t="str">
            <v>ХЕРСОНСЬКА ОФ АКБ"УСБ" М. ХЕРСОН</v>
          </cell>
          <cell r="J2793" t="str">
            <v>Херсон.обл.філія АКБ "УСБ"</v>
          </cell>
          <cell r="K2793" t="str">
            <v>UVCA</v>
          </cell>
          <cell r="L2793" t="str">
            <v>UVCA</v>
          </cell>
          <cell r="M2793">
            <v>21</v>
          </cell>
          <cell r="N2793">
            <v>26</v>
          </cell>
          <cell r="O2793" t="str">
            <v>Управління НБУ в Херсон.обл</v>
          </cell>
        </row>
        <row r="2794">
          <cell r="A2794">
            <v>352093</v>
          </cell>
          <cell r="B2794">
            <v>300335</v>
          </cell>
          <cell r="D2794">
            <v>0</v>
          </cell>
          <cell r="E2794">
            <v>36</v>
          </cell>
          <cell r="F2794">
            <v>0</v>
          </cell>
          <cell r="G2794" t="str">
            <v>7</v>
          </cell>
          <cell r="H2794">
            <v>768</v>
          </cell>
          <cell r="I2794" t="str">
            <v>ОБЛ.Д."РАЙФФАЙЗЕН БАНК АВАЛЬ",М.ХЕРСОН</v>
          </cell>
          <cell r="J2794" t="str">
            <v>О.Д."Райффайзен Банк Аваль"</v>
          </cell>
          <cell r="K2794" t="str">
            <v>UVIH</v>
          </cell>
          <cell r="L2794" t="str">
            <v>UVIH</v>
          </cell>
          <cell r="M2794">
            <v>21</v>
          </cell>
          <cell r="N2794">
            <v>26</v>
          </cell>
          <cell r="O2794" t="str">
            <v>Управління НБУ в Херсон.обл</v>
          </cell>
        </row>
        <row r="2795">
          <cell r="A2795">
            <v>352264</v>
          </cell>
          <cell r="B2795">
            <v>300012</v>
          </cell>
          <cell r="D2795">
            <v>0</v>
          </cell>
          <cell r="E2795">
            <v>3</v>
          </cell>
          <cell r="F2795">
            <v>0</v>
          </cell>
          <cell r="G2795" t="str">
            <v>3</v>
          </cell>
          <cell r="H2795">
            <v>310</v>
          </cell>
          <cell r="I2795" t="str">
            <v>Ф."В.ПІБ В М.НОВА КАХОВКА ХЕРСОН.ОБЛ."</v>
          </cell>
          <cell r="J2795" t="str">
            <v>Ф."Від.ПІБ В М.Н.Кахов.Херс</v>
          </cell>
          <cell r="K2795" t="str">
            <v>UVAB</v>
          </cell>
          <cell r="L2795" t="str">
            <v>UVA0</v>
          </cell>
          <cell r="M2795">
            <v>21</v>
          </cell>
          <cell r="N2795">
            <v>26</v>
          </cell>
          <cell r="O2795" t="str">
            <v>Управління НБУ в Херсон.обл</v>
          </cell>
        </row>
        <row r="2796">
          <cell r="A2796">
            <v>352286</v>
          </cell>
          <cell r="B2796">
            <v>300012</v>
          </cell>
          <cell r="D2796">
            <v>0</v>
          </cell>
          <cell r="E2796">
            <v>3</v>
          </cell>
          <cell r="F2796">
            <v>0</v>
          </cell>
          <cell r="G2796" t="str">
            <v>3</v>
          </cell>
          <cell r="H2796">
            <v>309</v>
          </cell>
          <cell r="I2796" t="str">
            <v>Ф."ВIДДІЛ. ПРОМIНВЕСТБАНКУ, М.ХЕРСОН"</v>
          </cell>
          <cell r="J2796" t="str">
            <v>Ф."Вiдділення ПІБ,м.Херсон"</v>
          </cell>
          <cell r="K2796" t="str">
            <v>UVAA</v>
          </cell>
          <cell r="L2796" t="str">
            <v>UVA0</v>
          </cell>
          <cell r="M2796">
            <v>21</v>
          </cell>
          <cell r="N2796">
            <v>26</v>
          </cell>
          <cell r="O2796" t="str">
            <v>Управління НБУ в Херсон.обл</v>
          </cell>
        </row>
        <row r="2797">
          <cell r="A2797">
            <v>352297</v>
          </cell>
          <cell r="B2797">
            <v>300001</v>
          </cell>
          <cell r="D2797">
            <v>0</v>
          </cell>
          <cell r="E2797">
            <v>1</v>
          </cell>
          <cell r="F2797">
            <v>0</v>
          </cell>
          <cell r="G2797" t="str">
            <v>1</v>
          </cell>
          <cell r="H2797">
            <v>111</v>
          </cell>
          <cell r="I2797" t="str">
            <v>УПРАВЛІННЯ НБУ В ХЕРСОНСЬКІЙ ОБЛАСТІ</v>
          </cell>
          <cell r="J2797" t="str">
            <v>Упр. НБУ в Херсонській обл.</v>
          </cell>
          <cell r="K2797" t="str">
            <v>UVHA</v>
          </cell>
          <cell r="L2797" t="str">
            <v>UVH0</v>
          </cell>
          <cell r="M2797">
            <v>21</v>
          </cell>
          <cell r="N2797">
            <v>27</v>
          </cell>
          <cell r="O2797" t="str">
            <v>Управління НБУ в Херсон.обл</v>
          </cell>
        </row>
        <row r="2798">
          <cell r="A2798">
            <v>352327</v>
          </cell>
          <cell r="B2798">
            <v>303484</v>
          </cell>
          <cell r="D2798">
            <v>0</v>
          </cell>
          <cell r="E2798">
            <v>273</v>
          </cell>
          <cell r="F2798">
            <v>0</v>
          </cell>
          <cell r="G2798" t="str">
            <v>8</v>
          </cell>
          <cell r="H2798">
            <v>762</v>
          </cell>
          <cell r="I2798" t="str">
            <v>Херсонська філіяКБ"Західінкомбанк"ТзОВ</v>
          </cell>
          <cell r="J2798" t="str">
            <v>ХФ КБ "Західінкомбанк" ТзОВ</v>
          </cell>
          <cell r="K2798" t="str">
            <v>UVIF</v>
          </cell>
          <cell r="L2798" t="str">
            <v>UVIF</v>
          </cell>
          <cell r="M2798">
            <v>21</v>
          </cell>
          <cell r="N2798">
            <v>2</v>
          </cell>
          <cell r="O2798" t="str">
            <v>Управління НБУ в Херсон.обл</v>
          </cell>
        </row>
        <row r="2799">
          <cell r="A2799">
            <v>352372</v>
          </cell>
          <cell r="B2799">
            <v>300249</v>
          </cell>
          <cell r="D2799">
            <v>0</v>
          </cell>
          <cell r="E2799">
            <v>37</v>
          </cell>
          <cell r="F2799">
            <v>0</v>
          </cell>
          <cell r="G2799" t="str">
            <v>8</v>
          </cell>
          <cell r="H2799">
            <v>767</v>
          </cell>
          <cell r="I2799" t="str">
            <v>ХЕРСОНСЬКА ФАБ"БРОКБІЗНЕСБАНК"М.ХЕРСОН</v>
          </cell>
          <cell r="J2799" t="str">
            <v>ХерсФіл АБ "БРОКБІЗНЕСБАНК"</v>
          </cell>
          <cell r="K2799" t="str">
            <v>UVIG</v>
          </cell>
          <cell r="L2799" t="str">
            <v>UVIG</v>
          </cell>
          <cell r="M2799">
            <v>21</v>
          </cell>
          <cell r="N2799">
            <v>26</v>
          </cell>
          <cell r="O2799" t="str">
            <v>Управління НБУ в Херсон.обл</v>
          </cell>
        </row>
        <row r="2800">
          <cell r="A2800">
            <v>352413</v>
          </cell>
          <cell r="B2800">
            <v>325912</v>
          </cell>
          <cell r="D2800">
            <v>0</v>
          </cell>
          <cell r="E2800">
            <v>88</v>
          </cell>
          <cell r="F2800">
            <v>0</v>
          </cell>
          <cell r="G2800" t="str">
            <v>B</v>
          </cell>
          <cell r="H2800">
            <v>784</v>
          </cell>
          <cell r="I2800" t="str">
            <v>Херсонська фiлiя ВАТ "КРЕДОБАНК"</v>
          </cell>
          <cell r="J2800" t="str">
            <v>Херсонська ф.ВАТ"КРЕДОБАНК"</v>
          </cell>
          <cell r="K2800" t="str">
            <v>UVIW</v>
          </cell>
          <cell r="L2800" t="str">
            <v>UVIW</v>
          </cell>
          <cell r="M2800">
            <v>21</v>
          </cell>
          <cell r="N2800">
            <v>13</v>
          </cell>
          <cell r="O2800" t="str">
            <v>Управління НБУ в Херсон.обл</v>
          </cell>
        </row>
        <row r="2801">
          <cell r="A2801">
            <v>352457</v>
          </cell>
          <cell r="B2801">
            <v>300465</v>
          </cell>
          <cell r="D2801">
            <v>0</v>
          </cell>
          <cell r="E2801">
            <v>6</v>
          </cell>
          <cell r="F2801">
            <v>0</v>
          </cell>
          <cell r="G2801" t="str">
            <v>6</v>
          </cell>
          <cell r="H2801">
            <v>603</v>
          </cell>
          <cell r="I2801" t="str">
            <v>ФХЕРСОНСЬКЕ ОБЛАСНЕ У ВАТОЩАД М.ХЕРСОН</v>
          </cell>
          <cell r="J2801" t="str">
            <v>ФХерсонське ОУ ВАТОщад</v>
          </cell>
          <cell r="K2801" t="str">
            <v>UVLA</v>
          </cell>
          <cell r="L2801" t="str">
            <v>UVLA</v>
          </cell>
          <cell r="M2801">
            <v>21</v>
          </cell>
          <cell r="N2801">
            <v>26</v>
          </cell>
          <cell r="O2801" t="str">
            <v>Управління НБУ в Херсон.обл</v>
          </cell>
        </row>
        <row r="2802">
          <cell r="A2802">
            <v>352479</v>
          </cell>
          <cell r="B2802">
            <v>305299</v>
          </cell>
          <cell r="D2802">
            <v>0</v>
          </cell>
          <cell r="E2802">
            <v>46</v>
          </cell>
          <cell r="F2802">
            <v>0</v>
          </cell>
          <cell r="G2802" t="str">
            <v>A</v>
          </cell>
          <cell r="H2802">
            <v>777</v>
          </cell>
          <cell r="I2802" t="str">
            <v>ХЕРСОНСЬКА Ф-Я ПРИВАТБАНКУ,М. ХЕРСОН</v>
          </cell>
          <cell r="J2802" t="str">
            <v>Херсонська ф-я ПриватБанку</v>
          </cell>
          <cell r="K2802" t="str">
            <v>UVIN</v>
          </cell>
          <cell r="L2802" t="str">
            <v>UVIN</v>
          </cell>
          <cell r="M2802">
            <v>21</v>
          </cell>
          <cell r="N2802">
            <v>3</v>
          </cell>
          <cell r="O2802" t="str">
            <v>Управління НБУ в Херсон.обл</v>
          </cell>
        </row>
        <row r="2803">
          <cell r="A2803">
            <v>352510</v>
          </cell>
          <cell r="B2803">
            <v>313849</v>
          </cell>
          <cell r="D2803">
            <v>0</v>
          </cell>
          <cell r="E2803">
            <v>101</v>
          </cell>
          <cell r="F2803">
            <v>0</v>
          </cell>
          <cell r="G2803" t="str">
            <v>8</v>
          </cell>
          <cell r="H2803">
            <v>794</v>
          </cell>
          <cell r="I2803" t="str">
            <v>Херсонська філія АКБ"ІНДУСТРІАЛБАНК"</v>
          </cell>
          <cell r="J2803" t="str">
            <v>ХФ АКБ"ІНДУСТРІАЛБАНК"</v>
          </cell>
          <cell r="K2803" t="str">
            <v>UVJI</v>
          </cell>
          <cell r="L2803" t="str">
            <v>UVJI</v>
          </cell>
          <cell r="M2803">
            <v>21</v>
          </cell>
          <cell r="N2803">
            <v>7</v>
          </cell>
          <cell r="O2803" t="str">
            <v>Управління НБУ в Херсон.обл</v>
          </cell>
        </row>
        <row r="2804">
          <cell r="A2804">
            <v>352628</v>
          </cell>
          <cell r="B2804">
            <v>320702</v>
          </cell>
          <cell r="D2804">
            <v>0</v>
          </cell>
          <cell r="E2804">
            <v>277</v>
          </cell>
          <cell r="F2804">
            <v>0</v>
          </cell>
          <cell r="G2804" t="str">
            <v>8</v>
          </cell>
          <cell r="H2804">
            <v>705</v>
          </cell>
          <cell r="I2804" t="str">
            <v>ОСТР. ФАКБ "НАЦ.КРЕДИТ" В М.ХЕРСОН</v>
          </cell>
          <cell r="J2804" t="str">
            <v>Остр.ФАКБ "НК" в м.Хер.</v>
          </cell>
          <cell r="K2804" t="str">
            <v>UVJL</v>
          </cell>
          <cell r="L2804" t="str">
            <v>UVJL</v>
          </cell>
          <cell r="M2804">
            <v>21</v>
          </cell>
          <cell r="N2804">
            <v>26</v>
          </cell>
          <cell r="O2804" t="str">
            <v>Управління НБУ в Херсон.обл</v>
          </cell>
        </row>
        <row r="2805">
          <cell r="A2805">
            <v>352639</v>
          </cell>
          <cell r="B2805">
            <v>322313</v>
          </cell>
          <cell r="D2805">
            <v>0</v>
          </cell>
          <cell r="E2805">
            <v>2</v>
          </cell>
          <cell r="F2805">
            <v>0</v>
          </cell>
          <cell r="G2805" t="str">
            <v>2</v>
          </cell>
          <cell r="H2805">
            <v>201</v>
          </cell>
          <cell r="I2805" t="str">
            <v>Ф-Я ВАТ "УКРЕКСІМБАНК", ХЕРСОН</v>
          </cell>
          <cell r="J2805" t="str">
            <v>Ф-я Укрексімбанк, Херсон</v>
          </cell>
          <cell r="K2805" t="str">
            <v>UVGA</v>
          </cell>
          <cell r="L2805" t="str">
            <v>UVGA</v>
          </cell>
          <cell r="M2805">
            <v>21</v>
          </cell>
          <cell r="N2805">
            <v>26</v>
          </cell>
          <cell r="O2805" t="str">
            <v>Управління НБУ в Херсон.обл</v>
          </cell>
        </row>
        <row r="2806">
          <cell r="A2806">
            <v>352640</v>
          </cell>
          <cell r="B2806">
            <v>328209</v>
          </cell>
          <cell r="D2806">
            <v>0</v>
          </cell>
          <cell r="E2806">
            <v>106</v>
          </cell>
          <cell r="F2806">
            <v>0</v>
          </cell>
          <cell r="G2806" t="str">
            <v>8</v>
          </cell>
          <cell r="H2806">
            <v>707</v>
          </cell>
          <cell r="I2806" t="str">
            <v>Ф-Я АБ "ПІВДЕННИЙ" У М.ХЕРСОНІ</v>
          </cell>
          <cell r="J2806" t="str">
            <v>ФАБ "ПІВДЕННИЙ", м.Херсон</v>
          </cell>
          <cell r="K2806" t="str">
            <v>UVJN</v>
          </cell>
          <cell r="L2806" t="str">
            <v>UVJN</v>
          </cell>
          <cell r="M2806">
            <v>21</v>
          </cell>
          <cell r="N2806">
            <v>15</v>
          </cell>
          <cell r="O2806" t="str">
            <v>Управління НБУ в Херсон.обл</v>
          </cell>
        </row>
        <row r="2807">
          <cell r="A2807">
            <v>352651</v>
          </cell>
          <cell r="B2807">
            <v>300863</v>
          </cell>
          <cell r="D2807">
            <v>0</v>
          </cell>
          <cell r="E2807">
            <v>289</v>
          </cell>
          <cell r="F2807">
            <v>0</v>
          </cell>
          <cell r="G2807" t="str">
            <v>9</v>
          </cell>
          <cell r="H2807">
            <v>795</v>
          </cell>
          <cell r="I2807" t="str">
            <v>ХЕРСОНСЬКА ФВАТ"КРЕДИТПРОМБАНК",ХЕРСОН</v>
          </cell>
          <cell r="J2807" t="str">
            <v>Херсон.ф-я "КРЕДИТПРОМБАНК"</v>
          </cell>
          <cell r="K2807" t="str">
            <v>UVJJ</v>
          </cell>
          <cell r="L2807" t="str">
            <v>UVJJ</v>
          </cell>
          <cell r="M2807">
            <v>21</v>
          </cell>
          <cell r="N2807">
            <v>26</v>
          </cell>
          <cell r="O2807" t="str">
            <v>Управління НБУ в Херсон.обл</v>
          </cell>
        </row>
        <row r="2808">
          <cell r="A2808">
            <v>352673</v>
          </cell>
          <cell r="B2808">
            <v>300926</v>
          </cell>
          <cell r="D2808">
            <v>0</v>
          </cell>
          <cell r="E2808">
            <v>899</v>
          </cell>
          <cell r="F2808">
            <v>0</v>
          </cell>
          <cell r="G2808" t="str">
            <v>8</v>
          </cell>
          <cell r="H2808">
            <v>898</v>
          </cell>
          <cell r="I2808" t="str">
            <v>ФАТ "УФГ" У М.ХЕРСОНІ</v>
          </cell>
          <cell r="J2808" t="str">
            <v>ФАТ "УФГ", м.Херсон</v>
          </cell>
          <cell r="K2808" t="str">
            <v>UVW1</v>
          </cell>
          <cell r="L2808" t="str">
            <v>U1WF</v>
          </cell>
          <cell r="M2808">
            <v>21</v>
          </cell>
          <cell r="N2808">
            <v>26</v>
          </cell>
          <cell r="O2808" t="str">
            <v>Управління НБУ в Херсон.обл</v>
          </cell>
        </row>
        <row r="2809">
          <cell r="A2809">
            <v>352703</v>
          </cell>
          <cell r="B2809">
            <v>300614</v>
          </cell>
          <cell r="D2809">
            <v>0</v>
          </cell>
          <cell r="E2809">
            <v>171</v>
          </cell>
          <cell r="F2809">
            <v>0</v>
          </cell>
          <cell r="G2809" t="str">
            <v>8</v>
          </cell>
          <cell r="H2809">
            <v>713</v>
          </cell>
          <cell r="I2809" t="str">
            <v>Ф."ХЕРС.Д"АТ"ІНДЕКС-БАНК"В М.ХЕРСОН</v>
          </cell>
          <cell r="J2809" t="str">
            <v>Ф."Хер.дир"АТ"ІНДЕКС-БАНК"</v>
          </cell>
          <cell r="K2809" t="str">
            <v>UVJR</v>
          </cell>
          <cell r="L2809" t="str">
            <v>UVJR</v>
          </cell>
          <cell r="M2809">
            <v>21</v>
          </cell>
          <cell r="N2809">
            <v>26</v>
          </cell>
          <cell r="O2809" t="str">
            <v>Управління НБУ в Херсон.обл</v>
          </cell>
        </row>
        <row r="2810">
          <cell r="A2810">
            <v>352725</v>
          </cell>
          <cell r="B2810">
            <v>353489</v>
          </cell>
          <cell r="D2810">
            <v>0</v>
          </cell>
          <cell r="E2810">
            <v>133</v>
          </cell>
          <cell r="F2810">
            <v>0</v>
          </cell>
          <cell r="G2810" t="str">
            <v>8</v>
          </cell>
          <cell r="H2810">
            <v>731</v>
          </cell>
          <cell r="I2810" t="str">
            <v>ХЕРСОНСЬКА ФІЛІЯ АБ "ПРИВАТІНВЕСТ"</v>
          </cell>
          <cell r="J2810" t="str">
            <v>Херсонська філ.Приватінвест</v>
          </cell>
          <cell r="K2810" t="str">
            <v>UVJU</v>
          </cell>
          <cell r="L2810" t="str">
            <v>UVJU</v>
          </cell>
          <cell r="M2810">
            <v>21</v>
          </cell>
          <cell r="N2810">
            <v>24</v>
          </cell>
          <cell r="O2810" t="str">
            <v>Управління НБУ в Херсон.обл</v>
          </cell>
        </row>
        <row r="2811">
          <cell r="A2811">
            <v>352736</v>
          </cell>
          <cell r="B2811">
            <v>322625</v>
          </cell>
          <cell r="D2811">
            <v>0</v>
          </cell>
          <cell r="E2811">
            <v>222</v>
          </cell>
          <cell r="F2811">
            <v>0</v>
          </cell>
          <cell r="G2811" t="str">
            <v>8</v>
          </cell>
          <cell r="H2811">
            <v>790</v>
          </cell>
          <cell r="I2811" t="str">
            <v>ХФ АБ "УКООПСПІЛКА"</v>
          </cell>
          <cell r="J2811" t="str">
            <v>ХФ АБ "Укоопспілка"</v>
          </cell>
          <cell r="K2811" t="str">
            <v>UVJC</v>
          </cell>
          <cell r="L2811" t="str">
            <v>UVJC</v>
          </cell>
          <cell r="M2811">
            <v>21</v>
          </cell>
          <cell r="N2811">
            <v>26</v>
          </cell>
          <cell r="O2811" t="str">
            <v>Управління НБУ в Херсон.обл</v>
          </cell>
        </row>
        <row r="2812">
          <cell r="A2812">
            <v>352770</v>
          </cell>
          <cell r="B2812">
            <v>320003</v>
          </cell>
          <cell r="D2812">
            <v>0</v>
          </cell>
          <cell r="E2812">
            <v>225</v>
          </cell>
          <cell r="F2812">
            <v>0</v>
          </cell>
          <cell r="G2812" t="str">
            <v>B</v>
          </cell>
          <cell r="H2812">
            <v>710</v>
          </cell>
          <cell r="I2812" t="str">
            <v>Ф ВАТ КБ"НАДРА" ХЕРСОН. РУ М. ХЕРСОН</v>
          </cell>
          <cell r="J2812" t="str">
            <v>ВАТКБ"Надра"Херсонське РУ</v>
          </cell>
          <cell r="K2812" t="str">
            <v>UVIB</v>
          </cell>
          <cell r="L2812" t="str">
            <v>UVIB</v>
          </cell>
          <cell r="M2812">
            <v>21</v>
          </cell>
          <cell r="N2812">
            <v>26</v>
          </cell>
          <cell r="O2812" t="str">
            <v>Управління НБУ в Херсон.обл</v>
          </cell>
        </row>
        <row r="2813">
          <cell r="A2813">
            <v>352800</v>
          </cell>
          <cell r="B2813">
            <v>321228</v>
          </cell>
          <cell r="D2813">
            <v>0</v>
          </cell>
          <cell r="E2813">
            <v>68</v>
          </cell>
          <cell r="F2813">
            <v>0</v>
          </cell>
          <cell r="G2813" t="str">
            <v>8</v>
          </cell>
          <cell r="H2813">
            <v>723</v>
          </cell>
          <cell r="I2813" t="str">
            <v>ХЕРСОНСЬКА ФТОВ"УКРПРОМБАНК",М.ХЕРСОН</v>
          </cell>
          <cell r="J2813" t="str">
            <v>Херс.філіяТОВ "Укрпромбанк"</v>
          </cell>
          <cell r="K2813" t="str">
            <v>UVKA</v>
          </cell>
          <cell r="L2813" t="str">
            <v>UVKA</v>
          </cell>
          <cell r="M2813">
            <v>21</v>
          </cell>
          <cell r="N2813">
            <v>26</v>
          </cell>
          <cell r="O2813" t="str">
            <v>Управління НБУ в Херсон.обл</v>
          </cell>
        </row>
        <row r="2814">
          <cell r="A2814">
            <v>352822</v>
          </cell>
          <cell r="B2814">
            <v>300089</v>
          </cell>
          <cell r="D2814">
            <v>0</v>
          </cell>
          <cell r="E2814">
            <v>26</v>
          </cell>
          <cell r="F2814">
            <v>0</v>
          </cell>
          <cell r="G2814" t="str">
            <v>8</v>
          </cell>
          <cell r="H2814">
            <v>796</v>
          </cell>
          <cell r="I2814" t="str">
            <v>Ф."ХЕРСОНТРАНСБАНК"АКБ"ТРАНСБАНК"</v>
          </cell>
          <cell r="J2814" t="str">
            <v>Ф."Херсон-Трансб"АКБ"Трансб</v>
          </cell>
          <cell r="K2814" t="str">
            <v>UVJK</v>
          </cell>
          <cell r="L2814" t="str">
            <v>UVJK</v>
          </cell>
          <cell r="M2814">
            <v>21</v>
          </cell>
          <cell r="N2814">
            <v>26</v>
          </cell>
          <cell r="O2814" t="str">
            <v>Управління НБУ в Херсон.обл</v>
          </cell>
        </row>
        <row r="2815">
          <cell r="A2815">
            <v>353100</v>
          </cell>
          <cell r="B2815">
            <v>353100</v>
          </cell>
          <cell r="C2815" t="str">
            <v>"ПОЛІКОМБАНК"</v>
          </cell>
          <cell r="D2815">
            <v>49</v>
          </cell>
          <cell r="E2815">
            <v>49</v>
          </cell>
          <cell r="F2815">
            <v>0</v>
          </cell>
          <cell r="G2815" t="str">
            <v>8</v>
          </cell>
          <cell r="H2815">
            <v>710</v>
          </cell>
          <cell r="I2815" t="str">
            <v>ЗАТ "ПОЛІКОМБАНК" М.ЧЕРНІГІВ</v>
          </cell>
          <cell r="J2815" t="str">
            <v>"ПОЛІКОМБАНК"</v>
          </cell>
          <cell r="K2815" t="str">
            <v>UYID</v>
          </cell>
          <cell r="L2815" t="str">
            <v>UYID</v>
          </cell>
          <cell r="M2815">
            <v>24</v>
          </cell>
          <cell r="N2815">
            <v>24</v>
          </cell>
          <cell r="O2815" t="str">
            <v>Упр.НБУ в Чернігівській.обл</v>
          </cell>
        </row>
        <row r="2816">
          <cell r="A2816">
            <v>353326</v>
          </cell>
          <cell r="B2816">
            <v>322711</v>
          </cell>
          <cell r="D2816">
            <v>0</v>
          </cell>
          <cell r="E2816">
            <v>238</v>
          </cell>
          <cell r="F2816">
            <v>0</v>
          </cell>
          <cell r="G2816" t="str">
            <v>8</v>
          </cell>
          <cell r="H2816">
            <v>703</v>
          </cell>
          <cell r="I2816" t="str">
            <v>ЧЕРНІГІВСЬКА Ф АБ "СИНТЕЗ" М.ЧЕРНІГІВ</v>
          </cell>
          <cell r="J2816" t="str">
            <v>Чернігівська ФАБ "СИНТЕЗ"</v>
          </cell>
          <cell r="K2816" t="str">
            <v>UYIW</v>
          </cell>
          <cell r="L2816" t="str">
            <v>UYIW</v>
          </cell>
          <cell r="M2816">
            <v>24</v>
          </cell>
          <cell r="N2816">
            <v>26</v>
          </cell>
          <cell r="O2816" t="str">
            <v>Упр.НБУ в Чернігівській.обл</v>
          </cell>
        </row>
        <row r="2817">
          <cell r="A2817">
            <v>353348</v>
          </cell>
          <cell r="B2817">
            <v>300335</v>
          </cell>
          <cell r="D2817">
            <v>0</v>
          </cell>
          <cell r="E2817">
            <v>36</v>
          </cell>
          <cell r="F2817">
            <v>0</v>
          </cell>
          <cell r="G2817" t="str">
            <v>7</v>
          </cell>
          <cell r="H2817">
            <v>734</v>
          </cell>
          <cell r="I2817" t="str">
            <v>ЧЕРНІГІВ.ОДВАТ "РАЙФФАЙЗЕН Б.АВАЛЬ"М.Ч</v>
          </cell>
          <cell r="J2817" t="str">
            <v>ЧД "РАЙФФАЙЗЕН БАНК АВАЛЬ"</v>
          </cell>
          <cell r="K2817" t="str">
            <v>UYIQ</v>
          </cell>
          <cell r="L2817" t="str">
            <v>UYIQ</v>
          </cell>
          <cell r="M2817">
            <v>24</v>
          </cell>
          <cell r="N2817">
            <v>26</v>
          </cell>
          <cell r="O2817" t="str">
            <v>Упр.НБУ в Чернігівській.обл</v>
          </cell>
        </row>
        <row r="2818">
          <cell r="A2818">
            <v>353423</v>
          </cell>
          <cell r="B2818">
            <v>300012</v>
          </cell>
          <cell r="D2818">
            <v>0</v>
          </cell>
          <cell r="E2818">
            <v>3</v>
          </cell>
          <cell r="F2818">
            <v>0</v>
          </cell>
          <cell r="G2818" t="str">
            <v>3</v>
          </cell>
          <cell r="H2818">
            <v>322</v>
          </cell>
          <cell r="I2818" t="str">
            <v>Ф-Я"ВІД.ПІБ В М.ПРИЛУКИ ЧЕРНІГІВ.ОБЛ."</v>
          </cell>
          <cell r="J2818" t="str">
            <v>Ф.ВІД.ПІБ М.ПРИЛУКИ ЧЕРНІГ.</v>
          </cell>
          <cell r="K2818" t="str">
            <v>UYAC</v>
          </cell>
          <cell r="L2818" t="str">
            <v>UYA0</v>
          </cell>
          <cell r="M2818">
            <v>24</v>
          </cell>
          <cell r="N2818">
            <v>26</v>
          </cell>
          <cell r="O2818" t="str">
            <v>Упр.НБУ в Чернігівській.обл</v>
          </cell>
        </row>
        <row r="2819">
          <cell r="A2819">
            <v>353434</v>
          </cell>
          <cell r="B2819">
            <v>300012</v>
          </cell>
          <cell r="D2819">
            <v>0</v>
          </cell>
          <cell r="E2819">
            <v>3</v>
          </cell>
          <cell r="F2819">
            <v>0</v>
          </cell>
          <cell r="G2819" t="str">
            <v>3</v>
          </cell>
          <cell r="H2819">
            <v>307</v>
          </cell>
          <cell r="I2819" t="str">
            <v>Ф."В.ПІБ В М.НІЖИН ЧЕРНІГІВСЬКОЇ ОБЛ."</v>
          </cell>
          <cell r="J2819" t="str">
            <v>Ф.ВІД.ПІБ В М.НІЖИН ЧЕРНІГ.</v>
          </cell>
          <cell r="K2819" t="str">
            <v>UYAB</v>
          </cell>
          <cell r="L2819" t="str">
            <v>UYA0</v>
          </cell>
          <cell r="M2819">
            <v>24</v>
          </cell>
          <cell r="N2819">
            <v>26</v>
          </cell>
          <cell r="O2819" t="str">
            <v>Упр.НБУ в Чернігівській.обл</v>
          </cell>
        </row>
        <row r="2820">
          <cell r="A2820">
            <v>353456</v>
          </cell>
          <cell r="B2820">
            <v>300012</v>
          </cell>
          <cell r="D2820">
            <v>0</v>
          </cell>
          <cell r="E2820">
            <v>3</v>
          </cell>
          <cell r="F2820">
            <v>0</v>
          </cell>
          <cell r="G2820" t="str">
            <v>3</v>
          </cell>
          <cell r="H2820">
            <v>309</v>
          </cell>
          <cell r="I2820" t="str">
            <v>Ф."ВІДДІЛ. ПРОМІНВЕСТБАНКУ,М.ЧЕРНІГІВ"</v>
          </cell>
          <cell r="J2820" t="str">
            <v>Ф."ВІДДІЛ. ПІБ, М.ЧЕРНІГІВ"</v>
          </cell>
          <cell r="K2820" t="str">
            <v>UYAA</v>
          </cell>
          <cell r="L2820" t="str">
            <v>UYA0</v>
          </cell>
          <cell r="M2820">
            <v>24</v>
          </cell>
          <cell r="N2820">
            <v>26</v>
          </cell>
          <cell r="O2820" t="str">
            <v>Упр.НБУ в Чернігівській.обл</v>
          </cell>
        </row>
        <row r="2821">
          <cell r="A2821">
            <v>353467</v>
          </cell>
          <cell r="B2821">
            <v>300001</v>
          </cell>
          <cell r="D2821">
            <v>0</v>
          </cell>
          <cell r="E2821">
            <v>1</v>
          </cell>
          <cell r="F2821">
            <v>0</v>
          </cell>
          <cell r="G2821" t="str">
            <v>1</v>
          </cell>
          <cell r="H2821">
            <v>108</v>
          </cell>
          <cell r="I2821" t="str">
            <v>УПРАВЛІННЯ НБУ В ЧЕРНІГІВСЬКІЙ ОБЛАСТІ</v>
          </cell>
          <cell r="J2821" t="str">
            <v>Упр.НБУ в Чернігівській обл</v>
          </cell>
          <cell r="K2821" t="str">
            <v>UYHA</v>
          </cell>
          <cell r="L2821" t="str">
            <v>UYH0</v>
          </cell>
          <cell r="M2821">
            <v>24</v>
          </cell>
          <cell r="N2821">
            <v>27</v>
          </cell>
          <cell r="O2821" t="str">
            <v>Упр.НБУ в Чернігівській.обл</v>
          </cell>
        </row>
        <row r="2822">
          <cell r="A2822">
            <v>353489</v>
          </cell>
          <cell r="B2822">
            <v>353489</v>
          </cell>
          <cell r="C2822" t="str">
            <v>"ПРИВАТІНВЕСТ"</v>
          </cell>
          <cell r="D2822">
            <v>133</v>
          </cell>
          <cell r="E2822">
            <v>133</v>
          </cell>
          <cell r="F2822">
            <v>0</v>
          </cell>
          <cell r="G2822" t="str">
            <v>B</v>
          </cell>
          <cell r="H2822">
            <v>706</v>
          </cell>
          <cell r="I2822" t="str">
            <v>ВАТ АБ "ПРИВАТІНВЕСТ" М.ЧЕРНІГІВ</v>
          </cell>
          <cell r="J2822" t="str">
            <v>"ПРИВАТІНВЕСТ"</v>
          </cell>
          <cell r="K2822" t="str">
            <v>UYIB</v>
          </cell>
          <cell r="L2822" t="str">
            <v>UYIB</v>
          </cell>
          <cell r="M2822">
            <v>24</v>
          </cell>
          <cell r="N2822">
            <v>24</v>
          </cell>
          <cell r="O2822" t="str">
            <v>Упр.НБУ в Чернігівській.обл</v>
          </cell>
        </row>
        <row r="2823">
          <cell r="A2823">
            <v>353508</v>
          </cell>
          <cell r="B2823">
            <v>322603</v>
          </cell>
          <cell r="D2823">
            <v>0</v>
          </cell>
          <cell r="E2823">
            <v>216</v>
          </cell>
          <cell r="F2823">
            <v>0</v>
          </cell>
          <cell r="G2823" t="str">
            <v>8</v>
          </cell>
          <cell r="H2823">
            <v>705</v>
          </cell>
          <cell r="I2823" t="str">
            <v>ЧФ ВАТ БАНКУ "БIГ ЕНЕРГІЯ" М.ЧЕРНІГІВ</v>
          </cell>
          <cell r="J2823" t="str">
            <v>ЧФ ВАТ Банку "БІГ Енергія"</v>
          </cell>
          <cell r="K2823" t="str">
            <v>UYJA</v>
          </cell>
          <cell r="L2823" t="str">
            <v>UYJA</v>
          </cell>
          <cell r="M2823">
            <v>24</v>
          </cell>
          <cell r="N2823">
            <v>26</v>
          </cell>
          <cell r="O2823" t="str">
            <v>Упр.НБУ в Чернігівській.обл</v>
          </cell>
        </row>
        <row r="2824">
          <cell r="A2824">
            <v>353553</v>
          </cell>
          <cell r="B2824">
            <v>300465</v>
          </cell>
          <cell r="D2824">
            <v>0</v>
          </cell>
          <cell r="E2824">
            <v>6</v>
          </cell>
          <cell r="F2824">
            <v>0</v>
          </cell>
          <cell r="G2824" t="str">
            <v>6</v>
          </cell>
          <cell r="H2824">
            <v>625</v>
          </cell>
          <cell r="I2824" t="str">
            <v>ФЧЕРНІГІВСЬКЕ ОБЛАС ВАТОЩАД М.ЧЕРНІГІВ</v>
          </cell>
          <cell r="J2824" t="str">
            <v>ФЧернігівське обласнВАТОщад</v>
          </cell>
          <cell r="K2824" t="str">
            <v>UYLA</v>
          </cell>
          <cell r="L2824" t="str">
            <v>UYLA</v>
          </cell>
          <cell r="M2824">
            <v>24</v>
          </cell>
          <cell r="N2824">
            <v>26</v>
          </cell>
          <cell r="O2824" t="str">
            <v>Упр.НБУ в Чернігівській.обл</v>
          </cell>
        </row>
        <row r="2825">
          <cell r="A2825">
            <v>353564</v>
          </cell>
          <cell r="B2825">
            <v>300142</v>
          </cell>
          <cell r="D2825">
            <v>0</v>
          </cell>
          <cell r="E2825">
            <v>18</v>
          </cell>
          <cell r="F2825">
            <v>0</v>
          </cell>
          <cell r="G2825" t="str">
            <v>8</v>
          </cell>
          <cell r="H2825">
            <v>743</v>
          </cell>
          <cell r="I2825" t="str">
            <v>ЧЕРНІГІВ. ФАТ"УКРІНБАНК" М.ЧЕРНІГІВ</v>
          </cell>
          <cell r="J2825" t="str">
            <v>Чернігівська ФАТ"Укрінбанк"</v>
          </cell>
          <cell r="K2825" t="str">
            <v>UYIE</v>
          </cell>
          <cell r="L2825" t="str">
            <v>UYIE</v>
          </cell>
          <cell r="M2825">
            <v>24</v>
          </cell>
          <cell r="N2825">
            <v>26</v>
          </cell>
          <cell r="O2825" t="str">
            <v>Упр.НБУ в Чернігівській.обл</v>
          </cell>
        </row>
        <row r="2826">
          <cell r="A2826">
            <v>353575</v>
          </cell>
          <cell r="B2826">
            <v>353575</v>
          </cell>
          <cell r="C2826" t="str">
            <v>ВАТ БАНК "ДЕМАРК"</v>
          </cell>
          <cell r="D2826">
            <v>137</v>
          </cell>
          <cell r="E2826">
            <v>137</v>
          </cell>
          <cell r="F2826">
            <v>0</v>
          </cell>
          <cell r="G2826" t="str">
            <v>8</v>
          </cell>
          <cell r="H2826">
            <v>744</v>
          </cell>
          <cell r="I2826" t="str">
            <v>ВАТ "БАНК"ДЕМАРК"  М.ЧЕРНІГІВ</v>
          </cell>
          <cell r="J2826" t="str">
            <v>ВАТ БАНК "ДЕМАРК"</v>
          </cell>
          <cell r="K2826" t="str">
            <v>UYIF</v>
          </cell>
          <cell r="L2826" t="str">
            <v>UYIF</v>
          </cell>
          <cell r="M2826">
            <v>24</v>
          </cell>
          <cell r="N2826">
            <v>24</v>
          </cell>
          <cell r="O2826" t="str">
            <v>Упр.НБУ в Чернігівській.обл</v>
          </cell>
        </row>
        <row r="2827">
          <cell r="A2827">
            <v>353586</v>
          </cell>
          <cell r="B2827">
            <v>305299</v>
          </cell>
          <cell r="D2827">
            <v>0</v>
          </cell>
          <cell r="E2827">
            <v>46</v>
          </cell>
          <cell r="F2827">
            <v>0</v>
          </cell>
          <cell r="G2827" t="str">
            <v>A</v>
          </cell>
          <cell r="H2827">
            <v>716</v>
          </cell>
          <cell r="I2827" t="str">
            <v>ЧЕРНІГІВСЬК.РУ ПРИВАТБАНКУ, М.ЧЕРНІГІВ</v>
          </cell>
          <cell r="J2827" t="str">
            <v>Чернігівське РУ ПриватБанку</v>
          </cell>
          <cell r="K2827" t="str">
            <v>UYJB</v>
          </cell>
          <cell r="L2827" t="str">
            <v>UYJB</v>
          </cell>
          <cell r="M2827">
            <v>24</v>
          </cell>
          <cell r="N2827">
            <v>3</v>
          </cell>
          <cell r="O2827" t="str">
            <v>Упр.НБУ в Чернігівській.обл</v>
          </cell>
        </row>
        <row r="2828">
          <cell r="A2828">
            <v>353627</v>
          </cell>
          <cell r="B2828">
            <v>320003</v>
          </cell>
          <cell r="D2828">
            <v>0</v>
          </cell>
          <cell r="E2828">
            <v>225</v>
          </cell>
          <cell r="F2828">
            <v>0</v>
          </cell>
          <cell r="G2828" t="str">
            <v>B</v>
          </cell>
          <cell r="H2828">
            <v>704</v>
          </cell>
          <cell r="I2828" t="str">
            <v>ФВАТ КБ"НАДРА"ЧЕРНІГІВСЬКЕ РУ,ЧЕРНІГІВ</v>
          </cell>
          <cell r="J2828" t="str">
            <v>Ф ВАТ КБ"НАДРА"Ч.РУ</v>
          </cell>
          <cell r="K2828" t="str">
            <v>UYJD</v>
          </cell>
          <cell r="L2828" t="str">
            <v>UYJD</v>
          </cell>
          <cell r="M2828">
            <v>24</v>
          </cell>
          <cell r="N2828">
            <v>26</v>
          </cell>
          <cell r="O2828" t="str">
            <v>Упр.НБУ в Чернігівській.обл</v>
          </cell>
        </row>
        <row r="2829">
          <cell r="A2829">
            <v>353649</v>
          </cell>
          <cell r="B2829">
            <v>322313</v>
          </cell>
          <cell r="D2829">
            <v>0</v>
          </cell>
          <cell r="E2829">
            <v>2</v>
          </cell>
          <cell r="F2829">
            <v>0</v>
          </cell>
          <cell r="G2829" t="str">
            <v>2</v>
          </cell>
          <cell r="H2829">
            <v>201</v>
          </cell>
          <cell r="I2829" t="str">
            <v>Ф-Я ВАТ "УКРЕКСІМБАНК",ЧЕРНІГІВ</v>
          </cell>
          <cell r="J2829" t="str">
            <v>Ф-я Укрексімбанк, Чернігів</v>
          </cell>
          <cell r="K2829" t="str">
            <v>UYGA</v>
          </cell>
          <cell r="L2829" t="str">
            <v>UYGA</v>
          </cell>
          <cell r="M2829">
            <v>24</v>
          </cell>
          <cell r="N2829">
            <v>26</v>
          </cell>
          <cell r="O2829" t="str">
            <v>Упр.НБУ в Чернігівській.обл</v>
          </cell>
        </row>
        <row r="2830">
          <cell r="A2830">
            <v>353661</v>
          </cell>
          <cell r="B2830">
            <v>321228</v>
          </cell>
          <cell r="D2830">
            <v>0</v>
          </cell>
          <cell r="E2830">
            <v>68</v>
          </cell>
          <cell r="F2830">
            <v>0</v>
          </cell>
          <cell r="G2830" t="str">
            <v>8</v>
          </cell>
          <cell r="H2830">
            <v>724</v>
          </cell>
          <cell r="I2830" t="str">
            <v>ЧЕРНІГІВ.Ф.ТОВ"УКРПРОМБАНК",М.ЧЕРНІГІВ</v>
          </cell>
          <cell r="J2830" t="str">
            <v>Чернігів.ф.ТОВ"Укрпромбанк"</v>
          </cell>
          <cell r="K2830" t="str">
            <v>UYJJ</v>
          </cell>
          <cell r="L2830" t="str">
            <v>UYJJ</v>
          </cell>
          <cell r="M2830">
            <v>24</v>
          </cell>
          <cell r="N2830">
            <v>26</v>
          </cell>
          <cell r="O2830" t="str">
            <v>Упр.НБУ в Чернігівській.обл</v>
          </cell>
        </row>
        <row r="2831">
          <cell r="A2831">
            <v>353694</v>
          </cell>
          <cell r="B2831">
            <v>300249</v>
          </cell>
          <cell r="D2831">
            <v>0</v>
          </cell>
          <cell r="E2831">
            <v>37</v>
          </cell>
          <cell r="F2831">
            <v>0</v>
          </cell>
          <cell r="G2831" t="str">
            <v>8</v>
          </cell>
          <cell r="H2831">
            <v>803</v>
          </cell>
          <cell r="I2831" t="str">
            <v>ЧЕРН.ФІЛ АБ"БРОКБІЗНЕСБАНК" М.ЧЕРНІГІВ</v>
          </cell>
          <cell r="J2831" t="str">
            <v>Черніг.ФАБ "БРОКБІЗНЕСБАНК"</v>
          </cell>
          <cell r="K2831" t="str">
            <v>UYFB</v>
          </cell>
          <cell r="L2831" t="str">
            <v>UYFB</v>
          </cell>
          <cell r="M2831">
            <v>24</v>
          </cell>
          <cell r="N2831">
            <v>26</v>
          </cell>
          <cell r="O2831" t="str">
            <v>Упр.НБУ в Чернігівській.обл</v>
          </cell>
        </row>
        <row r="2832">
          <cell r="A2832">
            <v>353702</v>
          </cell>
          <cell r="B2832">
            <v>300670</v>
          </cell>
          <cell r="D2832">
            <v>0</v>
          </cell>
          <cell r="E2832">
            <v>202</v>
          </cell>
          <cell r="F2832">
            <v>0</v>
          </cell>
          <cell r="G2832" t="str">
            <v>8</v>
          </cell>
          <cell r="H2832">
            <v>903</v>
          </cell>
          <cell r="I2832" t="str">
            <v>ЧЕРНІГІВФВАТКБ"ХРЕЩАТИК"М.ЧЕРНІГІВ</v>
          </cell>
          <cell r="J2832" t="str">
            <v>ЧернігівськФВАТКБ"Хрещатик"</v>
          </cell>
          <cell r="K2832" t="str">
            <v>UYFC</v>
          </cell>
          <cell r="L2832" t="str">
            <v>UYFC</v>
          </cell>
          <cell r="M2832">
            <v>24</v>
          </cell>
          <cell r="N2832">
            <v>26</v>
          </cell>
          <cell r="O2832" t="str">
            <v>Упр.НБУ в Чернігівській.обл</v>
          </cell>
        </row>
        <row r="2833">
          <cell r="A2833">
            <v>353713</v>
          </cell>
          <cell r="B2833">
            <v>325912</v>
          </cell>
          <cell r="D2833">
            <v>0</v>
          </cell>
          <cell r="E2833">
            <v>88</v>
          </cell>
          <cell r="F2833">
            <v>0</v>
          </cell>
          <cell r="G2833" t="str">
            <v>B</v>
          </cell>
          <cell r="H2833">
            <v>204</v>
          </cell>
          <cell r="I2833" t="str">
            <v>Чернігівська філія ВАТ "КРЕДОБАНК"</v>
          </cell>
          <cell r="J2833" t="str">
            <v>Чернігівська ф-я"КРЕДОБАНК"</v>
          </cell>
          <cell r="K2833" t="str">
            <v>UYFD</v>
          </cell>
          <cell r="L2833" t="str">
            <v>UYFD</v>
          </cell>
          <cell r="M2833">
            <v>24</v>
          </cell>
          <cell r="N2833">
            <v>13</v>
          </cell>
          <cell r="O2833" t="str">
            <v>Упр.НБУ в Чернігівській.обл</v>
          </cell>
        </row>
        <row r="2834">
          <cell r="A2834">
            <v>353757</v>
          </cell>
          <cell r="B2834">
            <v>380537</v>
          </cell>
          <cell r="D2834">
            <v>0</v>
          </cell>
          <cell r="E2834">
            <v>76</v>
          </cell>
          <cell r="F2834">
            <v>0</v>
          </cell>
          <cell r="G2834" t="str">
            <v>B</v>
          </cell>
          <cell r="H2834">
            <v>503</v>
          </cell>
          <cell r="I2834" t="str">
            <v>ЧЕРНІГІВ.Ф.ВАТ "ВІЕЙБІБАНК" М.ЧЕРНІГІВ</v>
          </cell>
          <cell r="J2834" t="str">
            <v>Чернігів.Ф.ВАТ "ВіЕйБіБанк"</v>
          </cell>
          <cell r="K2834" t="str">
            <v>UYFA</v>
          </cell>
          <cell r="L2834" t="str">
            <v>UYFA</v>
          </cell>
          <cell r="M2834">
            <v>24</v>
          </cell>
          <cell r="N2834">
            <v>26</v>
          </cell>
          <cell r="O2834" t="str">
            <v>Упр.НБУ в Чернігівській.обл</v>
          </cell>
        </row>
        <row r="2835">
          <cell r="A2835">
            <v>354002</v>
          </cell>
          <cell r="B2835">
            <v>300670</v>
          </cell>
          <cell r="D2835">
            <v>0</v>
          </cell>
          <cell r="E2835">
            <v>202</v>
          </cell>
          <cell r="F2835">
            <v>0</v>
          </cell>
          <cell r="G2835" t="str">
            <v>8</v>
          </cell>
          <cell r="H2835">
            <v>803</v>
          </cell>
          <cell r="I2835" t="str">
            <v>ЧЕРКАСЬКАФВАТКБ"ХРЕЩАТИК"М.ЧЕРКАСИ</v>
          </cell>
          <cell r="J2835" t="str">
            <v>ЧеркаськаФВАТКБ"Хрещатик"</v>
          </cell>
          <cell r="K2835" t="str">
            <v>UXFA</v>
          </cell>
          <cell r="L2835" t="str">
            <v>UXFA</v>
          </cell>
          <cell r="M2835">
            <v>23</v>
          </cell>
          <cell r="N2835">
            <v>26</v>
          </cell>
          <cell r="O2835" t="str">
            <v>Управління НБУ в Чеpкас.обл</v>
          </cell>
        </row>
        <row r="2836">
          <cell r="A2836">
            <v>354013</v>
          </cell>
          <cell r="B2836">
            <v>300023</v>
          </cell>
          <cell r="D2836">
            <v>0</v>
          </cell>
          <cell r="E2836">
            <v>5</v>
          </cell>
          <cell r="F2836">
            <v>0</v>
          </cell>
          <cell r="G2836" t="str">
            <v>5</v>
          </cell>
          <cell r="H2836">
            <v>508</v>
          </cell>
          <cell r="I2836" t="str">
            <v>ЧЕРКАСЬКА ОФ"УКРСОЦБАНК", М.ЧЕРКАСИ</v>
          </cell>
          <cell r="J2836" t="str">
            <v>Черкаська ОФ"Укрсоцбанк"</v>
          </cell>
          <cell r="K2836" t="str">
            <v>UXCA</v>
          </cell>
          <cell r="L2836" t="str">
            <v>UXCA</v>
          </cell>
          <cell r="M2836">
            <v>23</v>
          </cell>
          <cell r="N2836">
            <v>26</v>
          </cell>
          <cell r="O2836" t="str">
            <v>Управління НБУ в Чеpкас.обл</v>
          </cell>
        </row>
        <row r="2837">
          <cell r="A2837">
            <v>354024</v>
          </cell>
          <cell r="B2837">
            <v>300001</v>
          </cell>
          <cell r="D2837">
            <v>0</v>
          </cell>
          <cell r="E2837">
            <v>1</v>
          </cell>
          <cell r="F2837">
            <v>0</v>
          </cell>
          <cell r="G2837" t="str">
            <v>1</v>
          </cell>
          <cell r="H2837">
            <v>105</v>
          </cell>
          <cell r="I2837" t="str">
            <v>УПРАВЛІННЯ НБУ В ЧЕРКАСЬКІЙ ОБЛАСТІ</v>
          </cell>
          <cell r="J2837" t="str">
            <v>Упр. НБУ в Чеpкаській обл.</v>
          </cell>
          <cell r="K2837" t="str">
            <v>UXHA</v>
          </cell>
          <cell r="L2837" t="str">
            <v>UXH0</v>
          </cell>
          <cell r="M2837">
            <v>23</v>
          </cell>
          <cell r="N2837">
            <v>27</v>
          </cell>
          <cell r="O2837" t="str">
            <v>Управління НБУ в Чеpкас.обл</v>
          </cell>
        </row>
        <row r="2838">
          <cell r="A2838">
            <v>354091</v>
          </cell>
          <cell r="B2838">
            <v>300012</v>
          </cell>
          <cell r="D2838">
            <v>0</v>
          </cell>
          <cell r="E2838">
            <v>3</v>
          </cell>
          <cell r="F2838">
            <v>0</v>
          </cell>
          <cell r="G2838" t="str">
            <v>3</v>
          </cell>
          <cell r="H2838">
            <v>346</v>
          </cell>
          <cell r="I2838" t="str">
            <v>Ф."ВІДДІЛ. ПРОМІНВЕСТБАНКУ, М.ЧЕРКАСИ"</v>
          </cell>
          <cell r="J2838" t="str">
            <v>Ф."ВІДДІЛ. ПІБ, М. ЧЕРКАСИ"</v>
          </cell>
          <cell r="K2838" t="str">
            <v>UXAA</v>
          </cell>
          <cell r="L2838" t="str">
            <v>UXA0</v>
          </cell>
          <cell r="M2838">
            <v>23</v>
          </cell>
          <cell r="N2838">
            <v>26</v>
          </cell>
          <cell r="O2838" t="str">
            <v>Управління НБУ в Чеpкас.обл</v>
          </cell>
        </row>
        <row r="2839">
          <cell r="A2839">
            <v>354295</v>
          </cell>
          <cell r="B2839">
            <v>300658</v>
          </cell>
          <cell r="D2839">
            <v>0</v>
          </cell>
          <cell r="E2839">
            <v>251</v>
          </cell>
          <cell r="F2839">
            <v>0</v>
          </cell>
          <cell r="G2839" t="str">
            <v>B</v>
          </cell>
          <cell r="H2839">
            <v>702</v>
          </cell>
          <cell r="I2839" t="str">
            <v>ЧФ ВАТ "ПІРЕУС БАНК МКБ",М.ЧЕРКАСИ</v>
          </cell>
          <cell r="J2839" t="str">
            <v>ЧФ ВАТ "ПІРЕУС БАНК МКБ"</v>
          </cell>
          <cell r="K2839" t="str">
            <v>UXIH</v>
          </cell>
          <cell r="L2839" t="str">
            <v>UXIH</v>
          </cell>
          <cell r="M2839">
            <v>23</v>
          </cell>
          <cell r="N2839">
            <v>26</v>
          </cell>
          <cell r="O2839" t="str">
            <v>Управління НБУ в Чеpкас.обл</v>
          </cell>
        </row>
        <row r="2840">
          <cell r="A2840">
            <v>354314</v>
          </cell>
          <cell r="B2840">
            <v>300142</v>
          </cell>
          <cell r="D2840">
            <v>0</v>
          </cell>
          <cell r="E2840">
            <v>18</v>
          </cell>
          <cell r="F2840">
            <v>0</v>
          </cell>
          <cell r="G2840" t="str">
            <v>8</v>
          </cell>
          <cell r="H2840">
            <v>701</v>
          </cell>
          <cell r="I2840" t="str">
            <v>ЧЕРКАСЬКА ФАТ"УКРІНБАНК" М.ЧЕРКАСИ</v>
          </cell>
          <cell r="J2840" t="str">
            <v>Черкаська ФАТ"Укрінбанк"</v>
          </cell>
          <cell r="K2840" t="str">
            <v>UXIA</v>
          </cell>
          <cell r="L2840" t="str">
            <v>UXIA</v>
          </cell>
          <cell r="M2840">
            <v>23</v>
          </cell>
          <cell r="N2840">
            <v>26</v>
          </cell>
          <cell r="O2840" t="str">
            <v>Управління НБУ в Чеpкас.обл</v>
          </cell>
        </row>
        <row r="2841">
          <cell r="A2841">
            <v>354336</v>
          </cell>
          <cell r="B2841">
            <v>300142</v>
          </cell>
          <cell r="D2841">
            <v>0</v>
          </cell>
          <cell r="E2841">
            <v>18</v>
          </cell>
          <cell r="F2841">
            <v>0</v>
          </cell>
          <cell r="G2841" t="str">
            <v>8</v>
          </cell>
          <cell r="H2841">
            <v>703</v>
          </cell>
          <cell r="I2841" t="str">
            <v>ДНІПРОВСЬКА ФАТ "УКРІНБАНК" М.ЧЕРКАСИ</v>
          </cell>
          <cell r="J2841" t="str">
            <v>Дніпровська ФАТ"Укрінбанк"</v>
          </cell>
          <cell r="K2841" t="str">
            <v>UXID</v>
          </cell>
          <cell r="L2841" t="str">
            <v>UXID</v>
          </cell>
          <cell r="M2841">
            <v>23</v>
          </cell>
          <cell r="N2841">
            <v>26</v>
          </cell>
          <cell r="O2841" t="str">
            <v>Управління НБУ в Чеpкас.обл</v>
          </cell>
        </row>
        <row r="2842">
          <cell r="A2842">
            <v>354347</v>
          </cell>
          <cell r="B2842">
            <v>305299</v>
          </cell>
          <cell r="D2842">
            <v>0</v>
          </cell>
          <cell r="E2842">
            <v>46</v>
          </cell>
          <cell r="F2842">
            <v>0</v>
          </cell>
          <cell r="G2842" t="str">
            <v>A</v>
          </cell>
          <cell r="H2842">
            <v>704</v>
          </cell>
          <cell r="I2842" t="str">
            <v>ЧЕРК.Ф.ГРУ ЗАТ КБ ПРИВАТБАНК М.ЧЕРКАСИ</v>
          </cell>
          <cell r="J2842" t="str">
            <v>Черкаське ГРУ ПриватБанку</v>
          </cell>
          <cell r="K2842" t="str">
            <v>UXIG</v>
          </cell>
          <cell r="L2842" t="str">
            <v>UXIG</v>
          </cell>
          <cell r="M2842">
            <v>23</v>
          </cell>
          <cell r="N2842">
            <v>3</v>
          </cell>
          <cell r="O2842" t="str">
            <v>Управління НБУ в Чеpкас.обл</v>
          </cell>
        </row>
        <row r="2843">
          <cell r="A2843">
            <v>354381</v>
          </cell>
          <cell r="B2843">
            <v>300012</v>
          </cell>
          <cell r="D2843">
            <v>0</v>
          </cell>
          <cell r="E2843">
            <v>3</v>
          </cell>
          <cell r="F2843">
            <v>0</v>
          </cell>
          <cell r="G2843" t="str">
            <v>3</v>
          </cell>
          <cell r="H2843">
            <v>333</v>
          </cell>
          <cell r="I2843" t="str">
            <v>Ф-Я"ВІД.ПІБ В М.УМАНЬ ЧЕРКАСЬКОЇ ОБЛ."</v>
          </cell>
          <cell r="J2843" t="str">
            <v>ф."Від.ПІБ в УМАНЬ Черк.обл</v>
          </cell>
          <cell r="K2843" t="str">
            <v>UXAE</v>
          </cell>
          <cell r="L2843" t="str">
            <v>UXA0</v>
          </cell>
          <cell r="M2843">
            <v>23</v>
          </cell>
          <cell r="N2843">
            <v>26</v>
          </cell>
          <cell r="O2843" t="str">
            <v>Управління НБУ в Чеpкас.обл</v>
          </cell>
        </row>
        <row r="2844">
          <cell r="A2844">
            <v>354411</v>
          </cell>
          <cell r="B2844">
            <v>300335</v>
          </cell>
          <cell r="D2844">
            <v>0</v>
          </cell>
          <cell r="E2844">
            <v>36</v>
          </cell>
          <cell r="F2844">
            <v>0</v>
          </cell>
          <cell r="G2844" t="str">
            <v>7</v>
          </cell>
          <cell r="H2844">
            <v>708</v>
          </cell>
          <cell r="I2844" t="str">
            <v>ЧЕР.ОД"РАЙФФАЙЗЕН БАНК АВАЛЬ"М.ЧЕРКАСИ</v>
          </cell>
          <cell r="J2844" t="str">
            <v>Ч.ОД"Райффайзен Банк Аваль"</v>
          </cell>
          <cell r="K2844" t="str">
            <v>UXIK</v>
          </cell>
          <cell r="L2844" t="str">
            <v>UXIK</v>
          </cell>
          <cell r="M2844">
            <v>23</v>
          </cell>
          <cell r="N2844">
            <v>26</v>
          </cell>
          <cell r="O2844" t="str">
            <v>Управління НБУ в Чеpкас.обл</v>
          </cell>
        </row>
        <row r="2845">
          <cell r="A2845">
            <v>354466</v>
          </cell>
          <cell r="B2845">
            <v>325912</v>
          </cell>
          <cell r="D2845">
            <v>0</v>
          </cell>
          <cell r="E2845">
            <v>88</v>
          </cell>
          <cell r="F2845">
            <v>0</v>
          </cell>
          <cell r="G2845" t="str">
            <v>B</v>
          </cell>
          <cell r="H2845">
            <v>716</v>
          </cell>
          <cell r="I2845" t="str">
            <v>Черкаська філія ВАТ "КРЕДОБАНК"</v>
          </cell>
          <cell r="J2845" t="str">
            <v>Черкаська ф. ВАТ"КРЕДОБАНК"</v>
          </cell>
          <cell r="K2845" t="str">
            <v>UXIM</v>
          </cell>
          <cell r="L2845" t="str">
            <v>UXIM</v>
          </cell>
          <cell r="M2845">
            <v>23</v>
          </cell>
          <cell r="N2845">
            <v>13</v>
          </cell>
          <cell r="O2845" t="str">
            <v>Управління НБУ в Чеpкас.обл</v>
          </cell>
        </row>
        <row r="2846">
          <cell r="A2846">
            <v>354488</v>
          </cell>
          <cell r="B2846">
            <v>300272</v>
          </cell>
          <cell r="D2846">
            <v>0</v>
          </cell>
          <cell r="E2846">
            <v>31</v>
          </cell>
          <cell r="F2846">
            <v>0</v>
          </cell>
          <cell r="G2846" t="str">
            <v>B</v>
          </cell>
          <cell r="H2846">
            <v>721</v>
          </cell>
          <cell r="I2846" t="str">
            <v>ЧЕРКАСЬКА ФІЛ АБ "ЕНЕРГОБАНК"М.ЧЕРКАСИ</v>
          </cell>
          <cell r="J2846" t="str">
            <v>Черкаська ф.АБ "Енергобанк"</v>
          </cell>
          <cell r="K2846" t="str">
            <v>UXIO</v>
          </cell>
          <cell r="L2846" t="str">
            <v>UXIO</v>
          </cell>
          <cell r="M2846">
            <v>23</v>
          </cell>
          <cell r="N2846">
            <v>26</v>
          </cell>
          <cell r="O2846" t="str">
            <v>Управління НБУ в Чеpкас.обл</v>
          </cell>
        </row>
        <row r="2847">
          <cell r="A2847">
            <v>354507</v>
          </cell>
          <cell r="B2847">
            <v>300465</v>
          </cell>
          <cell r="D2847">
            <v>0</v>
          </cell>
          <cell r="E2847">
            <v>6</v>
          </cell>
          <cell r="F2847">
            <v>0</v>
          </cell>
          <cell r="G2847" t="str">
            <v>6</v>
          </cell>
          <cell r="H2847">
            <v>603</v>
          </cell>
          <cell r="I2847" t="str">
            <v>ФЧЕРКАСЬКЕ ОУ ВАТ ОЩАДБАНК М.ЧЕРКАСИ</v>
          </cell>
          <cell r="J2847" t="str">
            <v>ФЧеркаське ОУ ВАТОщадбанк</v>
          </cell>
          <cell r="K2847" t="str">
            <v>UXLA</v>
          </cell>
          <cell r="L2847" t="str">
            <v>UXLA</v>
          </cell>
          <cell r="M2847">
            <v>23</v>
          </cell>
          <cell r="N2847">
            <v>26</v>
          </cell>
          <cell r="O2847" t="str">
            <v>Управління НБУ в Чеpкас.обл</v>
          </cell>
        </row>
        <row r="2848">
          <cell r="A2848">
            <v>354529</v>
          </cell>
          <cell r="B2848">
            <v>300465</v>
          </cell>
          <cell r="D2848">
            <v>0</v>
          </cell>
          <cell r="E2848">
            <v>6</v>
          </cell>
          <cell r="F2848">
            <v>0</v>
          </cell>
          <cell r="G2848" t="str">
            <v>6</v>
          </cell>
          <cell r="H2848">
            <v>605</v>
          </cell>
          <cell r="I2848" t="str">
            <v>ФГОРОДИЩЕНСЬКЕ ВІДД ВАТОЩАД М.ГОРОДИЩЕ</v>
          </cell>
          <cell r="J2848" t="str">
            <v>ФГородищенськеВАТОщадбанк</v>
          </cell>
          <cell r="K2848" t="str">
            <v>UXLD</v>
          </cell>
          <cell r="L2848" t="str">
            <v>UXLA</v>
          </cell>
          <cell r="M2848">
            <v>23</v>
          </cell>
          <cell r="N2848">
            <v>26</v>
          </cell>
          <cell r="O2848" t="str">
            <v>Управління НБУ в Чеpкас.обл</v>
          </cell>
        </row>
        <row r="2849">
          <cell r="A2849">
            <v>354530</v>
          </cell>
          <cell r="B2849">
            <v>300465</v>
          </cell>
          <cell r="D2849">
            <v>0</v>
          </cell>
          <cell r="E2849">
            <v>6</v>
          </cell>
          <cell r="F2849">
            <v>0</v>
          </cell>
          <cell r="G2849" t="str">
            <v>6</v>
          </cell>
          <cell r="H2849">
            <v>606</v>
          </cell>
          <cell r="I2849" t="str">
            <v>ФДРАБІВСЬКЕ ВІДДІЛЕ ВАТОЩАД СМТ.ДРАБІВ</v>
          </cell>
          <cell r="J2849" t="str">
            <v>ФДрабівськеВАТОщадбанк</v>
          </cell>
          <cell r="K2849" t="str">
            <v>UXLE</v>
          </cell>
          <cell r="L2849" t="str">
            <v>UXLA</v>
          </cell>
          <cell r="M2849">
            <v>23</v>
          </cell>
          <cell r="N2849">
            <v>26</v>
          </cell>
          <cell r="O2849" t="str">
            <v>Управління НБУ в Чеpкас.обл</v>
          </cell>
        </row>
        <row r="2850">
          <cell r="A2850">
            <v>354541</v>
          </cell>
          <cell r="B2850">
            <v>300465</v>
          </cell>
          <cell r="D2850">
            <v>0</v>
          </cell>
          <cell r="E2850">
            <v>6</v>
          </cell>
          <cell r="F2850">
            <v>0</v>
          </cell>
          <cell r="G2850" t="str">
            <v>6</v>
          </cell>
          <cell r="H2850">
            <v>607</v>
          </cell>
          <cell r="I2850" t="str">
            <v>ФЖАШКІВСЬКЕ ВІДДІЛЕНН ВАТОЩАД М.ЖАШКІВ</v>
          </cell>
          <cell r="J2850" t="str">
            <v>ФЖашківськеВАТОщадбанк</v>
          </cell>
          <cell r="K2850" t="str">
            <v>UXLF</v>
          </cell>
          <cell r="L2850" t="str">
            <v>UXLA</v>
          </cell>
          <cell r="M2850">
            <v>23</v>
          </cell>
          <cell r="N2850">
            <v>26</v>
          </cell>
          <cell r="O2850" t="str">
            <v>Управління НБУ в Чеpкас.обл</v>
          </cell>
        </row>
        <row r="2851">
          <cell r="A2851">
            <v>354552</v>
          </cell>
          <cell r="B2851">
            <v>300465</v>
          </cell>
          <cell r="D2851">
            <v>0</v>
          </cell>
          <cell r="E2851">
            <v>6</v>
          </cell>
          <cell r="F2851">
            <v>0</v>
          </cell>
          <cell r="G2851" t="str">
            <v>6</v>
          </cell>
          <cell r="H2851">
            <v>608</v>
          </cell>
          <cell r="I2851" t="str">
            <v>ФЗВЕНИГОРОДСЬКЕ ВІД ВАТОЩАД М.ЗВЕНИГОР</v>
          </cell>
          <cell r="J2851" t="str">
            <v>ФЗвенигородськеВАТОщадбанк</v>
          </cell>
          <cell r="K2851" t="str">
            <v>UXLG</v>
          </cell>
          <cell r="L2851" t="str">
            <v>UXLA</v>
          </cell>
          <cell r="M2851">
            <v>23</v>
          </cell>
          <cell r="N2851">
            <v>26</v>
          </cell>
          <cell r="O2851" t="str">
            <v>Управління НБУ в Чеpкас.обл</v>
          </cell>
        </row>
        <row r="2852">
          <cell r="A2852">
            <v>354574</v>
          </cell>
          <cell r="B2852">
            <v>300465</v>
          </cell>
          <cell r="D2852">
            <v>0</v>
          </cell>
          <cell r="E2852">
            <v>6</v>
          </cell>
          <cell r="F2852">
            <v>0</v>
          </cell>
          <cell r="G2852" t="str">
            <v>6</v>
          </cell>
          <cell r="H2852">
            <v>613</v>
          </cell>
          <cell r="I2852" t="str">
            <v>ФЗОЛОТОНІСЬКЕ ВІДДІ ВАТОЩАД М.ЗОЛОТОНО</v>
          </cell>
          <cell r="J2852" t="str">
            <v>ФЗолотоніське ВАТОщадбанк</v>
          </cell>
          <cell r="K2852" t="str">
            <v>UXLH</v>
          </cell>
          <cell r="L2852" t="str">
            <v>UXLA</v>
          </cell>
          <cell r="M2852">
            <v>23</v>
          </cell>
          <cell r="N2852">
            <v>26</v>
          </cell>
          <cell r="O2852" t="str">
            <v>Управління НБУ в Чеpкас.обл</v>
          </cell>
        </row>
        <row r="2853">
          <cell r="A2853">
            <v>354585</v>
          </cell>
          <cell r="B2853">
            <v>300465</v>
          </cell>
          <cell r="D2853">
            <v>0</v>
          </cell>
          <cell r="E2853">
            <v>6</v>
          </cell>
          <cell r="F2853">
            <v>0</v>
          </cell>
          <cell r="G2853" t="str">
            <v>6</v>
          </cell>
          <cell r="H2853">
            <v>614</v>
          </cell>
          <cell r="I2853" t="str">
            <v>ФКАНІВСЬКЕ ВІДДІЛЕННЯ  ВАТОЩАД М.КАНІВ</v>
          </cell>
          <cell r="J2853" t="str">
            <v>ФКанівськеВАТОщадбанк</v>
          </cell>
          <cell r="K2853" t="str">
            <v>UXLI</v>
          </cell>
          <cell r="L2853" t="str">
            <v>UXLA</v>
          </cell>
          <cell r="M2853">
            <v>23</v>
          </cell>
          <cell r="N2853">
            <v>26</v>
          </cell>
          <cell r="O2853" t="str">
            <v>Управління НБУ в Чеpкас.обл</v>
          </cell>
        </row>
        <row r="2854">
          <cell r="A2854">
            <v>354596</v>
          </cell>
          <cell r="B2854">
            <v>300465</v>
          </cell>
          <cell r="D2854">
            <v>0</v>
          </cell>
          <cell r="E2854">
            <v>6</v>
          </cell>
          <cell r="F2854">
            <v>0</v>
          </cell>
          <cell r="G2854" t="str">
            <v>6</v>
          </cell>
          <cell r="H2854">
            <v>615</v>
          </cell>
          <cell r="I2854" t="str">
            <v>ФКАМ`ЯНСЬКЕ ВІДДІЛЕ ВАТОЩАД М.КАМ`ЯНКА</v>
          </cell>
          <cell r="J2854" t="str">
            <v>ФКам`янськеВАТОщадбанк</v>
          </cell>
          <cell r="K2854" t="str">
            <v>UXLJ</v>
          </cell>
          <cell r="L2854" t="str">
            <v>UXLA</v>
          </cell>
          <cell r="M2854">
            <v>23</v>
          </cell>
          <cell r="N2854">
            <v>26</v>
          </cell>
          <cell r="O2854" t="str">
            <v>Управління НБУ в Чеpкас.обл</v>
          </cell>
        </row>
        <row r="2855">
          <cell r="A2855">
            <v>354604</v>
          </cell>
          <cell r="B2855">
            <v>300465</v>
          </cell>
          <cell r="D2855">
            <v>0</v>
          </cell>
          <cell r="E2855">
            <v>6</v>
          </cell>
          <cell r="F2855">
            <v>0</v>
          </cell>
          <cell r="G2855" t="str">
            <v>6</v>
          </cell>
          <cell r="H2855">
            <v>626</v>
          </cell>
          <cell r="I2855" t="str">
            <v>ФКАТЕРИНОПІЛЬСЬКЕ В ВАТОЩАД СМТ.КАТЕРИ</v>
          </cell>
          <cell r="J2855" t="str">
            <v>ФКатеринопільськеВАТОщад</v>
          </cell>
          <cell r="K2855" t="str">
            <v>UXLK</v>
          </cell>
          <cell r="L2855" t="str">
            <v>UXLA</v>
          </cell>
          <cell r="M2855">
            <v>23</v>
          </cell>
          <cell r="N2855">
            <v>26</v>
          </cell>
          <cell r="O2855" t="str">
            <v>Управління НБУ в Чеpкас.обл</v>
          </cell>
        </row>
        <row r="2856">
          <cell r="A2856">
            <v>354615</v>
          </cell>
          <cell r="B2856">
            <v>300465</v>
          </cell>
          <cell r="D2856">
            <v>0</v>
          </cell>
          <cell r="E2856">
            <v>6</v>
          </cell>
          <cell r="F2856">
            <v>0</v>
          </cell>
          <cell r="G2856" t="str">
            <v>6</v>
          </cell>
          <cell r="H2856">
            <v>627</v>
          </cell>
          <cell r="I2856" t="str">
            <v>ФКОРСУНЬ-ШЕВЧЕНКІВС ВАТОЩАД М.КОРСУНЬ-</v>
          </cell>
          <cell r="J2856" t="str">
            <v>ФКорсунь-ШевченківсьВАТОщад</v>
          </cell>
          <cell r="K2856" t="str">
            <v>UXLL</v>
          </cell>
          <cell r="L2856" t="str">
            <v>UXLA</v>
          </cell>
          <cell r="M2856">
            <v>23</v>
          </cell>
          <cell r="N2856">
            <v>26</v>
          </cell>
          <cell r="O2856" t="str">
            <v>Управління НБУ в Чеpкас.обл</v>
          </cell>
        </row>
        <row r="2857">
          <cell r="A2857">
            <v>354626</v>
          </cell>
          <cell r="B2857">
            <v>300465</v>
          </cell>
          <cell r="D2857">
            <v>0</v>
          </cell>
          <cell r="E2857">
            <v>6</v>
          </cell>
          <cell r="F2857">
            <v>0</v>
          </cell>
          <cell r="G2857" t="str">
            <v>6</v>
          </cell>
          <cell r="H2857">
            <v>628</v>
          </cell>
          <cell r="I2857" t="str">
            <v>ФЛИСЯНСЬКЕ ВІДДІЛЕН ВАТОЩАД СМТ.ЛИСЯНК</v>
          </cell>
          <cell r="J2857" t="str">
            <v>ФЛисянське від. ВАТОщадбанк</v>
          </cell>
          <cell r="K2857" t="str">
            <v>UXLM</v>
          </cell>
          <cell r="L2857" t="str">
            <v>UXLA</v>
          </cell>
          <cell r="M2857">
            <v>23</v>
          </cell>
          <cell r="N2857">
            <v>26</v>
          </cell>
          <cell r="O2857" t="str">
            <v>Управління НБУ в Чеpкас.обл</v>
          </cell>
        </row>
        <row r="2858">
          <cell r="A2858">
            <v>354637</v>
          </cell>
          <cell r="B2858">
            <v>300465</v>
          </cell>
          <cell r="D2858">
            <v>0</v>
          </cell>
          <cell r="E2858">
            <v>6</v>
          </cell>
          <cell r="F2858">
            <v>0</v>
          </cell>
          <cell r="G2858" t="str">
            <v>6</v>
          </cell>
          <cell r="H2858">
            <v>629</v>
          </cell>
          <cell r="I2858" t="str">
            <v>ФМАНЬКІВСЬКЕ ВІДДІЛ ВАТОЩАД СМТ.МАНЬКІ</v>
          </cell>
          <cell r="J2858" t="str">
            <v>ФМаньківське від. ВАТОщадба</v>
          </cell>
          <cell r="K2858" t="str">
            <v>UXLN</v>
          </cell>
          <cell r="L2858" t="str">
            <v>UXLA</v>
          </cell>
          <cell r="M2858">
            <v>23</v>
          </cell>
          <cell r="N2858">
            <v>26</v>
          </cell>
          <cell r="O2858" t="str">
            <v>Управління НБУ в Чеpкас.обл</v>
          </cell>
        </row>
        <row r="2859">
          <cell r="A2859">
            <v>354648</v>
          </cell>
          <cell r="B2859">
            <v>300465</v>
          </cell>
          <cell r="D2859">
            <v>0</v>
          </cell>
          <cell r="E2859">
            <v>6</v>
          </cell>
          <cell r="F2859">
            <v>0</v>
          </cell>
          <cell r="G2859" t="str">
            <v>6</v>
          </cell>
          <cell r="H2859">
            <v>633</v>
          </cell>
          <cell r="I2859" t="str">
            <v>ФМОНАСТИРИЩЕНСЬКЕ В ВАТОЩАД М.МОНАСТИР</v>
          </cell>
          <cell r="J2859" t="str">
            <v>ФМонастирищенське ВАТОщад</v>
          </cell>
          <cell r="K2859" t="str">
            <v>UXLO</v>
          </cell>
          <cell r="L2859" t="str">
            <v>UXLA</v>
          </cell>
          <cell r="M2859">
            <v>23</v>
          </cell>
          <cell r="N2859">
            <v>26</v>
          </cell>
          <cell r="O2859" t="str">
            <v>Управління НБУ в Чеpкас.обл</v>
          </cell>
        </row>
        <row r="2860">
          <cell r="A2860">
            <v>354659</v>
          </cell>
          <cell r="B2860">
            <v>300465</v>
          </cell>
          <cell r="D2860">
            <v>0</v>
          </cell>
          <cell r="E2860">
            <v>6</v>
          </cell>
          <cell r="F2860">
            <v>0</v>
          </cell>
          <cell r="G2860" t="str">
            <v>6</v>
          </cell>
          <cell r="H2860">
            <v>634</v>
          </cell>
          <cell r="I2860" t="str">
            <v>ФСМІЛЯНСЬКЕ ВІДДІЛЕННЯ ВАТОЩАД М.СМІЛА</v>
          </cell>
          <cell r="J2860" t="str">
            <v>ФСмілянське відділенВАТОщад</v>
          </cell>
          <cell r="K2860" t="str">
            <v>UXLP</v>
          </cell>
          <cell r="L2860" t="str">
            <v>UXLA</v>
          </cell>
          <cell r="M2860">
            <v>23</v>
          </cell>
          <cell r="N2860">
            <v>26</v>
          </cell>
          <cell r="O2860" t="str">
            <v>Управління НБУ в Чеpкас.обл</v>
          </cell>
        </row>
        <row r="2861">
          <cell r="A2861">
            <v>354660</v>
          </cell>
          <cell r="B2861">
            <v>300465</v>
          </cell>
          <cell r="D2861">
            <v>0</v>
          </cell>
          <cell r="E2861">
            <v>6</v>
          </cell>
          <cell r="F2861">
            <v>0</v>
          </cell>
          <cell r="G2861" t="str">
            <v>6</v>
          </cell>
          <cell r="H2861">
            <v>635</v>
          </cell>
          <cell r="I2861" t="str">
            <v>ФТАЛЬНІВСЬКЕ ВІДДІЛЕН ВАТОЩАД М.ТАЛЬНЕ</v>
          </cell>
          <cell r="J2861" t="str">
            <v>ФТальнівське ВАТОщадбанк</v>
          </cell>
          <cell r="K2861" t="str">
            <v>UXLQ</v>
          </cell>
          <cell r="L2861" t="str">
            <v>UXLA</v>
          </cell>
          <cell r="M2861">
            <v>23</v>
          </cell>
          <cell r="N2861">
            <v>26</v>
          </cell>
          <cell r="O2861" t="str">
            <v>Управління НБУ в Чеpкас.обл</v>
          </cell>
        </row>
        <row r="2862">
          <cell r="A2862">
            <v>354671</v>
          </cell>
          <cell r="B2862">
            <v>300465</v>
          </cell>
          <cell r="D2862">
            <v>0</v>
          </cell>
          <cell r="E2862">
            <v>6</v>
          </cell>
          <cell r="F2862">
            <v>0</v>
          </cell>
          <cell r="G2862" t="str">
            <v>6</v>
          </cell>
          <cell r="H2862">
            <v>636</v>
          </cell>
          <cell r="I2862" t="str">
            <v>ФУМАНСЬКЕ ВІДДІЛЕННЯ № ВАТОЩАД М.УМАНЬ</v>
          </cell>
          <cell r="J2862" t="str">
            <v>ФУманське ВАТОщадбанк</v>
          </cell>
          <cell r="K2862" t="str">
            <v>UXLR</v>
          </cell>
          <cell r="L2862" t="str">
            <v>UXLA</v>
          </cell>
          <cell r="M2862">
            <v>23</v>
          </cell>
          <cell r="N2862">
            <v>26</v>
          </cell>
          <cell r="O2862" t="str">
            <v>Управління НБУ в Чеpкас.обл</v>
          </cell>
        </row>
        <row r="2863">
          <cell r="A2863">
            <v>354682</v>
          </cell>
          <cell r="B2863">
            <v>300465</v>
          </cell>
          <cell r="D2863">
            <v>0</v>
          </cell>
          <cell r="E2863">
            <v>6</v>
          </cell>
          <cell r="F2863">
            <v>0</v>
          </cell>
          <cell r="G2863" t="str">
            <v>6</v>
          </cell>
          <cell r="H2863">
            <v>637</v>
          </cell>
          <cell r="I2863" t="str">
            <v>ФХРИСТИНІВСЬКЕ ВІДД ВАТОЩАД М.ХРИСТИНІ</v>
          </cell>
          <cell r="J2863" t="str">
            <v>ФХристинівськеВАТОщадбанк</v>
          </cell>
          <cell r="K2863" t="str">
            <v>UXLS</v>
          </cell>
          <cell r="L2863" t="str">
            <v>UXLA</v>
          </cell>
          <cell r="M2863">
            <v>23</v>
          </cell>
          <cell r="N2863">
            <v>26</v>
          </cell>
          <cell r="O2863" t="str">
            <v>Управління НБУ в Чеpкас.обл</v>
          </cell>
        </row>
        <row r="2864">
          <cell r="A2864">
            <v>354701</v>
          </cell>
          <cell r="B2864">
            <v>300465</v>
          </cell>
          <cell r="D2864">
            <v>0</v>
          </cell>
          <cell r="E2864">
            <v>6</v>
          </cell>
          <cell r="F2864">
            <v>0</v>
          </cell>
          <cell r="G2864" t="str">
            <v>6</v>
          </cell>
          <cell r="H2864">
            <v>649</v>
          </cell>
          <cell r="I2864" t="str">
            <v>ФЧОРНОБАЇВСЬКЕ ВІДД ВАТОЩАД СМТ.ЧОРНОБ</v>
          </cell>
          <cell r="J2864" t="str">
            <v>ФЧорнобаївськеВАТОщадбанк</v>
          </cell>
          <cell r="K2864" t="str">
            <v>UXLT</v>
          </cell>
          <cell r="L2864" t="str">
            <v>UXLA</v>
          </cell>
          <cell r="M2864">
            <v>23</v>
          </cell>
          <cell r="N2864">
            <v>26</v>
          </cell>
          <cell r="O2864" t="str">
            <v>Управління НБУ в Чеpкас.обл</v>
          </cell>
        </row>
        <row r="2865">
          <cell r="A2865">
            <v>354712</v>
          </cell>
          <cell r="B2865">
            <v>300465</v>
          </cell>
          <cell r="D2865">
            <v>0</v>
          </cell>
          <cell r="E2865">
            <v>6</v>
          </cell>
          <cell r="F2865">
            <v>0</v>
          </cell>
          <cell r="G2865" t="str">
            <v>6</v>
          </cell>
          <cell r="H2865">
            <v>653</v>
          </cell>
          <cell r="I2865" t="str">
            <v>ФЧЕРКАСЬКЕ ВІДДІЛЕНН ВАТОЩАД М.ЧЕРКАСИ</v>
          </cell>
          <cell r="J2865" t="str">
            <v>ФЧеркаськеВАТОщадбанк</v>
          </cell>
          <cell r="K2865" t="str">
            <v>UXLU</v>
          </cell>
          <cell r="L2865" t="str">
            <v>UXLA</v>
          </cell>
          <cell r="M2865">
            <v>23</v>
          </cell>
          <cell r="N2865">
            <v>26</v>
          </cell>
          <cell r="O2865" t="str">
            <v>Управління НБУ в Чеpкас.обл</v>
          </cell>
        </row>
        <row r="2866">
          <cell r="A2866">
            <v>354734</v>
          </cell>
          <cell r="B2866">
            <v>300465</v>
          </cell>
          <cell r="D2866">
            <v>0</v>
          </cell>
          <cell r="E2866">
            <v>6</v>
          </cell>
          <cell r="F2866">
            <v>0</v>
          </cell>
          <cell r="G2866" t="str">
            <v>6</v>
          </cell>
          <cell r="H2866">
            <v>655</v>
          </cell>
          <cell r="I2866" t="str">
            <v>ФЧИГИРИНСЬКЕ ВІДДІЛЕ ВАТОЩАД М.ЧИГИРИН</v>
          </cell>
          <cell r="J2866" t="str">
            <v>ФЧигиринськеВАТОщадбанк</v>
          </cell>
          <cell r="K2866" t="str">
            <v>UXLV</v>
          </cell>
          <cell r="L2866" t="str">
            <v>UXLA</v>
          </cell>
          <cell r="M2866">
            <v>23</v>
          </cell>
          <cell r="N2866">
            <v>26</v>
          </cell>
          <cell r="O2866" t="str">
            <v>Управління НБУ в Чеpкас.обл</v>
          </cell>
        </row>
        <row r="2867">
          <cell r="A2867">
            <v>354745</v>
          </cell>
          <cell r="B2867">
            <v>300465</v>
          </cell>
          <cell r="D2867">
            <v>0</v>
          </cell>
          <cell r="E2867">
            <v>6</v>
          </cell>
          <cell r="F2867">
            <v>0</v>
          </cell>
          <cell r="G2867" t="str">
            <v>6</v>
          </cell>
          <cell r="H2867">
            <v>601</v>
          </cell>
          <cell r="I2867" t="str">
            <v>ФСОСНІВСЬКЕ ВІДДІЛЕН ВАТОЩАД М.ЧЕРКАСИ</v>
          </cell>
          <cell r="J2867" t="str">
            <v>ФСоснівськеВАТОщадбанк</v>
          </cell>
          <cell r="K2867" t="str">
            <v>UXLB</v>
          </cell>
          <cell r="L2867" t="str">
            <v>UXLA</v>
          </cell>
          <cell r="M2867">
            <v>23</v>
          </cell>
          <cell r="N2867">
            <v>26</v>
          </cell>
          <cell r="O2867" t="str">
            <v>Управління НБУ в Чеpкас.обл</v>
          </cell>
        </row>
        <row r="2868">
          <cell r="A2868">
            <v>354767</v>
          </cell>
          <cell r="B2868">
            <v>300465</v>
          </cell>
          <cell r="D2868">
            <v>0</v>
          </cell>
          <cell r="E2868">
            <v>6</v>
          </cell>
          <cell r="F2868">
            <v>0</v>
          </cell>
          <cell r="G2868" t="str">
            <v>6</v>
          </cell>
          <cell r="H2868">
            <v>658</v>
          </cell>
          <cell r="I2868" t="str">
            <v>ФШПОЛЯНСЬКЕ ВІДДІЛЕННЯ ВАТОЩАД М.ШПОЛА</v>
          </cell>
          <cell r="J2868" t="str">
            <v>ФШполянськеВАТОщадбанк</v>
          </cell>
          <cell r="K2868" t="str">
            <v>UXLW</v>
          </cell>
          <cell r="L2868" t="str">
            <v>UXLA</v>
          </cell>
          <cell r="M2868">
            <v>23</v>
          </cell>
          <cell r="N2868">
            <v>26</v>
          </cell>
          <cell r="O2868" t="str">
            <v>Управління НБУ в Чеpкас.обл</v>
          </cell>
        </row>
        <row r="2869">
          <cell r="A2869">
            <v>354789</v>
          </cell>
          <cell r="B2869">
            <v>322313</v>
          </cell>
          <cell r="D2869">
            <v>0</v>
          </cell>
          <cell r="E2869">
            <v>2</v>
          </cell>
          <cell r="F2869">
            <v>0</v>
          </cell>
          <cell r="G2869" t="str">
            <v>2</v>
          </cell>
          <cell r="H2869">
            <v>201</v>
          </cell>
          <cell r="I2869" t="str">
            <v>Ф-Я ВАТ"УКРЕКСІМБАНК",ЧЕРКАСИ</v>
          </cell>
          <cell r="J2869" t="str">
            <v>Ф-я Укрексімбанк, Черкаси</v>
          </cell>
          <cell r="K2869" t="str">
            <v>UXGA</v>
          </cell>
          <cell r="L2869" t="str">
            <v>UXGA</v>
          </cell>
          <cell r="M2869">
            <v>23</v>
          </cell>
          <cell r="N2869">
            <v>26</v>
          </cell>
          <cell r="O2869" t="str">
            <v>Управління НБУ в Чеpкас.обл</v>
          </cell>
        </row>
        <row r="2870">
          <cell r="A2870">
            <v>354853</v>
          </cell>
          <cell r="B2870">
            <v>300056</v>
          </cell>
          <cell r="D2870">
            <v>0</v>
          </cell>
          <cell r="E2870">
            <v>13</v>
          </cell>
          <cell r="F2870">
            <v>0</v>
          </cell>
          <cell r="G2870" t="str">
            <v>8</v>
          </cell>
          <cell r="H2870">
            <v>713</v>
          </cell>
          <cell r="I2870" t="str">
            <v>ЧЕРКАСЬКА ФАКБ "ЛЕГБАНК", М.ЧЕРКАСИ</v>
          </cell>
          <cell r="J2870" t="str">
            <v>ЧЕРКАСЬКА ФАКБ "ЛЕГБАНК"</v>
          </cell>
          <cell r="K2870" t="str">
            <v>UXIT</v>
          </cell>
          <cell r="L2870" t="str">
            <v>UXIT</v>
          </cell>
          <cell r="M2870">
            <v>23</v>
          </cell>
          <cell r="N2870">
            <v>26</v>
          </cell>
          <cell r="O2870" t="str">
            <v>Управління НБУ в Чеpкас.обл</v>
          </cell>
        </row>
        <row r="2871">
          <cell r="A2871">
            <v>354864</v>
          </cell>
          <cell r="B2871">
            <v>319092</v>
          </cell>
          <cell r="D2871">
            <v>0</v>
          </cell>
          <cell r="E2871">
            <v>280</v>
          </cell>
          <cell r="F2871">
            <v>0</v>
          </cell>
          <cell r="G2871" t="str">
            <v>B</v>
          </cell>
          <cell r="H2871">
            <v>727</v>
          </cell>
          <cell r="I2871" t="str">
            <v>ЧФ АБ "КИЇВСЬКА РУСЬ", М.ЧЕРКАСИ</v>
          </cell>
          <cell r="J2871" t="str">
            <v>Черкаська ФАБ"КИЇВСЬКА РУСЬ</v>
          </cell>
          <cell r="K2871" t="str">
            <v>UXIV</v>
          </cell>
          <cell r="L2871" t="str">
            <v>UXIV</v>
          </cell>
          <cell r="M2871">
            <v>23</v>
          </cell>
          <cell r="N2871">
            <v>26</v>
          </cell>
          <cell r="O2871" t="str">
            <v>Управління НБУ в Чеpкас.обл</v>
          </cell>
        </row>
        <row r="2872">
          <cell r="A2872">
            <v>354875</v>
          </cell>
          <cell r="B2872">
            <v>334992</v>
          </cell>
          <cell r="D2872">
            <v>0</v>
          </cell>
          <cell r="E2872">
            <v>59</v>
          </cell>
          <cell r="F2872">
            <v>0</v>
          </cell>
          <cell r="G2872" t="str">
            <v>8</v>
          </cell>
          <cell r="H2872">
            <v>728</v>
          </cell>
          <cell r="I2872" t="str">
            <v>ЧФ ВАТ КБ"ПРОМЕКОНОМБАНК", М.ЧЕРКАСИ</v>
          </cell>
          <cell r="J2872" t="str">
            <v>ЧФ ВАТ КБ "ПРОМЕКОНОМБАНК"</v>
          </cell>
          <cell r="K2872" t="str">
            <v>UXIW</v>
          </cell>
          <cell r="L2872" t="str">
            <v>UXIW</v>
          </cell>
          <cell r="M2872">
            <v>23</v>
          </cell>
          <cell r="N2872">
            <v>4</v>
          </cell>
          <cell r="O2872" t="str">
            <v>Управління НБУ в Чеpкас.обл</v>
          </cell>
        </row>
        <row r="2873">
          <cell r="A2873">
            <v>354897</v>
          </cell>
          <cell r="B2873">
            <v>300249</v>
          </cell>
          <cell r="D2873">
            <v>0</v>
          </cell>
          <cell r="E2873">
            <v>37</v>
          </cell>
          <cell r="F2873">
            <v>0</v>
          </cell>
          <cell r="G2873" t="str">
            <v>8</v>
          </cell>
          <cell r="H2873">
            <v>720</v>
          </cell>
          <cell r="I2873" t="str">
            <v>ЧФ АБ "БРОКБІЗНЕСБАНК", М.ЧЕРКАСИ</v>
          </cell>
          <cell r="J2873" t="str">
            <v>Черк.ф. АБ "БРОКБІЗНЕСБАНК"</v>
          </cell>
          <cell r="K2873" t="str">
            <v>UXIZ</v>
          </cell>
          <cell r="L2873" t="str">
            <v>UXIZ</v>
          </cell>
          <cell r="M2873">
            <v>23</v>
          </cell>
          <cell r="N2873">
            <v>26</v>
          </cell>
          <cell r="O2873" t="str">
            <v>Управління НБУ в Чеpкас.обл</v>
          </cell>
        </row>
        <row r="2874">
          <cell r="A2874">
            <v>354916</v>
          </cell>
          <cell r="B2874">
            <v>320003</v>
          </cell>
          <cell r="D2874">
            <v>0</v>
          </cell>
          <cell r="E2874">
            <v>225</v>
          </cell>
          <cell r="F2874">
            <v>0</v>
          </cell>
          <cell r="G2874" t="str">
            <v>B</v>
          </cell>
          <cell r="H2874">
            <v>745</v>
          </cell>
          <cell r="I2874" t="str">
            <v>Ф ВАТ КБ "НАДРА" Черкаське РУ</v>
          </cell>
          <cell r="J2874" t="str">
            <v>Ф ВАТ КБ"Надра"ЧеркаськеРУ</v>
          </cell>
          <cell r="K2874" t="str">
            <v>UXJD</v>
          </cell>
          <cell r="L2874" t="str">
            <v>UXJD</v>
          </cell>
          <cell r="M2874">
            <v>23</v>
          </cell>
          <cell r="N2874">
            <v>26</v>
          </cell>
          <cell r="O2874" t="str">
            <v>Управління НБУ в Чеpкас.обл</v>
          </cell>
        </row>
        <row r="2875">
          <cell r="A2875">
            <v>354927</v>
          </cell>
          <cell r="B2875">
            <v>321228</v>
          </cell>
          <cell r="D2875">
            <v>0</v>
          </cell>
          <cell r="E2875">
            <v>68</v>
          </cell>
          <cell r="F2875">
            <v>0</v>
          </cell>
          <cell r="G2875" t="str">
            <v>8</v>
          </cell>
          <cell r="H2875">
            <v>746</v>
          </cell>
          <cell r="I2875" t="str">
            <v>ЧЕРКАСЬКА Ф.ТОВ"УКРПРОМБАНК",М.ЧЕРКАСИ</v>
          </cell>
          <cell r="J2875" t="str">
            <v>Черк.філіяТОВ "Укрпромбанк"</v>
          </cell>
          <cell r="K2875" t="str">
            <v>UXJJ</v>
          </cell>
          <cell r="L2875" t="str">
            <v>UXJJ</v>
          </cell>
          <cell r="M2875">
            <v>23</v>
          </cell>
          <cell r="N2875">
            <v>26</v>
          </cell>
          <cell r="O2875" t="str">
            <v>Управління НБУ в Чеpкас.обл</v>
          </cell>
        </row>
        <row r="2876">
          <cell r="A2876">
            <v>354938</v>
          </cell>
          <cell r="B2876">
            <v>321767</v>
          </cell>
          <cell r="D2876">
            <v>0</v>
          </cell>
          <cell r="E2876">
            <v>42</v>
          </cell>
          <cell r="F2876">
            <v>0</v>
          </cell>
          <cell r="G2876" t="str">
            <v>B</v>
          </cell>
          <cell r="H2876">
            <v>750</v>
          </cell>
          <cell r="I2876" t="str">
            <v>ЧЕРКАСЬКА Ф ВАТ ВТБ БАНК У М.ЧЕРКАСИ</v>
          </cell>
          <cell r="J2876" t="str">
            <v>Черкаська Ф ВАТ ВТБ Банк</v>
          </cell>
          <cell r="K2876" t="str">
            <v>UXJN</v>
          </cell>
          <cell r="L2876" t="str">
            <v>UXJN</v>
          </cell>
          <cell r="M2876">
            <v>23</v>
          </cell>
          <cell r="N2876">
            <v>26</v>
          </cell>
          <cell r="O2876" t="str">
            <v>Управління НБУ в Чеpкас.обл</v>
          </cell>
        </row>
        <row r="2877">
          <cell r="A2877">
            <v>354972</v>
          </cell>
          <cell r="B2877">
            <v>320702</v>
          </cell>
          <cell r="D2877">
            <v>0</v>
          </cell>
          <cell r="E2877">
            <v>277</v>
          </cell>
          <cell r="F2877">
            <v>0</v>
          </cell>
          <cell r="G2877" t="str">
            <v>8</v>
          </cell>
          <cell r="H2877">
            <v>712</v>
          </cell>
          <cell r="I2877" t="str">
            <v>ФАКБ "НАЦ.КРЕДИТ" В М.КАНІВ</v>
          </cell>
          <cell r="J2877" t="str">
            <v>ФАКБ "НК" в.м.Канів</v>
          </cell>
          <cell r="K2877" t="str">
            <v>UXIU</v>
          </cell>
          <cell r="L2877" t="str">
            <v>UXIU</v>
          </cell>
          <cell r="M2877">
            <v>23</v>
          </cell>
          <cell r="N2877">
            <v>26</v>
          </cell>
          <cell r="O2877" t="str">
            <v>Управління НБУ в Чеpкас.обл</v>
          </cell>
        </row>
        <row r="2878">
          <cell r="A2878">
            <v>354983</v>
          </cell>
          <cell r="B2878">
            <v>300926</v>
          </cell>
          <cell r="D2878">
            <v>0</v>
          </cell>
          <cell r="E2878">
            <v>899</v>
          </cell>
          <cell r="F2878">
            <v>0</v>
          </cell>
          <cell r="G2878" t="str">
            <v>8</v>
          </cell>
          <cell r="H2878">
            <v>726</v>
          </cell>
          <cell r="I2878" t="str">
            <v>ФАТ "УФГ" У М. ЧЕРКАСИ</v>
          </cell>
          <cell r="J2878" t="str">
            <v>ФАТ "УФГ", м.Черкаси</v>
          </cell>
          <cell r="K2878" t="str">
            <v>UXW1</v>
          </cell>
          <cell r="L2878" t="str">
            <v>U1WF</v>
          </cell>
          <cell r="M2878">
            <v>23</v>
          </cell>
          <cell r="N2878">
            <v>26</v>
          </cell>
          <cell r="O2878" t="str">
            <v>Управління НБУ в Чеpкас.обл</v>
          </cell>
        </row>
        <row r="2879">
          <cell r="A2879">
            <v>356000</v>
          </cell>
          <cell r="B2879">
            <v>328384</v>
          </cell>
          <cell r="D2879">
            <v>0</v>
          </cell>
          <cell r="E2879">
            <v>258</v>
          </cell>
          <cell r="F2879">
            <v>0</v>
          </cell>
          <cell r="G2879" t="str">
            <v>8</v>
          </cell>
          <cell r="H2879">
            <v>749</v>
          </cell>
          <cell r="I2879" t="str">
            <v>ФІЛІЯ АКБ "ІМЕКСБАНК" У М.ЧЕРНІВЦІ</v>
          </cell>
          <cell r="J2879" t="str">
            <v>ЧЕРНІВЕЦЬКФ АКБ "ІМЕКСБАНК"</v>
          </cell>
          <cell r="K2879" t="str">
            <v>UZJH</v>
          </cell>
          <cell r="L2879" t="str">
            <v>UZJH</v>
          </cell>
          <cell r="M2879">
            <v>25</v>
          </cell>
          <cell r="N2879">
            <v>15</v>
          </cell>
          <cell r="O2879" t="str">
            <v>Управління НБУ в Чернів.обл</v>
          </cell>
        </row>
        <row r="2880">
          <cell r="A2880">
            <v>356011</v>
          </cell>
          <cell r="B2880">
            <v>300023</v>
          </cell>
          <cell r="D2880">
            <v>0</v>
          </cell>
          <cell r="E2880">
            <v>5</v>
          </cell>
          <cell r="F2880">
            <v>0</v>
          </cell>
          <cell r="G2880" t="str">
            <v>5</v>
          </cell>
          <cell r="H2880">
            <v>506</v>
          </cell>
          <cell r="I2880" t="str">
            <v>ЧЕРНІВЕЦЬКА.ОФ АКБ "УСБ" М.ЧЕРНІВЦІ</v>
          </cell>
          <cell r="J2880" t="str">
            <v>Чернівецька обл.Ф АКБ"УСБ"</v>
          </cell>
          <cell r="K2880" t="str">
            <v>UZCA</v>
          </cell>
          <cell r="L2880" t="str">
            <v>UZCA</v>
          </cell>
          <cell r="M2880">
            <v>25</v>
          </cell>
          <cell r="N2880">
            <v>26</v>
          </cell>
          <cell r="O2880" t="str">
            <v>Управління НБУ в Чернів.обл</v>
          </cell>
        </row>
        <row r="2881">
          <cell r="A2881">
            <v>356163</v>
          </cell>
          <cell r="B2881">
            <v>300012</v>
          </cell>
          <cell r="D2881">
            <v>0</v>
          </cell>
          <cell r="E2881">
            <v>3</v>
          </cell>
          <cell r="F2881">
            <v>0</v>
          </cell>
          <cell r="G2881" t="str">
            <v>3</v>
          </cell>
          <cell r="H2881">
            <v>306</v>
          </cell>
          <cell r="I2881" t="str">
            <v>Ф."ВІДДІЛ.ПРОМІНВЕСТБАНКУ, М.ЧЕРНІВЦІ"</v>
          </cell>
          <cell r="J2881" t="str">
            <v>Ф."ВІДДІЛ. ПІБ, М.ЧЕРНІВЦІ"</v>
          </cell>
          <cell r="K2881" t="str">
            <v>UZA0</v>
          </cell>
          <cell r="L2881" t="str">
            <v>UZA0</v>
          </cell>
          <cell r="M2881">
            <v>25</v>
          </cell>
          <cell r="N2881">
            <v>26</v>
          </cell>
          <cell r="O2881" t="str">
            <v>Управління НБУ в Чернів.обл</v>
          </cell>
        </row>
        <row r="2882">
          <cell r="A2882">
            <v>356185</v>
          </cell>
          <cell r="B2882">
            <v>300001</v>
          </cell>
          <cell r="D2882">
            <v>0</v>
          </cell>
          <cell r="E2882">
            <v>1</v>
          </cell>
          <cell r="F2882">
            <v>0</v>
          </cell>
          <cell r="G2882" t="str">
            <v>1</v>
          </cell>
          <cell r="H2882">
            <v>106</v>
          </cell>
          <cell r="I2882" t="str">
            <v>УПРАВЛІННЯ НБУ В ЧЕРНІВЕЦЬКІЙ ОБЛАСТІ</v>
          </cell>
          <cell r="J2882" t="str">
            <v>Упр. НБУ в Чернівецькій обл</v>
          </cell>
          <cell r="K2882" t="str">
            <v>UZHA</v>
          </cell>
          <cell r="L2882" t="str">
            <v>UZH0</v>
          </cell>
          <cell r="M2882">
            <v>25</v>
          </cell>
          <cell r="N2882">
            <v>27</v>
          </cell>
          <cell r="O2882" t="str">
            <v>Управління НБУ в Чернів.обл</v>
          </cell>
        </row>
        <row r="2883">
          <cell r="A2883">
            <v>356204</v>
          </cell>
          <cell r="B2883">
            <v>300142</v>
          </cell>
          <cell r="D2883">
            <v>0</v>
          </cell>
          <cell r="E2883">
            <v>18</v>
          </cell>
          <cell r="F2883">
            <v>0</v>
          </cell>
          <cell r="G2883" t="str">
            <v>8</v>
          </cell>
          <cell r="H2883">
            <v>701</v>
          </cell>
          <cell r="I2883" t="str">
            <v>ЧЕРHІВЕЦЬКА ФАТ"УКРІНБАНК" М.ЧЕРНІВЦІ</v>
          </cell>
          <cell r="J2883" t="str">
            <v>Чернівецька ФАТ"Укрінбанк"</v>
          </cell>
          <cell r="K2883" t="str">
            <v>UZIB</v>
          </cell>
          <cell r="L2883" t="str">
            <v>UZIB</v>
          </cell>
          <cell r="M2883">
            <v>25</v>
          </cell>
          <cell r="N2883">
            <v>26</v>
          </cell>
          <cell r="O2883" t="str">
            <v>Управління НБУ в Чернів.обл</v>
          </cell>
        </row>
        <row r="2884">
          <cell r="A2884">
            <v>356226</v>
          </cell>
          <cell r="B2884">
            <v>322625</v>
          </cell>
          <cell r="D2884">
            <v>0</v>
          </cell>
          <cell r="E2884">
            <v>222</v>
          </cell>
          <cell r="F2884">
            <v>0</v>
          </cell>
          <cell r="G2884" t="str">
            <v>8</v>
          </cell>
          <cell r="H2884">
            <v>716</v>
          </cell>
          <cell r="I2884" t="str">
            <v>ЧФ АБ "УКООПСПІЛКА"</v>
          </cell>
          <cell r="J2884" t="str">
            <v>ЧФ АБ"Укоопспілка"</v>
          </cell>
          <cell r="K2884" t="str">
            <v>UZIF</v>
          </cell>
          <cell r="L2884" t="str">
            <v>UZIF</v>
          </cell>
          <cell r="M2884">
            <v>25</v>
          </cell>
          <cell r="N2884">
            <v>26</v>
          </cell>
          <cell r="O2884" t="str">
            <v>Управління НБУ в Чернів.обл</v>
          </cell>
        </row>
        <row r="2885">
          <cell r="A2885">
            <v>356271</v>
          </cell>
          <cell r="B2885">
            <v>322313</v>
          </cell>
          <cell r="D2885">
            <v>0</v>
          </cell>
          <cell r="E2885">
            <v>2</v>
          </cell>
          <cell r="F2885">
            <v>0</v>
          </cell>
          <cell r="G2885" t="str">
            <v>2</v>
          </cell>
          <cell r="H2885">
            <v>216</v>
          </cell>
          <cell r="I2885" t="str">
            <v>Ф-Я ВАТ "УКРЕКСІМБАНК", ЧЕРНІВЦІ</v>
          </cell>
          <cell r="J2885" t="str">
            <v>Ф-я Укрексімбанк,Чернівці</v>
          </cell>
          <cell r="K2885" t="str">
            <v>UZGA</v>
          </cell>
          <cell r="L2885" t="str">
            <v>UZGA</v>
          </cell>
          <cell r="M2885">
            <v>25</v>
          </cell>
          <cell r="N2885">
            <v>26</v>
          </cell>
          <cell r="O2885" t="str">
            <v>Управління НБУ в Чернів.обл</v>
          </cell>
        </row>
        <row r="2886">
          <cell r="A2886">
            <v>356282</v>
          </cell>
          <cell r="B2886">
            <v>305299</v>
          </cell>
          <cell r="D2886">
            <v>0</v>
          </cell>
          <cell r="E2886">
            <v>46</v>
          </cell>
          <cell r="F2886">
            <v>0</v>
          </cell>
          <cell r="G2886" t="str">
            <v>A</v>
          </cell>
          <cell r="H2886">
            <v>709</v>
          </cell>
          <cell r="I2886" t="str">
            <v>ЧЕРНІВЕЦЬКА ФІЛІЯ ПРИВАТБАНКУ,ЧЕРНІВЦІ</v>
          </cell>
          <cell r="J2886" t="str">
            <v>Чернівец.філ. ПриватБанку</v>
          </cell>
          <cell r="K2886" t="str">
            <v>UZII</v>
          </cell>
          <cell r="L2886" t="str">
            <v>UZII</v>
          </cell>
          <cell r="M2886">
            <v>25</v>
          </cell>
          <cell r="N2886">
            <v>3</v>
          </cell>
          <cell r="O2886" t="str">
            <v>Управління НБУ в Чернів.обл</v>
          </cell>
        </row>
        <row r="2887">
          <cell r="A2887">
            <v>356293</v>
          </cell>
          <cell r="B2887">
            <v>321228</v>
          </cell>
          <cell r="D2887">
            <v>0</v>
          </cell>
          <cell r="E2887">
            <v>68</v>
          </cell>
          <cell r="F2887">
            <v>0</v>
          </cell>
          <cell r="G2887" t="str">
            <v>8</v>
          </cell>
          <cell r="H2887">
            <v>713</v>
          </cell>
          <cell r="I2887" t="str">
            <v>ЧЕРНІВЕЦ.Ф.ТОВ"УКРПРОМБАНК",М.ЧЕРНІВЦІ</v>
          </cell>
          <cell r="J2887" t="str">
            <v>Чернівец.ф.ТОВ"Укрпромбанк"</v>
          </cell>
          <cell r="K2887" t="str">
            <v>UZIQ</v>
          </cell>
          <cell r="L2887" t="str">
            <v>UZIQ</v>
          </cell>
          <cell r="M2887">
            <v>25</v>
          </cell>
          <cell r="N2887">
            <v>26</v>
          </cell>
          <cell r="O2887" t="str">
            <v>Управління НБУ в Чернів.обл</v>
          </cell>
        </row>
        <row r="2888">
          <cell r="A2888">
            <v>356323</v>
          </cell>
          <cell r="B2888">
            <v>300926</v>
          </cell>
          <cell r="D2888">
            <v>0</v>
          </cell>
          <cell r="E2888">
            <v>899</v>
          </cell>
          <cell r="F2888">
            <v>0</v>
          </cell>
          <cell r="G2888" t="str">
            <v>8</v>
          </cell>
          <cell r="H2888">
            <v>742</v>
          </cell>
          <cell r="I2888" t="str">
            <v>ЧЕРН.ОБЛ.Ф-Я АТ "УФГ" М.ЧЕРНІВЦІ</v>
          </cell>
          <cell r="J2888" t="str">
            <v>Чернівецька обласна ФАТ"УФГ</v>
          </cell>
          <cell r="K2888" t="str">
            <v>UZW2</v>
          </cell>
          <cell r="L2888" t="str">
            <v>U1WF</v>
          </cell>
          <cell r="M2888">
            <v>25</v>
          </cell>
          <cell r="N2888">
            <v>26</v>
          </cell>
          <cell r="O2888" t="str">
            <v>Управління НБУ в Чернів.обл</v>
          </cell>
        </row>
        <row r="2889">
          <cell r="A2889">
            <v>356334</v>
          </cell>
          <cell r="B2889">
            <v>300465</v>
          </cell>
          <cell r="D2889">
            <v>0</v>
          </cell>
          <cell r="E2889">
            <v>6</v>
          </cell>
          <cell r="F2889">
            <v>0</v>
          </cell>
          <cell r="G2889" t="str">
            <v>6</v>
          </cell>
          <cell r="H2889">
            <v>600</v>
          </cell>
          <cell r="I2889" t="str">
            <v>ФЧЕРНІВЕЦЬКЕ ОБЛАСН ВАТОЩАД М.ЧЕРНІВЦІ</v>
          </cell>
          <cell r="J2889" t="str">
            <v>ФЧернівецьке обласнеВАТОщад</v>
          </cell>
          <cell r="K2889" t="str">
            <v>UZLA</v>
          </cell>
          <cell r="L2889" t="str">
            <v>UZLA</v>
          </cell>
          <cell r="M2889">
            <v>25</v>
          </cell>
          <cell r="N2889">
            <v>26</v>
          </cell>
          <cell r="O2889" t="str">
            <v>Управління НБУ в Чернів.обл</v>
          </cell>
        </row>
        <row r="2890">
          <cell r="A2890">
            <v>356345</v>
          </cell>
          <cell r="B2890">
            <v>300465</v>
          </cell>
          <cell r="D2890">
            <v>0</v>
          </cell>
          <cell r="E2890">
            <v>6</v>
          </cell>
          <cell r="F2890">
            <v>0</v>
          </cell>
          <cell r="G2890" t="str">
            <v>6</v>
          </cell>
          <cell r="H2890">
            <v>601</v>
          </cell>
          <cell r="I2890" t="str">
            <v>ФВИЖНИЦЬКЕ ВІДДІЛЕНН ВАТОЩАД М.ВИЖНИЦЯ</v>
          </cell>
          <cell r="J2890" t="str">
            <v>ФВижницьке відділеннВАТОщад</v>
          </cell>
          <cell r="K2890" t="str">
            <v>UZLB</v>
          </cell>
          <cell r="L2890" t="str">
            <v>UZLB</v>
          </cell>
          <cell r="M2890">
            <v>25</v>
          </cell>
          <cell r="N2890">
            <v>26</v>
          </cell>
          <cell r="O2890" t="str">
            <v>Управління НБУ в Чернів.обл</v>
          </cell>
        </row>
        <row r="2891">
          <cell r="A2891">
            <v>356356</v>
          </cell>
          <cell r="B2891">
            <v>300465</v>
          </cell>
          <cell r="D2891">
            <v>0</v>
          </cell>
          <cell r="E2891">
            <v>6</v>
          </cell>
          <cell r="F2891">
            <v>0</v>
          </cell>
          <cell r="G2891" t="str">
            <v>6</v>
          </cell>
          <cell r="H2891">
            <v>602</v>
          </cell>
          <cell r="I2891" t="str">
            <v>ФГЛИБОЦЬКЕ ВІДДІЛЕН ВАТОЩАД СМТ.ГЛИБОК</v>
          </cell>
          <cell r="J2891" t="str">
            <v>ФГлибоцьке відділеннВАТОщад</v>
          </cell>
          <cell r="K2891" t="str">
            <v>UZLC</v>
          </cell>
          <cell r="L2891" t="str">
            <v>UZLC</v>
          </cell>
          <cell r="M2891">
            <v>25</v>
          </cell>
          <cell r="N2891">
            <v>26</v>
          </cell>
          <cell r="O2891" t="str">
            <v>Управління НБУ в Чернів.обл</v>
          </cell>
        </row>
        <row r="2892">
          <cell r="A2892">
            <v>356367</v>
          </cell>
          <cell r="B2892">
            <v>300465</v>
          </cell>
          <cell r="D2892">
            <v>0</v>
          </cell>
          <cell r="E2892">
            <v>6</v>
          </cell>
          <cell r="F2892">
            <v>0</v>
          </cell>
          <cell r="G2892" t="str">
            <v>6</v>
          </cell>
          <cell r="H2892">
            <v>603</v>
          </cell>
          <cell r="I2892" t="str">
            <v>ФЗАСТАВНІВСЬКЕ ВІДД ВАТОЩАД М.ЗАСТАВНА</v>
          </cell>
          <cell r="J2892" t="str">
            <v>ФЗаставнівське віддіВАТОщад</v>
          </cell>
          <cell r="K2892" t="str">
            <v>UZLD</v>
          </cell>
          <cell r="L2892" t="str">
            <v>UZLD</v>
          </cell>
          <cell r="M2892">
            <v>25</v>
          </cell>
          <cell r="N2892">
            <v>26</v>
          </cell>
          <cell r="O2892" t="str">
            <v>Управління НБУ в Чернів.обл</v>
          </cell>
        </row>
        <row r="2893">
          <cell r="A2893">
            <v>356378</v>
          </cell>
          <cell r="B2893">
            <v>300465</v>
          </cell>
          <cell r="D2893">
            <v>0</v>
          </cell>
          <cell r="E2893">
            <v>6</v>
          </cell>
          <cell r="F2893">
            <v>0</v>
          </cell>
          <cell r="G2893" t="str">
            <v>6</v>
          </cell>
          <cell r="H2893">
            <v>604</v>
          </cell>
          <cell r="I2893" t="str">
            <v>ФКЕЛЬМЕНЕЦЬКЕ ВІДДІ ВАТОЩАД СМТ.КЕЛЬМЕ</v>
          </cell>
          <cell r="J2893" t="str">
            <v>ФКельменецьке відділВАТОщад</v>
          </cell>
          <cell r="K2893" t="str">
            <v>UZLE</v>
          </cell>
          <cell r="L2893" t="str">
            <v>UZLE</v>
          </cell>
          <cell r="M2893">
            <v>25</v>
          </cell>
          <cell r="N2893">
            <v>26</v>
          </cell>
          <cell r="O2893" t="str">
            <v>Управління НБУ в Чернів.обл</v>
          </cell>
        </row>
        <row r="2894">
          <cell r="A2894">
            <v>356419</v>
          </cell>
          <cell r="B2894">
            <v>300465</v>
          </cell>
          <cell r="D2894">
            <v>0</v>
          </cell>
          <cell r="E2894">
            <v>6</v>
          </cell>
          <cell r="F2894">
            <v>0</v>
          </cell>
          <cell r="G2894" t="str">
            <v>6</v>
          </cell>
          <cell r="H2894">
            <v>618</v>
          </cell>
          <cell r="I2894" t="str">
            <v>ФСОКИРЯНСЬКЕ ВІДДІЛ ВАТОЩАД М.СОКИРЯНИ</v>
          </cell>
          <cell r="J2894" t="str">
            <v>ФСокирянське відділеВАТОщад</v>
          </cell>
          <cell r="K2894" t="str">
            <v>UZLI</v>
          </cell>
          <cell r="L2894" t="str">
            <v>UZLI</v>
          </cell>
          <cell r="M2894">
            <v>25</v>
          </cell>
          <cell r="N2894">
            <v>26</v>
          </cell>
          <cell r="O2894" t="str">
            <v>Управління НБУ в Чернів.обл</v>
          </cell>
        </row>
        <row r="2895">
          <cell r="A2895">
            <v>356420</v>
          </cell>
          <cell r="B2895">
            <v>300465</v>
          </cell>
          <cell r="D2895">
            <v>0</v>
          </cell>
          <cell r="E2895">
            <v>6</v>
          </cell>
          <cell r="F2895">
            <v>0</v>
          </cell>
          <cell r="G2895" t="str">
            <v>6</v>
          </cell>
          <cell r="H2895">
            <v>619</v>
          </cell>
          <cell r="I2895" t="str">
            <v>ФСТОРОЖИНЕЦЬКЕ ВІДД ВАТОЩАД М.СТОРОЖИН</v>
          </cell>
          <cell r="J2895" t="str">
            <v>ФСторожинецьке віддіВАТОщад</v>
          </cell>
          <cell r="K2895" t="str">
            <v>UZLJ</v>
          </cell>
          <cell r="L2895" t="str">
            <v>UZLJ</v>
          </cell>
          <cell r="M2895">
            <v>25</v>
          </cell>
          <cell r="N2895">
            <v>26</v>
          </cell>
          <cell r="O2895" t="str">
            <v>Управління НБУ в Чернів.обл</v>
          </cell>
        </row>
        <row r="2896">
          <cell r="A2896">
            <v>356431</v>
          </cell>
          <cell r="B2896">
            <v>300465</v>
          </cell>
          <cell r="D2896">
            <v>0</v>
          </cell>
          <cell r="E2896">
            <v>6</v>
          </cell>
          <cell r="F2896">
            <v>0</v>
          </cell>
          <cell r="G2896" t="str">
            <v>6</v>
          </cell>
          <cell r="H2896">
            <v>610</v>
          </cell>
          <cell r="I2896" t="str">
            <v>ФХОТИНСЬКЕ ВІДДІЛЕННЯ  ВАТОЩАД М.ХОТИН</v>
          </cell>
          <cell r="J2896" t="str">
            <v>ФХотинське відділеннВАТОщад</v>
          </cell>
          <cell r="K2896" t="str">
            <v>UZLK</v>
          </cell>
          <cell r="L2896" t="str">
            <v>UZLK</v>
          </cell>
          <cell r="M2896">
            <v>25</v>
          </cell>
          <cell r="N2896">
            <v>26</v>
          </cell>
          <cell r="O2896" t="str">
            <v>Управління НБУ в Чернів.обл</v>
          </cell>
        </row>
        <row r="2897">
          <cell r="A2897">
            <v>356464</v>
          </cell>
          <cell r="B2897">
            <v>300335</v>
          </cell>
          <cell r="D2897">
            <v>0</v>
          </cell>
          <cell r="E2897">
            <v>36</v>
          </cell>
          <cell r="F2897">
            <v>0</v>
          </cell>
          <cell r="G2897" t="str">
            <v>7</v>
          </cell>
          <cell r="H2897">
            <v>714</v>
          </cell>
          <cell r="I2897" t="str">
            <v>ЧЕРН.ОБ.ДИР.ВАТ"РАЙФФАЙЗЕН БАНК АВАЛЬ"</v>
          </cell>
          <cell r="J2897" t="str">
            <v>ЧОД "Райффайзен Банк Аваль"</v>
          </cell>
          <cell r="K2897" t="str">
            <v>UZIJ</v>
          </cell>
          <cell r="L2897" t="str">
            <v>UZIJ</v>
          </cell>
          <cell r="M2897">
            <v>25</v>
          </cell>
          <cell r="N2897">
            <v>26</v>
          </cell>
          <cell r="O2897" t="str">
            <v>Управління НБУ в Чернів.обл</v>
          </cell>
        </row>
        <row r="2898">
          <cell r="A2898">
            <v>356505</v>
          </cell>
          <cell r="B2898">
            <v>320003</v>
          </cell>
          <cell r="D2898">
            <v>0</v>
          </cell>
          <cell r="E2898">
            <v>225</v>
          </cell>
          <cell r="F2898">
            <v>0</v>
          </cell>
          <cell r="G2898" t="str">
            <v>B</v>
          </cell>
          <cell r="H2898">
            <v>728</v>
          </cell>
          <cell r="I2898" t="str">
            <v>Ф ВАТ КБ"НАДРА" ЧЕР. РУ М. ЧЕРНІВЦІ</v>
          </cell>
          <cell r="J2898" t="str">
            <v>ВАТКБ"Надра"Чернівецьке РУ</v>
          </cell>
          <cell r="K2898" t="str">
            <v>UZIP</v>
          </cell>
          <cell r="L2898" t="str">
            <v>UZIP</v>
          </cell>
          <cell r="M2898">
            <v>25</v>
          </cell>
          <cell r="N2898">
            <v>26</v>
          </cell>
          <cell r="O2898" t="str">
            <v>Управління НБУ в Чернів.обл</v>
          </cell>
        </row>
        <row r="2899">
          <cell r="A2899">
            <v>356516</v>
          </cell>
          <cell r="B2899">
            <v>322948</v>
          </cell>
          <cell r="D2899">
            <v>0</v>
          </cell>
          <cell r="E2899">
            <v>248</v>
          </cell>
          <cell r="F2899">
            <v>0</v>
          </cell>
          <cell r="G2899" t="str">
            <v>B</v>
          </cell>
          <cell r="H2899">
            <v>745</v>
          </cell>
          <cell r="I2899" t="str">
            <v>ЧЕРНІВЕЦЬКА Ф АКБ "ФОРУМ" М.ЧЕРНІВЦІ</v>
          </cell>
          <cell r="J2899" t="str">
            <v>Чернівецька Ф АКБ "Форум"</v>
          </cell>
          <cell r="K2899" t="str">
            <v>UZJJ</v>
          </cell>
          <cell r="L2899" t="str">
            <v>UZJJ</v>
          </cell>
          <cell r="M2899">
            <v>25</v>
          </cell>
          <cell r="N2899">
            <v>26</v>
          </cell>
          <cell r="O2899" t="str">
            <v>Управління НБУ в Чернів.обл</v>
          </cell>
        </row>
        <row r="2900">
          <cell r="A2900">
            <v>356538</v>
          </cell>
          <cell r="B2900">
            <v>325912</v>
          </cell>
          <cell r="D2900">
            <v>0</v>
          </cell>
          <cell r="E2900">
            <v>88</v>
          </cell>
          <cell r="F2900">
            <v>0</v>
          </cell>
          <cell r="G2900" t="str">
            <v>B</v>
          </cell>
          <cell r="H2900">
            <v>503</v>
          </cell>
          <cell r="I2900" t="str">
            <v>Чернівецька філія ВАТ "КРЕДОБАНК"</v>
          </cell>
          <cell r="J2900" t="str">
            <v>Чернівецька ф.ВАТ"КРЕДОБАНК</v>
          </cell>
          <cell r="K2900" t="str">
            <v>UZFA</v>
          </cell>
          <cell r="L2900" t="str">
            <v>UZFA</v>
          </cell>
          <cell r="M2900">
            <v>25</v>
          </cell>
          <cell r="N2900">
            <v>13</v>
          </cell>
          <cell r="O2900" t="str">
            <v>Управління НБУ в Чернів.обл</v>
          </cell>
        </row>
        <row r="2901">
          <cell r="A2901">
            <v>356549</v>
          </cell>
          <cell r="B2901">
            <v>300089</v>
          </cell>
          <cell r="D2901">
            <v>0</v>
          </cell>
          <cell r="E2901">
            <v>26</v>
          </cell>
          <cell r="F2901">
            <v>0</v>
          </cell>
          <cell r="G2901" t="str">
            <v>8</v>
          </cell>
          <cell r="H2901">
            <v>803</v>
          </cell>
          <cell r="I2901" t="str">
            <v>ФІЛІЯ АКБ "ТРАНСБАНК" У М.ЧЕРНІВЦІ</v>
          </cell>
          <cell r="J2901" t="str">
            <v>Філ.АКБ"Трансбанк"м.Чернівц</v>
          </cell>
          <cell r="K2901" t="str">
            <v>UZFB</v>
          </cell>
          <cell r="L2901" t="str">
            <v>UZFB</v>
          </cell>
          <cell r="M2901">
            <v>25</v>
          </cell>
          <cell r="N2901">
            <v>26</v>
          </cell>
          <cell r="O2901" t="str">
            <v>Управління НБУ в Чернів.обл</v>
          </cell>
        </row>
        <row r="2902">
          <cell r="A2902">
            <v>356561</v>
          </cell>
          <cell r="B2902">
            <v>300614</v>
          </cell>
          <cell r="D2902">
            <v>0</v>
          </cell>
          <cell r="E2902">
            <v>171</v>
          </cell>
          <cell r="F2902">
            <v>0</v>
          </cell>
          <cell r="G2902" t="str">
            <v>8</v>
          </cell>
          <cell r="H2902">
            <v>740</v>
          </cell>
          <cell r="I2902" t="str">
            <v>Ф-Я"ЧЕРНІВЕЦ.Д""ІНДЕКС-БАНК"М.ЧЕРНІВЦІ</v>
          </cell>
          <cell r="J2902" t="str">
            <v>Ф"ЧЕРНІВ.Д"АТ"ІНДЕКС-БАНК"</v>
          </cell>
          <cell r="K2902" t="str">
            <v>UZJI</v>
          </cell>
          <cell r="L2902" t="str">
            <v>UZJI</v>
          </cell>
          <cell r="M2902">
            <v>25</v>
          </cell>
          <cell r="N2902">
            <v>26</v>
          </cell>
          <cell r="O2902" t="str">
            <v>Управління НБУ в Чернів.обл</v>
          </cell>
        </row>
        <row r="2903">
          <cell r="A2903">
            <v>356572</v>
          </cell>
          <cell r="B2903">
            <v>300904</v>
          </cell>
          <cell r="D2903">
            <v>0</v>
          </cell>
          <cell r="E2903">
            <v>304</v>
          </cell>
          <cell r="F2903">
            <v>0</v>
          </cell>
          <cell r="G2903" t="str">
            <v>8</v>
          </cell>
          <cell r="H2903">
            <v>741</v>
          </cell>
          <cell r="I2903" t="str">
            <v>ЧЕРНІВЕЦ.Ф.ТОВ"ФОРТУНА-БАНК"М.ЧЕРНІВЦІ</v>
          </cell>
          <cell r="J2903" t="str">
            <v>Чернівецька ф"Фортуна-банк"</v>
          </cell>
          <cell r="K2903" t="str">
            <v>UZJK</v>
          </cell>
          <cell r="L2903" t="str">
            <v>UZJK</v>
          </cell>
          <cell r="M2903">
            <v>25</v>
          </cell>
          <cell r="N2903">
            <v>26</v>
          </cell>
          <cell r="O2903" t="str">
            <v>Управління НБУ в Чернів.обл</v>
          </cell>
        </row>
        <row r="2904">
          <cell r="A2904">
            <v>356583</v>
          </cell>
          <cell r="B2904">
            <v>321767</v>
          </cell>
          <cell r="D2904">
            <v>0</v>
          </cell>
          <cell r="E2904">
            <v>42</v>
          </cell>
          <cell r="F2904">
            <v>0</v>
          </cell>
          <cell r="G2904" t="str">
            <v>B</v>
          </cell>
          <cell r="H2904">
            <v>700</v>
          </cell>
          <cell r="I2904" t="str">
            <v>ЧЕРНІВЕЦЬКА Ф ВАТ ВТБ БАНК, ЧЕРНІВЦІ</v>
          </cell>
          <cell r="J2904" t="str">
            <v>Чернівецька Ф ВАТ ВТБ Банк</v>
          </cell>
          <cell r="K2904" t="str">
            <v>UZJG</v>
          </cell>
          <cell r="L2904" t="str">
            <v>UZJG</v>
          </cell>
          <cell r="M2904">
            <v>25</v>
          </cell>
          <cell r="N2904">
            <v>26</v>
          </cell>
          <cell r="O2904" t="str">
            <v>Управління НБУ в Чернів.обл</v>
          </cell>
        </row>
        <row r="2905">
          <cell r="A2905">
            <v>356602</v>
          </cell>
          <cell r="B2905">
            <v>300670</v>
          </cell>
          <cell r="D2905">
            <v>0</v>
          </cell>
          <cell r="E2905">
            <v>202</v>
          </cell>
          <cell r="F2905">
            <v>0</v>
          </cell>
          <cell r="G2905" t="str">
            <v>8</v>
          </cell>
          <cell r="H2905">
            <v>903</v>
          </cell>
          <cell r="I2905" t="str">
            <v>ЧЕРНІВЕЦЬКАФВАТКБ"ХРЕЩАТИК"М.ЧЕРНІВЦІ</v>
          </cell>
          <cell r="J2905" t="str">
            <v>ЧернівецькаФВАТКБ"Хрещатик"</v>
          </cell>
          <cell r="K2905" t="str">
            <v>UZFC</v>
          </cell>
          <cell r="L2905" t="str">
            <v>UZFC</v>
          </cell>
          <cell r="M2905">
            <v>25</v>
          </cell>
          <cell r="N2905">
            <v>26</v>
          </cell>
          <cell r="O2905" t="str">
            <v>Управління НБУ в Чернів.обл</v>
          </cell>
        </row>
        <row r="2906">
          <cell r="A2906">
            <v>356624</v>
          </cell>
          <cell r="B2906">
            <v>300249</v>
          </cell>
          <cell r="D2906">
            <v>0</v>
          </cell>
          <cell r="E2906">
            <v>37</v>
          </cell>
          <cell r="F2906">
            <v>0</v>
          </cell>
          <cell r="G2906" t="str">
            <v>8</v>
          </cell>
          <cell r="H2906">
            <v>204</v>
          </cell>
          <cell r="I2906" t="str">
            <v>ЧЕРНІВ.ФІЛ.АБ"БРОКБІЗНЕСБАНК"М.ЧЕРНІВЦ</v>
          </cell>
          <cell r="J2906" t="str">
            <v>Чернів.ф.АБ"БРОКБІЗНЕСБАНК"</v>
          </cell>
          <cell r="K2906" t="str">
            <v>UZFD</v>
          </cell>
          <cell r="L2906" t="str">
            <v>UZFD</v>
          </cell>
          <cell r="M2906">
            <v>25</v>
          </cell>
          <cell r="N2906">
            <v>26</v>
          </cell>
          <cell r="O2906" t="str">
            <v>Управління НБУ в Чернів.обл</v>
          </cell>
        </row>
        <row r="2907">
          <cell r="A2907">
            <v>356657</v>
          </cell>
          <cell r="B2907">
            <v>380537</v>
          </cell>
          <cell r="D2907">
            <v>0</v>
          </cell>
          <cell r="E2907">
            <v>76</v>
          </cell>
          <cell r="F2907">
            <v>0</v>
          </cell>
          <cell r="G2907" t="str">
            <v>B</v>
          </cell>
          <cell r="H2907">
            <v>759</v>
          </cell>
          <cell r="I2907" t="str">
            <v>БУКОВИНСЬКА Ф. "ВІЕЙБІБАНК" М.ЧЕРНІВЦІ</v>
          </cell>
          <cell r="J2907" t="str">
            <v>Буковинська Ф "ВіЕйБіБанк"</v>
          </cell>
          <cell r="K2907" t="str">
            <v>UZJL</v>
          </cell>
          <cell r="L2907" t="str">
            <v>UZJL</v>
          </cell>
          <cell r="M2907">
            <v>25</v>
          </cell>
          <cell r="N2907">
            <v>26</v>
          </cell>
          <cell r="O2907" t="str">
            <v>Управління НБУ в Чернів.обл</v>
          </cell>
        </row>
        <row r="2908">
          <cell r="A2908">
            <v>362061</v>
          </cell>
          <cell r="B2908">
            <v>300465</v>
          </cell>
          <cell r="D2908">
            <v>0</v>
          </cell>
          <cell r="E2908">
            <v>6</v>
          </cell>
          <cell r="F2908">
            <v>0</v>
          </cell>
          <cell r="G2908" t="str">
            <v>6</v>
          </cell>
          <cell r="H2908">
            <v>607</v>
          </cell>
          <cell r="I2908" t="str">
            <v>ФВІННИЦЬКЕ РАЙОННЕ В ВАТОЩАД М.ВІННИЦЯ</v>
          </cell>
          <cell r="J2908" t="str">
            <v>ФВінницьке районне вВАТОщад</v>
          </cell>
          <cell r="K2908" t="str">
            <v>UALF</v>
          </cell>
          <cell r="L2908" t="str">
            <v>UALA</v>
          </cell>
          <cell r="M2908">
            <v>1</v>
          </cell>
          <cell r="N2908">
            <v>26</v>
          </cell>
          <cell r="O2908" t="str">
            <v>Управління НБУ у Вінниц.обл</v>
          </cell>
        </row>
        <row r="2909">
          <cell r="A2909">
            <v>362102</v>
          </cell>
          <cell r="B2909">
            <v>300465</v>
          </cell>
          <cell r="D2909">
            <v>0</v>
          </cell>
          <cell r="E2909">
            <v>6</v>
          </cell>
          <cell r="F2909">
            <v>0</v>
          </cell>
          <cell r="G2909" t="str">
            <v>6</v>
          </cell>
          <cell r="H2909">
            <v>611</v>
          </cell>
          <cell r="I2909" t="str">
            <v>ФКОЗЯТИНСЬКЕ ВІДДІЛ ВАТОЩАД М  .КОЗЯТИ</v>
          </cell>
          <cell r="J2909" t="str">
            <v>ФКозятинське відділеВАТОщад</v>
          </cell>
          <cell r="K2909" t="str">
            <v>UALJ</v>
          </cell>
          <cell r="L2909" t="str">
            <v>UALA</v>
          </cell>
          <cell r="M2909">
            <v>1</v>
          </cell>
          <cell r="N2909">
            <v>26</v>
          </cell>
          <cell r="O2909" t="str">
            <v>Управління НБУ у Вінниц.обл</v>
          </cell>
        </row>
        <row r="2910">
          <cell r="A2910">
            <v>362157</v>
          </cell>
          <cell r="B2910">
            <v>300465</v>
          </cell>
          <cell r="D2910">
            <v>0</v>
          </cell>
          <cell r="E2910">
            <v>6</v>
          </cell>
          <cell r="F2910">
            <v>0</v>
          </cell>
          <cell r="G2910" t="str">
            <v>6</v>
          </cell>
          <cell r="H2910">
            <v>616</v>
          </cell>
          <cell r="I2910" t="str">
            <v>ФМОГИЛІВ-ПОДІЛЬСЬКЕ ВАТОЩАД М.МОГИЛІВ-</v>
          </cell>
          <cell r="J2910" t="str">
            <v>ФМогилів-Подільське ВАТОщад</v>
          </cell>
          <cell r="K2910" t="str">
            <v>UALO</v>
          </cell>
          <cell r="L2910" t="str">
            <v>UALA</v>
          </cell>
          <cell r="M2910">
            <v>1</v>
          </cell>
          <cell r="N2910">
            <v>26</v>
          </cell>
          <cell r="O2910" t="str">
            <v>Управління НБУ у Вінниц.обл</v>
          </cell>
        </row>
        <row r="2911">
          <cell r="A2911">
            <v>362180</v>
          </cell>
          <cell r="B2911">
            <v>300465</v>
          </cell>
          <cell r="D2911">
            <v>0</v>
          </cell>
          <cell r="E2911">
            <v>6</v>
          </cell>
          <cell r="F2911">
            <v>0</v>
          </cell>
          <cell r="G2911" t="str">
            <v>6</v>
          </cell>
          <cell r="H2911">
            <v>619</v>
          </cell>
          <cell r="I2911" t="str">
            <v>ФОРАТІВСЬКЕ ВІДДІЛЕ ВАТОЩАД СМТ.ОРАТІВ</v>
          </cell>
          <cell r="J2911" t="str">
            <v>ФОратівське відділенВАТОщад</v>
          </cell>
          <cell r="K2911" t="str">
            <v>UALR</v>
          </cell>
          <cell r="L2911" t="str">
            <v>UALA</v>
          </cell>
          <cell r="M2911">
            <v>1</v>
          </cell>
          <cell r="N2911">
            <v>26</v>
          </cell>
          <cell r="O2911" t="str">
            <v>Управління НБУ у Вінниц.обл</v>
          </cell>
        </row>
        <row r="2912">
          <cell r="A2912">
            <v>362191</v>
          </cell>
          <cell r="B2912">
            <v>300465</v>
          </cell>
          <cell r="D2912">
            <v>0</v>
          </cell>
          <cell r="E2912">
            <v>6</v>
          </cell>
          <cell r="F2912">
            <v>0</v>
          </cell>
          <cell r="G2912" t="str">
            <v>6</v>
          </cell>
          <cell r="H2912">
            <v>610</v>
          </cell>
          <cell r="I2912" t="str">
            <v>ФІЛЛІНЕЦЬКЕ ВІДДІЛЕН ВАТОЩАД М.ІЛЛІНЦІ</v>
          </cell>
          <cell r="J2912" t="str">
            <v>ФІллінецьке відділенВАТОщад</v>
          </cell>
          <cell r="K2912" t="str">
            <v>UALI</v>
          </cell>
          <cell r="L2912" t="str">
            <v>UALA</v>
          </cell>
          <cell r="M2912">
            <v>1</v>
          </cell>
          <cell r="N2912">
            <v>26</v>
          </cell>
          <cell r="O2912" t="str">
            <v>Управління НБУ у Вінниц.обл</v>
          </cell>
        </row>
        <row r="2913">
          <cell r="A2913">
            <v>362265</v>
          </cell>
          <cell r="B2913">
            <v>300465</v>
          </cell>
          <cell r="D2913">
            <v>0</v>
          </cell>
          <cell r="E2913">
            <v>6</v>
          </cell>
          <cell r="F2913">
            <v>0</v>
          </cell>
          <cell r="G2913" t="str">
            <v>6</v>
          </cell>
          <cell r="H2913">
            <v>627</v>
          </cell>
          <cell r="I2913" t="str">
            <v>ФХМІЛЬНИЦЬКЕ ВІДДІЛ ВАТОЩАД М.ХМІЛЬНИК</v>
          </cell>
          <cell r="J2913" t="str">
            <v>ФХмільницьке відділеВАТОщад</v>
          </cell>
          <cell r="K2913" t="str">
            <v>UALZ</v>
          </cell>
          <cell r="L2913" t="str">
            <v>UALA</v>
          </cell>
          <cell r="M2913">
            <v>1</v>
          </cell>
          <cell r="N2913">
            <v>26</v>
          </cell>
          <cell r="O2913" t="str">
            <v>Управління НБУ у Вінниц.обл</v>
          </cell>
        </row>
        <row r="2914">
          <cell r="A2914">
            <v>362317</v>
          </cell>
          <cell r="B2914">
            <v>300465</v>
          </cell>
          <cell r="D2914">
            <v>0</v>
          </cell>
          <cell r="E2914">
            <v>6</v>
          </cell>
          <cell r="F2914">
            <v>0</v>
          </cell>
          <cell r="G2914" t="str">
            <v>6</v>
          </cell>
          <cell r="H2914">
            <v>632</v>
          </cell>
          <cell r="I2914" t="str">
            <v>ФВІННИЦЬКЕ МІСЬКЕ ВІ ВАТОЩАД М.ВІННИЦЯ</v>
          </cell>
          <cell r="J2914" t="str">
            <v>ФВінницьке міське віВАТОщад</v>
          </cell>
          <cell r="K2914" t="str">
            <v>UAMI</v>
          </cell>
          <cell r="L2914" t="str">
            <v>UALA</v>
          </cell>
          <cell r="M2914">
            <v>1</v>
          </cell>
          <cell r="N2914">
            <v>26</v>
          </cell>
          <cell r="O2914" t="str">
            <v>Управління НБУ у Вінниц.обл</v>
          </cell>
        </row>
        <row r="2915">
          <cell r="A2915">
            <v>364003</v>
          </cell>
          <cell r="B2915">
            <v>328384</v>
          </cell>
          <cell r="D2915">
            <v>0</v>
          </cell>
          <cell r="E2915">
            <v>258</v>
          </cell>
          <cell r="F2915">
            <v>0</v>
          </cell>
          <cell r="G2915" t="str">
            <v>8</v>
          </cell>
          <cell r="H2915">
            <v>903</v>
          </cell>
          <cell r="I2915" t="str">
            <v>ФІЛІЯ АКБ "ІМЕКСБАНК" У М.ЛУГАНСЬК</v>
          </cell>
          <cell r="J2915" t="str">
            <v>ЛФ АКБ "ІМЕКСБАНК"</v>
          </cell>
          <cell r="K2915" t="str">
            <v>UMFA</v>
          </cell>
          <cell r="L2915" t="str">
            <v>UMFA</v>
          </cell>
          <cell r="M2915">
            <v>12</v>
          </cell>
          <cell r="N2915">
            <v>15</v>
          </cell>
          <cell r="O2915" t="str">
            <v>Управління НБУ в Луганс.обл</v>
          </cell>
        </row>
        <row r="2916">
          <cell r="A2916">
            <v>364014</v>
          </cell>
          <cell r="B2916">
            <v>300465</v>
          </cell>
          <cell r="D2916">
            <v>0</v>
          </cell>
          <cell r="E2916">
            <v>6</v>
          </cell>
          <cell r="F2916">
            <v>0</v>
          </cell>
          <cell r="G2916" t="str">
            <v>6</v>
          </cell>
          <cell r="H2916">
            <v>613</v>
          </cell>
          <cell r="I2916" t="str">
            <v>ФКРАСНОДОНСЬКЕ ВІДД ВАТОЩАД М.КРАСНОДО</v>
          </cell>
          <cell r="J2916" t="str">
            <v>ФКраснодонське віддіВАТОщад</v>
          </cell>
          <cell r="K2916" t="str">
            <v>UMLL</v>
          </cell>
          <cell r="L2916" t="str">
            <v>UMLL</v>
          </cell>
          <cell r="M2916">
            <v>12</v>
          </cell>
          <cell r="N2916">
            <v>26</v>
          </cell>
          <cell r="O2916" t="str">
            <v>Управління НБУ в Луганс.обл</v>
          </cell>
        </row>
        <row r="2917">
          <cell r="A2917">
            <v>364025</v>
          </cell>
          <cell r="B2917">
            <v>300465</v>
          </cell>
          <cell r="D2917">
            <v>0</v>
          </cell>
          <cell r="E2917">
            <v>6</v>
          </cell>
          <cell r="F2917">
            <v>0</v>
          </cell>
          <cell r="G2917" t="str">
            <v>6</v>
          </cell>
          <cell r="H2917">
            <v>614</v>
          </cell>
          <cell r="I2917" t="str">
            <v>ФБІЛОВОДСЬКЕ ВІДДІЛ ВАТОЩАД СМТ.БІЛОВО</v>
          </cell>
          <cell r="J2917" t="str">
            <v>ФБіловодське відділеВАТОщад</v>
          </cell>
          <cell r="K2917" t="str">
            <v>UMLM</v>
          </cell>
          <cell r="L2917" t="str">
            <v>UMLM</v>
          </cell>
          <cell r="M2917">
            <v>12</v>
          </cell>
          <cell r="N2917">
            <v>26</v>
          </cell>
          <cell r="O2917" t="str">
            <v>Управління НБУ в Луганс.обл</v>
          </cell>
        </row>
        <row r="2918">
          <cell r="A2918">
            <v>364036</v>
          </cell>
          <cell r="B2918">
            <v>300465</v>
          </cell>
          <cell r="D2918">
            <v>0</v>
          </cell>
          <cell r="E2918">
            <v>6</v>
          </cell>
          <cell r="F2918">
            <v>0</v>
          </cell>
          <cell r="G2918" t="str">
            <v>6</v>
          </cell>
          <cell r="H2918">
            <v>615</v>
          </cell>
          <cell r="I2918" t="str">
            <v>ФНОВОПСКОВСЬКЕ ВІДД ВАТОЩАД СМТ.НОВОПС</v>
          </cell>
          <cell r="J2918" t="str">
            <v>ФНовопсковське віддіВАТОщад</v>
          </cell>
          <cell r="K2918" t="str">
            <v>UMLN</v>
          </cell>
          <cell r="L2918" t="str">
            <v>UMLN</v>
          </cell>
          <cell r="M2918">
            <v>12</v>
          </cell>
          <cell r="N2918">
            <v>26</v>
          </cell>
          <cell r="O2918" t="str">
            <v>Управління НБУ в Луганс.обл</v>
          </cell>
        </row>
        <row r="2919">
          <cell r="A2919">
            <v>364058</v>
          </cell>
          <cell r="B2919">
            <v>300465</v>
          </cell>
          <cell r="D2919">
            <v>0</v>
          </cell>
          <cell r="E2919">
            <v>6</v>
          </cell>
          <cell r="F2919">
            <v>0</v>
          </cell>
          <cell r="G2919" t="str">
            <v>6</v>
          </cell>
          <cell r="H2919">
            <v>604</v>
          </cell>
          <cell r="I2919" t="str">
            <v>ФСТАРОБІЛЬСЬКЕ ВІДД ВАТОЩАД М.СТАРОБІЛ</v>
          </cell>
          <cell r="J2919" t="str">
            <v>ФСтаробільське віддіВАТОщад</v>
          </cell>
          <cell r="K2919" t="str">
            <v>UMLC</v>
          </cell>
          <cell r="L2919" t="str">
            <v>UMLC</v>
          </cell>
          <cell r="M2919">
            <v>12</v>
          </cell>
          <cell r="N2919">
            <v>26</v>
          </cell>
          <cell r="O2919" t="str">
            <v>Управління НБУ в Луганс.обл</v>
          </cell>
        </row>
        <row r="2920">
          <cell r="A2920">
            <v>364069</v>
          </cell>
          <cell r="B2920">
            <v>300465</v>
          </cell>
          <cell r="D2920">
            <v>0</v>
          </cell>
          <cell r="E2920">
            <v>6</v>
          </cell>
          <cell r="F2920">
            <v>0</v>
          </cell>
          <cell r="G2920" t="str">
            <v>6</v>
          </cell>
          <cell r="H2920">
            <v>605</v>
          </cell>
          <cell r="I2920" t="str">
            <v>ФСВАТIВСЬКЕ ВІДДІЛЕН ВАТОЩАД М.СВАТОВЕ</v>
          </cell>
          <cell r="J2920" t="str">
            <v>ФСватiвське відділенВАТОщад</v>
          </cell>
          <cell r="K2920" t="str">
            <v>UMLD</v>
          </cell>
          <cell r="L2920" t="str">
            <v>UMLD</v>
          </cell>
          <cell r="M2920">
            <v>12</v>
          </cell>
          <cell r="N2920">
            <v>26</v>
          </cell>
          <cell r="O2920" t="str">
            <v>Управління НБУ в Луганс.обл</v>
          </cell>
        </row>
        <row r="2921">
          <cell r="A2921">
            <v>364070</v>
          </cell>
          <cell r="B2921">
            <v>300465</v>
          </cell>
          <cell r="D2921">
            <v>0</v>
          </cell>
          <cell r="E2921">
            <v>6</v>
          </cell>
          <cell r="F2921">
            <v>0</v>
          </cell>
          <cell r="G2921" t="str">
            <v>6</v>
          </cell>
          <cell r="H2921">
            <v>606</v>
          </cell>
          <cell r="I2921" t="str">
            <v>ФЛИСИЧАНСЬКЕ ВІДДІЛ ВАТОЩАД М.ЛИСИЧАНС</v>
          </cell>
          <cell r="J2921" t="str">
            <v>ФЛисичанське відділеВАТОщад</v>
          </cell>
          <cell r="K2921" t="str">
            <v>UMLE</v>
          </cell>
          <cell r="L2921" t="str">
            <v>UMLE</v>
          </cell>
          <cell r="M2921">
            <v>12</v>
          </cell>
          <cell r="N2921">
            <v>26</v>
          </cell>
          <cell r="O2921" t="str">
            <v>Управління НБУ в Луганс.обл</v>
          </cell>
        </row>
        <row r="2922">
          <cell r="A2922">
            <v>364081</v>
          </cell>
          <cell r="B2922">
            <v>300465</v>
          </cell>
          <cell r="D2922">
            <v>0</v>
          </cell>
          <cell r="E2922">
            <v>6</v>
          </cell>
          <cell r="F2922">
            <v>0</v>
          </cell>
          <cell r="G2922" t="str">
            <v>6</v>
          </cell>
          <cell r="H2922">
            <v>607</v>
          </cell>
          <cell r="I2922" t="str">
            <v>ФАЛЧЕВСЬКЕ ВІДДІЛЕН ВАТОЩАД М.АЛЧЕВСЬК</v>
          </cell>
          <cell r="J2922" t="str">
            <v>ФАлчевське відділеннВАТОщад</v>
          </cell>
          <cell r="K2922" t="str">
            <v>UMLF</v>
          </cell>
          <cell r="L2922" t="str">
            <v>UMLF</v>
          </cell>
          <cell r="M2922">
            <v>12</v>
          </cell>
          <cell r="N2922">
            <v>26</v>
          </cell>
          <cell r="O2922" t="str">
            <v>Управління НБУ в Луганс.обл</v>
          </cell>
        </row>
        <row r="2923">
          <cell r="A2923">
            <v>364092</v>
          </cell>
          <cell r="B2923">
            <v>300465</v>
          </cell>
          <cell r="D2923">
            <v>0</v>
          </cell>
          <cell r="E2923">
            <v>6</v>
          </cell>
          <cell r="F2923">
            <v>0</v>
          </cell>
          <cell r="G2923" t="str">
            <v>6</v>
          </cell>
          <cell r="H2923">
            <v>608</v>
          </cell>
          <cell r="I2923" t="str">
            <v>ФСТАХАНОВСЬКЕ ВІДДІ ВАТОЩАД М.СТАХАНОВ</v>
          </cell>
          <cell r="J2923" t="str">
            <v>ФСтахановське відділВАТОщад</v>
          </cell>
          <cell r="K2923" t="str">
            <v>UMLG</v>
          </cell>
          <cell r="L2923" t="str">
            <v>UMLG</v>
          </cell>
          <cell r="M2923">
            <v>12</v>
          </cell>
          <cell r="N2923">
            <v>26</v>
          </cell>
          <cell r="O2923" t="str">
            <v>Управління НБУ в Луганс.обл</v>
          </cell>
        </row>
        <row r="2924">
          <cell r="A2924">
            <v>364100</v>
          </cell>
          <cell r="B2924">
            <v>300465</v>
          </cell>
          <cell r="D2924">
            <v>0</v>
          </cell>
          <cell r="E2924">
            <v>6</v>
          </cell>
          <cell r="F2924">
            <v>0</v>
          </cell>
          <cell r="G2924" t="str">
            <v>6</v>
          </cell>
          <cell r="H2924">
            <v>619</v>
          </cell>
          <cell r="I2924" t="str">
            <v>ФБІЛОКУРАКИНСЬКЕ ВІ ВАТОЩАД СМТ.БІЛОКУ</v>
          </cell>
          <cell r="J2924" t="str">
            <v>ФБілокуракинське відВАТОщад</v>
          </cell>
          <cell r="K2924" t="str">
            <v>UMLR</v>
          </cell>
          <cell r="L2924" t="str">
            <v>UMLR</v>
          </cell>
          <cell r="M2924">
            <v>12</v>
          </cell>
          <cell r="N2924">
            <v>26</v>
          </cell>
          <cell r="O2924" t="str">
            <v>Управління НБУ в Луганс.обл</v>
          </cell>
        </row>
        <row r="2925">
          <cell r="A2925">
            <v>364111</v>
          </cell>
          <cell r="B2925">
            <v>300465</v>
          </cell>
          <cell r="D2925">
            <v>0</v>
          </cell>
          <cell r="E2925">
            <v>6</v>
          </cell>
          <cell r="F2925">
            <v>0</v>
          </cell>
          <cell r="G2925" t="str">
            <v>6</v>
          </cell>
          <cell r="H2925">
            <v>610</v>
          </cell>
          <cell r="I2925" t="str">
            <v>ФРОВЕНЬКІВСЬКЕ ВІДД ВАТОЩАД М.РОВЕНЬКИ</v>
          </cell>
          <cell r="J2925" t="str">
            <v>ФРовеньківське віддіВАТОщад</v>
          </cell>
          <cell r="K2925" t="str">
            <v>UMLI</v>
          </cell>
          <cell r="L2925" t="str">
            <v>UMLI</v>
          </cell>
          <cell r="M2925">
            <v>12</v>
          </cell>
          <cell r="N2925">
            <v>26</v>
          </cell>
          <cell r="O2925" t="str">
            <v>Управління НБУ в Луганс.обл</v>
          </cell>
        </row>
        <row r="2926">
          <cell r="A2926">
            <v>364122</v>
          </cell>
          <cell r="B2926">
            <v>300465</v>
          </cell>
          <cell r="D2926">
            <v>0</v>
          </cell>
          <cell r="E2926">
            <v>6</v>
          </cell>
          <cell r="F2926">
            <v>0</v>
          </cell>
          <cell r="G2926" t="str">
            <v>6</v>
          </cell>
          <cell r="H2926">
            <v>611</v>
          </cell>
          <cell r="I2926" t="str">
            <v>ФСТАНИЧНО-ЛУГАНСЬКЕ ВАТОЩАД СМТ.СТАНИЧ</v>
          </cell>
          <cell r="J2926" t="str">
            <v>ФСтанично-Луганське ВАТОщад</v>
          </cell>
          <cell r="K2926" t="str">
            <v>UMLJ</v>
          </cell>
          <cell r="L2926" t="str">
            <v>UMLJ</v>
          </cell>
          <cell r="M2926">
            <v>12</v>
          </cell>
          <cell r="N2926">
            <v>26</v>
          </cell>
          <cell r="O2926" t="str">
            <v>Управління НБУ в Луганс.обл</v>
          </cell>
        </row>
        <row r="2927">
          <cell r="A2927">
            <v>364133</v>
          </cell>
          <cell r="B2927">
            <v>300465</v>
          </cell>
          <cell r="D2927">
            <v>0</v>
          </cell>
          <cell r="E2927">
            <v>6</v>
          </cell>
          <cell r="F2927">
            <v>0</v>
          </cell>
          <cell r="G2927" t="str">
            <v>6</v>
          </cell>
          <cell r="H2927">
            <v>609</v>
          </cell>
          <cell r="I2927" t="str">
            <v>ФКРАСНОЛУЦЬКЕ ВІДДІЛ ВАТОЩАД М.КРАСНИЙ</v>
          </cell>
          <cell r="J2927" t="str">
            <v>ФКраснолуцьке відділВАТОщад</v>
          </cell>
          <cell r="K2927" t="str">
            <v>UMLH</v>
          </cell>
          <cell r="L2927" t="str">
            <v>UMLH</v>
          </cell>
          <cell r="M2927">
            <v>12</v>
          </cell>
          <cell r="N2927">
            <v>26</v>
          </cell>
          <cell r="O2927" t="str">
            <v>Управління НБУ в Луганс.обл</v>
          </cell>
        </row>
        <row r="2928">
          <cell r="A2928">
            <v>364144</v>
          </cell>
          <cell r="B2928">
            <v>300465</v>
          </cell>
          <cell r="D2928">
            <v>0</v>
          </cell>
          <cell r="E2928">
            <v>6</v>
          </cell>
          <cell r="F2928">
            <v>0</v>
          </cell>
          <cell r="G2928" t="str">
            <v>6</v>
          </cell>
          <cell r="H2928">
            <v>626</v>
          </cell>
          <cell r="I2928" t="str">
            <v>ФБРЯНКІВСЬКЕ ВІДДІЛЕН ВАТОЩАД М.БРЯНКА</v>
          </cell>
          <cell r="J2928" t="str">
            <v>ФБрянківське відділеВАТОщад</v>
          </cell>
          <cell r="K2928" t="str">
            <v>UMLY</v>
          </cell>
          <cell r="L2928" t="str">
            <v>UMLY</v>
          </cell>
          <cell r="M2928">
            <v>12</v>
          </cell>
          <cell r="N2928">
            <v>26</v>
          </cell>
          <cell r="O2928" t="str">
            <v>Управління НБУ в Луганс.обл</v>
          </cell>
        </row>
        <row r="2929">
          <cell r="A2929">
            <v>364166</v>
          </cell>
          <cell r="B2929">
            <v>300465</v>
          </cell>
          <cell r="D2929">
            <v>0</v>
          </cell>
          <cell r="E2929">
            <v>6</v>
          </cell>
          <cell r="F2929">
            <v>0</v>
          </cell>
          <cell r="G2929" t="str">
            <v>6</v>
          </cell>
          <cell r="H2929">
            <v>628</v>
          </cell>
          <cell r="I2929" t="str">
            <v>ФСЄВЕРОДОНЕЦЬКЕ ВІД ВАТОЩАД М.СЄВЕРОДО</v>
          </cell>
          <cell r="J2929" t="str">
            <v>ФСєверодонецьке віддВАТОщад</v>
          </cell>
          <cell r="K2929" t="str">
            <v>UMMA</v>
          </cell>
          <cell r="L2929" t="str">
            <v>UMMA</v>
          </cell>
          <cell r="M2929">
            <v>12</v>
          </cell>
          <cell r="N2929">
            <v>26</v>
          </cell>
          <cell r="O2929" t="str">
            <v>Управління НБУ в Луганс.обл</v>
          </cell>
        </row>
        <row r="2930">
          <cell r="A2930">
            <v>364199</v>
          </cell>
          <cell r="B2930">
            <v>300465</v>
          </cell>
          <cell r="D2930">
            <v>0</v>
          </cell>
          <cell r="E2930">
            <v>6</v>
          </cell>
          <cell r="F2930">
            <v>0</v>
          </cell>
          <cell r="G2930" t="str">
            <v>6</v>
          </cell>
          <cell r="H2930">
            <v>618</v>
          </cell>
          <cell r="I2930" t="str">
            <v>ФНОВОАЙДАРСЬКЕ ВІДД ВАТОЩАД СМТ.НОВОАЙ</v>
          </cell>
          <cell r="J2930" t="str">
            <v>ФНовоайдарське віддіВАТОщад</v>
          </cell>
          <cell r="K2930" t="str">
            <v>UMLQ</v>
          </cell>
          <cell r="L2930" t="str">
            <v>UMLQ</v>
          </cell>
          <cell r="M2930">
            <v>12</v>
          </cell>
          <cell r="N2930">
            <v>26</v>
          </cell>
          <cell r="O2930" t="str">
            <v>Управління НБУ в Луганс.обл</v>
          </cell>
        </row>
        <row r="2931">
          <cell r="A2931">
            <v>364207</v>
          </cell>
          <cell r="B2931">
            <v>300465</v>
          </cell>
          <cell r="D2931">
            <v>0</v>
          </cell>
          <cell r="E2931">
            <v>6</v>
          </cell>
          <cell r="F2931">
            <v>0</v>
          </cell>
          <cell r="G2931" t="str">
            <v>6</v>
          </cell>
          <cell r="H2931">
            <v>629</v>
          </cell>
          <cell r="I2931" t="str">
            <v>ФПЕРВОМАЙСЬКЕ ВІДДІ ВАТОЩАД М.ПЕРВОМАЙ</v>
          </cell>
          <cell r="J2931" t="str">
            <v>ФПервомайське відділВАТОщад</v>
          </cell>
          <cell r="K2931" t="str">
            <v>UMMB</v>
          </cell>
          <cell r="L2931" t="str">
            <v>UMMB</v>
          </cell>
          <cell r="M2931">
            <v>12</v>
          </cell>
          <cell r="N2931">
            <v>26</v>
          </cell>
          <cell r="O2931" t="str">
            <v>Управління НБУ в Луганс.обл</v>
          </cell>
        </row>
        <row r="2932">
          <cell r="A2932">
            <v>364229</v>
          </cell>
          <cell r="B2932">
            <v>300465</v>
          </cell>
          <cell r="D2932">
            <v>0</v>
          </cell>
          <cell r="E2932">
            <v>6</v>
          </cell>
          <cell r="F2932">
            <v>0</v>
          </cell>
          <cell r="G2932" t="str">
            <v>6</v>
          </cell>
          <cell r="H2932">
            <v>621</v>
          </cell>
          <cell r="I2932" t="str">
            <v>ФАНТРАЦИТІВСЬКЕ ВІД ВАТОЩАД М.АНТРАЦИТ</v>
          </cell>
          <cell r="J2932" t="str">
            <v>ФАнтрацитівське віддВАТОщад</v>
          </cell>
          <cell r="K2932" t="str">
            <v>UMLT</v>
          </cell>
          <cell r="L2932" t="str">
            <v>UMLT</v>
          </cell>
          <cell r="M2932">
            <v>12</v>
          </cell>
          <cell r="N2932">
            <v>26</v>
          </cell>
          <cell r="O2932" t="str">
            <v>Управління НБУ в Луганс.обл</v>
          </cell>
        </row>
        <row r="2933">
          <cell r="A2933">
            <v>364230</v>
          </cell>
          <cell r="B2933">
            <v>300465</v>
          </cell>
          <cell r="D2933">
            <v>0</v>
          </cell>
          <cell r="E2933">
            <v>6</v>
          </cell>
          <cell r="F2933">
            <v>0</v>
          </cell>
          <cell r="G2933" t="str">
            <v>6</v>
          </cell>
          <cell r="H2933">
            <v>622</v>
          </cell>
          <cell r="I2933" t="str">
            <v>ФСЛОВ`ЯНОСЕРБСЬКЕ В ВАТОЩАД СМТ.СЛОВ`Я</v>
          </cell>
          <cell r="J2933" t="str">
            <v>ФСлов`яносербське віВАТОщад</v>
          </cell>
          <cell r="K2933" t="str">
            <v>UMLU</v>
          </cell>
          <cell r="L2933" t="str">
            <v>UMLU</v>
          </cell>
          <cell r="M2933">
            <v>12</v>
          </cell>
          <cell r="N2933">
            <v>26</v>
          </cell>
          <cell r="O2933" t="str">
            <v>Управління НБУ в Луганс.обл</v>
          </cell>
        </row>
        <row r="2934">
          <cell r="A2934">
            <v>364241</v>
          </cell>
          <cell r="B2934">
            <v>300465</v>
          </cell>
          <cell r="D2934">
            <v>0</v>
          </cell>
          <cell r="E2934">
            <v>6</v>
          </cell>
          <cell r="F2934">
            <v>0</v>
          </cell>
          <cell r="G2934" t="str">
            <v>6</v>
          </cell>
          <cell r="H2934">
            <v>623</v>
          </cell>
          <cell r="I2934" t="str">
            <v>ФСВЕРДЛОВСЬКЕ ВІДДІ ВАТОЩАД М.СВЕРДЛОВ</v>
          </cell>
          <cell r="J2934" t="str">
            <v>ФСвердловське відділВАТОщад</v>
          </cell>
          <cell r="K2934" t="str">
            <v>UMLV</v>
          </cell>
          <cell r="L2934" t="str">
            <v>UMLV</v>
          </cell>
          <cell r="M2934">
            <v>12</v>
          </cell>
          <cell r="N2934">
            <v>26</v>
          </cell>
          <cell r="O2934" t="str">
            <v>Управління НБУ в Луганс.обл</v>
          </cell>
        </row>
        <row r="2935">
          <cell r="A2935">
            <v>364252</v>
          </cell>
          <cell r="B2935">
            <v>300465</v>
          </cell>
          <cell r="D2935">
            <v>0</v>
          </cell>
          <cell r="E2935">
            <v>6</v>
          </cell>
          <cell r="F2935">
            <v>0</v>
          </cell>
          <cell r="G2935" t="str">
            <v>6</v>
          </cell>
          <cell r="H2935">
            <v>624</v>
          </cell>
          <cell r="I2935" t="str">
            <v>ФКРЕМІНСЬКЕ ВІДДІЛЕ ВАТОЩАД М.КРЕМІННА</v>
          </cell>
          <cell r="J2935" t="str">
            <v>ФКремінське відділенВАТОщад</v>
          </cell>
          <cell r="K2935" t="str">
            <v>UMLW</v>
          </cell>
          <cell r="L2935" t="str">
            <v>UMLW</v>
          </cell>
          <cell r="M2935">
            <v>12</v>
          </cell>
          <cell r="N2935">
            <v>26</v>
          </cell>
          <cell r="O2935" t="str">
            <v>Управління НБУ в Луганс.обл</v>
          </cell>
        </row>
        <row r="2936">
          <cell r="A2936">
            <v>364263</v>
          </cell>
          <cell r="B2936">
            <v>300465</v>
          </cell>
          <cell r="D2936">
            <v>0</v>
          </cell>
          <cell r="E2936">
            <v>6</v>
          </cell>
          <cell r="F2936">
            <v>0</v>
          </cell>
          <cell r="G2936" t="str">
            <v>6</v>
          </cell>
          <cell r="H2936">
            <v>612</v>
          </cell>
          <cell r="I2936" t="str">
            <v>ФРУБІЖАНСЬКЕ ВІДДІЛЕ ВАТОЩАД М.РУБІЖНЕ</v>
          </cell>
          <cell r="J2936" t="str">
            <v>ФРубіжанське відділеВАТОщад</v>
          </cell>
          <cell r="K2936" t="str">
            <v>UMLK</v>
          </cell>
          <cell r="L2936" t="str">
            <v>UMLK</v>
          </cell>
          <cell r="M2936">
            <v>12</v>
          </cell>
          <cell r="N2936">
            <v>26</v>
          </cell>
          <cell r="O2936" t="str">
            <v>Управління НБУ в Луганс.обл</v>
          </cell>
        </row>
        <row r="2937">
          <cell r="A2937">
            <v>364274</v>
          </cell>
          <cell r="B2937">
            <v>380399</v>
          </cell>
          <cell r="D2937">
            <v>0</v>
          </cell>
          <cell r="E2937">
            <v>315</v>
          </cell>
          <cell r="F2937">
            <v>0</v>
          </cell>
          <cell r="G2937" t="str">
            <v>8</v>
          </cell>
          <cell r="H2937">
            <v>798</v>
          </cell>
          <cell r="I2937" t="str">
            <v>Ф"ЛУГАН.ДИР.ТОВ УКБ"КАМБІО",М.ЛУГАНСЬК</v>
          </cell>
          <cell r="J2937" t="str">
            <v>Ф"ЛУГАН.ДИР.ТОВ УКБ"КАМБІО"</v>
          </cell>
          <cell r="K2937" t="str">
            <v>UMKQ</v>
          </cell>
          <cell r="L2937" t="str">
            <v>UMKQ</v>
          </cell>
          <cell r="M2937">
            <v>12</v>
          </cell>
          <cell r="N2937">
            <v>26</v>
          </cell>
          <cell r="O2937" t="str">
            <v>Управління НБУ в Луганс.обл</v>
          </cell>
        </row>
        <row r="2938">
          <cell r="A2938">
            <v>364296</v>
          </cell>
          <cell r="B2938">
            <v>300465</v>
          </cell>
          <cell r="D2938">
            <v>0</v>
          </cell>
          <cell r="E2938">
            <v>6</v>
          </cell>
          <cell r="F2938">
            <v>0</v>
          </cell>
          <cell r="G2938" t="str">
            <v>6</v>
          </cell>
          <cell r="H2938">
            <v>631</v>
          </cell>
          <cell r="I2938" t="str">
            <v>ФЛУТУГИНСЬКЕ ВІДДІЛ ВАТОЩАД М.ЛУТУГИНЕ</v>
          </cell>
          <cell r="J2938" t="str">
            <v>ФЛутугинське відділеВАТОщад</v>
          </cell>
          <cell r="K2938" t="str">
            <v>UMMD</v>
          </cell>
          <cell r="L2938" t="str">
            <v>UMMD</v>
          </cell>
          <cell r="M2938">
            <v>12</v>
          </cell>
          <cell r="N2938">
            <v>26</v>
          </cell>
          <cell r="O2938" t="str">
            <v>Управління НБУ в Луганс.обл</v>
          </cell>
        </row>
        <row r="2939">
          <cell r="A2939">
            <v>364304</v>
          </cell>
          <cell r="B2939">
            <v>300670</v>
          </cell>
          <cell r="D2939">
            <v>0</v>
          </cell>
          <cell r="E2939">
            <v>202</v>
          </cell>
          <cell r="F2939">
            <v>0</v>
          </cell>
          <cell r="G2939" t="str">
            <v>8</v>
          </cell>
          <cell r="H2939">
            <v>802</v>
          </cell>
          <cell r="I2939" t="str">
            <v>ЛУГАН.Ф-Я ВАТ КБ "ХРЕЩАТИК",М.ЛУГАНСЬК</v>
          </cell>
          <cell r="J2939" t="str">
            <v>Луган.ф-я ВАТ КБ "Хрещатик"</v>
          </cell>
          <cell r="K2939" t="str">
            <v>UMKS</v>
          </cell>
          <cell r="L2939" t="str">
            <v>UMKS</v>
          </cell>
          <cell r="M2939">
            <v>12</v>
          </cell>
          <cell r="N2939">
            <v>26</v>
          </cell>
          <cell r="O2939" t="str">
            <v>Управління НБУ в Луганс.обл</v>
          </cell>
        </row>
        <row r="2940">
          <cell r="A2940">
            <v>364315</v>
          </cell>
          <cell r="B2940">
            <v>322658</v>
          </cell>
          <cell r="D2940">
            <v>0</v>
          </cell>
          <cell r="E2940">
            <v>217</v>
          </cell>
          <cell r="F2940">
            <v>0</v>
          </cell>
          <cell r="G2940" t="str">
            <v>8</v>
          </cell>
          <cell r="H2940">
            <v>803</v>
          </cell>
          <cell r="I2940" t="str">
            <v>СЄВЕРОДОНЕЦ.ФАКБ"СЄБ", М.СЄВЕРОДОНЕЦЬК</v>
          </cell>
          <cell r="J2940" t="str">
            <v>Сєверодонецька ФАКБ "СЄБ"</v>
          </cell>
          <cell r="K2940" t="str">
            <v>UMKT</v>
          </cell>
          <cell r="L2940" t="str">
            <v>UMKT</v>
          </cell>
          <cell r="M2940">
            <v>12</v>
          </cell>
          <cell r="N2940">
            <v>26</v>
          </cell>
          <cell r="O2940" t="str">
            <v>Управління НБУ в Луганс.обл</v>
          </cell>
        </row>
        <row r="2941">
          <cell r="A2941">
            <v>364360</v>
          </cell>
          <cell r="B2941">
            <v>300926</v>
          </cell>
          <cell r="D2941">
            <v>0</v>
          </cell>
          <cell r="E2941">
            <v>899</v>
          </cell>
          <cell r="F2941">
            <v>0</v>
          </cell>
          <cell r="G2941" t="str">
            <v>8</v>
          </cell>
          <cell r="H2941">
            <v>204</v>
          </cell>
          <cell r="I2941" t="str">
            <v>ПЕРША ФІЛІЯ АТ "УФГ" В М.ЛУГАНСЬКУ</v>
          </cell>
          <cell r="J2941" t="str">
            <v>Перша ФАТ"УФГ"вм.Луганську</v>
          </cell>
          <cell r="K2941" t="str">
            <v>UMFB</v>
          </cell>
          <cell r="L2941" t="str">
            <v>U1WF</v>
          </cell>
          <cell r="M2941">
            <v>12</v>
          </cell>
          <cell r="N2941">
            <v>26</v>
          </cell>
          <cell r="O2941" t="str">
            <v>Управління НБУ в Луганс.обл</v>
          </cell>
        </row>
        <row r="2942">
          <cell r="A2942">
            <v>364382</v>
          </cell>
          <cell r="B2942">
            <v>300863</v>
          </cell>
          <cell r="D2942">
            <v>0</v>
          </cell>
          <cell r="E2942">
            <v>289</v>
          </cell>
          <cell r="F2942">
            <v>0</v>
          </cell>
          <cell r="G2942" t="str">
            <v>9</v>
          </cell>
          <cell r="H2942">
            <v>770</v>
          </cell>
          <cell r="I2942" t="str">
            <v>ЛУГАНС.ФВАТ "КРЕДИТПРОМБАНК", ЛУГАНСЬК</v>
          </cell>
          <cell r="J2942" t="str">
            <v>Луганс.ФВАТ"Кредитпромбанк"</v>
          </cell>
          <cell r="K2942" t="str">
            <v>UMKP</v>
          </cell>
          <cell r="L2942" t="str">
            <v>UMKP</v>
          </cell>
          <cell r="M2942">
            <v>12</v>
          </cell>
          <cell r="N2942">
            <v>26</v>
          </cell>
          <cell r="O2942" t="str">
            <v>Управління НБУ в Луганс.обл</v>
          </cell>
        </row>
        <row r="2943">
          <cell r="A2943">
            <v>364393</v>
          </cell>
          <cell r="B2943">
            <v>300465</v>
          </cell>
          <cell r="D2943">
            <v>0</v>
          </cell>
          <cell r="E2943">
            <v>6</v>
          </cell>
          <cell r="F2943">
            <v>0</v>
          </cell>
          <cell r="G2943" t="str">
            <v>6</v>
          </cell>
          <cell r="H2943">
            <v>625</v>
          </cell>
          <cell r="I2943" t="str">
            <v>ФЛУГАНСЬКЕ МІСЬКЕ В ВАТОЩАД М.ЛУГАНСЬК</v>
          </cell>
          <cell r="J2943" t="str">
            <v>ФЛуганське міське віВАТОщад</v>
          </cell>
          <cell r="K2943" t="str">
            <v>UMLX</v>
          </cell>
          <cell r="L2943" t="str">
            <v>UMLX</v>
          </cell>
          <cell r="M2943">
            <v>12</v>
          </cell>
          <cell r="N2943">
            <v>26</v>
          </cell>
          <cell r="O2943" t="str">
            <v>Управління НБУ в Луганс.обл</v>
          </cell>
        </row>
        <row r="2944">
          <cell r="A2944">
            <v>364445</v>
          </cell>
          <cell r="B2944">
            <v>300528</v>
          </cell>
          <cell r="D2944">
            <v>0</v>
          </cell>
          <cell r="E2944">
            <v>296</v>
          </cell>
          <cell r="F2944">
            <v>0</v>
          </cell>
          <cell r="G2944" t="str">
            <v>F</v>
          </cell>
          <cell r="H2944">
            <v>760</v>
          </cell>
          <cell r="I2944" t="str">
            <v>ФІЛІЯ ЗАТ "ОТП БАНК", М.ЛУГАНСЬК</v>
          </cell>
          <cell r="J2944" t="str">
            <v>Філія ЗАТ "ОТП Банк"</v>
          </cell>
          <cell r="K2944" t="str">
            <v>UMKO</v>
          </cell>
          <cell r="L2944" t="str">
            <v>UMKO</v>
          </cell>
          <cell r="M2944">
            <v>12</v>
          </cell>
          <cell r="N2944">
            <v>26</v>
          </cell>
          <cell r="O2944" t="str">
            <v>Управління НБУ в Луганс.обл</v>
          </cell>
        </row>
        <row r="2945">
          <cell r="A2945">
            <v>364467</v>
          </cell>
          <cell r="B2945">
            <v>380537</v>
          </cell>
          <cell r="D2945">
            <v>0</v>
          </cell>
          <cell r="E2945">
            <v>76</v>
          </cell>
          <cell r="F2945">
            <v>0</v>
          </cell>
          <cell r="G2945" t="str">
            <v>B</v>
          </cell>
          <cell r="H2945">
            <v>805</v>
          </cell>
          <cell r="I2945" t="str">
            <v>ЛУГАНСЬКА Ф. ВАТ"ВІЕЙБІБАНК"М.ЛУГАНСЬК</v>
          </cell>
          <cell r="J2945" t="str">
            <v>Луган.Ф.ВАТ"ВІЕЙБІБАНК"</v>
          </cell>
          <cell r="K2945" t="str">
            <v>UMKR</v>
          </cell>
          <cell r="L2945" t="str">
            <v>UMKR</v>
          </cell>
          <cell r="M2945">
            <v>12</v>
          </cell>
          <cell r="N2945">
            <v>26</v>
          </cell>
          <cell r="O2945" t="str">
            <v>Управління НБУ в Луганс.обл</v>
          </cell>
        </row>
        <row r="2946">
          <cell r="A2946">
            <v>371018</v>
          </cell>
          <cell r="B2946">
            <v>300465</v>
          </cell>
          <cell r="D2946">
            <v>0</v>
          </cell>
          <cell r="E2946">
            <v>6</v>
          </cell>
          <cell r="F2946">
            <v>0</v>
          </cell>
          <cell r="G2946" t="str">
            <v>6</v>
          </cell>
          <cell r="H2946">
            <v>604</v>
          </cell>
          <cell r="I2946" t="str">
            <v>ФБЕРДИЧIВСЬКЕ ВІДДІ ВАТОЩАД М.БЕРДИЧІВ</v>
          </cell>
          <cell r="J2946" t="str">
            <v>ФБердичiвське відділВАТОщад</v>
          </cell>
          <cell r="K2946" t="str">
            <v>UELE</v>
          </cell>
          <cell r="L2946" t="str">
            <v>UELE</v>
          </cell>
          <cell r="M2946">
            <v>5</v>
          </cell>
          <cell r="N2946">
            <v>26</v>
          </cell>
          <cell r="O2946" t="str">
            <v>Управління НБУ в Житом.обл.</v>
          </cell>
        </row>
        <row r="2947">
          <cell r="A2947">
            <v>371104</v>
          </cell>
          <cell r="B2947">
            <v>300465</v>
          </cell>
          <cell r="D2947">
            <v>0</v>
          </cell>
          <cell r="E2947">
            <v>6</v>
          </cell>
          <cell r="F2947">
            <v>0</v>
          </cell>
          <cell r="G2947" t="str">
            <v>6</v>
          </cell>
          <cell r="H2947">
            <v>626</v>
          </cell>
          <cell r="I2947" t="str">
            <v>ФКОРОЛЬОВСЬКЕ ВІДДІЛ ВАТОЩАД М.ЖИТОМИР</v>
          </cell>
          <cell r="J2947" t="str">
            <v>ФКорольовське відділВАТОщад</v>
          </cell>
          <cell r="K2947" t="str">
            <v>UEMA</v>
          </cell>
          <cell r="L2947" t="str">
            <v>UEMA</v>
          </cell>
          <cell r="M2947">
            <v>5</v>
          </cell>
          <cell r="N2947">
            <v>26</v>
          </cell>
          <cell r="O2947" t="str">
            <v>Управління НБУ в Житом.обл.</v>
          </cell>
        </row>
        <row r="2948">
          <cell r="A2948">
            <v>371137</v>
          </cell>
          <cell r="B2948">
            <v>300465</v>
          </cell>
          <cell r="D2948">
            <v>0</v>
          </cell>
          <cell r="E2948">
            <v>6</v>
          </cell>
          <cell r="F2948">
            <v>0</v>
          </cell>
          <cell r="G2948" t="str">
            <v>6</v>
          </cell>
          <cell r="H2948">
            <v>616</v>
          </cell>
          <cell r="I2948" t="str">
            <v>ФНОВОГРАД-ВОЛИНСЬКЕ ВАТОЩАД М.НОВОГРАД</v>
          </cell>
          <cell r="J2948" t="str">
            <v>ФНовоград-Волинське ВАТОщад</v>
          </cell>
          <cell r="K2948" t="str">
            <v>UELQ</v>
          </cell>
          <cell r="L2948" t="str">
            <v>UELQ</v>
          </cell>
          <cell r="M2948">
            <v>5</v>
          </cell>
          <cell r="N2948">
            <v>26</v>
          </cell>
          <cell r="O2948" t="str">
            <v>Управління НБУ в Житом.обл.</v>
          </cell>
        </row>
        <row r="2949">
          <cell r="A2949">
            <v>371148</v>
          </cell>
          <cell r="B2949">
            <v>300465</v>
          </cell>
          <cell r="D2949">
            <v>0</v>
          </cell>
          <cell r="E2949">
            <v>6</v>
          </cell>
          <cell r="F2949">
            <v>0</v>
          </cell>
          <cell r="G2949" t="str">
            <v>6</v>
          </cell>
          <cell r="H2949">
            <v>617</v>
          </cell>
          <cell r="I2949" t="str">
            <v>ФОВРУЦЬКЕ ВІДДІЛЕННЯ № ВАТОЩАД М.ОВРУЧ</v>
          </cell>
          <cell r="J2949" t="str">
            <v>ФОвруцьке відділенняВАТОщад</v>
          </cell>
          <cell r="K2949" t="str">
            <v>UELR</v>
          </cell>
          <cell r="L2949" t="str">
            <v>UELR</v>
          </cell>
          <cell r="M2949">
            <v>5</v>
          </cell>
          <cell r="N2949">
            <v>26</v>
          </cell>
          <cell r="O2949" t="str">
            <v>Управління НБУ в Житом.обл.</v>
          </cell>
        </row>
        <row r="2950">
          <cell r="A2950">
            <v>371171</v>
          </cell>
          <cell r="B2950">
            <v>300465</v>
          </cell>
          <cell r="D2950">
            <v>0</v>
          </cell>
          <cell r="E2950">
            <v>6</v>
          </cell>
          <cell r="F2950">
            <v>0</v>
          </cell>
          <cell r="G2950" t="str">
            <v>6</v>
          </cell>
          <cell r="H2950">
            <v>610</v>
          </cell>
          <cell r="I2950" t="str">
            <v>ФКОРОСТЕНСЬКЕ ВІДД ВАТОЩАД М.КОРОСТЕН</v>
          </cell>
          <cell r="J2950" t="str">
            <v>ФКоростенське відділВАТОщад</v>
          </cell>
          <cell r="K2950" t="str">
            <v>UELK</v>
          </cell>
          <cell r="L2950" t="str">
            <v>UELK</v>
          </cell>
          <cell r="M2950">
            <v>5</v>
          </cell>
          <cell r="N2950">
            <v>26</v>
          </cell>
          <cell r="O2950" t="str">
            <v>Управління НБУ в Житом.обл.</v>
          </cell>
        </row>
        <row r="2951">
          <cell r="A2951">
            <v>371223</v>
          </cell>
          <cell r="B2951">
            <v>300465</v>
          </cell>
          <cell r="D2951">
            <v>0</v>
          </cell>
          <cell r="E2951">
            <v>6</v>
          </cell>
          <cell r="F2951">
            <v>0</v>
          </cell>
          <cell r="G2951" t="str">
            <v>6</v>
          </cell>
          <cell r="H2951">
            <v>625</v>
          </cell>
          <cell r="I2951" t="str">
            <v>ФБОГУНСЬКЕ ВІДДІЛЕНН ВАТОЩАД М.ЖИТОМИР</v>
          </cell>
          <cell r="J2951" t="str">
            <v>ФБогунське відділеннВАТОщад</v>
          </cell>
          <cell r="K2951" t="str">
            <v>UELZ</v>
          </cell>
          <cell r="L2951" t="str">
            <v>UELZ</v>
          </cell>
          <cell r="M2951">
            <v>5</v>
          </cell>
          <cell r="N2951">
            <v>26</v>
          </cell>
          <cell r="O2951" t="str">
            <v>Управління НБУ в Житом.обл.</v>
          </cell>
        </row>
        <row r="2952">
          <cell r="A2952">
            <v>371278</v>
          </cell>
          <cell r="B2952">
            <v>300465</v>
          </cell>
          <cell r="D2952">
            <v>0</v>
          </cell>
          <cell r="E2952">
            <v>6</v>
          </cell>
          <cell r="F2952">
            <v>0</v>
          </cell>
          <cell r="G2952" t="str">
            <v>6</v>
          </cell>
          <cell r="H2952">
            <v>620</v>
          </cell>
          <cell r="I2952" t="str">
            <v>ФРАДОМИШЛЬСЬКЕ ВІДД ВАТОЩАД М.РАДОМИШЛ</v>
          </cell>
          <cell r="J2952" t="str">
            <v>ФРадомишльське віддіВАТОщад</v>
          </cell>
          <cell r="K2952" t="str">
            <v>UELU</v>
          </cell>
          <cell r="L2952" t="str">
            <v>UELU</v>
          </cell>
          <cell r="M2952">
            <v>5</v>
          </cell>
          <cell r="N2952">
            <v>26</v>
          </cell>
          <cell r="O2952" t="str">
            <v>Управління НБУ в Житом.обл.</v>
          </cell>
        </row>
        <row r="2953">
          <cell r="A2953">
            <v>372028</v>
          </cell>
          <cell r="B2953">
            <v>300465</v>
          </cell>
          <cell r="D2953">
            <v>0</v>
          </cell>
          <cell r="E2953">
            <v>6</v>
          </cell>
          <cell r="F2953">
            <v>0</v>
          </cell>
          <cell r="G2953" t="str">
            <v>6</v>
          </cell>
          <cell r="H2953">
            <v>604</v>
          </cell>
          <cell r="I2953" t="str">
            <v>ФМУКАЧІВСЬКЕ ВІДДІЛ ВАТОЩАД М.МУКАЧЕВЕ</v>
          </cell>
          <cell r="J2953" t="str">
            <v>ФМукачівське відділеВАТОщад</v>
          </cell>
          <cell r="K2953" t="str">
            <v>UFLC</v>
          </cell>
          <cell r="L2953" t="str">
            <v>UFLA</v>
          </cell>
          <cell r="M2953">
            <v>6</v>
          </cell>
          <cell r="N2953">
            <v>26</v>
          </cell>
          <cell r="O2953" t="str">
            <v>Управління НБУ в Закарп.обл</v>
          </cell>
        </row>
        <row r="2954">
          <cell r="A2954">
            <v>372039</v>
          </cell>
          <cell r="B2954">
            <v>300465</v>
          </cell>
          <cell r="D2954">
            <v>0</v>
          </cell>
          <cell r="E2954">
            <v>6</v>
          </cell>
          <cell r="F2954">
            <v>0</v>
          </cell>
          <cell r="G2954" t="str">
            <v>6</v>
          </cell>
          <cell r="H2954">
            <v>605</v>
          </cell>
          <cell r="I2954" t="str">
            <v>ФБЕРЕГІВСЬКЕ ВІДДІЛ ВАТОЩАД М  .БЕРЕГО</v>
          </cell>
          <cell r="J2954" t="str">
            <v>ФБерегівське відділеВАТОщад</v>
          </cell>
          <cell r="K2954" t="str">
            <v>UFLD</v>
          </cell>
          <cell r="L2954" t="str">
            <v>UFLA</v>
          </cell>
          <cell r="M2954">
            <v>6</v>
          </cell>
          <cell r="N2954">
            <v>26</v>
          </cell>
          <cell r="O2954" t="str">
            <v>Управління НБУ в Закарп.обл</v>
          </cell>
        </row>
        <row r="2955">
          <cell r="A2955">
            <v>372040</v>
          </cell>
          <cell r="B2955">
            <v>300465</v>
          </cell>
          <cell r="D2955">
            <v>0</v>
          </cell>
          <cell r="E2955">
            <v>6</v>
          </cell>
          <cell r="F2955">
            <v>0</v>
          </cell>
          <cell r="G2955" t="str">
            <v>6</v>
          </cell>
          <cell r="H2955">
            <v>606</v>
          </cell>
          <cell r="I2955" t="str">
            <v>ФВИНОГРАДІВСЬКЕ ВІД ВАТОЩАД М.ВИНОГРАД</v>
          </cell>
          <cell r="J2955" t="str">
            <v>ФВиноградівське віддВАТОщад</v>
          </cell>
          <cell r="K2955" t="str">
            <v>UFLE</v>
          </cell>
          <cell r="L2955" t="str">
            <v>UFLA</v>
          </cell>
          <cell r="M2955">
            <v>6</v>
          </cell>
          <cell r="N2955">
            <v>26</v>
          </cell>
          <cell r="O2955" t="str">
            <v>Управління НБУ в Закарп.обл</v>
          </cell>
        </row>
        <row r="2956">
          <cell r="A2956">
            <v>372051</v>
          </cell>
          <cell r="B2956">
            <v>300465</v>
          </cell>
          <cell r="D2956">
            <v>0</v>
          </cell>
          <cell r="E2956">
            <v>6</v>
          </cell>
          <cell r="F2956">
            <v>0</v>
          </cell>
          <cell r="G2956" t="str">
            <v>6</v>
          </cell>
          <cell r="H2956">
            <v>607</v>
          </cell>
          <cell r="I2956" t="str">
            <v>ФХУСТСЬКЕ ВІДДІЛЕННЯ №  ВАТОЩАД М.ХУСТ</v>
          </cell>
          <cell r="J2956" t="str">
            <v>ФХустське відділенняВАТОщад</v>
          </cell>
          <cell r="K2956" t="str">
            <v>UFLF</v>
          </cell>
          <cell r="L2956" t="str">
            <v>UFLA</v>
          </cell>
          <cell r="M2956">
            <v>6</v>
          </cell>
          <cell r="N2956">
            <v>26</v>
          </cell>
          <cell r="O2956" t="str">
            <v>Управління НБУ в Закарп.обл</v>
          </cell>
        </row>
        <row r="2957">
          <cell r="A2957">
            <v>372084</v>
          </cell>
          <cell r="B2957">
            <v>300465</v>
          </cell>
          <cell r="D2957">
            <v>0</v>
          </cell>
          <cell r="E2957">
            <v>6</v>
          </cell>
          <cell r="F2957">
            <v>0</v>
          </cell>
          <cell r="G2957" t="str">
            <v>6</v>
          </cell>
          <cell r="H2957">
            <v>613</v>
          </cell>
          <cell r="I2957" t="str">
            <v>ФМІЖГІРСЬКЕ ВІДДІЛЕ ВАТОЩАД СМТ.МІЖГІР</v>
          </cell>
          <cell r="J2957" t="str">
            <v>ФМіжгірське відділенВАТОщад</v>
          </cell>
          <cell r="K2957" t="str">
            <v>UFLL</v>
          </cell>
          <cell r="L2957" t="str">
            <v>UFLA</v>
          </cell>
          <cell r="M2957">
            <v>6</v>
          </cell>
          <cell r="N2957">
            <v>26</v>
          </cell>
          <cell r="O2957" t="str">
            <v>Управління НБУ в Закарп.обл</v>
          </cell>
        </row>
        <row r="2958">
          <cell r="A2958">
            <v>372095</v>
          </cell>
          <cell r="B2958">
            <v>300465</v>
          </cell>
          <cell r="D2958">
            <v>0</v>
          </cell>
          <cell r="E2958">
            <v>6</v>
          </cell>
          <cell r="F2958">
            <v>0</v>
          </cell>
          <cell r="G2958" t="str">
            <v>6</v>
          </cell>
          <cell r="H2958">
            <v>601</v>
          </cell>
          <cell r="I2958" t="str">
            <v>ФІРШАВСЬКЕ ВІДДІЛЕННЯ ВАТОЩАД М.ІРШАВА</v>
          </cell>
          <cell r="J2958" t="str">
            <v>ФІршавське відділеннВАТОщад</v>
          </cell>
          <cell r="K2958" t="str">
            <v>UFLM</v>
          </cell>
          <cell r="L2958" t="str">
            <v>UFLA</v>
          </cell>
          <cell r="M2958">
            <v>6</v>
          </cell>
          <cell r="N2958">
            <v>26</v>
          </cell>
          <cell r="O2958" t="str">
            <v>Управління НБУ в Закарп.обл</v>
          </cell>
        </row>
        <row r="2959">
          <cell r="A2959">
            <v>372103</v>
          </cell>
          <cell r="B2959">
            <v>300465</v>
          </cell>
          <cell r="D2959">
            <v>0</v>
          </cell>
          <cell r="E2959">
            <v>6</v>
          </cell>
          <cell r="F2959">
            <v>0</v>
          </cell>
          <cell r="G2959" t="str">
            <v>6</v>
          </cell>
          <cell r="H2959">
            <v>609</v>
          </cell>
          <cell r="I2959" t="str">
            <v>ФРАХІВСЬКЕ ВІДДІЛЕННЯ  ВАТОЩАД М.РАХІВ</v>
          </cell>
          <cell r="J2959" t="str">
            <v>ФРахівське відділеннВАТОщад</v>
          </cell>
          <cell r="K2959" t="str">
            <v>UFLK</v>
          </cell>
          <cell r="L2959" t="str">
            <v>UFLA</v>
          </cell>
          <cell r="M2959">
            <v>6</v>
          </cell>
          <cell r="N2959">
            <v>26</v>
          </cell>
          <cell r="O2959" t="str">
            <v>Управління НБУ в Закарп.обл</v>
          </cell>
        </row>
        <row r="2960">
          <cell r="A2960">
            <v>372136</v>
          </cell>
          <cell r="B2960">
            <v>300465</v>
          </cell>
          <cell r="D2960">
            <v>0</v>
          </cell>
          <cell r="E2960">
            <v>6</v>
          </cell>
          <cell r="F2960">
            <v>0</v>
          </cell>
          <cell r="G2960" t="str">
            <v>6</v>
          </cell>
          <cell r="H2960">
            <v>615</v>
          </cell>
          <cell r="I2960" t="str">
            <v>ФТЯЧІВСЬКЕ ВІДДІЛЕННЯ  ВАТОЩАД М.ТЯЧІВ</v>
          </cell>
          <cell r="J2960" t="str">
            <v>ФТячівське відділеннВАТОщад</v>
          </cell>
          <cell r="K2960" t="str">
            <v>UFLN</v>
          </cell>
          <cell r="L2960" t="str">
            <v>UFLA</v>
          </cell>
          <cell r="M2960">
            <v>6</v>
          </cell>
          <cell r="N2960">
            <v>26</v>
          </cell>
          <cell r="O2960" t="str">
            <v>Управління НБУ в Закарп.обл</v>
          </cell>
        </row>
        <row r="2961">
          <cell r="A2961">
            <v>373005</v>
          </cell>
          <cell r="B2961">
            <v>300670</v>
          </cell>
          <cell r="D2961">
            <v>0</v>
          </cell>
          <cell r="E2961">
            <v>202</v>
          </cell>
          <cell r="F2961">
            <v>0</v>
          </cell>
          <cell r="G2961" t="str">
            <v>8</v>
          </cell>
          <cell r="H2961">
            <v>903</v>
          </cell>
          <cell r="I2961" t="str">
            <v>ЗАПОРІЗЬКАФВАТКБ"ХРЕЩАТИК"М.ЗАПОРІЖЖЯ</v>
          </cell>
          <cell r="J2961" t="str">
            <v>ЗапорізькаФВАТКБ"Хрещатик"</v>
          </cell>
          <cell r="K2961" t="str">
            <v>UGFB</v>
          </cell>
          <cell r="L2961" t="str">
            <v>UGFB</v>
          </cell>
          <cell r="M2961">
            <v>7</v>
          </cell>
          <cell r="N2961">
            <v>26</v>
          </cell>
          <cell r="O2961" t="str">
            <v>Управління НБУ в Запор.обл.</v>
          </cell>
        </row>
        <row r="2962">
          <cell r="A2962">
            <v>373061</v>
          </cell>
          <cell r="B2962">
            <v>300465</v>
          </cell>
          <cell r="D2962">
            <v>0</v>
          </cell>
          <cell r="E2962">
            <v>6</v>
          </cell>
          <cell r="F2962">
            <v>0</v>
          </cell>
          <cell r="G2962" t="str">
            <v>6</v>
          </cell>
          <cell r="H2962">
            <v>607</v>
          </cell>
          <cell r="I2962" t="str">
            <v>ФОРДЖОНІКІДЗЕВСЬКЕ  ВАТОЩАД М.ЗАПОРІЖЖ</v>
          </cell>
          <cell r="J2962" t="str">
            <v>ФОрджонікідзевське вВАТОщад</v>
          </cell>
          <cell r="K2962" t="str">
            <v>UGLE</v>
          </cell>
          <cell r="L2962" t="str">
            <v>UGLA</v>
          </cell>
          <cell r="M2962">
            <v>7</v>
          </cell>
          <cell r="N2962">
            <v>26</v>
          </cell>
          <cell r="O2962" t="str">
            <v>Управління НБУ в Запор.обл.</v>
          </cell>
        </row>
        <row r="2963">
          <cell r="A2963">
            <v>373072</v>
          </cell>
          <cell r="B2963">
            <v>300465</v>
          </cell>
          <cell r="D2963">
            <v>0</v>
          </cell>
          <cell r="E2963">
            <v>6</v>
          </cell>
          <cell r="F2963">
            <v>0</v>
          </cell>
          <cell r="G2963" t="str">
            <v>6</v>
          </cell>
          <cell r="H2963">
            <v>608</v>
          </cell>
          <cell r="I2963" t="str">
            <v>ФШЕВЧЕНКІВСЬКЕ ВІДД ВАТОЩАД М.ЗАПОРІЖЖ</v>
          </cell>
          <cell r="J2963" t="str">
            <v>ФШевченківське віддіВАТОщад</v>
          </cell>
          <cell r="K2963" t="str">
            <v>UGLF</v>
          </cell>
          <cell r="L2963" t="str">
            <v>UGLA</v>
          </cell>
          <cell r="M2963">
            <v>7</v>
          </cell>
          <cell r="N2963">
            <v>26</v>
          </cell>
          <cell r="O2963" t="str">
            <v>Управління НБУ в Запор.обл.</v>
          </cell>
        </row>
        <row r="2964">
          <cell r="A2964">
            <v>373102</v>
          </cell>
          <cell r="B2964">
            <v>300465</v>
          </cell>
          <cell r="D2964">
            <v>0</v>
          </cell>
          <cell r="E2964">
            <v>6</v>
          </cell>
          <cell r="F2964">
            <v>0</v>
          </cell>
          <cell r="G2964" t="str">
            <v>6</v>
          </cell>
          <cell r="H2964">
            <v>611</v>
          </cell>
          <cell r="I2964" t="str">
            <v>ФБЕРДЯНСЬКЕ ВІДДІЛЕ ВАТОЩАД М.БЕРДЯНСЬ</v>
          </cell>
          <cell r="J2964" t="str">
            <v>ФБердянське відділенВАТОщад</v>
          </cell>
          <cell r="K2964" t="str">
            <v>UGLI</v>
          </cell>
          <cell r="L2964" t="str">
            <v>UGLA</v>
          </cell>
          <cell r="M2964">
            <v>7</v>
          </cell>
          <cell r="N2964">
            <v>26</v>
          </cell>
          <cell r="O2964" t="str">
            <v>Управління НБУ в Запор.обл.</v>
          </cell>
        </row>
        <row r="2965">
          <cell r="A2965">
            <v>373135</v>
          </cell>
          <cell r="B2965">
            <v>300863</v>
          </cell>
          <cell r="D2965">
            <v>0</v>
          </cell>
          <cell r="E2965">
            <v>289</v>
          </cell>
          <cell r="F2965">
            <v>0</v>
          </cell>
          <cell r="G2965" t="str">
            <v>9</v>
          </cell>
          <cell r="H2965">
            <v>760</v>
          </cell>
          <cell r="I2965" t="str">
            <v>ЗАП.ФВАТ "КРЕДИТПРОМБАНК", М.ЗАПОРІЖЖЯ</v>
          </cell>
          <cell r="J2965" t="str">
            <v>Запорізька Ф"Кредитпромбанк</v>
          </cell>
          <cell r="K2965" t="str">
            <v>UGKQ</v>
          </cell>
          <cell r="L2965" t="str">
            <v>UGKQ</v>
          </cell>
          <cell r="M2965">
            <v>7</v>
          </cell>
          <cell r="N2965">
            <v>26</v>
          </cell>
          <cell r="O2965" t="str">
            <v>Управління НБУ в Запор.обл.</v>
          </cell>
        </row>
        <row r="2966">
          <cell r="A2966">
            <v>373146</v>
          </cell>
          <cell r="B2966">
            <v>300465</v>
          </cell>
          <cell r="D2966">
            <v>0</v>
          </cell>
          <cell r="E2966">
            <v>6</v>
          </cell>
          <cell r="F2966">
            <v>0</v>
          </cell>
          <cell r="G2966" t="str">
            <v>6</v>
          </cell>
          <cell r="H2966">
            <v>628</v>
          </cell>
          <cell r="I2966" t="str">
            <v>ФПОЛОГІВСЬКЕ ВІДДІЛЕН ВАТОЩАД М.ПОЛОГИ</v>
          </cell>
          <cell r="J2966" t="str">
            <v>ФПологівське відділеВАТОщад</v>
          </cell>
          <cell r="K2966" t="str">
            <v>UGLZ</v>
          </cell>
          <cell r="L2966" t="str">
            <v>UGLA</v>
          </cell>
          <cell r="M2966">
            <v>7</v>
          </cell>
          <cell r="N2966">
            <v>26</v>
          </cell>
          <cell r="O2966" t="str">
            <v>Управління НБУ в Запор.обл.</v>
          </cell>
        </row>
        <row r="2967">
          <cell r="A2967">
            <v>373180</v>
          </cell>
          <cell r="B2967">
            <v>300465</v>
          </cell>
          <cell r="D2967">
            <v>0</v>
          </cell>
          <cell r="E2967">
            <v>6</v>
          </cell>
          <cell r="F2967">
            <v>0</v>
          </cell>
          <cell r="G2967" t="str">
            <v>6</v>
          </cell>
          <cell r="H2967">
            <v>619</v>
          </cell>
          <cell r="I2967" t="str">
            <v>ФКАМ`ЯНСЬКО-ДНІПРОВ ВАТОЩАД М.КАМ`ЯНКА</v>
          </cell>
          <cell r="J2967" t="str">
            <v>ФКам`янсько-ДніпровсВАТОщад</v>
          </cell>
          <cell r="K2967" t="str">
            <v>UGLQ</v>
          </cell>
          <cell r="L2967" t="str">
            <v>UGLA</v>
          </cell>
          <cell r="M2967">
            <v>7</v>
          </cell>
          <cell r="N2967">
            <v>26</v>
          </cell>
          <cell r="O2967" t="str">
            <v>Управління НБУ в Запор.обл.</v>
          </cell>
        </row>
        <row r="2968">
          <cell r="A2968">
            <v>373232</v>
          </cell>
          <cell r="B2968">
            <v>300465</v>
          </cell>
          <cell r="D2968">
            <v>0</v>
          </cell>
          <cell r="E2968">
            <v>6</v>
          </cell>
          <cell r="F2968">
            <v>0</v>
          </cell>
          <cell r="G2968" t="str">
            <v>6</v>
          </cell>
          <cell r="H2968">
            <v>624</v>
          </cell>
          <cell r="I2968" t="str">
            <v>ФМЕЛІТОПОЛЬСЬКЕ ВІД ВАТОЩАД М.МЕЛІТОПО</v>
          </cell>
          <cell r="J2968" t="str">
            <v>ФМелітопольське віддВАТОщад</v>
          </cell>
          <cell r="K2968" t="str">
            <v>UGLV</v>
          </cell>
          <cell r="L2968" t="str">
            <v>UGLA</v>
          </cell>
          <cell r="M2968">
            <v>7</v>
          </cell>
          <cell r="N2968">
            <v>26</v>
          </cell>
          <cell r="O2968" t="str">
            <v>Управління НБУ в Запор.обл.</v>
          </cell>
        </row>
        <row r="2969">
          <cell r="A2969">
            <v>373254</v>
          </cell>
          <cell r="B2969">
            <v>300249</v>
          </cell>
          <cell r="D2969">
            <v>0</v>
          </cell>
          <cell r="E2969">
            <v>37</v>
          </cell>
          <cell r="F2969">
            <v>0</v>
          </cell>
          <cell r="G2969" t="str">
            <v>8</v>
          </cell>
          <cell r="H2969">
            <v>844</v>
          </cell>
          <cell r="I2969" t="str">
            <v>ЗАПОР.ФАБ"БРОКБІЗНЕСБАНК", М.ЗАПОРІЖЖЯ</v>
          </cell>
          <cell r="J2969" t="str">
            <v>Запор. ФАБ "БРОКБІЗНЕСБАНК"</v>
          </cell>
          <cell r="K2969" t="str">
            <v>UGNB</v>
          </cell>
          <cell r="L2969" t="str">
            <v>UGNB</v>
          </cell>
          <cell r="M2969">
            <v>7</v>
          </cell>
          <cell r="N2969">
            <v>26</v>
          </cell>
          <cell r="O2969" t="str">
            <v>Управління НБУ в Запор.обл.</v>
          </cell>
        </row>
        <row r="2970">
          <cell r="A2970">
            <v>373276</v>
          </cell>
          <cell r="B2970">
            <v>380399</v>
          </cell>
          <cell r="D2970">
            <v>0</v>
          </cell>
          <cell r="E2970">
            <v>315</v>
          </cell>
          <cell r="F2970">
            <v>0</v>
          </cell>
          <cell r="G2970" t="str">
            <v>8</v>
          </cell>
          <cell r="H2970">
            <v>204</v>
          </cell>
          <cell r="I2970" t="str">
            <v>ФІЛІЯ"ЗАПОРІЗЬКАДИРЕКЦІЯТОВУКБ"КАМБІО"</v>
          </cell>
          <cell r="J2970" t="str">
            <v>Філія"ЗД ТОВ УКБ "Камбіо"</v>
          </cell>
          <cell r="K2970" t="str">
            <v>UGFP</v>
          </cell>
          <cell r="L2970" t="str">
            <v>UGFP</v>
          </cell>
          <cell r="M2970">
            <v>7</v>
          </cell>
          <cell r="N2970">
            <v>26</v>
          </cell>
          <cell r="O2970" t="str">
            <v>Управління НБУ в Запор.обл.</v>
          </cell>
        </row>
        <row r="2971">
          <cell r="A2971">
            <v>373287</v>
          </cell>
          <cell r="B2971">
            <v>300465</v>
          </cell>
          <cell r="D2971">
            <v>0</v>
          </cell>
          <cell r="E2971">
            <v>6</v>
          </cell>
          <cell r="F2971">
            <v>0</v>
          </cell>
          <cell r="G2971" t="str">
            <v>6</v>
          </cell>
          <cell r="H2971">
            <v>631</v>
          </cell>
          <cell r="I2971" t="str">
            <v>ФТОКМАЦЬКЕ ВІДДІЛЕННЯ ВАТОЩАД М.ТОКМАК</v>
          </cell>
          <cell r="J2971" t="str">
            <v>ФТокмацьке відділеннВАТОщад</v>
          </cell>
          <cell r="K2971" t="str">
            <v>UGMC</v>
          </cell>
          <cell r="L2971" t="str">
            <v>UGLA</v>
          </cell>
          <cell r="M2971">
            <v>7</v>
          </cell>
          <cell r="N2971">
            <v>26</v>
          </cell>
          <cell r="O2971" t="str">
            <v>Управління НБУ в Запор.обл.</v>
          </cell>
        </row>
        <row r="2972">
          <cell r="A2972">
            <v>373317</v>
          </cell>
          <cell r="B2972">
            <v>380537</v>
          </cell>
          <cell r="D2972">
            <v>0</v>
          </cell>
          <cell r="E2972">
            <v>76</v>
          </cell>
          <cell r="F2972">
            <v>0</v>
          </cell>
          <cell r="G2972" t="str">
            <v>B</v>
          </cell>
          <cell r="H2972">
            <v>834</v>
          </cell>
          <cell r="I2972" t="str">
            <v>ЗАПОР.ФІЛІЯ ВАТ"ВІЕЙБІБАНК"М.ЗАПОРІЖЖЯ</v>
          </cell>
          <cell r="J2972" t="str">
            <v>Запор.Ф.ВАТ"ВІЕЙБІБАНК"</v>
          </cell>
          <cell r="K2972" t="str">
            <v>UGNA</v>
          </cell>
          <cell r="L2972" t="str">
            <v>UGNA</v>
          </cell>
          <cell r="M2972">
            <v>7</v>
          </cell>
          <cell r="N2972">
            <v>26</v>
          </cell>
          <cell r="O2972" t="str">
            <v>Управління НБУ в Запор.обл.</v>
          </cell>
        </row>
        <row r="2973">
          <cell r="A2973">
            <v>373481</v>
          </cell>
          <cell r="B2973">
            <v>325912</v>
          </cell>
          <cell r="D2973">
            <v>0</v>
          </cell>
          <cell r="E2973">
            <v>88</v>
          </cell>
          <cell r="F2973">
            <v>0</v>
          </cell>
          <cell r="G2973" t="str">
            <v>B</v>
          </cell>
          <cell r="H2973">
            <v>870</v>
          </cell>
          <cell r="I2973" t="str">
            <v>Запорізька філія ВАТ "КРЕДОБАНК"</v>
          </cell>
          <cell r="J2973" t="str">
            <v>Запорізька Ф.ВАТ"КРЕДОБАНК"</v>
          </cell>
          <cell r="K2973" t="str">
            <v>UGNC</v>
          </cell>
          <cell r="L2973" t="str">
            <v>UGNC</v>
          </cell>
          <cell r="M2973">
            <v>7</v>
          </cell>
          <cell r="N2973">
            <v>13</v>
          </cell>
          <cell r="O2973" t="str">
            <v>Управління НБУ в Запор.обл.</v>
          </cell>
        </row>
        <row r="2974">
          <cell r="A2974">
            <v>375025</v>
          </cell>
          <cell r="B2974">
            <v>300465</v>
          </cell>
          <cell r="D2974">
            <v>0</v>
          </cell>
          <cell r="E2974">
            <v>6</v>
          </cell>
          <cell r="F2974">
            <v>0</v>
          </cell>
          <cell r="G2974" t="str">
            <v>6</v>
          </cell>
          <cell r="H2974">
            <v>601</v>
          </cell>
          <cell r="I2974" t="str">
            <v>ФБІЛОГІРСЬКЕ ВІДДІЛ ВАТОЩАД СМТ.БІЛОГІ</v>
          </cell>
          <cell r="J2974" t="str">
            <v>ФБілогірське відділеВАТОщад</v>
          </cell>
          <cell r="K2974" t="str">
            <v>UWLC</v>
          </cell>
          <cell r="L2974" t="str">
            <v>UWLA</v>
          </cell>
          <cell r="M2974">
            <v>22</v>
          </cell>
          <cell r="N2974">
            <v>26</v>
          </cell>
          <cell r="O2974" t="str">
            <v>Управ.НБУ у  Хмельницьк.обл.</v>
          </cell>
        </row>
        <row r="2975">
          <cell r="A2975">
            <v>375047</v>
          </cell>
          <cell r="B2975">
            <v>300465</v>
          </cell>
          <cell r="D2975">
            <v>0</v>
          </cell>
          <cell r="E2975">
            <v>6</v>
          </cell>
          <cell r="F2975">
            <v>0</v>
          </cell>
          <cell r="G2975" t="str">
            <v>6</v>
          </cell>
          <cell r="H2975">
            <v>603</v>
          </cell>
          <cell r="I2975" t="str">
            <v>ФВОЛОЧИСЬКЕ ВІДДІЛЕ ВАТОЩАД М.ВОЛОЧИСЬ</v>
          </cell>
          <cell r="J2975" t="str">
            <v>ФВолочиське відділенВАТОщад</v>
          </cell>
          <cell r="K2975" t="str">
            <v>UWLE</v>
          </cell>
          <cell r="L2975" t="str">
            <v>UWLA</v>
          </cell>
          <cell r="M2975">
            <v>22</v>
          </cell>
          <cell r="N2975">
            <v>26</v>
          </cell>
          <cell r="O2975" t="str">
            <v>Управ.НБУ у  Хмельницьк.обл.</v>
          </cell>
        </row>
        <row r="2976">
          <cell r="A2976">
            <v>375058</v>
          </cell>
          <cell r="B2976">
            <v>300465</v>
          </cell>
          <cell r="D2976">
            <v>0</v>
          </cell>
          <cell r="E2976">
            <v>6</v>
          </cell>
          <cell r="F2976">
            <v>0</v>
          </cell>
          <cell r="G2976" t="str">
            <v>6</v>
          </cell>
          <cell r="H2976">
            <v>604</v>
          </cell>
          <cell r="I2976" t="str">
            <v>ФГОРОДОЦЬКЕ ВІДДІЛЕН ВАТОЩАД М.ГОРОДОК</v>
          </cell>
          <cell r="J2976" t="str">
            <v>ФГородоцьке відділенВАТОщад</v>
          </cell>
          <cell r="K2976" t="str">
            <v>UWLF</v>
          </cell>
          <cell r="L2976" t="str">
            <v>UWLA</v>
          </cell>
          <cell r="M2976">
            <v>22</v>
          </cell>
          <cell r="N2976">
            <v>26</v>
          </cell>
          <cell r="O2976" t="str">
            <v>Управ.НБУ у  Хмельницьк.обл.</v>
          </cell>
        </row>
        <row r="2977">
          <cell r="A2977">
            <v>375069</v>
          </cell>
          <cell r="B2977">
            <v>300465</v>
          </cell>
          <cell r="D2977">
            <v>0</v>
          </cell>
          <cell r="E2977">
            <v>6</v>
          </cell>
          <cell r="F2977">
            <v>0</v>
          </cell>
          <cell r="G2977" t="str">
            <v>6</v>
          </cell>
          <cell r="H2977">
            <v>605</v>
          </cell>
          <cell r="I2977" t="str">
            <v>ФДЕРАЖНЯНСЬКЕ ВІДДІЛ ВАТОЩАД М.ДЕРАЖНЯ</v>
          </cell>
          <cell r="J2977" t="str">
            <v>ФДеражнянське відділВАТОщад</v>
          </cell>
          <cell r="K2977" t="str">
            <v>UWLG</v>
          </cell>
          <cell r="L2977" t="str">
            <v>UWLA</v>
          </cell>
          <cell r="M2977">
            <v>22</v>
          </cell>
          <cell r="N2977">
            <v>26</v>
          </cell>
          <cell r="O2977" t="str">
            <v>Управ.НБУ у  Хмельницьк.обл.</v>
          </cell>
        </row>
        <row r="2978">
          <cell r="A2978">
            <v>375070</v>
          </cell>
          <cell r="B2978">
            <v>300465</v>
          </cell>
          <cell r="D2978">
            <v>0</v>
          </cell>
          <cell r="E2978">
            <v>6</v>
          </cell>
          <cell r="F2978">
            <v>0</v>
          </cell>
          <cell r="G2978" t="str">
            <v>6</v>
          </cell>
          <cell r="H2978">
            <v>606</v>
          </cell>
          <cell r="I2978" t="str">
            <v>ФДУНАЄВЕЦЬКЕ ВІДДІЛ ВАТОЩАД М.ДУНАЇВЦІ</v>
          </cell>
          <cell r="J2978" t="str">
            <v>ФДунаєвецьке відділеВАТОщад</v>
          </cell>
          <cell r="K2978" t="str">
            <v>UWLH</v>
          </cell>
          <cell r="L2978" t="str">
            <v>UWLA</v>
          </cell>
          <cell r="M2978">
            <v>22</v>
          </cell>
          <cell r="N2978">
            <v>26</v>
          </cell>
          <cell r="O2978" t="str">
            <v>Управ.НБУ у  Хмельницьк.обл.</v>
          </cell>
        </row>
        <row r="2979">
          <cell r="A2979">
            <v>375081</v>
          </cell>
          <cell r="B2979">
            <v>300465</v>
          </cell>
          <cell r="D2979">
            <v>0</v>
          </cell>
          <cell r="E2979">
            <v>6</v>
          </cell>
          <cell r="F2979">
            <v>0</v>
          </cell>
          <cell r="G2979" t="str">
            <v>6</v>
          </cell>
          <cell r="H2979">
            <v>607</v>
          </cell>
          <cell r="I2979" t="str">
            <v>ФІЗЯСЛАВСЬКЕ ВІДДІЛЕ ВАТОЩАД М.ІЗЯСЛАВ</v>
          </cell>
          <cell r="J2979" t="str">
            <v>ФІзяславське відділеВАТОщад</v>
          </cell>
          <cell r="K2979" t="str">
            <v>UWLI</v>
          </cell>
          <cell r="L2979" t="str">
            <v>UWLA</v>
          </cell>
          <cell r="M2979">
            <v>22</v>
          </cell>
          <cell r="N2979">
            <v>26</v>
          </cell>
          <cell r="O2979" t="str">
            <v>Управ.НБУ у  Хмельницьк.обл.</v>
          </cell>
        </row>
        <row r="2980">
          <cell r="A2980">
            <v>375092</v>
          </cell>
          <cell r="B2980">
            <v>300465</v>
          </cell>
          <cell r="D2980">
            <v>0</v>
          </cell>
          <cell r="E2980">
            <v>6</v>
          </cell>
          <cell r="F2980">
            <v>0</v>
          </cell>
          <cell r="G2980" t="str">
            <v>6</v>
          </cell>
          <cell r="H2980">
            <v>608</v>
          </cell>
          <cell r="I2980" t="str">
            <v>ФКАМ`ЯНЕЦЬ-ПОДІЛЬСЬ ВАТОЩАД М.КАМ`ЯНЕЦ</v>
          </cell>
          <cell r="J2980" t="str">
            <v>ФКам`янець-ПодільськВАТОщад</v>
          </cell>
          <cell r="K2980" t="str">
            <v>UWLJ</v>
          </cell>
          <cell r="L2980" t="str">
            <v>UWLA</v>
          </cell>
          <cell r="M2980">
            <v>22</v>
          </cell>
          <cell r="N2980">
            <v>26</v>
          </cell>
          <cell r="O2980" t="str">
            <v>Управ.НБУ у  Хмельницьк.обл.</v>
          </cell>
        </row>
        <row r="2981">
          <cell r="A2981">
            <v>375100</v>
          </cell>
          <cell r="B2981">
            <v>300465</v>
          </cell>
          <cell r="D2981">
            <v>0</v>
          </cell>
          <cell r="E2981">
            <v>6</v>
          </cell>
          <cell r="F2981">
            <v>0</v>
          </cell>
          <cell r="G2981" t="str">
            <v>6</v>
          </cell>
          <cell r="H2981">
            <v>619</v>
          </cell>
          <cell r="I2981" t="str">
            <v>ФЧЕМЕРОВЕЦЬКЕ ВІДДІ ВАТОЩАД СМТ.ЧЕМЕРІ</v>
          </cell>
          <cell r="J2981" t="str">
            <v>ФЧемеровецьке відділВАТОщад</v>
          </cell>
          <cell r="K2981" t="str">
            <v>UWLU</v>
          </cell>
          <cell r="L2981" t="str">
            <v>UWLA</v>
          </cell>
          <cell r="M2981">
            <v>22</v>
          </cell>
          <cell r="N2981">
            <v>26</v>
          </cell>
          <cell r="O2981" t="str">
            <v>Управ.НБУ у  Хмельницьк.обл.</v>
          </cell>
        </row>
        <row r="2982">
          <cell r="A2982">
            <v>375111</v>
          </cell>
          <cell r="B2982">
            <v>300465</v>
          </cell>
          <cell r="D2982">
            <v>0</v>
          </cell>
          <cell r="E2982">
            <v>6</v>
          </cell>
          <cell r="F2982">
            <v>0</v>
          </cell>
          <cell r="G2982" t="str">
            <v>6</v>
          </cell>
          <cell r="H2982">
            <v>610</v>
          </cell>
          <cell r="I2982" t="str">
            <v>ФКРАСИЛІВСЬКЕ ВІДДІ ВАТОЩАД М.КРАСИЛІВ</v>
          </cell>
          <cell r="J2982" t="str">
            <v>ФКрасилівське відділВАТОщад</v>
          </cell>
          <cell r="K2982" t="str">
            <v>UWLL</v>
          </cell>
          <cell r="L2982" t="str">
            <v>UWLA</v>
          </cell>
          <cell r="M2982">
            <v>22</v>
          </cell>
          <cell r="N2982">
            <v>26</v>
          </cell>
          <cell r="O2982" t="str">
            <v>Управ.НБУ у  Хмельницьк.обл.</v>
          </cell>
        </row>
        <row r="2983">
          <cell r="A2983">
            <v>375155</v>
          </cell>
          <cell r="B2983">
            <v>300465</v>
          </cell>
          <cell r="D2983">
            <v>0</v>
          </cell>
          <cell r="E2983">
            <v>6</v>
          </cell>
          <cell r="F2983">
            <v>0</v>
          </cell>
          <cell r="G2983" t="str">
            <v>6</v>
          </cell>
          <cell r="H2983">
            <v>614</v>
          </cell>
          <cell r="I2983" t="str">
            <v>ФСЛАВУТСЬКЕ ВІДДІЛЕН ВАТОЩАД М.СЛАВУТА</v>
          </cell>
          <cell r="J2983" t="str">
            <v>ФСлавутське відділенВАТОщад</v>
          </cell>
          <cell r="K2983" t="str">
            <v>UWLP</v>
          </cell>
          <cell r="L2983" t="str">
            <v>UWLA</v>
          </cell>
          <cell r="M2983">
            <v>22</v>
          </cell>
          <cell r="N2983">
            <v>26</v>
          </cell>
          <cell r="O2983" t="str">
            <v>Управ.НБУ у  Хмельницьк.обл.</v>
          </cell>
        </row>
        <row r="2984">
          <cell r="A2984">
            <v>375166</v>
          </cell>
          <cell r="B2984">
            <v>300465</v>
          </cell>
          <cell r="D2984">
            <v>0</v>
          </cell>
          <cell r="E2984">
            <v>6</v>
          </cell>
          <cell r="F2984">
            <v>0</v>
          </cell>
          <cell r="G2984" t="str">
            <v>6</v>
          </cell>
          <cell r="H2984">
            <v>615</v>
          </cell>
          <cell r="I2984" t="str">
            <v>ФСТАРОКОСТЯНТИНІВСЬ ВАТОЩАД М.СТАРОКОС</v>
          </cell>
          <cell r="J2984" t="str">
            <v>ФСтарокостянтинівськВАТОщад</v>
          </cell>
          <cell r="K2984" t="str">
            <v>UWLQ</v>
          </cell>
          <cell r="L2984" t="str">
            <v>UWLA</v>
          </cell>
          <cell r="M2984">
            <v>22</v>
          </cell>
          <cell r="N2984">
            <v>26</v>
          </cell>
          <cell r="O2984" t="str">
            <v>Управ.НБУ у  Хмельницьк.обл.</v>
          </cell>
        </row>
        <row r="2985">
          <cell r="A2985">
            <v>375188</v>
          </cell>
          <cell r="B2985">
            <v>300465</v>
          </cell>
          <cell r="D2985">
            <v>0</v>
          </cell>
          <cell r="E2985">
            <v>6</v>
          </cell>
          <cell r="F2985">
            <v>0</v>
          </cell>
          <cell r="G2985" t="str">
            <v>6</v>
          </cell>
          <cell r="H2985">
            <v>617</v>
          </cell>
          <cell r="I2985" t="str">
            <v>ФТЕОФІПОЛЬСЬКЕ ВІДД ВАТОЩАД СМТ.ТЕОФІП</v>
          </cell>
          <cell r="J2985" t="str">
            <v>ФТеофіпольське віддіВАТОщад</v>
          </cell>
          <cell r="K2985" t="str">
            <v>UWLS</v>
          </cell>
          <cell r="L2985" t="str">
            <v>UWLA</v>
          </cell>
          <cell r="M2985">
            <v>22</v>
          </cell>
          <cell r="N2985">
            <v>26</v>
          </cell>
          <cell r="O2985" t="str">
            <v>Управ.НБУ у  Хмельницьк.обл.</v>
          </cell>
        </row>
        <row r="2986">
          <cell r="A2986">
            <v>375218</v>
          </cell>
          <cell r="B2986">
            <v>300465</v>
          </cell>
          <cell r="D2986">
            <v>0</v>
          </cell>
          <cell r="E2986">
            <v>6</v>
          </cell>
          <cell r="F2986">
            <v>0</v>
          </cell>
          <cell r="G2986" t="str">
            <v>6</v>
          </cell>
          <cell r="H2986">
            <v>620</v>
          </cell>
          <cell r="I2986" t="str">
            <v>ФШЕПЕТІВСЬКЕ ВІДДІЛ ВАТОЩАД М.ШЕПЕТІВК</v>
          </cell>
          <cell r="J2986" t="str">
            <v>ФШепетівське відділеВАТОщад</v>
          </cell>
          <cell r="K2986" t="str">
            <v>UWLV</v>
          </cell>
          <cell r="L2986" t="str">
            <v>UWLA</v>
          </cell>
          <cell r="M2986">
            <v>22</v>
          </cell>
          <cell r="N2986">
            <v>26</v>
          </cell>
          <cell r="O2986" t="str">
            <v>Управ.НБУ у  Хмельницьк.обл.</v>
          </cell>
        </row>
        <row r="2987">
          <cell r="A2987">
            <v>377012</v>
          </cell>
          <cell r="B2987">
            <v>328209</v>
          </cell>
          <cell r="D2987">
            <v>0</v>
          </cell>
          <cell r="E2987">
            <v>106</v>
          </cell>
          <cell r="F2987">
            <v>0</v>
          </cell>
          <cell r="G2987" t="str">
            <v>8</v>
          </cell>
          <cell r="H2987">
            <v>504</v>
          </cell>
          <cell r="I2987" t="str">
            <v>ФІЛІЯ АБ "ПІВДЕННИЙ" В М. ДОНЕЦЬК</v>
          </cell>
          <cell r="J2987" t="str">
            <v>ФІЛ.АБ"ПІВДЕННИЙ"М.ДОНЕЦЬК</v>
          </cell>
          <cell r="K2987" t="str">
            <v>UDFG</v>
          </cell>
          <cell r="L2987" t="str">
            <v>UDFG</v>
          </cell>
          <cell r="M2987">
            <v>4</v>
          </cell>
          <cell r="N2987">
            <v>15</v>
          </cell>
          <cell r="O2987" t="str">
            <v>Управління НБУ в Донец.обл.</v>
          </cell>
        </row>
        <row r="2988">
          <cell r="A2988">
            <v>377045</v>
          </cell>
          <cell r="B2988">
            <v>300272</v>
          </cell>
          <cell r="D2988">
            <v>0</v>
          </cell>
          <cell r="E2988">
            <v>31</v>
          </cell>
          <cell r="F2988">
            <v>0</v>
          </cell>
          <cell r="G2988" t="str">
            <v>B</v>
          </cell>
          <cell r="H2988">
            <v>818</v>
          </cell>
          <cell r="I2988" t="str">
            <v>ФІЛІЯ АБ "ЕНЕРГОБАНК"В М.ДОНЕЦЬК</v>
          </cell>
          <cell r="J2988" t="str">
            <v>Флія АБ "Енергоб"вм.Донецьк</v>
          </cell>
          <cell r="K2988" t="str">
            <v>UDFQ</v>
          </cell>
          <cell r="L2988" t="str">
            <v>UDFQ</v>
          </cell>
          <cell r="M2988">
            <v>4</v>
          </cell>
          <cell r="N2988">
            <v>26</v>
          </cell>
          <cell r="O2988" t="str">
            <v>Управління НБУ в Донец.обл.</v>
          </cell>
        </row>
        <row r="2989">
          <cell r="A2989">
            <v>377078</v>
          </cell>
          <cell r="B2989">
            <v>300249</v>
          </cell>
          <cell r="D2989">
            <v>0</v>
          </cell>
          <cell r="E2989">
            <v>37</v>
          </cell>
          <cell r="F2989">
            <v>0</v>
          </cell>
          <cell r="G2989" t="str">
            <v>8</v>
          </cell>
          <cell r="H2989">
            <v>949</v>
          </cell>
          <cell r="I2989" t="str">
            <v>КФ АБ "БРОКБІЗНЕСБАНК", М.КРАМАТОРСЬК</v>
          </cell>
          <cell r="J2989" t="str">
            <v>Крамат.Ф.АБ"БРОКБІЗНЕСБАНК"</v>
          </cell>
          <cell r="K2989" t="str">
            <v>UDVH</v>
          </cell>
          <cell r="L2989" t="str">
            <v>UDVH</v>
          </cell>
          <cell r="M2989">
            <v>4</v>
          </cell>
          <cell r="N2989">
            <v>26</v>
          </cell>
          <cell r="O2989" t="str">
            <v>Управління НБУ в Донец.обл.</v>
          </cell>
        </row>
        <row r="2990">
          <cell r="A2990">
            <v>377090</v>
          </cell>
          <cell r="B2990">
            <v>377090</v>
          </cell>
          <cell r="C2990" t="str">
            <v>ВАТ "ЄВРОПРОМБАНК"</v>
          </cell>
          <cell r="D2990">
            <v>395</v>
          </cell>
          <cell r="E2990">
            <v>395</v>
          </cell>
          <cell r="F2990">
            <v>0</v>
          </cell>
          <cell r="G2990" t="str">
            <v>8</v>
          </cell>
          <cell r="H2990">
            <v>406</v>
          </cell>
          <cell r="I2990" t="str">
            <v>ВАТ "ЄВРОПРОМБАНК"</v>
          </cell>
          <cell r="J2990" t="str">
            <v>ВАТ "ЄВРОПРОМБАНК"</v>
          </cell>
          <cell r="K2990" t="str">
            <v>UDOZ</v>
          </cell>
          <cell r="L2990" t="str">
            <v>UDOZ</v>
          </cell>
          <cell r="M2990">
            <v>4</v>
          </cell>
          <cell r="N2990">
            <v>4</v>
          </cell>
          <cell r="O2990" t="str">
            <v>Управління НБУ в Донец.обл.</v>
          </cell>
        </row>
        <row r="2991">
          <cell r="A2991">
            <v>377108</v>
          </cell>
          <cell r="B2991">
            <v>321466</v>
          </cell>
          <cell r="D2991">
            <v>0</v>
          </cell>
          <cell r="E2991">
            <v>74</v>
          </cell>
          <cell r="F2991">
            <v>0</v>
          </cell>
          <cell r="G2991" t="str">
            <v>8</v>
          </cell>
          <cell r="H2991">
            <v>952</v>
          </cell>
          <cell r="I2991" t="str">
            <v>ДОНЕЦЬКАФВАТ КБ "НАЦ.СТАНД", М.ДОНЕЦЬК</v>
          </cell>
          <cell r="J2991" t="str">
            <v>Донецькаф.ВАТ КБ "Нац.станд</v>
          </cell>
          <cell r="K2991" t="str">
            <v>UDVK</v>
          </cell>
          <cell r="L2991" t="str">
            <v>UDVK</v>
          </cell>
          <cell r="M2991">
            <v>4</v>
          </cell>
          <cell r="N2991">
            <v>26</v>
          </cell>
          <cell r="O2991" t="str">
            <v>Управління НБУ в Донец.обл.</v>
          </cell>
        </row>
        <row r="2992">
          <cell r="A2992">
            <v>377119</v>
          </cell>
          <cell r="B2992">
            <v>300249</v>
          </cell>
          <cell r="D2992">
            <v>0</v>
          </cell>
          <cell r="E2992">
            <v>37</v>
          </cell>
          <cell r="F2992">
            <v>0</v>
          </cell>
          <cell r="G2992" t="str">
            <v>8</v>
          </cell>
          <cell r="H2992">
            <v>208</v>
          </cell>
          <cell r="I2992" t="str">
            <v>МФ АБ "БРОКБІЗНЕСБАНК" М. МАРІУПОЛЬ</v>
          </cell>
          <cell r="J2992" t="str">
            <v>Маріупольська ФАБ "БРОК"</v>
          </cell>
          <cell r="K2992" t="str">
            <v>UDRA</v>
          </cell>
          <cell r="L2992" t="str">
            <v>UDRA</v>
          </cell>
          <cell r="M2992">
            <v>4</v>
          </cell>
          <cell r="N2992">
            <v>26</v>
          </cell>
          <cell r="O2992" t="str">
            <v>Управління НБУ в Донец.обл.</v>
          </cell>
        </row>
        <row r="2993">
          <cell r="A2993">
            <v>377131</v>
          </cell>
          <cell r="B2993">
            <v>328599</v>
          </cell>
          <cell r="D2993">
            <v>0</v>
          </cell>
          <cell r="E2993">
            <v>167</v>
          </cell>
          <cell r="F2993">
            <v>0</v>
          </cell>
          <cell r="G2993" t="str">
            <v>8</v>
          </cell>
          <cell r="H2993">
            <v>942</v>
          </cell>
          <cell r="I2993" t="str">
            <v>Ф"ДОНБАСЬКЕ.РЕГ.УПР."ТОВ"ФІНРОСТБАНК"</v>
          </cell>
          <cell r="J2993" t="str">
            <v>Ф "ДРУ" ТОВ "ФІНРОСТБАНК"</v>
          </cell>
          <cell r="K2993" t="str">
            <v>UDVG</v>
          </cell>
          <cell r="L2993" t="str">
            <v>UDVG</v>
          </cell>
          <cell r="M2993">
            <v>4</v>
          </cell>
          <cell r="N2993">
            <v>15</v>
          </cell>
          <cell r="O2993" t="str">
            <v>Управління НБУ в Донец.обл.</v>
          </cell>
        </row>
        <row r="2994">
          <cell r="A2994">
            <v>377197</v>
          </cell>
          <cell r="B2994">
            <v>300670</v>
          </cell>
          <cell r="D2994">
            <v>0</v>
          </cell>
          <cell r="E2994">
            <v>202</v>
          </cell>
          <cell r="F2994">
            <v>0</v>
          </cell>
          <cell r="G2994" t="str">
            <v>8</v>
          </cell>
          <cell r="H2994">
            <v>951</v>
          </cell>
          <cell r="I2994" t="str">
            <v>ДОНЕЦЬКА ФВАТ КБ "ХРЕЩАТИК", М.ДОНЕЦЬК</v>
          </cell>
          <cell r="J2994" t="str">
            <v>Донецька ФВАТ КБ "Хрещатик"</v>
          </cell>
          <cell r="K2994" t="str">
            <v>UDVJ</v>
          </cell>
          <cell r="L2994" t="str">
            <v>UDVJ</v>
          </cell>
          <cell r="M2994">
            <v>4</v>
          </cell>
          <cell r="N2994">
            <v>26</v>
          </cell>
          <cell r="O2994" t="str">
            <v>Управління НБУ в Донец.обл.</v>
          </cell>
        </row>
        <row r="2995">
          <cell r="A2995">
            <v>377368</v>
          </cell>
          <cell r="B2995">
            <v>351878</v>
          </cell>
          <cell r="D2995">
            <v>0</v>
          </cell>
          <cell r="E2995">
            <v>135</v>
          </cell>
          <cell r="F2995">
            <v>0</v>
          </cell>
          <cell r="G2995" t="str">
            <v>8</v>
          </cell>
          <cell r="H2995">
            <v>978</v>
          </cell>
          <cell r="I2995" t="str">
            <v>ДОНЕЦЬКА Ф ВАТ "ІНПРОМБАНК", М.ДОНЕЦЬК</v>
          </cell>
          <cell r="J2995" t="str">
            <v>Донецька Ф ВАТ "Інпромбанк"</v>
          </cell>
          <cell r="K2995" t="str">
            <v>UDVN</v>
          </cell>
          <cell r="L2995" t="str">
            <v>UDVN</v>
          </cell>
          <cell r="M2995">
            <v>4</v>
          </cell>
          <cell r="N2995">
            <v>20</v>
          </cell>
          <cell r="O2995" t="str">
            <v>Управління НБУ в Донец.обл.</v>
          </cell>
        </row>
        <row r="2996">
          <cell r="A2996">
            <v>377379</v>
          </cell>
          <cell r="B2996">
            <v>380300</v>
          </cell>
          <cell r="D2996">
            <v>0</v>
          </cell>
          <cell r="E2996">
            <v>51</v>
          </cell>
          <cell r="F2996">
            <v>0</v>
          </cell>
          <cell r="G2996" t="str">
            <v>8</v>
          </cell>
          <cell r="H2996">
            <v>979</v>
          </cell>
          <cell r="I2996" t="str">
            <v>ДОНЕЦЬКА Ф ТОВ КБ "АРМА", М.ДОНЕЦЬК</v>
          </cell>
          <cell r="J2996" t="str">
            <v>Донецька ф.ТОВ КБ "АРМА"</v>
          </cell>
          <cell r="K2996" t="str">
            <v>UDVM</v>
          </cell>
          <cell r="L2996" t="str">
            <v>UDVM</v>
          </cell>
          <cell r="M2996">
            <v>4</v>
          </cell>
          <cell r="N2996">
            <v>26</v>
          </cell>
          <cell r="O2996" t="str">
            <v>Управління НБУ в Донец.обл.</v>
          </cell>
        </row>
        <row r="2997">
          <cell r="A2997">
            <v>377777</v>
          </cell>
          <cell r="B2997">
            <v>377777</v>
          </cell>
          <cell r="C2997" t="str">
            <v>ТОВ КБ"Укр.фінансовий світ"</v>
          </cell>
          <cell r="D2997">
            <v>310</v>
          </cell>
          <cell r="E2997">
            <v>310</v>
          </cell>
          <cell r="F2997">
            <v>0</v>
          </cell>
          <cell r="G2997" t="str">
            <v>8</v>
          </cell>
          <cell r="H2997">
            <v>805</v>
          </cell>
          <cell r="I2997" t="str">
            <v>ТОВ КБ "УКР. ФІНАНСОВИЙ СВІТ", ДОНЕЦЬК</v>
          </cell>
          <cell r="J2997" t="str">
            <v>ТОВ КБ"Укр.фінансовий світ"</v>
          </cell>
          <cell r="K2997" t="str">
            <v>UDWW</v>
          </cell>
          <cell r="L2997" t="str">
            <v>UDWW</v>
          </cell>
          <cell r="M2997">
            <v>4</v>
          </cell>
          <cell r="N2997">
            <v>4</v>
          </cell>
          <cell r="O2997" t="str">
            <v>Управління НБУ в Донец.обл.</v>
          </cell>
        </row>
        <row r="2998">
          <cell r="A2998">
            <v>380009</v>
          </cell>
          <cell r="B2998">
            <v>380009</v>
          </cell>
          <cell r="C2998" t="str">
            <v>ВАТ "Ерсте Банк"</v>
          </cell>
          <cell r="D2998">
            <v>322</v>
          </cell>
          <cell r="E2998">
            <v>322</v>
          </cell>
          <cell r="F2998">
            <v>0</v>
          </cell>
          <cell r="G2998" t="str">
            <v>9</v>
          </cell>
          <cell r="H2998">
            <v>429</v>
          </cell>
          <cell r="I2998" t="str">
            <v>ВАТ "ЕРСТЕ БАНК", М.КИЇВ</v>
          </cell>
          <cell r="J2998" t="str">
            <v>ВАТ "Ерсте Банк"</v>
          </cell>
          <cell r="K2998" t="str">
            <v>UIFE</v>
          </cell>
          <cell r="L2998" t="str">
            <v>UIFE</v>
          </cell>
          <cell r="M2998">
            <v>26</v>
          </cell>
          <cell r="N2998">
            <v>26</v>
          </cell>
          <cell r="O2998" t="str">
            <v>ГУ НБУ по м.Києву і області</v>
          </cell>
        </row>
        <row r="2999">
          <cell r="A2999">
            <v>380010</v>
          </cell>
          <cell r="B2999">
            <v>380010</v>
          </cell>
          <cell r="C2999" t="str">
            <v>ТОВ "Банк Ренесанс Капітал"</v>
          </cell>
          <cell r="D2999">
            <v>307</v>
          </cell>
          <cell r="E2999">
            <v>307</v>
          </cell>
          <cell r="F2999">
            <v>0</v>
          </cell>
          <cell r="G2999" t="str">
            <v>9</v>
          </cell>
          <cell r="H2999">
            <v>970</v>
          </cell>
          <cell r="I2999" t="str">
            <v>ТОВ "БАНК РЕНЕСАНС КАПІТАЛ", М.КИЇВ</v>
          </cell>
          <cell r="J2999" t="str">
            <v>ТОВ "Банк Ренесанс Капітал"</v>
          </cell>
          <cell r="K2999" t="str">
            <v>UIKW</v>
          </cell>
          <cell r="L2999" t="str">
            <v>UIKW</v>
          </cell>
          <cell r="M2999">
            <v>26</v>
          </cell>
          <cell r="N2999">
            <v>26</v>
          </cell>
          <cell r="O2999" t="str">
            <v>ГУ НБУ по м.Києву і області</v>
          </cell>
        </row>
        <row r="3000">
          <cell r="A3000">
            <v>380021</v>
          </cell>
          <cell r="B3000">
            <v>353489</v>
          </cell>
          <cell r="D3000">
            <v>0</v>
          </cell>
          <cell r="E3000">
            <v>133</v>
          </cell>
          <cell r="F3000">
            <v>0</v>
          </cell>
          <cell r="G3000" t="str">
            <v>8</v>
          </cell>
          <cell r="H3000">
            <v>968</v>
          </cell>
          <cell r="I3000" t="str">
            <v>КИЇВСЬКА ФІЛІЯ АБ "ПРИВАТІНВЕСТ"</v>
          </cell>
          <cell r="J3000" t="str">
            <v>Київська філ. Приватінвест</v>
          </cell>
          <cell r="K3000" t="str">
            <v>UIJG</v>
          </cell>
          <cell r="L3000" t="str">
            <v>UIJG</v>
          </cell>
          <cell r="M3000">
            <v>26</v>
          </cell>
          <cell r="N3000">
            <v>24</v>
          </cell>
          <cell r="O3000" t="str">
            <v>ГУ НБУ по м.Києву і області</v>
          </cell>
        </row>
        <row r="3001">
          <cell r="A3001">
            <v>380032</v>
          </cell>
          <cell r="B3001">
            <v>334992</v>
          </cell>
          <cell r="D3001">
            <v>0</v>
          </cell>
          <cell r="E3001">
            <v>59</v>
          </cell>
          <cell r="F3001">
            <v>0</v>
          </cell>
          <cell r="G3001" t="str">
            <v>8</v>
          </cell>
          <cell r="H3001">
            <v>969</v>
          </cell>
          <cell r="I3001" t="str">
            <v>КФ ВАТ КБ "ПРОМЕКОНОМБАНК" У М.КИЄВІ</v>
          </cell>
          <cell r="J3001" t="str">
            <v>КФ ВАТ КБ "ПРОМЕКОНОМБАНКУ"</v>
          </cell>
          <cell r="K3001" t="str">
            <v>UIWB</v>
          </cell>
          <cell r="L3001" t="str">
            <v>UIWB</v>
          </cell>
          <cell r="M3001">
            <v>26</v>
          </cell>
          <cell r="N3001">
            <v>4</v>
          </cell>
          <cell r="O3001" t="str">
            <v>ГУ НБУ по м.Києву і області</v>
          </cell>
        </row>
        <row r="3002">
          <cell r="A3002">
            <v>380054</v>
          </cell>
          <cell r="B3002">
            <v>380054</v>
          </cell>
          <cell r="C3002" t="str">
            <v>КБ "ФІНАНСОВА ІНІЦІАТИВА"</v>
          </cell>
          <cell r="D3002">
            <v>317</v>
          </cell>
          <cell r="E3002">
            <v>317</v>
          </cell>
          <cell r="F3002">
            <v>0</v>
          </cell>
          <cell r="G3002" t="str">
            <v>8</v>
          </cell>
          <cell r="H3002">
            <v>756</v>
          </cell>
          <cell r="I3002" t="str">
            <v>ТОВ КБ"ФІНАНСОВА ІНІЦІАТИВА" У М.КИЄВІ</v>
          </cell>
          <cell r="J3002" t="str">
            <v>КБ "ФІНАНСОВА ІНІЦІАТИВА"</v>
          </cell>
          <cell r="K3002" t="str">
            <v>UIVF</v>
          </cell>
          <cell r="L3002" t="str">
            <v>UIVF</v>
          </cell>
          <cell r="M3002">
            <v>26</v>
          </cell>
          <cell r="N3002">
            <v>26</v>
          </cell>
          <cell r="O3002" t="str">
            <v>ГУ НБУ по м.Києву і області</v>
          </cell>
        </row>
        <row r="3003">
          <cell r="A3003">
            <v>380076</v>
          </cell>
          <cell r="B3003">
            <v>321228</v>
          </cell>
          <cell r="D3003">
            <v>0</v>
          </cell>
          <cell r="E3003">
            <v>68</v>
          </cell>
          <cell r="F3003">
            <v>0</v>
          </cell>
          <cell r="G3003" t="str">
            <v>8</v>
          </cell>
          <cell r="H3003">
            <v>976</v>
          </cell>
          <cell r="I3003" t="str">
            <v>ФІЛІЯ"КРУ" ТОВ "УКРПРОМБАНК" У М.КИЄВІ</v>
          </cell>
          <cell r="J3003" t="str">
            <v>КРУ ТОВ "Укрпромбанк"</v>
          </cell>
          <cell r="K3003" t="str">
            <v>UIUI</v>
          </cell>
          <cell r="L3003" t="str">
            <v>UIUI</v>
          </cell>
          <cell r="M3003">
            <v>26</v>
          </cell>
          <cell r="N3003">
            <v>26</v>
          </cell>
          <cell r="O3003" t="str">
            <v>ГУ НБУ по м.Києву і області</v>
          </cell>
        </row>
        <row r="3004">
          <cell r="A3004">
            <v>380087</v>
          </cell>
          <cell r="B3004">
            <v>380087</v>
          </cell>
          <cell r="C3004" t="str">
            <v>Київський універсал.банк</v>
          </cell>
          <cell r="D3004">
            <v>63</v>
          </cell>
          <cell r="E3004">
            <v>63</v>
          </cell>
          <cell r="F3004">
            <v>0</v>
          </cell>
          <cell r="G3004" t="str">
            <v>8</v>
          </cell>
          <cell r="H3004">
            <v>948</v>
          </cell>
          <cell r="I3004" t="str">
            <v>ТОВ "КИЇВСЬКИЙ УНІВЕРС. БАНК"У М.КИЄВІ</v>
          </cell>
          <cell r="J3004" t="str">
            <v>Київський універсал.банк</v>
          </cell>
          <cell r="K3004" t="str">
            <v>UIUJ</v>
          </cell>
          <cell r="L3004" t="str">
            <v>UIUJ</v>
          </cell>
          <cell r="M3004">
            <v>26</v>
          </cell>
          <cell r="N3004">
            <v>26</v>
          </cell>
          <cell r="O3004" t="str">
            <v>ГУ НБУ по м.Києву і області</v>
          </cell>
        </row>
        <row r="3005">
          <cell r="A3005">
            <v>380106</v>
          </cell>
          <cell r="B3005">
            <v>380106</v>
          </cell>
          <cell r="C3005" t="str">
            <v>ЗАТ "АКБ "Траст-капітал"</v>
          </cell>
          <cell r="D3005">
            <v>311</v>
          </cell>
          <cell r="E3005">
            <v>311</v>
          </cell>
          <cell r="F3005">
            <v>0</v>
          </cell>
          <cell r="G3005" t="str">
            <v>8</v>
          </cell>
          <cell r="H3005">
            <v>992</v>
          </cell>
          <cell r="I3005" t="str">
            <v>ЗАТ "АКБ "ТРАСТ-КАПІТАЛ" У М. КИЄВІ</v>
          </cell>
          <cell r="J3005" t="str">
            <v>ЗАТ "АКБ "Траст-капітал"</v>
          </cell>
          <cell r="K3005" t="str">
            <v>UIUM</v>
          </cell>
          <cell r="L3005" t="str">
            <v>UIUM</v>
          </cell>
          <cell r="M3005">
            <v>26</v>
          </cell>
          <cell r="N3005">
            <v>26</v>
          </cell>
          <cell r="O3005" t="str">
            <v>ГУ НБУ по м.Києву і області</v>
          </cell>
        </row>
        <row r="3006">
          <cell r="A3006">
            <v>380117</v>
          </cell>
          <cell r="B3006">
            <v>351629</v>
          </cell>
          <cell r="D3006">
            <v>0</v>
          </cell>
          <cell r="E3006">
            <v>126</v>
          </cell>
          <cell r="F3006">
            <v>0</v>
          </cell>
          <cell r="G3006" t="str">
            <v>8</v>
          </cell>
          <cell r="H3006">
            <v>951</v>
          </cell>
          <cell r="I3006" t="str">
            <v>КИЇВСЬКА ФІЛІЯ ВАТ "МЕГАБАНК"У М.КИЄВІ</v>
          </cell>
          <cell r="J3006" t="str">
            <v>Київська ф-я ВАТ "Мегабанк"</v>
          </cell>
          <cell r="K3006" t="str">
            <v>UIUK</v>
          </cell>
          <cell r="L3006" t="str">
            <v>UIUK</v>
          </cell>
          <cell r="M3006">
            <v>26</v>
          </cell>
          <cell r="N3006">
            <v>20</v>
          </cell>
          <cell r="O3006" t="str">
            <v>ГУ НБУ по м.Києву і області</v>
          </cell>
        </row>
        <row r="3007">
          <cell r="A3007">
            <v>380128</v>
          </cell>
          <cell r="B3007">
            <v>380128</v>
          </cell>
          <cell r="C3007" t="str">
            <v>КБ "УФГ" - ТОВ</v>
          </cell>
          <cell r="D3007">
            <v>314</v>
          </cell>
          <cell r="E3007">
            <v>314</v>
          </cell>
          <cell r="F3007">
            <v>0</v>
          </cell>
          <cell r="G3007" t="str">
            <v>8</v>
          </cell>
          <cell r="H3007">
            <v>994</v>
          </cell>
          <cell r="I3007" t="str">
            <v>КБ "УФГ" - ТОВ У М.КИЄВІ</v>
          </cell>
          <cell r="J3007" t="str">
            <v>КБ "УФГ" - ТОВ</v>
          </cell>
          <cell r="K3007" t="str">
            <v>UIUR</v>
          </cell>
          <cell r="L3007" t="str">
            <v>UIUR</v>
          </cell>
          <cell r="M3007">
            <v>26</v>
          </cell>
          <cell r="N3007">
            <v>26</v>
          </cell>
          <cell r="O3007" t="str">
            <v>ГУ НБУ по м.Києву і області</v>
          </cell>
        </row>
        <row r="3008">
          <cell r="A3008">
            <v>380139</v>
          </cell>
          <cell r="B3008">
            <v>300670</v>
          </cell>
          <cell r="D3008">
            <v>0</v>
          </cell>
          <cell r="E3008">
            <v>202</v>
          </cell>
          <cell r="F3008">
            <v>0</v>
          </cell>
          <cell r="G3008" t="str">
            <v>8</v>
          </cell>
          <cell r="H3008">
            <v>982</v>
          </cell>
          <cell r="I3008" t="str">
            <v>ПОДІЛЬСЬКА Ф.ВАТКБ"ХРЕЩАТИК"У М.КИЄВІ</v>
          </cell>
          <cell r="J3008" t="str">
            <v>Подільська ФВАТКБ"Хрещатик"</v>
          </cell>
          <cell r="K3008" t="str">
            <v>UIUT</v>
          </cell>
          <cell r="L3008" t="str">
            <v>UIUT</v>
          </cell>
          <cell r="M3008">
            <v>26</v>
          </cell>
          <cell r="N3008">
            <v>26</v>
          </cell>
          <cell r="O3008" t="str">
            <v>ГУ НБУ по м.Києву і області</v>
          </cell>
        </row>
        <row r="3009">
          <cell r="A3009">
            <v>380151</v>
          </cell>
          <cell r="B3009">
            <v>300658</v>
          </cell>
          <cell r="D3009">
            <v>0</v>
          </cell>
          <cell r="E3009">
            <v>251</v>
          </cell>
          <cell r="F3009">
            <v>0</v>
          </cell>
          <cell r="G3009" t="str">
            <v>B</v>
          </cell>
          <cell r="H3009">
            <v>971</v>
          </cell>
          <cell r="I3009" t="str">
            <v>ФІЛІЯ ВАТ"ПІРЕУС БАНК МКБ""КД"М.КИЇВ</v>
          </cell>
          <cell r="J3009" t="str">
            <v>ФілВАТ"ПІРЕУС БАНК МКБ"КД"</v>
          </cell>
          <cell r="K3009" t="str">
            <v>UIUV</v>
          </cell>
          <cell r="L3009" t="str">
            <v>UIUV</v>
          </cell>
          <cell r="M3009">
            <v>26</v>
          </cell>
          <cell r="N3009">
            <v>26</v>
          </cell>
          <cell r="O3009" t="str">
            <v>ГУ НБУ по м.Києву і області</v>
          </cell>
        </row>
        <row r="3010">
          <cell r="A3010">
            <v>380184</v>
          </cell>
          <cell r="B3010">
            <v>380184</v>
          </cell>
          <cell r="C3010" t="str">
            <v>АКБ "ЄВРОПЕЙСЬКИЙ"</v>
          </cell>
          <cell r="D3010">
            <v>151</v>
          </cell>
          <cell r="E3010">
            <v>151</v>
          </cell>
          <cell r="F3010">
            <v>0</v>
          </cell>
          <cell r="G3010" t="str">
            <v>8</v>
          </cell>
          <cell r="H3010">
            <v>932</v>
          </cell>
          <cell r="I3010" t="str">
            <v>АКБ "ЄВРОПЕЙСЬКИЙ"</v>
          </cell>
          <cell r="J3010" t="str">
            <v>АКБ "ЄВРОПЕЙСЬКИЙ"</v>
          </cell>
          <cell r="K3010" t="str">
            <v>UIVT</v>
          </cell>
          <cell r="L3010" t="str">
            <v>UIVT</v>
          </cell>
          <cell r="M3010">
            <v>26</v>
          </cell>
          <cell r="N3010">
            <v>26</v>
          </cell>
          <cell r="O3010" t="str">
            <v>ГУ НБУ по м.Києву і області</v>
          </cell>
        </row>
        <row r="3011">
          <cell r="A3011">
            <v>380203</v>
          </cell>
          <cell r="B3011">
            <v>384577</v>
          </cell>
          <cell r="D3011">
            <v>0</v>
          </cell>
          <cell r="E3011">
            <v>284</v>
          </cell>
          <cell r="F3011">
            <v>0</v>
          </cell>
          <cell r="G3011" t="str">
            <v>8</v>
          </cell>
          <cell r="H3011">
            <v>931</v>
          </cell>
          <cell r="I3011" t="str">
            <v>КИЇВСЬКА ФІЛІЯ АКБ "ЧБРР" У М.КИЄВІ</v>
          </cell>
          <cell r="J3011" t="str">
            <v>Київська філія АКБ "ЧБРР"</v>
          </cell>
          <cell r="K3011" t="str">
            <v>UIUC</v>
          </cell>
          <cell r="L3011" t="str">
            <v>UIUC</v>
          </cell>
          <cell r="M3011">
            <v>26</v>
          </cell>
          <cell r="N3011">
            <v>11</v>
          </cell>
          <cell r="O3011" t="str">
            <v>ГУ НБУ по м.Києву і області</v>
          </cell>
        </row>
        <row r="3012">
          <cell r="A3012">
            <v>380214</v>
          </cell>
          <cell r="B3012">
            <v>380623</v>
          </cell>
          <cell r="D3012">
            <v>0</v>
          </cell>
          <cell r="E3012">
            <v>312</v>
          </cell>
          <cell r="F3012">
            <v>0</v>
          </cell>
          <cell r="G3012" t="str">
            <v>8</v>
          </cell>
          <cell r="H3012">
            <v>466</v>
          </cell>
          <cell r="I3012" t="str">
            <v>ПОДІЛ. ФІЛІЯ ТОВ КБ "СТОЛИЦЯ", М.КИЇВ</v>
          </cell>
          <cell r="J3012" t="str">
            <v>Под.ф.м.КиєваТОВКБ"Столиця"</v>
          </cell>
          <cell r="K3012" t="str">
            <v>UIFH</v>
          </cell>
          <cell r="L3012" t="str">
            <v>UIFH</v>
          </cell>
          <cell r="M3012">
            <v>26</v>
          </cell>
          <cell r="N3012">
            <v>26</v>
          </cell>
          <cell r="O3012" t="str">
            <v>ГУ НБУ по м.Києву і області</v>
          </cell>
        </row>
        <row r="3013">
          <cell r="A3013">
            <v>380236</v>
          </cell>
          <cell r="B3013">
            <v>380236</v>
          </cell>
          <cell r="C3013" t="str">
            <v>ТОВ КБ "Дельта"</v>
          </cell>
          <cell r="D3013">
            <v>324</v>
          </cell>
          <cell r="E3013">
            <v>324</v>
          </cell>
          <cell r="F3013">
            <v>0</v>
          </cell>
          <cell r="G3013" t="str">
            <v>8</v>
          </cell>
          <cell r="H3013">
            <v>400</v>
          </cell>
          <cell r="I3013" t="str">
            <v>ТОВ "КОМЕРЦІЙНИЙ БАНК "ДЕЛЬТА", М.КИЇВ</v>
          </cell>
          <cell r="J3013" t="str">
            <v>ТОВ КБ "Дельта"</v>
          </cell>
          <cell r="K3013" t="str">
            <v>UIFF</v>
          </cell>
          <cell r="L3013" t="str">
            <v>UIFF</v>
          </cell>
          <cell r="M3013">
            <v>26</v>
          </cell>
          <cell r="N3013">
            <v>26</v>
          </cell>
          <cell r="O3013" t="str">
            <v>ГУ НБУ по м.Києву і області</v>
          </cell>
        </row>
        <row r="3014">
          <cell r="A3014">
            <v>380247</v>
          </cell>
          <cell r="B3014">
            <v>351760</v>
          </cell>
          <cell r="D3014">
            <v>0</v>
          </cell>
          <cell r="E3014">
            <v>144</v>
          </cell>
          <cell r="F3014">
            <v>0</v>
          </cell>
          <cell r="G3014" t="str">
            <v>8</v>
          </cell>
          <cell r="H3014">
            <v>964</v>
          </cell>
          <cell r="I3014" t="str">
            <v>КИЇВСЬКА ФІЛІЯ АКБ "БАЗИС" У М.КИЄВІ</v>
          </cell>
          <cell r="J3014" t="str">
            <v>Київська філія АКБ "Базис"</v>
          </cell>
          <cell r="K3014" t="str">
            <v>UIUU</v>
          </cell>
          <cell r="L3014" t="str">
            <v>UIUU</v>
          </cell>
          <cell r="M3014">
            <v>26</v>
          </cell>
          <cell r="N3014">
            <v>20</v>
          </cell>
          <cell r="O3014" t="str">
            <v>ГУ НБУ по м.Києву і області</v>
          </cell>
        </row>
        <row r="3015">
          <cell r="A3015">
            <v>380269</v>
          </cell>
          <cell r="B3015">
            <v>305299</v>
          </cell>
          <cell r="D3015">
            <v>0</v>
          </cell>
          <cell r="E3015">
            <v>46</v>
          </cell>
          <cell r="F3015">
            <v>0</v>
          </cell>
          <cell r="G3015" t="str">
            <v>A</v>
          </cell>
          <cell r="H3015">
            <v>214</v>
          </cell>
          <cell r="I3015" t="str">
            <v>СТОЛИЧНА ФІЛІЯ ПРИВАТБАНКУ, М.КИЇВ</v>
          </cell>
          <cell r="J3015" t="str">
            <v>Столична філія ПриватБанку</v>
          </cell>
          <cell r="K3015" t="str">
            <v>UIFK</v>
          </cell>
          <cell r="L3015" t="str">
            <v>UIFK</v>
          </cell>
          <cell r="M3015">
            <v>26</v>
          </cell>
          <cell r="N3015">
            <v>3</v>
          </cell>
          <cell r="O3015" t="str">
            <v>ГУ НБУ по м.Києву і області</v>
          </cell>
        </row>
        <row r="3016">
          <cell r="A3016">
            <v>380270</v>
          </cell>
          <cell r="B3016">
            <v>380270</v>
          </cell>
          <cell r="C3016" t="str">
            <v>ВАТ КБ "Іпобанк"</v>
          </cell>
          <cell r="D3016">
            <v>327</v>
          </cell>
          <cell r="E3016">
            <v>327</v>
          </cell>
          <cell r="F3016">
            <v>0</v>
          </cell>
          <cell r="G3016" t="str">
            <v>8</v>
          </cell>
          <cell r="H3016">
            <v>202</v>
          </cell>
          <cell r="I3016" t="str">
            <v>ВАТ КБ "ІПОБАНК", М.КИЇВ</v>
          </cell>
          <cell r="J3016" t="str">
            <v>ВАТ КБ "Іпобанк"</v>
          </cell>
          <cell r="K3016" t="str">
            <v>UIFL</v>
          </cell>
          <cell r="L3016" t="str">
            <v>UIFL</v>
          </cell>
          <cell r="M3016">
            <v>26</v>
          </cell>
          <cell r="N3016">
            <v>26</v>
          </cell>
          <cell r="O3016" t="str">
            <v>ГУ НБУ по м.Києву і області</v>
          </cell>
        </row>
        <row r="3017">
          <cell r="A3017">
            <v>380281</v>
          </cell>
          <cell r="B3017">
            <v>380281</v>
          </cell>
          <cell r="C3017" t="str">
            <v>Банк інвестицій,заощаджень</v>
          </cell>
          <cell r="D3017">
            <v>320</v>
          </cell>
          <cell r="E3017">
            <v>320</v>
          </cell>
          <cell r="F3017">
            <v>0</v>
          </cell>
          <cell r="G3017" t="str">
            <v>8</v>
          </cell>
          <cell r="H3017">
            <v>984</v>
          </cell>
          <cell r="I3017" t="str">
            <v>ТОВ"БАНК ІНВЕСТИЦІЙ ТА ЗАОЩАДЖЕНЬ"КИЇВ</v>
          </cell>
          <cell r="J3017" t="str">
            <v>Банк інвестицій,заощаджень</v>
          </cell>
          <cell r="K3017" t="str">
            <v>UIVX</v>
          </cell>
          <cell r="L3017" t="str">
            <v>UIVX</v>
          </cell>
          <cell r="M3017">
            <v>26</v>
          </cell>
          <cell r="N3017">
            <v>26</v>
          </cell>
          <cell r="O3017" t="str">
            <v>ГУ НБУ по м.Києву і області</v>
          </cell>
        </row>
        <row r="3018">
          <cell r="A3018">
            <v>380292</v>
          </cell>
          <cell r="B3018">
            <v>380292</v>
          </cell>
          <cell r="C3018" t="str">
            <v>ЗАТ "ЄБРФ"</v>
          </cell>
          <cell r="D3018">
            <v>237</v>
          </cell>
          <cell r="E3018">
            <v>237</v>
          </cell>
          <cell r="F3018">
            <v>0</v>
          </cell>
          <cell r="G3018" t="str">
            <v>8</v>
          </cell>
          <cell r="H3018">
            <v>406</v>
          </cell>
          <cell r="I3018" t="str">
            <v>ЗАТ "ЄБРФ", М.КИЇВ</v>
          </cell>
          <cell r="J3018" t="str">
            <v>ЗАТ "ЄБРФ"</v>
          </cell>
          <cell r="K3018" t="str">
            <v>UIFB</v>
          </cell>
          <cell r="L3018" t="str">
            <v>UIFB</v>
          </cell>
          <cell r="M3018">
            <v>26</v>
          </cell>
          <cell r="N3018">
            <v>26</v>
          </cell>
          <cell r="O3018" t="str">
            <v>ГУ НБУ по м.Києву і області</v>
          </cell>
        </row>
        <row r="3019">
          <cell r="A3019">
            <v>380300</v>
          </cell>
          <cell r="B3019">
            <v>380300</v>
          </cell>
          <cell r="C3019" t="str">
            <v>ТОВ КБ "АРМА"</v>
          </cell>
          <cell r="D3019">
            <v>51</v>
          </cell>
          <cell r="E3019">
            <v>51</v>
          </cell>
          <cell r="F3019">
            <v>0</v>
          </cell>
          <cell r="G3019" t="str">
            <v>8</v>
          </cell>
          <cell r="H3019">
            <v>983</v>
          </cell>
          <cell r="I3019" t="str">
            <v>ТОВ КБ "АРМА" У М.КИЄВІ</v>
          </cell>
          <cell r="J3019" t="str">
            <v>ТОВ КБ "АРМА"</v>
          </cell>
          <cell r="K3019" t="str">
            <v>UIUG</v>
          </cell>
          <cell r="L3019" t="str">
            <v>UIUG</v>
          </cell>
          <cell r="M3019">
            <v>26</v>
          </cell>
          <cell r="N3019">
            <v>26</v>
          </cell>
          <cell r="O3019" t="str">
            <v>ГУ НБУ по м.Києву і області</v>
          </cell>
        </row>
        <row r="3020">
          <cell r="A3020">
            <v>380311</v>
          </cell>
          <cell r="B3020">
            <v>380311</v>
          </cell>
          <cell r="C3020" t="str">
            <v>ВАТ "ФІНЕКСБАНК"</v>
          </cell>
          <cell r="D3020">
            <v>309</v>
          </cell>
          <cell r="E3020">
            <v>309</v>
          </cell>
          <cell r="F3020">
            <v>0</v>
          </cell>
          <cell r="G3020" t="str">
            <v>8</v>
          </cell>
          <cell r="H3020">
            <v>997</v>
          </cell>
          <cell r="I3020" t="str">
            <v>ВАТ "ФІНЕКСБАНК", М.КИЇВ</v>
          </cell>
          <cell r="J3020" t="str">
            <v>ВАТ "ФІНЕКСБАНК"</v>
          </cell>
          <cell r="K3020" t="str">
            <v>UIVY</v>
          </cell>
          <cell r="L3020" t="str">
            <v>UIVY</v>
          </cell>
          <cell r="M3020">
            <v>26</v>
          </cell>
          <cell r="N3020">
            <v>26</v>
          </cell>
          <cell r="O3020" t="str">
            <v>ГУ НБУ по м.Києву і області</v>
          </cell>
        </row>
        <row r="3021">
          <cell r="A3021">
            <v>380322</v>
          </cell>
          <cell r="B3021">
            <v>380322</v>
          </cell>
          <cell r="C3021" t="str">
            <v>ТОВ "БАНК БОГУСЛАВ"</v>
          </cell>
          <cell r="D3021">
            <v>328</v>
          </cell>
          <cell r="E3021">
            <v>328</v>
          </cell>
          <cell r="F3021">
            <v>0</v>
          </cell>
          <cell r="G3021" t="str">
            <v>8</v>
          </cell>
          <cell r="H3021">
            <v>204</v>
          </cell>
          <cell r="I3021" t="str">
            <v>ТОВ "БАНК БОГУСЛАВ", М.КИЇВ</v>
          </cell>
          <cell r="J3021" t="str">
            <v>ТОВ "БАНК БОГУСЛАВ"</v>
          </cell>
          <cell r="K3021" t="str">
            <v>UIFM</v>
          </cell>
          <cell r="L3021" t="str">
            <v>UIFM</v>
          </cell>
          <cell r="M3021">
            <v>26</v>
          </cell>
          <cell r="N3021">
            <v>26</v>
          </cell>
          <cell r="O3021" t="str">
            <v>ГУ НБУ по м.Києву і області</v>
          </cell>
        </row>
        <row r="3022">
          <cell r="A3022">
            <v>380333</v>
          </cell>
          <cell r="B3022">
            <v>322313</v>
          </cell>
          <cell r="D3022">
            <v>0</v>
          </cell>
          <cell r="E3022">
            <v>2</v>
          </cell>
          <cell r="F3022">
            <v>0</v>
          </cell>
          <cell r="G3022" t="str">
            <v>2</v>
          </cell>
          <cell r="H3022">
            <v>221</v>
          </cell>
          <cell r="I3022" t="str">
            <v>Ф-Я ВАТ "УКРЕКСІМБАНК",КИЇВ</v>
          </cell>
          <cell r="J3022" t="str">
            <v>Ф-я Укрексімбанк, Київ</v>
          </cell>
          <cell r="K3022" t="str">
            <v>UIGC</v>
          </cell>
          <cell r="L3022" t="str">
            <v>UIGC</v>
          </cell>
          <cell r="M3022">
            <v>26</v>
          </cell>
          <cell r="N3022">
            <v>26</v>
          </cell>
          <cell r="O3022" t="str">
            <v>ГУ НБУ по м.Києву і області</v>
          </cell>
        </row>
        <row r="3023">
          <cell r="A3023">
            <v>380344</v>
          </cell>
          <cell r="B3023">
            <v>320735</v>
          </cell>
          <cell r="D3023">
            <v>0</v>
          </cell>
          <cell r="E3023">
            <v>30</v>
          </cell>
          <cell r="F3023">
            <v>0</v>
          </cell>
          <cell r="G3023" t="str">
            <v>8</v>
          </cell>
          <cell r="H3023">
            <v>206</v>
          </cell>
          <cell r="I3023" t="str">
            <v>ПЕРША КИЇВ.ФАКБ "ІНТЕГРАЛ-БАНК" М.КИЇВ</v>
          </cell>
          <cell r="J3023" t="str">
            <v>Перша КФАКБ "Інтеграл-банк"</v>
          </cell>
          <cell r="K3023" t="str">
            <v>UIFN</v>
          </cell>
          <cell r="L3023" t="str">
            <v>UIFN</v>
          </cell>
          <cell r="M3023">
            <v>26</v>
          </cell>
          <cell r="N3023">
            <v>26</v>
          </cell>
          <cell r="O3023" t="str">
            <v>ГУ НБУ по м.Києву і області</v>
          </cell>
        </row>
        <row r="3024">
          <cell r="A3024">
            <v>380355</v>
          </cell>
          <cell r="B3024">
            <v>380355</v>
          </cell>
          <cell r="C3024" t="str">
            <v>ТОВ КБ "ЄВРОБАНК"</v>
          </cell>
          <cell r="D3024">
            <v>318</v>
          </cell>
          <cell r="E3024">
            <v>318</v>
          </cell>
          <cell r="F3024">
            <v>0</v>
          </cell>
          <cell r="G3024" t="str">
            <v>8</v>
          </cell>
          <cell r="H3024">
            <v>760</v>
          </cell>
          <cell r="I3024" t="str">
            <v>ТОВ КБ "ЄВРОБАНК" У М.КИЄВІ</v>
          </cell>
          <cell r="J3024" t="str">
            <v>ТОВ КБ "ЄВРОБАНК"</v>
          </cell>
          <cell r="K3024" t="str">
            <v>UIVH</v>
          </cell>
          <cell r="L3024" t="str">
            <v>UIVH</v>
          </cell>
          <cell r="M3024">
            <v>26</v>
          </cell>
          <cell r="N3024">
            <v>26</v>
          </cell>
          <cell r="O3024" t="str">
            <v>ГУ НБУ по м.Києву і області</v>
          </cell>
        </row>
        <row r="3025">
          <cell r="A3025">
            <v>380366</v>
          </cell>
          <cell r="B3025">
            <v>380366</v>
          </cell>
          <cell r="C3025" t="str">
            <v>ЗАТ "КРЕДИТ ЄВРОПА БАНК"</v>
          </cell>
          <cell r="D3025">
            <v>329</v>
          </cell>
          <cell r="E3025">
            <v>329</v>
          </cell>
          <cell r="F3025">
            <v>0</v>
          </cell>
          <cell r="G3025" t="str">
            <v>9</v>
          </cell>
          <cell r="H3025">
            <v>224</v>
          </cell>
          <cell r="I3025" t="str">
            <v>ЗАТ "КРЕДИТ ЄВРОПА БАНК", М.КИЇВ</v>
          </cell>
          <cell r="J3025" t="str">
            <v>ЗАТ "КРЕДИТ ЄВРОПА БАНК"</v>
          </cell>
          <cell r="K3025" t="str">
            <v>UIFO</v>
          </cell>
          <cell r="L3025" t="str">
            <v>UIFO</v>
          </cell>
          <cell r="M3025">
            <v>26</v>
          </cell>
          <cell r="N3025">
            <v>26</v>
          </cell>
          <cell r="O3025" t="str">
            <v>ГУ НБУ по м.Києву і області</v>
          </cell>
        </row>
        <row r="3026">
          <cell r="A3026">
            <v>380377</v>
          </cell>
          <cell r="B3026">
            <v>380377</v>
          </cell>
          <cell r="C3026" t="str">
            <v>ЗАТ "Укрбудінвестбанк"</v>
          </cell>
          <cell r="D3026">
            <v>377</v>
          </cell>
          <cell r="E3026">
            <v>377</v>
          </cell>
          <cell r="F3026">
            <v>0</v>
          </cell>
          <cell r="G3026" t="str">
            <v>B</v>
          </cell>
          <cell r="H3026">
            <v>977</v>
          </cell>
          <cell r="I3026" t="str">
            <v>ЗАТ "УКРБУДІНВЕСТБАНК" У М.КИЄВІ</v>
          </cell>
          <cell r="J3026" t="str">
            <v>ЗАТ "Укрбудінвестбанк"</v>
          </cell>
          <cell r="K3026" t="str">
            <v>UIUQ</v>
          </cell>
          <cell r="L3026" t="str">
            <v>UIUQ</v>
          </cell>
          <cell r="M3026">
            <v>26</v>
          </cell>
          <cell r="N3026">
            <v>26</v>
          </cell>
          <cell r="O3026" t="str">
            <v>ГУ НБУ по м.Києву і області</v>
          </cell>
        </row>
        <row r="3027">
          <cell r="A3027">
            <v>380388</v>
          </cell>
          <cell r="B3027">
            <v>380388</v>
          </cell>
          <cell r="C3027" t="str">
            <v>ЗАТ "МІБ"</v>
          </cell>
          <cell r="D3027">
            <v>316</v>
          </cell>
          <cell r="E3027">
            <v>316</v>
          </cell>
          <cell r="F3027">
            <v>0</v>
          </cell>
          <cell r="G3027" t="str">
            <v>9</v>
          </cell>
          <cell r="H3027">
            <v>763</v>
          </cell>
          <cell r="I3027" t="str">
            <v>ЗАТ"МІЖНАРОДНИЙ ІПОТЕЧНИЙБАНК"УМ.КИЄВІ</v>
          </cell>
          <cell r="J3027" t="str">
            <v>ЗАТ "МІБ"</v>
          </cell>
          <cell r="K3027" t="str">
            <v>UIVE</v>
          </cell>
          <cell r="L3027" t="str">
            <v>UIVE</v>
          </cell>
          <cell r="M3027">
            <v>26</v>
          </cell>
          <cell r="N3027">
            <v>26</v>
          </cell>
          <cell r="O3027" t="str">
            <v>ГУ НБУ по м.Києву і області</v>
          </cell>
        </row>
        <row r="3028">
          <cell r="A3028">
            <v>380399</v>
          </cell>
          <cell r="B3028">
            <v>380399</v>
          </cell>
          <cell r="C3028" t="str">
            <v>ТОВ УКБ "Камбіо"</v>
          </cell>
          <cell r="D3028">
            <v>315</v>
          </cell>
          <cell r="E3028">
            <v>315</v>
          </cell>
          <cell r="F3028">
            <v>0</v>
          </cell>
          <cell r="G3028" t="str">
            <v>8</v>
          </cell>
          <cell r="H3028">
            <v>979</v>
          </cell>
          <cell r="I3028" t="str">
            <v>ТОВ УКБ "КАМБІО" У М.КИЄВІ</v>
          </cell>
          <cell r="J3028" t="str">
            <v>ТОВ УКБ "Камбіо"</v>
          </cell>
          <cell r="K3028" t="str">
            <v>UIUS</v>
          </cell>
          <cell r="L3028" t="str">
            <v>UIUS</v>
          </cell>
          <cell r="M3028">
            <v>26</v>
          </cell>
          <cell r="N3028">
            <v>26</v>
          </cell>
          <cell r="O3028" t="str">
            <v>ГУ НБУ по м.Києву і області</v>
          </cell>
        </row>
        <row r="3029">
          <cell r="A3029">
            <v>380407</v>
          </cell>
          <cell r="B3029">
            <v>334828</v>
          </cell>
          <cell r="D3029">
            <v>0</v>
          </cell>
          <cell r="E3029">
            <v>57</v>
          </cell>
          <cell r="F3029">
            <v>0</v>
          </cell>
          <cell r="G3029" t="str">
            <v>8</v>
          </cell>
          <cell r="H3029">
            <v>759</v>
          </cell>
          <cell r="I3029" t="str">
            <v>ФІЛІЯ №3 ВАТ"АКБ " КАПІТАЛ" У М.КИЄВІ</v>
          </cell>
          <cell r="J3029" t="str">
            <v>Ф-я N3 АКБ"Капітал", Київ</v>
          </cell>
          <cell r="K3029" t="str">
            <v>UIVJ</v>
          </cell>
          <cell r="L3029" t="str">
            <v>UIVJ</v>
          </cell>
          <cell r="M3029">
            <v>26</v>
          </cell>
          <cell r="N3029">
            <v>4</v>
          </cell>
          <cell r="O3029" t="str">
            <v>ГУ НБУ по м.Києву і області</v>
          </cell>
        </row>
        <row r="3030">
          <cell r="A3030">
            <v>380418</v>
          </cell>
          <cell r="B3030">
            <v>380418</v>
          </cell>
          <cell r="C3030" t="str">
            <v>ВАТ "Банк Руский Стандарт"</v>
          </cell>
          <cell r="D3030">
            <v>325</v>
          </cell>
          <cell r="E3030">
            <v>325</v>
          </cell>
          <cell r="F3030">
            <v>0</v>
          </cell>
          <cell r="G3030" t="str">
            <v>9</v>
          </cell>
          <cell r="H3030">
            <v>444</v>
          </cell>
          <cell r="I3030" t="str">
            <v>ВАТ "БАНК РУСКИЙ СТАНДАРТ", М.КИЇВ</v>
          </cell>
          <cell r="J3030" t="str">
            <v>ВАТ "Банк Руский Стандарт"</v>
          </cell>
          <cell r="K3030" t="str">
            <v>UIFG</v>
          </cell>
          <cell r="L3030" t="str">
            <v>UIFG</v>
          </cell>
          <cell r="M3030">
            <v>26</v>
          </cell>
          <cell r="N3030">
            <v>26</v>
          </cell>
          <cell r="O3030" t="str">
            <v>ГУ НБУ по м.Києву і області</v>
          </cell>
        </row>
        <row r="3031">
          <cell r="A3031">
            <v>380429</v>
          </cell>
          <cell r="B3031">
            <v>305987</v>
          </cell>
          <cell r="D3031">
            <v>0</v>
          </cell>
          <cell r="E3031">
            <v>47</v>
          </cell>
          <cell r="F3031">
            <v>0</v>
          </cell>
          <cell r="G3031" t="str">
            <v>8</v>
          </cell>
          <cell r="H3031">
            <v>243</v>
          </cell>
          <cell r="I3031" t="str">
            <v>КИЇВСЬКА ФІЛІЯ ЗАТ "ФСБАНК", М.КИЇВ</v>
          </cell>
          <cell r="J3031" t="str">
            <v>Київська філія ЗАТ "ФСБанк"</v>
          </cell>
          <cell r="K3031" t="str">
            <v>UIFP</v>
          </cell>
          <cell r="L3031" t="str">
            <v>UIFP</v>
          </cell>
          <cell r="M3031">
            <v>26</v>
          </cell>
          <cell r="N3031">
            <v>3</v>
          </cell>
          <cell r="O3031" t="str">
            <v>ГУ НБУ по м.Києву і області</v>
          </cell>
        </row>
        <row r="3032">
          <cell r="A3032">
            <v>380430</v>
          </cell>
          <cell r="B3032">
            <v>380430</v>
          </cell>
          <cell r="C3032" t="str">
            <v>ВАТ "ЄВРОГАЗБАНК"</v>
          </cell>
          <cell r="D3032">
            <v>330</v>
          </cell>
          <cell r="E3032">
            <v>330</v>
          </cell>
          <cell r="F3032">
            <v>0</v>
          </cell>
          <cell r="G3032" t="str">
            <v>8</v>
          </cell>
          <cell r="H3032">
            <v>257</v>
          </cell>
          <cell r="I3032" t="str">
            <v>ВАТ "ЄВРОГАЗБАНК", М.КИЇВ</v>
          </cell>
          <cell r="J3032" t="str">
            <v>ВАТ "ЄВРОГАЗБАНК"</v>
          </cell>
          <cell r="K3032" t="str">
            <v>UIFR</v>
          </cell>
          <cell r="L3032" t="str">
            <v>UIFR</v>
          </cell>
          <cell r="M3032">
            <v>26</v>
          </cell>
          <cell r="N3032">
            <v>26</v>
          </cell>
          <cell r="O3032" t="str">
            <v>ГУ НБУ по м.Києву і області</v>
          </cell>
        </row>
        <row r="3033">
          <cell r="A3033">
            <v>380441</v>
          </cell>
          <cell r="B3033">
            <v>380441</v>
          </cell>
          <cell r="C3033" t="str">
            <v>ЗАТ "КРЕДИТВЕСТ БАНК"</v>
          </cell>
          <cell r="D3033">
            <v>331</v>
          </cell>
          <cell r="E3033">
            <v>331</v>
          </cell>
          <cell r="F3033">
            <v>0</v>
          </cell>
          <cell r="G3033" t="str">
            <v>9</v>
          </cell>
          <cell r="H3033">
            <v>258</v>
          </cell>
          <cell r="I3033" t="str">
            <v>ЗАТ "КРЕДИТВЕСТ БАНК", М.КИЇВ</v>
          </cell>
          <cell r="J3033" t="str">
            <v>ЗАТ "КРЕДИТВЕСТ БАНК"</v>
          </cell>
          <cell r="K3033" t="str">
            <v>UIFS</v>
          </cell>
          <cell r="L3033" t="str">
            <v>UIFS</v>
          </cell>
          <cell r="M3033">
            <v>26</v>
          </cell>
          <cell r="N3033">
            <v>26</v>
          </cell>
          <cell r="O3033" t="str">
            <v>ГУ НБУ по м.Києву і області</v>
          </cell>
        </row>
        <row r="3034">
          <cell r="A3034">
            <v>380452</v>
          </cell>
          <cell r="B3034">
            <v>334969</v>
          </cell>
          <cell r="D3034">
            <v>0</v>
          </cell>
          <cell r="E3034">
            <v>186</v>
          </cell>
          <cell r="F3034">
            <v>0</v>
          </cell>
          <cell r="G3034" t="str">
            <v>B</v>
          </cell>
          <cell r="H3034">
            <v>304</v>
          </cell>
          <cell r="I3034" t="str">
            <v>КИЇВСЬКА ФІЛІЯ АБ "УКРБІЗНЕСБАНК"</v>
          </cell>
          <cell r="J3034" t="str">
            <v>Київ. ф.АБ"УкрБізнесБанк"</v>
          </cell>
          <cell r="K3034" t="str">
            <v>UIOJ</v>
          </cell>
          <cell r="L3034" t="str">
            <v>UIOJ</v>
          </cell>
          <cell r="M3034">
            <v>26</v>
          </cell>
          <cell r="N3034">
            <v>4</v>
          </cell>
          <cell r="O3034" t="str">
            <v>ГУ НБУ по м.Києву і області</v>
          </cell>
        </row>
        <row r="3035">
          <cell r="A3035">
            <v>380463</v>
          </cell>
          <cell r="B3035">
            <v>322498</v>
          </cell>
          <cell r="D3035">
            <v>0</v>
          </cell>
          <cell r="E3035">
            <v>203</v>
          </cell>
          <cell r="F3035">
            <v>0</v>
          </cell>
          <cell r="G3035" t="str">
            <v>8</v>
          </cell>
          <cell r="H3035">
            <v>755</v>
          </cell>
          <cell r="I3035" t="str">
            <v>ФІЛІЯ "ВІДРАДНЕ" АКБ "КИЇВ"  М.КИЇВ</v>
          </cell>
          <cell r="J3035" t="str">
            <v>Філія "Відрадне" АКБ "Київ"</v>
          </cell>
          <cell r="K3035" t="str">
            <v>UIUD</v>
          </cell>
          <cell r="L3035" t="str">
            <v>UIUD</v>
          </cell>
          <cell r="M3035">
            <v>26</v>
          </cell>
          <cell r="N3035">
            <v>26</v>
          </cell>
          <cell r="O3035" t="str">
            <v>ГУ НБУ по м.Києву і області</v>
          </cell>
        </row>
        <row r="3036">
          <cell r="A3036">
            <v>380474</v>
          </cell>
          <cell r="B3036">
            <v>380474</v>
          </cell>
          <cell r="C3036" t="str">
            <v>ВАТ Банк "ТРАСТ"</v>
          </cell>
          <cell r="D3036">
            <v>380</v>
          </cell>
          <cell r="E3036">
            <v>380</v>
          </cell>
          <cell r="F3036">
            <v>0</v>
          </cell>
          <cell r="G3036" t="str">
            <v>9</v>
          </cell>
          <cell r="H3036">
            <v>404</v>
          </cell>
          <cell r="I3036" t="str">
            <v>ВАТ Банк "ТРАСТ", КИЇВ</v>
          </cell>
          <cell r="J3036" t="str">
            <v>ВАТ Банк "ТРАСТ"</v>
          </cell>
          <cell r="K3036" t="str">
            <v>UIOK</v>
          </cell>
          <cell r="L3036" t="str">
            <v>UIOK</v>
          </cell>
          <cell r="M3036">
            <v>26</v>
          </cell>
          <cell r="N3036">
            <v>26</v>
          </cell>
          <cell r="O3036" t="str">
            <v>ГУ НБУ по м.Києву і області</v>
          </cell>
        </row>
        <row r="3037">
          <cell r="A3037">
            <v>380485</v>
          </cell>
          <cell r="B3037">
            <v>322294</v>
          </cell>
          <cell r="D3037">
            <v>0</v>
          </cell>
          <cell r="E3037">
            <v>67</v>
          </cell>
          <cell r="F3037">
            <v>0</v>
          </cell>
          <cell r="G3037" t="str">
            <v>8</v>
          </cell>
          <cell r="H3037">
            <v>454</v>
          </cell>
          <cell r="I3037" t="str">
            <v>КУРЕНІВСЬКА Ф.ВАТ"КБ"ЕКСПОБАНК",М.КИЇВ</v>
          </cell>
          <cell r="J3037" t="str">
            <v>Куренів.ф.ВАТ"КБ"Експобанк"</v>
          </cell>
          <cell r="K3037" t="str">
            <v>UIFJ</v>
          </cell>
          <cell r="L3037" t="str">
            <v>UIFJ</v>
          </cell>
          <cell r="M3037">
            <v>26</v>
          </cell>
          <cell r="N3037">
            <v>26</v>
          </cell>
          <cell r="O3037" t="str">
            <v>ГУ НБУ по м.Києву і області</v>
          </cell>
        </row>
        <row r="3038">
          <cell r="A3038">
            <v>380504</v>
          </cell>
          <cell r="B3038">
            <v>306759</v>
          </cell>
          <cell r="D3038">
            <v>0</v>
          </cell>
          <cell r="E3038">
            <v>183</v>
          </cell>
          <cell r="F3038">
            <v>0</v>
          </cell>
          <cell r="G3038" t="str">
            <v>8</v>
          </cell>
          <cell r="H3038">
            <v>277</v>
          </cell>
          <cell r="I3038" t="str">
            <v>КФ ВАТ "КБ "ПРИЧОРНОМОР"Я" У М.КИЄВІ</v>
          </cell>
          <cell r="J3038" t="str">
            <v>КФ ВАТ "КБ "Причорномор"я"</v>
          </cell>
          <cell r="K3038" t="str">
            <v>UIFW</v>
          </cell>
          <cell r="L3038" t="str">
            <v>UIFW</v>
          </cell>
          <cell r="M3038">
            <v>26</v>
          </cell>
          <cell r="N3038">
            <v>3</v>
          </cell>
          <cell r="O3038" t="str">
            <v>ГУ НБУ по м.Києву і області</v>
          </cell>
        </row>
        <row r="3039">
          <cell r="A3039">
            <v>380515</v>
          </cell>
          <cell r="B3039">
            <v>380515</v>
          </cell>
          <cell r="C3039" t="str">
            <v>ВАТ "КБ"СОЮЗ"</v>
          </cell>
          <cell r="D3039">
            <v>385</v>
          </cell>
          <cell r="E3039">
            <v>385</v>
          </cell>
          <cell r="F3039">
            <v>0</v>
          </cell>
          <cell r="G3039" t="str">
            <v>8</v>
          </cell>
          <cell r="H3039">
            <v>604</v>
          </cell>
          <cell r="I3039" t="str">
            <v>ВАТ "КБ"СОЮЗ"</v>
          </cell>
          <cell r="J3039" t="str">
            <v>ВАТ "КБ"СОЮЗ"</v>
          </cell>
          <cell r="K3039" t="str">
            <v>UIOS</v>
          </cell>
          <cell r="L3039" t="str">
            <v>UIOS</v>
          </cell>
          <cell r="M3039">
            <v>26</v>
          </cell>
          <cell r="N3039">
            <v>26</v>
          </cell>
          <cell r="O3039" t="str">
            <v>ГУ НБУ по м.Києву і області</v>
          </cell>
        </row>
        <row r="3040">
          <cell r="A3040">
            <v>380526</v>
          </cell>
          <cell r="B3040">
            <v>380526</v>
          </cell>
          <cell r="C3040" t="str">
            <v>ВАТ "КБ"ГЛОБУС"</v>
          </cell>
          <cell r="D3040">
            <v>386</v>
          </cell>
          <cell r="E3040">
            <v>386</v>
          </cell>
          <cell r="F3040">
            <v>0</v>
          </cell>
          <cell r="G3040" t="str">
            <v>8</v>
          </cell>
          <cell r="H3040">
            <v>305</v>
          </cell>
          <cell r="I3040" t="str">
            <v>ВАТ "КБ"ГЛОБУС"</v>
          </cell>
          <cell r="J3040" t="str">
            <v>ВАТ "КБ"ГЛОБУС"</v>
          </cell>
          <cell r="K3040" t="str">
            <v>UIOT</v>
          </cell>
          <cell r="L3040" t="str">
            <v>UIOT</v>
          </cell>
          <cell r="M3040">
            <v>26</v>
          </cell>
          <cell r="N3040">
            <v>26</v>
          </cell>
          <cell r="O3040" t="str">
            <v>ГУ НБУ по м.Києву і області</v>
          </cell>
        </row>
        <row r="3041">
          <cell r="A3041">
            <v>380537</v>
          </cell>
          <cell r="B3041">
            <v>380537</v>
          </cell>
          <cell r="C3041" t="str">
            <v>ВАТ "ВіЕйБі Банк"</v>
          </cell>
          <cell r="D3041">
            <v>76</v>
          </cell>
          <cell r="E3041">
            <v>76</v>
          </cell>
          <cell r="F3041">
            <v>0</v>
          </cell>
          <cell r="G3041" t="str">
            <v>B</v>
          </cell>
          <cell r="H3041">
            <v>993</v>
          </cell>
          <cell r="I3041" t="str">
            <v>ВАТ "ВІЕЙБІ БАНК" У М.КИЄВІ</v>
          </cell>
          <cell r="J3041" t="str">
            <v>ВАТ "ВіЕйБі Банк"</v>
          </cell>
          <cell r="K3041" t="str">
            <v>UIVV</v>
          </cell>
          <cell r="L3041" t="str">
            <v>UIVV</v>
          </cell>
          <cell r="M3041">
            <v>26</v>
          </cell>
          <cell r="N3041">
            <v>26</v>
          </cell>
          <cell r="O3041" t="str">
            <v>ГУ НБУ по м.Києву і області</v>
          </cell>
        </row>
        <row r="3042">
          <cell r="A3042">
            <v>380548</v>
          </cell>
          <cell r="B3042">
            <v>380548</v>
          </cell>
          <cell r="C3042" t="str">
            <v>ВАТ АСТРА БАНК</v>
          </cell>
          <cell r="D3042">
            <v>387</v>
          </cell>
          <cell r="E3042">
            <v>387</v>
          </cell>
          <cell r="F3042">
            <v>0</v>
          </cell>
          <cell r="G3042" t="str">
            <v>B</v>
          </cell>
          <cell r="H3042">
            <v>505</v>
          </cell>
          <cell r="I3042" t="str">
            <v>ВАТ АСТРА БАНК</v>
          </cell>
          <cell r="J3042" t="str">
            <v>ВАТ АСТРА БАНК</v>
          </cell>
          <cell r="K3042" t="str">
            <v>UIOV</v>
          </cell>
          <cell r="L3042" t="str">
            <v>UIOV</v>
          </cell>
          <cell r="M3042">
            <v>26</v>
          </cell>
          <cell r="N3042">
            <v>26</v>
          </cell>
          <cell r="O3042" t="str">
            <v>ГУ НБУ по м.Києву і області</v>
          </cell>
        </row>
        <row r="3043">
          <cell r="A3043">
            <v>380559</v>
          </cell>
          <cell r="B3043">
            <v>380559</v>
          </cell>
          <cell r="C3043" t="str">
            <v>УДППЗ "Укрпошта"</v>
          </cell>
          <cell r="D3043">
            <v>897</v>
          </cell>
          <cell r="E3043">
            <v>897</v>
          </cell>
          <cell r="F3043">
            <v>0</v>
          </cell>
          <cell r="G3043" t="str">
            <v>8</v>
          </cell>
          <cell r="H3043">
            <v>886</v>
          </cell>
          <cell r="I3043" t="str">
            <v>УДППЗ "Укрпошта"</v>
          </cell>
          <cell r="J3043" t="str">
            <v>УДППЗ "Укрпошта"</v>
          </cell>
          <cell r="K3043" t="str">
            <v>U0OM</v>
          </cell>
          <cell r="L3043" t="str">
            <v>U0OM</v>
          </cell>
          <cell r="M3043">
            <v>26</v>
          </cell>
          <cell r="N3043">
            <v>26</v>
          </cell>
          <cell r="O3043" t="str">
            <v>ГУ НБУ по м.Києву і області</v>
          </cell>
        </row>
        <row r="3044">
          <cell r="A3044">
            <v>380560</v>
          </cell>
          <cell r="B3044">
            <v>325912</v>
          </cell>
          <cell r="D3044">
            <v>0</v>
          </cell>
          <cell r="E3044">
            <v>88</v>
          </cell>
          <cell r="F3044">
            <v>0</v>
          </cell>
          <cell r="G3044" t="str">
            <v>B</v>
          </cell>
          <cell r="H3044">
            <v>273</v>
          </cell>
          <cell r="I3044" t="str">
            <v>Друга Київська філія ВАТ "КРЕДОБАНК"</v>
          </cell>
          <cell r="J3044" t="str">
            <v>Друга Київ.ф.ВАТ"КРЕДОБАНК"</v>
          </cell>
          <cell r="K3044" t="str">
            <v>UIFU</v>
          </cell>
          <cell r="L3044" t="str">
            <v>UIFU</v>
          </cell>
          <cell r="M3044">
            <v>26</v>
          </cell>
          <cell r="N3044">
            <v>13</v>
          </cell>
          <cell r="O3044" t="str">
            <v>ГУ НБУ по м.Києву і області</v>
          </cell>
        </row>
        <row r="3045">
          <cell r="A3045">
            <v>380571</v>
          </cell>
          <cell r="B3045">
            <v>380571</v>
          </cell>
          <cell r="C3045" t="str">
            <v>ВАТ "КБ "КРЕДИТ-ОПТИМА"</v>
          </cell>
          <cell r="D3045">
            <v>334</v>
          </cell>
          <cell r="E3045">
            <v>334</v>
          </cell>
          <cell r="F3045">
            <v>0</v>
          </cell>
          <cell r="G3045" t="str">
            <v>8</v>
          </cell>
          <cell r="H3045">
            <v>274</v>
          </cell>
          <cell r="I3045" t="str">
            <v>ВАТ "КБ "КРЕДИТ-ОПТИМА",М.КИЇВ</v>
          </cell>
          <cell r="J3045" t="str">
            <v>ВАТ "КБ "КРЕДИТ-ОПТИМА"</v>
          </cell>
          <cell r="K3045" t="str">
            <v>UIFV</v>
          </cell>
          <cell r="L3045" t="str">
            <v>UIFV</v>
          </cell>
          <cell r="M3045">
            <v>26</v>
          </cell>
          <cell r="N3045">
            <v>26</v>
          </cell>
          <cell r="O3045" t="str">
            <v>ГУ НБУ по м.Києву і області</v>
          </cell>
        </row>
        <row r="3046">
          <cell r="A3046">
            <v>380582</v>
          </cell>
          <cell r="B3046">
            <v>380582</v>
          </cell>
          <cell r="C3046" t="str">
            <v>Міжнародний Інвестиційний</v>
          </cell>
          <cell r="D3046">
            <v>389</v>
          </cell>
          <cell r="E3046">
            <v>389</v>
          </cell>
          <cell r="F3046">
            <v>0</v>
          </cell>
          <cell r="G3046" t="str">
            <v>8</v>
          </cell>
          <cell r="H3046">
            <v>306</v>
          </cell>
          <cell r="I3046" t="str">
            <v>Міжнародний Інвестиційний Банк</v>
          </cell>
          <cell r="J3046" t="str">
            <v>Міжнародний Інвестиційний</v>
          </cell>
          <cell r="K3046" t="str">
            <v>UISY</v>
          </cell>
          <cell r="L3046" t="str">
            <v>UISY</v>
          </cell>
          <cell r="M3046">
            <v>26</v>
          </cell>
          <cell r="N3046">
            <v>26</v>
          </cell>
          <cell r="O3046" t="str">
            <v>ГУ НБУ по м.Києву і області</v>
          </cell>
        </row>
        <row r="3047">
          <cell r="A3047">
            <v>380593</v>
          </cell>
          <cell r="B3047">
            <v>328760</v>
          </cell>
          <cell r="D3047">
            <v>0</v>
          </cell>
          <cell r="E3047">
            <v>206</v>
          </cell>
          <cell r="F3047">
            <v>0</v>
          </cell>
          <cell r="G3047" t="str">
            <v>8</v>
          </cell>
          <cell r="H3047">
            <v>944</v>
          </cell>
          <cell r="I3047" t="str">
            <v>КИЇВСЬКА ФІЛІЯ КБ ТОВ "МІСТО БАНК"</v>
          </cell>
          <cell r="J3047" t="str">
            <v>КФ КБ ТОВ "МІСТО БАНК"</v>
          </cell>
          <cell r="K3047" t="str">
            <v>UIUF</v>
          </cell>
          <cell r="L3047" t="str">
            <v>UIUF</v>
          </cell>
          <cell r="M3047">
            <v>26</v>
          </cell>
          <cell r="N3047">
            <v>15</v>
          </cell>
          <cell r="O3047" t="str">
            <v>ГУ НБУ по м.Києву і області</v>
          </cell>
        </row>
        <row r="3048">
          <cell r="A3048">
            <v>380601</v>
          </cell>
          <cell r="B3048">
            <v>380601</v>
          </cell>
          <cell r="C3048" t="str">
            <v>ЗАТ "ТЕРРА БАНК"</v>
          </cell>
          <cell r="D3048">
            <v>285</v>
          </cell>
          <cell r="E3048">
            <v>285</v>
          </cell>
          <cell r="F3048">
            <v>0</v>
          </cell>
          <cell r="G3048" t="str">
            <v>8</v>
          </cell>
          <cell r="H3048">
            <v>418</v>
          </cell>
          <cell r="I3048" t="str">
            <v>ЗАТ "ТЕРРА БАНК"</v>
          </cell>
          <cell r="J3048" t="str">
            <v>ЗАТ "ТЕРРА БАНК"</v>
          </cell>
          <cell r="K3048" t="str">
            <v>UI1A</v>
          </cell>
          <cell r="L3048" t="str">
            <v>UI1A</v>
          </cell>
          <cell r="M3048">
            <v>26</v>
          </cell>
          <cell r="N3048">
            <v>26</v>
          </cell>
          <cell r="O3048" t="str">
            <v>ГУ НБУ по м.Києву і області</v>
          </cell>
        </row>
        <row r="3049">
          <cell r="A3049">
            <v>380612</v>
          </cell>
          <cell r="B3049">
            <v>380612</v>
          </cell>
          <cell r="C3049" t="str">
            <v>ВАТ "Златобанк"</v>
          </cell>
          <cell r="D3049">
            <v>391</v>
          </cell>
          <cell r="E3049">
            <v>391</v>
          </cell>
          <cell r="F3049">
            <v>0</v>
          </cell>
          <cell r="G3049" t="str">
            <v>8</v>
          </cell>
          <cell r="H3049">
            <v>506</v>
          </cell>
          <cell r="I3049" t="str">
            <v>ВАТ "Златобанк"</v>
          </cell>
          <cell r="J3049" t="str">
            <v>ВАТ "Златобанк"</v>
          </cell>
          <cell r="K3049" t="str">
            <v>UI0D</v>
          </cell>
          <cell r="L3049" t="str">
            <v>UI0D</v>
          </cell>
          <cell r="M3049">
            <v>26</v>
          </cell>
          <cell r="N3049">
            <v>26</v>
          </cell>
          <cell r="O3049" t="str">
            <v>ГУ НБУ по м.Києву і області</v>
          </cell>
        </row>
        <row r="3050">
          <cell r="A3050">
            <v>380623</v>
          </cell>
          <cell r="B3050">
            <v>380623</v>
          </cell>
          <cell r="C3050" t="str">
            <v>ТОВ КБ "Столиця"</v>
          </cell>
          <cell r="D3050">
            <v>312</v>
          </cell>
          <cell r="E3050">
            <v>312</v>
          </cell>
          <cell r="F3050">
            <v>0</v>
          </cell>
          <cell r="G3050" t="str">
            <v>8</v>
          </cell>
          <cell r="H3050">
            <v>957</v>
          </cell>
          <cell r="I3050" t="str">
            <v>ТОВ КБ "СТОЛИЦЯ"  У М. КИЄВІ</v>
          </cell>
          <cell r="J3050" t="str">
            <v>ТОВ КБ "Столиця"</v>
          </cell>
          <cell r="K3050" t="str">
            <v>UIUN</v>
          </cell>
          <cell r="L3050" t="str">
            <v>UIUN</v>
          </cell>
          <cell r="M3050">
            <v>26</v>
          </cell>
          <cell r="N3050">
            <v>26</v>
          </cell>
          <cell r="O3050" t="str">
            <v>ГУ НБУ по м.Києву і області</v>
          </cell>
        </row>
        <row r="3051">
          <cell r="A3051">
            <v>380634</v>
          </cell>
          <cell r="B3051">
            <v>380634</v>
          </cell>
          <cell r="C3051" t="str">
            <v>ВАТ "КБ "Акордбанк"</v>
          </cell>
          <cell r="D3051">
            <v>392</v>
          </cell>
          <cell r="E3051">
            <v>392</v>
          </cell>
          <cell r="F3051">
            <v>0</v>
          </cell>
          <cell r="G3051" t="str">
            <v>8</v>
          </cell>
          <cell r="H3051">
            <v>606</v>
          </cell>
          <cell r="I3051" t="str">
            <v>ВАТ "КБ "Акордбанк"</v>
          </cell>
          <cell r="J3051" t="str">
            <v>ВАТ "КБ "Акордбанк"</v>
          </cell>
          <cell r="K3051" t="str">
            <v>UI0F</v>
          </cell>
          <cell r="L3051" t="str">
            <v>UI0F</v>
          </cell>
          <cell r="M3051">
            <v>26</v>
          </cell>
          <cell r="N3051">
            <v>26</v>
          </cell>
          <cell r="O3051" t="str">
            <v>ГУ НБУ по м.Києву і області</v>
          </cell>
        </row>
        <row r="3052">
          <cell r="A3052">
            <v>380645</v>
          </cell>
          <cell r="B3052">
            <v>380645</v>
          </cell>
          <cell r="C3052" t="str">
            <v>ВАТ "БАНК 3/4"</v>
          </cell>
          <cell r="D3052">
            <v>394</v>
          </cell>
          <cell r="E3052">
            <v>394</v>
          </cell>
          <cell r="F3052">
            <v>0</v>
          </cell>
          <cell r="G3052" t="str">
            <v>8</v>
          </cell>
          <cell r="H3052">
            <v>307</v>
          </cell>
          <cell r="I3052" t="str">
            <v>ВАТ "БАНК 3/4"</v>
          </cell>
          <cell r="J3052" t="str">
            <v>ВАТ "БАНК 3/4"</v>
          </cell>
          <cell r="K3052" t="str">
            <v>UI0K</v>
          </cell>
          <cell r="L3052" t="str">
            <v>UI0K</v>
          </cell>
          <cell r="M3052">
            <v>26</v>
          </cell>
          <cell r="N3052">
            <v>26</v>
          </cell>
          <cell r="O3052" t="str">
            <v>ГУ НБУ по м.Києву і області</v>
          </cell>
        </row>
        <row r="3053">
          <cell r="A3053">
            <v>380656</v>
          </cell>
          <cell r="B3053">
            <v>303484</v>
          </cell>
          <cell r="D3053">
            <v>0</v>
          </cell>
          <cell r="E3053">
            <v>273</v>
          </cell>
          <cell r="F3053">
            <v>0</v>
          </cell>
          <cell r="G3053" t="str">
            <v>8</v>
          </cell>
          <cell r="H3053">
            <v>279</v>
          </cell>
          <cell r="I3053" t="str">
            <v>Д.Київська Ф.КБ "Західінкомбанк" ТзОВ</v>
          </cell>
          <cell r="J3053" t="str">
            <v>ДК ФКБ "Західінкомбанк"ТзОВ</v>
          </cell>
          <cell r="K3053" t="str">
            <v>UIFX</v>
          </cell>
          <cell r="L3053" t="str">
            <v>UIFX</v>
          </cell>
          <cell r="M3053">
            <v>26</v>
          </cell>
          <cell r="N3053">
            <v>2</v>
          </cell>
          <cell r="O3053" t="str">
            <v>ГУ НБУ по м.Києву і області</v>
          </cell>
        </row>
        <row r="3054">
          <cell r="A3054">
            <v>380667</v>
          </cell>
          <cell r="B3054">
            <v>380667</v>
          </cell>
          <cell r="C3054" t="str">
            <v>ВАТ "ЕРДЕ БАНК"</v>
          </cell>
          <cell r="D3054">
            <v>332</v>
          </cell>
          <cell r="E3054">
            <v>332</v>
          </cell>
          <cell r="F3054">
            <v>0</v>
          </cell>
          <cell r="G3054" t="str">
            <v>8</v>
          </cell>
          <cell r="H3054">
            <v>254</v>
          </cell>
          <cell r="I3054" t="str">
            <v>ВАТ "ЕРДЕ БАНК", М.КИЇВ</v>
          </cell>
          <cell r="J3054" t="str">
            <v>ВАТ "ЕРДЕ БАНК"</v>
          </cell>
          <cell r="K3054" t="str">
            <v>UIFT</v>
          </cell>
          <cell r="L3054" t="str">
            <v>UIFT</v>
          </cell>
          <cell r="M3054">
            <v>26</v>
          </cell>
          <cell r="N3054">
            <v>26</v>
          </cell>
          <cell r="O3054" t="str">
            <v>ГУ НБУ по м.Києву і області</v>
          </cell>
        </row>
        <row r="3055">
          <cell r="A3055">
            <v>380690</v>
          </cell>
          <cell r="B3055">
            <v>380690</v>
          </cell>
          <cell r="C3055" t="str">
            <v>ВАТ КБ "Стандарт"</v>
          </cell>
          <cell r="D3055">
            <v>398</v>
          </cell>
          <cell r="E3055">
            <v>398</v>
          </cell>
          <cell r="F3055">
            <v>0</v>
          </cell>
          <cell r="G3055" t="str">
            <v>8</v>
          </cell>
          <cell r="H3055">
            <v>607</v>
          </cell>
          <cell r="I3055" t="str">
            <v>ВАТ КБ "Стандарт"</v>
          </cell>
          <cell r="J3055" t="str">
            <v>ВАТ КБ "Стандарт"</v>
          </cell>
          <cell r="K3055" t="str">
            <v>UI0V</v>
          </cell>
          <cell r="L3055" t="str">
            <v>UI0V</v>
          </cell>
          <cell r="M3055">
            <v>26</v>
          </cell>
          <cell r="N3055">
            <v>26</v>
          </cell>
          <cell r="O3055" t="str">
            <v>ГУ НБУ по м.Києву і області</v>
          </cell>
        </row>
        <row r="3056">
          <cell r="A3056">
            <v>380753</v>
          </cell>
          <cell r="B3056">
            <v>300023</v>
          </cell>
          <cell r="D3056">
            <v>0</v>
          </cell>
          <cell r="E3056">
            <v>5</v>
          </cell>
          <cell r="F3056">
            <v>0</v>
          </cell>
          <cell r="G3056" t="str">
            <v>5</v>
          </cell>
          <cell r="H3056">
            <v>508</v>
          </cell>
          <cell r="I3056" t="str">
            <v>АКБ "УКРСОЦБАНК", М.КИЇВ</v>
          </cell>
          <cell r="J3056" t="str">
            <v>АКБ "Укрсоцбанк"</v>
          </cell>
          <cell r="K3056" t="str">
            <v>UICR</v>
          </cell>
          <cell r="L3056" t="str">
            <v>UICR</v>
          </cell>
          <cell r="M3056">
            <v>26</v>
          </cell>
          <cell r="N3056">
            <v>26</v>
          </cell>
          <cell r="O3056" t="str">
            <v>ГУ НБУ по м.Києву і області</v>
          </cell>
        </row>
        <row r="3057">
          <cell r="A3057">
            <v>380764</v>
          </cell>
          <cell r="B3057">
            <v>320003</v>
          </cell>
          <cell r="D3057">
            <v>0</v>
          </cell>
          <cell r="E3057">
            <v>225</v>
          </cell>
          <cell r="F3057">
            <v>0</v>
          </cell>
          <cell r="G3057" t="str">
            <v>B</v>
          </cell>
          <cell r="H3057">
            <v>207</v>
          </cell>
          <cell r="I3057" t="str">
            <v>ВАТ АБ "НАДРА" ,М.КИЇВ,ЦЕНТР</v>
          </cell>
          <cell r="J3057" t="str">
            <v>ВАТ АБ "НАДРА",М.КИЇВ,ЦЕНТР</v>
          </cell>
          <cell r="K3057" t="str">
            <v>UI0J</v>
          </cell>
          <cell r="L3057" t="str">
            <v>UI0J</v>
          </cell>
          <cell r="M3057">
            <v>26</v>
          </cell>
          <cell r="N3057">
            <v>26</v>
          </cell>
          <cell r="O3057" t="str">
            <v>ГУ НБУ по м.Києву і області</v>
          </cell>
        </row>
        <row r="3058">
          <cell r="A3058">
            <v>380775</v>
          </cell>
          <cell r="B3058">
            <v>305299</v>
          </cell>
          <cell r="D3058">
            <v>0</v>
          </cell>
          <cell r="E3058">
            <v>46</v>
          </cell>
          <cell r="F3058">
            <v>0</v>
          </cell>
          <cell r="G3058" t="str">
            <v>A</v>
          </cell>
          <cell r="H3058">
            <v>991</v>
          </cell>
          <cell r="I3058" t="str">
            <v>Ф-Я "КИЇВСІТІ" ПРИВАТБАНКУ,М. КИЇВ</v>
          </cell>
          <cell r="J3058" t="str">
            <v>Філія "КиївСіті ПриватБанку</v>
          </cell>
          <cell r="K3058" t="str">
            <v>UIVZ</v>
          </cell>
          <cell r="L3058" t="str">
            <v>UIVZ</v>
          </cell>
          <cell r="M3058">
            <v>26</v>
          </cell>
          <cell r="N3058">
            <v>3</v>
          </cell>
          <cell r="O3058" t="str">
            <v>ГУ НБУ по м.Києву і області</v>
          </cell>
        </row>
        <row r="3059">
          <cell r="A3059">
            <v>380805</v>
          </cell>
          <cell r="B3059">
            <v>300335</v>
          </cell>
          <cell r="D3059">
            <v>0</v>
          </cell>
          <cell r="E3059">
            <v>36</v>
          </cell>
          <cell r="F3059">
            <v>0</v>
          </cell>
          <cell r="G3059" t="str">
            <v>7</v>
          </cell>
          <cell r="H3059">
            <v>988</v>
          </cell>
          <cell r="I3059" t="str">
            <v>"РАЙФФАЙЗЕН БАНК АВАЛЬ" У М. КИЄВІ</v>
          </cell>
          <cell r="J3059" t="str">
            <v>"Райффайзен Банк Аваль"</v>
          </cell>
          <cell r="K3059" t="str">
            <v>UIUA</v>
          </cell>
          <cell r="L3059" t="str">
            <v>UIUA</v>
          </cell>
          <cell r="M3059">
            <v>26</v>
          </cell>
          <cell r="N3059">
            <v>26</v>
          </cell>
          <cell r="O3059" t="str">
            <v>ГУ НБУ по м.Києву і області</v>
          </cell>
        </row>
        <row r="3060">
          <cell r="A3060">
            <v>380883</v>
          </cell>
          <cell r="B3060">
            <v>380883</v>
          </cell>
          <cell r="C3060" t="str">
            <v>Укр.банк реконстр.та розв.</v>
          </cell>
          <cell r="D3060">
            <v>313</v>
          </cell>
          <cell r="E3060">
            <v>313</v>
          </cell>
          <cell r="F3060">
            <v>0</v>
          </cell>
          <cell r="G3060" t="str">
            <v>8</v>
          </cell>
          <cell r="H3060">
            <v>960</v>
          </cell>
          <cell r="I3060" t="str">
            <v>ВАТ"УКР.БАНК РЕКОНСТР.ТА РОЗВИТКУ"КИЇВ</v>
          </cell>
          <cell r="J3060" t="str">
            <v>Укр.банк реконстр.та розв.</v>
          </cell>
          <cell r="K3060" t="str">
            <v>UIUO</v>
          </cell>
          <cell r="L3060" t="str">
            <v>UIUO</v>
          </cell>
          <cell r="M3060">
            <v>26</v>
          </cell>
          <cell r="N3060">
            <v>26</v>
          </cell>
          <cell r="O3060" t="str">
            <v>ГУ НБУ по м.Києву і області</v>
          </cell>
        </row>
        <row r="3061">
          <cell r="A3061">
            <v>380913</v>
          </cell>
          <cell r="B3061">
            <v>380913</v>
          </cell>
          <cell r="C3061" t="str">
            <v>ВАТ "БМ Банк"</v>
          </cell>
          <cell r="D3061">
            <v>321</v>
          </cell>
          <cell r="E3061">
            <v>321</v>
          </cell>
          <cell r="F3061">
            <v>0</v>
          </cell>
          <cell r="G3061" t="str">
            <v>9</v>
          </cell>
          <cell r="H3061">
            <v>999</v>
          </cell>
          <cell r="I3061" t="str">
            <v>ВАТ "БМ БАНК", М.КИЇВ</v>
          </cell>
          <cell r="J3061" t="str">
            <v>ВАТ "БМ Банк"</v>
          </cell>
          <cell r="K3061" t="str">
            <v>UIFD</v>
          </cell>
          <cell r="L3061" t="str">
            <v>UIFD</v>
          </cell>
          <cell r="M3061">
            <v>26</v>
          </cell>
          <cell r="N3061">
            <v>26</v>
          </cell>
          <cell r="O3061" t="str">
            <v>ГУ НБУ по м.Києву і області</v>
          </cell>
        </row>
        <row r="3062">
          <cell r="A3062">
            <v>380980</v>
          </cell>
          <cell r="B3062">
            <v>380980</v>
          </cell>
          <cell r="C3062" t="str">
            <v>ТОВ КБ "Даніель"</v>
          </cell>
          <cell r="D3062">
            <v>60</v>
          </cell>
          <cell r="E3062">
            <v>60</v>
          </cell>
          <cell r="F3062">
            <v>0</v>
          </cell>
          <cell r="G3062" t="str">
            <v>8</v>
          </cell>
          <cell r="H3062">
            <v>996</v>
          </cell>
          <cell r="I3062" t="str">
            <v>ТОВ"КОМЕРЦІЙНИЙ БАНК"ДАНІЕЛЬ"У М.КИЄВІ</v>
          </cell>
          <cell r="J3062" t="str">
            <v>ТОВ КБ "Даніель"</v>
          </cell>
          <cell r="K3062" t="str">
            <v>UIUH</v>
          </cell>
          <cell r="L3062" t="str">
            <v>UIUH</v>
          </cell>
          <cell r="M3062">
            <v>26</v>
          </cell>
          <cell r="N3062">
            <v>26</v>
          </cell>
          <cell r="O3062" t="str">
            <v>ГУ НБУ по м.Києву і області</v>
          </cell>
        </row>
        <row r="3063">
          <cell r="A3063">
            <v>383006</v>
          </cell>
          <cell r="B3063">
            <v>322658</v>
          </cell>
          <cell r="D3063">
            <v>0</v>
          </cell>
          <cell r="E3063">
            <v>217</v>
          </cell>
          <cell r="F3063">
            <v>0</v>
          </cell>
          <cell r="G3063" t="str">
            <v>8</v>
          </cell>
          <cell r="H3063">
            <v>787</v>
          </cell>
          <cell r="I3063" t="str">
            <v>КІРОВОГРАДСЬКА ФАКБ "СЄБ",КІРОВОГРАД</v>
          </cell>
          <cell r="J3063" t="str">
            <v>Кіровоградська ФАКБ "СЄБ"</v>
          </cell>
          <cell r="K3063" t="str">
            <v>UKKC</v>
          </cell>
          <cell r="L3063" t="str">
            <v>UKKC</v>
          </cell>
          <cell r="M3063">
            <v>10</v>
          </cell>
          <cell r="N3063">
            <v>26</v>
          </cell>
          <cell r="O3063" t="str">
            <v>Управл.НБУ в Кіровоград.обл</v>
          </cell>
        </row>
        <row r="3064">
          <cell r="A3064">
            <v>383017</v>
          </cell>
          <cell r="B3064">
            <v>300926</v>
          </cell>
          <cell r="D3064">
            <v>0</v>
          </cell>
          <cell r="E3064">
            <v>899</v>
          </cell>
          <cell r="F3064">
            <v>0</v>
          </cell>
          <cell r="G3064" t="str">
            <v>8</v>
          </cell>
          <cell r="H3064">
            <v>805</v>
          </cell>
          <cell r="I3064" t="str">
            <v>ПЕРША ФАТ "УФГ" У М. КІРОВОГРАД</v>
          </cell>
          <cell r="J3064" t="str">
            <v>Перша ФАТ"УФГ",м.Кіровоград</v>
          </cell>
          <cell r="K3064" t="str">
            <v>UKW2</v>
          </cell>
          <cell r="L3064" t="str">
            <v>U1WF</v>
          </cell>
          <cell r="M3064">
            <v>10</v>
          </cell>
          <cell r="N3064">
            <v>26</v>
          </cell>
          <cell r="O3064" t="str">
            <v>Управл.НБУ в Кіровоград.обл</v>
          </cell>
        </row>
        <row r="3065">
          <cell r="A3065">
            <v>383028</v>
          </cell>
          <cell r="B3065">
            <v>300926</v>
          </cell>
          <cell r="D3065">
            <v>0</v>
          </cell>
          <cell r="E3065">
            <v>899</v>
          </cell>
          <cell r="F3065">
            <v>0</v>
          </cell>
          <cell r="G3065" t="str">
            <v>8</v>
          </cell>
          <cell r="H3065">
            <v>819</v>
          </cell>
          <cell r="I3065" t="str">
            <v>ФАТ "УФГ" У М. СВІТЛОВОДСЬК</v>
          </cell>
          <cell r="J3065" t="str">
            <v>ФАТ "УФГ" у м.Світловодськ</v>
          </cell>
          <cell r="K3065" t="str">
            <v>UKW3</v>
          </cell>
          <cell r="L3065" t="str">
            <v>U1WF</v>
          </cell>
          <cell r="M3065">
            <v>10</v>
          </cell>
          <cell r="N3065">
            <v>26</v>
          </cell>
          <cell r="O3065" t="str">
            <v>Управл.НБУ в Кіровоград.обл</v>
          </cell>
        </row>
        <row r="3066">
          <cell r="A3066">
            <v>383039</v>
          </cell>
          <cell r="B3066">
            <v>300926</v>
          </cell>
          <cell r="D3066">
            <v>0</v>
          </cell>
          <cell r="E3066">
            <v>899</v>
          </cell>
          <cell r="F3066">
            <v>0</v>
          </cell>
          <cell r="G3066" t="str">
            <v>8</v>
          </cell>
          <cell r="H3066">
            <v>810</v>
          </cell>
          <cell r="I3066" t="str">
            <v>КІРОВ.ОБЛ. ФАТ "УФГ"М.КІРОВОГРАД</v>
          </cell>
          <cell r="J3066" t="str">
            <v>Кіровоградс. обл. ФАТ "УФГ"</v>
          </cell>
          <cell r="K3066" t="str">
            <v>UKW4</v>
          </cell>
          <cell r="L3066" t="str">
            <v>U1WF</v>
          </cell>
          <cell r="M3066">
            <v>10</v>
          </cell>
          <cell r="N3066">
            <v>26</v>
          </cell>
          <cell r="O3066" t="str">
            <v>Управл.НБУ в Кіровоград.обл</v>
          </cell>
        </row>
        <row r="3067">
          <cell r="A3067">
            <v>383040</v>
          </cell>
          <cell r="B3067">
            <v>303484</v>
          </cell>
          <cell r="D3067">
            <v>0</v>
          </cell>
          <cell r="E3067">
            <v>273</v>
          </cell>
          <cell r="F3067">
            <v>0</v>
          </cell>
          <cell r="G3067" t="str">
            <v>8</v>
          </cell>
          <cell r="H3067">
            <v>749</v>
          </cell>
          <cell r="I3067" t="str">
            <v>Кіровоград.Ф.КБ "Західінкомбанк" ТзОВ</v>
          </cell>
          <cell r="J3067" t="str">
            <v>Кір.ФКБ"Західінкомбанк"ТзОВ</v>
          </cell>
          <cell r="K3067" t="str">
            <v>UKJV</v>
          </cell>
          <cell r="L3067" t="str">
            <v>UKJV</v>
          </cell>
          <cell r="M3067">
            <v>10</v>
          </cell>
          <cell r="N3067">
            <v>2</v>
          </cell>
          <cell r="O3067" t="str">
            <v>Управл.НБУ в Кіровоград.обл</v>
          </cell>
        </row>
        <row r="3068">
          <cell r="A3068">
            <v>383051</v>
          </cell>
          <cell r="B3068">
            <v>322948</v>
          </cell>
          <cell r="D3068">
            <v>0</v>
          </cell>
          <cell r="E3068">
            <v>248</v>
          </cell>
          <cell r="F3068">
            <v>0</v>
          </cell>
          <cell r="G3068" t="str">
            <v>B</v>
          </cell>
          <cell r="H3068">
            <v>200</v>
          </cell>
          <cell r="I3068" t="str">
            <v>КІРОВОГРАДСЬКАФАКБ"ФОРУМ"М.КІРОВОГРАД</v>
          </cell>
          <cell r="J3068" t="str">
            <v>Кіровоградська ф АКБ"Форум"</v>
          </cell>
          <cell r="K3068" t="str">
            <v>UKKE</v>
          </cell>
          <cell r="L3068" t="str">
            <v>UKKE</v>
          </cell>
          <cell r="M3068">
            <v>10</v>
          </cell>
          <cell r="N3068">
            <v>26</v>
          </cell>
          <cell r="O3068" t="str">
            <v>Управл.НБУ в Кіровоград.обл</v>
          </cell>
        </row>
        <row r="3069">
          <cell r="A3069">
            <v>383073</v>
          </cell>
          <cell r="B3069">
            <v>320478</v>
          </cell>
          <cell r="D3069">
            <v>0</v>
          </cell>
          <cell r="E3069">
            <v>274</v>
          </cell>
          <cell r="F3069">
            <v>0</v>
          </cell>
          <cell r="G3069" t="str">
            <v>8</v>
          </cell>
          <cell r="H3069">
            <v>700</v>
          </cell>
          <cell r="I3069" t="str">
            <v>КІРОВ.ФВАТ АБ"УКРГАЗБАНК",М.КІРОВОГРАД</v>
          </cell>
          <cell r="J3069" t="str">
            <v>Кіровоград.ФАБ "Укргазбанк"</v>
          </cell>
          <cell r="K3069" t="str">
            <v>UKJZ</v>
          </cell>
          <cell r="L3069" t="str">
            <v>UKJZ</v>
          </cell>
          <cell r="M3069">
            <v>10</v>
          </cell>
          <cell r="N3069">
            <v>26</v>
          </cell>
          <cell r="O3069" t="str">
            <v>Управл.НБУ в Кіровоград.обл</v>
          </cell>
        </row>
        <row r="3070">
          <cell r="A3070">
            <v>383136</v>
          </cell>
          <cell r="B3070">
            <v>320702</v>
          </cell>
          <cell r="D3070">
            <v>0</v>
          </cell>
          <cell r="E3070">
            <v>277</v>
          </cell>
          <cell r="F3070">
            <v>0</v>
          </cell>
          <cell r="G3070" t="str">
            <v>8</v>
          </cell>
          <cell r="H3070">
            <v>732</v>
          </cell>
          <cell r="I3070" t="str">
            <v>ФАКБ"НАЦ.КРЕДИТ" В М.СВІТЛОВОДСЬК</v>
          </cell>
          <cell r="J3070" t="str">
            <v>ФАКБ "НК" в м.Світлов.</v>
          </cell>
          <cell r="K3070" t="str">
            <v>UKJB</v>
          </cell>
          <cell r="L3070" t="str">
            <v>UKJB</v>
          </cell>
          <cell r="M3070">
            <v>10</v>
          </cell>
          <cell r="N3070">
            <v>26</v>
          </cell>
          <cell r="O3070" t="str">
            <v>Управл.НБУ в Кіровоград.обл</v>
          </cell>
        </row>
        <row r="3071">
          <cell r="A3071">
            <v>383147</v>
          </cell>
          <cell r="B3071">
            <v>380537</v>
          </cell>
          <cell r="D3071">
            <v>0</v>
          </cell>
          <cell r="E3071">
            <v>76</v>
          </cell>
          <cell r="F3071">
            <v>0</v>
          </cell>
          <cell r="G3071" t="str">
            <v>B</v>
          </cell>
          <cell r="H3071">
            <v>775</v>
          </cell>
          <cell r="I3071" t="str">
            <v>КІРОВОГ.ФВАТ"ВІЕЙБІ БАНК",М.КІРОВОГРАД</v>
          </cell>
          <cell r="J3071" t="str">
            <v>Кіровогр.ФВАТ "ВіЕйБі Банк"</v>
          </cell>
          <cell r="K3071" t="str">
            <v>UKKB</v>
          </cell>
          <cell r="L3071" t="str">
            <v>UKKB</v>
          </cell>
          <cell r="M3071">
            <v>10</v>
          </cell>
          <cell r="N3071">
            <v>26</v>
          </cell>
          <cell r="O3071" t="str">
            <v>Управл.НБУ в Кіровоград.обл</v>
          </cell>
        </row>
        <row r="3072">
          <cell r="A3072">
            <v>383170</v>
          </cell>
          <cell r="B3072">
            <v>328209</v>
          </cell>
          <cell r="D3072">
            <v>0</v>
          </cell>
          <cell r="E3072">
            <v>106</v>
          </cell>
          <cell r="F3072">
            <v>0</v>
          </cell>
          <cell r="G3072" t="str">
            <v>8</v>
          </cell>
          <cell r="H3072">
            <v>794</v>
          </cell>
          <cell r="I3072" t="str">
            <v>ФІЛІЯ  АБ "ПІВДЕННИЙ", М.КІРОВОГРАД</v>
          </cell>
          <cell r="J3072" t="str">
            <v>Філія  АБ "Південний"</v>
          </cell>
          <cell r="K3072" t="str">
            <v>UKKD</v>
          </cell>
          <cell r="L3072" t="str">
            <v>UKKD</v>
          </cell>
          <cell r="M3072">
            <v>10</v>
          </cell>
          <cell r="N3072">
            <v>15</v>
          </cell>
          <cell r="O3072" t="str">
            <v>Управл.НБУ в Кіровоград.обл</v>
          </cell>
        </row>
        <row r="3073">
          <cell r="A3073">
            <v>383460</v>
          </cell>
          <cell r="B3073">
            <v>300670</v>
          </cell>
          <cell r="D3073">
            <v>0</v>
          </cell>
          <cell r="E3073">
            <v>202</v>
          </cell>
          <cell r="F3073">
            <v>0</v>
          </cell>
          <cell r="G3073" t="str">
            <v>8</v>
          </cell>
          <cell r="H3073">
            <v>503</v>
          </cell>
          <cell r="I3073" t="str">
            <v>КІРОВОГ.Ф.ВАТКБ"ХРЕЩАТИК"М.КІРОВОГРАД</v>
          </cell>
          <cell r="J3073" t="str">
            <v>Кіров.ф. ВАТ КБ "Хрещатик"</v>
          </cell>
          <cell r="K3073" t="str">
            <v>UKFA</v>
          </cell>
          <cell r="L3073" t="str">
            <v>UKFA</v>
          </cell>
          <cell r="M3073">
            <v>10</v>
          </cell>
          <cell r="N3073">
            <v>26</v>
          </cell>
          <cell r="O3073" t="str">
            <v>Управл.НБУ в Кіровоград.обл</v>
          </cell>
        </row>
        <row r="3074">
          <cell r="A3074">
            <v>383471</v>
          </cell>
          <cell r="B3074">
            <v>325912</v>
          </cell>
          <cell r="D3074">
            <v>0</v>
          </cell>
          <cell r="E3074">
            <v>88</v>
          </cell>
          <cell r="F3074">
            <v>0</v>
          </cell>
          <cell r="G3074" t="str">
            <v>B</v>
          </cell>
          <cell r="H3074">
            <v>703</v>
          </cell>
          <cell r="I3074" t="str">
            <v>Кіровоградська філія ВАТ "КРЕДОБАНК"</v>
          </cell>
          <cell r="J3074" t="str">
            <v>Кіровог.ф.ВАТ "КРЕДОБАНК"</v>
          </cell>
          <cell r="K3074" t="str">
            <v>UKFB</v>
          </cell>
          <cell r="L3074" t="str">
            <v>UKFB</v>
          </cell>
          <cell r="M3074">
            <v>10</v>
          </cell>
          <cell r="N3074">
            <v>13</v>
          </cell>
          <cell r="O3074" t="str">
            <v>Управл.НБУ в Кіровоград.обл</v>
          </cell>
        </row>
        <row r="3075">
          <cell r="A3075">
            <v>384005</v>
          </cell>
          <cell r="B3075">
            <v>300528</v>
          </cell>
          <cell r="D3075">
            <v>0</v>
          </cell>
          <cell r="E3075">
            <v>296</v>
          </cell>
          <cell r="F3075">
            <v>0</v>
          </cell>
          <cell r="G3075" t="str">
            <v>F</v>
          </cell>
          <cell r="H3075">
            <v>904</v>
          </cell>
          <cell r="I3075" t="str">
            <v>ФІЛІЯ ЗАТ "ОТП БАНК", М.СІМФЕРОПОЛЬ</v>
          </cell>
          <cell r="J3075" t="str">
            <v>Філія ЗАТ "ОТП Банк"</v>
          </cell>
          <cell r="K3075" t="str">
            <v>ULUP</v>
          </cell>
          <cell r="L3075" t="str">
            <v>ULUP</v>
          </cell>
          <cell r="M3075">
            <v>11</v>
          </cell>
          <cell r="N3075">
            <v>26</v>
          </cell>
          <cell r="O3075" t="str">
            <v>ГУ НБУ В АРК М.СІМФЕРОПОЛЬ</v>
          </cell>
        </row>
        <row r="3076">
          <cell r="A3076">
            <v>384016</v>
          </cell>
          <cell r="B3076">
            <v>300465</v>
          </cell>
          <cell r="D3076">
            <v>0</v>
          </cell>
          <cell r="E3076">
            <v>6</v>
          </cell>
          <cell r="F3076">
            <v>0</v>
          </cell>
          <cell r="G3076" t="str">
            <v>6</v>
          </cell>
          <cell r="H3076">
            <v>602</v>
          </cell>
          <cell r="I3076" t="str">
            <v>ФСІМФЕРОПОЛЬСЬКЕ МІ ВАТОЩАД М.СІМФЕРОП</v>
          </cell>
          <cell r="J3076" t="str">
            <v>ФСімферопольське місВАТОщад</v>
          </cell>
          <cell r="K3076" t="str">
            <v>ULLB</v>
          </cell>
          <cell r="L3076" t="str">
            <v>ULLA</v>
          </cell>
          <cell r="M3076">
            <v>11</v>
          </cell>
          <cell r="N3076">
            <v>26</v>
          </cell>
          <cell r="O3076" t="str">
            <v>ГУ НБУ В АРК М.СІМФЕРОПОЛЬ</v>
          </cell>
        </row>
        <row r="3077">
          <cell r="A3077">
            <v>384027</v>
          </cell>
          <cell r="B3077">
            <v>300465</v>
          </cell>
          <cell r="D3077">
            <v>0</v>
          </cell>
          <cell r="E3077">
            <v>6</v>
          </cell>
          <cell r="F3077">
            <v>0</v>
          </cell>
          <cell r="G3077" t="str">
            <v>6</v>
          </cell>
          <cell r="H3077">
            <v>603</v>
          </cell>
          <cell r="I3077" t="str">
            <v>ФСЕВАСТОПОЛЬСЬКЕ МІ ВАТОЩАД М.СЕВАСТОП</v>
          </cell>
          <cell r="J3077" t="str">
            <v>ФСевастопольське місВАТОщад</v>
          </cell>
          <cell r="K3077" t="str">
            <v>ULLC</v>
          </cell>
          <cell r="L3077" t="str">
            <v>ULLA</v>
          </cell>
          <cell r="M3077">
            <v>29</v>
          </cell>
          <cell r="N3077">
            <v>26</v>
          </cell>
          <cell r="O3077" t="str">
            <v>Севастополь</v>
          </cell>
        </row>
        <row r="3078">
          <cell r="A3078">
            <v>384038</v>
          </cell>
          <cell r="B3078">
            <v>300465</v>
          </cell>
          <cell r="D3078">
            <v>0</v>
          </cell>
          <cell r="E3078">
            <v>6</v>
          </cell>
          <cell r="F3078">
            <v>0</v>
          </cell>
          <cell r="G3078" t="str">
            <v>6</v>
          </cell>
          <cell r="H3078">
            <v>604</v>
          </cell>
          <cell r="I3078" t="str">
            <v>ФЯЛТИНСЬКЕ ВІДДІЛЕННЯ № ВАТОЩАД М.ЯЛТА</v>
          </cell>
          <cell r="J3078" t="str">
            <v>ФЯлтинське відділеннВАТОщад</v>
          </cell>
          <cell r="K3078" t="str">
            <v>ULLD</v>
          </cell>
          <cell r="L3078" t="str">
            <v>ULLA</v>
          </cell>
          <cell r="M3078">
            <v>11</v>
          </cell>
          <cell r="N3078">
            <v>26</v>
          </cell>
          <cell r="O3078" t="str">
            <v>ГУ НБУ В АРК М.СІМФЕРОПОЛЬ</v>
          </cell>
        </row>
        <row r="3079">
          <cell r="A3079">
            <v>384049</v>
          </cell>
          <cell r="B3079">
            <v>300465</v>
          </cell>
          <cell r="D3079">
            <v>0</v>
          </cell>
          <cell r="E3079">
            <v>6</v>
          </cell>
          <cell r="F3079">
            <v>0</v>
          </cell>
          <cell r="G3079" t="str">
            <v>6</v>
          </cell>
          <cell r="H3079">
            <v>605</v>
          </cell>
          <cell r="I3079" t="str">
            <v>ФФЕОДОСІЙСЬКЕ ВІДДІ ВАТОЩАД М.ФЕОДОСІЯ</v>
          </cell>
          <cell r="J3079" t="str">
            <v>ФФеодосійське відділВАТОщад</v>
          </cell>
          <cell r="K3079" t="str">
            <v>ULLE</v>
          </cell>
          <cell r="L3079" t="str">
            <v>ULLA</v>
          </cell>
          <cell r="M3079">
            <v>11</v>
          </cell>
          <cell r="N3079">
            <v>26</v>
          </cell>
          <cell r="O3079" t="str">
            <v>ГУ НБУ В АРК М.СІМФЕРОПОЛЬ</v>
          </cell>
        </row>
        <row r="3080">
          <cell r="A3080">
            <v>384050</v>
          </cell>
          <cell r="B3080">
            <v>300465</v>
          </cell>
          <cell r="D3080">
            <v>0</v>
          </cell>
          <cell r="E3080">
            <v>6</v>
          </cell>
          <cell r="F3080">
            <v>0</v>
          </cell>
          <cell r="G3080" t="str">
            <v>6</v>
          </cell>
          <cell r="H3080">
            <v>606</v>
          </cell>
          <cell r="I3080" t="str">
            <v>ФЄВПАТОРІЙСЬКЕ ВІДД ВАТОЩАД М.ЄВПАТОРІ</v>
          </cell>
          <cell r="J3080" t="str">
            <v>ФЄвпаторійське віддіВАТОщад</v>
          </cell>
          <cell r="K3080" t="str">
            <v>ULLF</v>
          </cell>
          <cell r="L3080" t="str">
            <v>ULLA</v>
          </cell>
          <cell r="M3080">
            <v>11</v>
          </cell>
          <cell r="N3080">
            <v>26</v>
          </cell>
          <cell r="O3080" t="str">
            <v>ГУ НБУ В АРК М.СІМФЕРОПОЛЬ</v>
          </cell>
        </row>
        <row r="3081">
          <cell r="A3081">
            <v>384061</v>
          </cell>
          <cell r="B3081">
            <v>300465</v>
          </cell>
          <cell r="D3081">
            <v>0</v>
          </cell>
          <cell r="E3081">
            <v>6</v>
          </cell>
          <cell r="F3081">
            <v>0</v>
          </cell>
          <cell r="G3081" t="str">
            <v>6</v>
          </cell>
          <cell r="H3081">
            <v>607</v>
          </cell>
          <cell r="I3081" t="str">
            <v>ФКЕРЧЕНСЬКЕ ВІДДІЛЕННЯ  ВАТОЩАД М.КЕРЧ</v>
          </cell>
          <cell r="J3081" t="str">
            <v>ФКерченське відділенВАТОщад</v>
          </cell>
          <cell r="K3081" t="str">
            <v>ULLG</v>
          </cell>
          <cell r="L3081" t="str">
            <v>ULLA</v>
          </cell>
          <cell r="M3081">
            <v>11</v>
          </cell>
          <cell r="N3081">
            <v>26</v>
          </cell>
          <cell r="O3081" t="str">
            <v>ГУ НБУ В АРК М.СІМФЕРОПОЛЬ</v>
          </cell>
        </row>
        <row r="3082">
          <cell r="A3082">
            <v>384072</v>
          </cell>
          <cell r="B3082">
            <v>300465</v>
          </cell>
          <cell r="D3082">
            <v>0</v>
          </cell>
          <cell r="E3082">
            <v>6</v>
          </cell>
          <cell r="F3082">
            <v>0</v>
          </cell>
          <cell r="G3082" t="str">
            <v>6</v>
          </cell>
          <cell r="H3082">
            <v>608</v>
          </cell>
          <cell r="I3082" t="str">
            <v>ФДЖАНКОЙСЬКЕ ВІДДІЛЕ ВАТОЩАД М.ДЖАНКОЙ</v>
          </cell>
          <cell r="J3082" t="str">
            <v>ФДжанкойське відділеВАТОщад</v>
          </cell>
          <cell r="K3082" t="str">
            <v>ULLH</v>
          </cell>
          <cell r="L3082" t="str">
            <v>ULLA</v>
          </cell>
          <cell r="M3082">
            <v>11</v>
          </cell>
          <cell r="N3082">
            <v>26</v>
          </cell>
          <cell r="O3082" t="str">
            <v>ГУ НБУ В АРК М.СІМФЕРОПОЛЬ</v>
          </cell>
        </row>
        <row r="3083">
          <cell r="A3083">
            <v>384083</v>
          </cell>
          <cell r="B3083">
            <v>300465</v>
          </cell>
          <cell r="D3083">
            <v>0</v>
          </cell>
          <cell r="E3083">
            <v>6</v>
          </cell>
          <cell r="F3083">
            <v>0</v>
          </cell>
          <cell r="G3083" t="str">
            <v>6</v>
          </cell>
          <cell r="H3083">
            <v>609</v>
          </cell>
          <cell r="I3083" t="str">
            <v>ФБАХЧИСАРАЙСЬКЕ ВІД ВАТОЩАД М.БАХЧИСАР</v>
          </cell>
          <cell r="J3083" t="str">
            <v>ФБахчисарайське віддВАТОщад</v>
          </cell>
          <cell r="K3083" t="str">
            <v>ULLI</v>
          </cell>
          <cell r="L3083" t="str">
            <v>ULLA</v>
          </cell>
          <cell r="M3083">
            <v>11</v>
          </cell>
          <cell r="N3083">
            <v>26</v>
          </cell>
          <cell r="O3083" t="str">
            <v>ГУ НБУ В АРК М.СІМФЕРОПОЛЬ</v>
          </cell>
        </row>
        <row r="3084">
          <cell r="A3084">
            <v>384094</v>
          </cell>
          <cell r="B3084">
            <v>300465</v>
          </cell>
          <cell r="D3084">
            <v>0</v>
          </cell>
          <cell r="E3084">
            <v>6</v>
          </cell>
          <cell r="F3084">
            <v>0</v>
          </cell>
          <cell r="G3084" t="str">
            <v>6</v>
          </cell>
          <cell r="H3084">
            <v>613</v>
          </cell>
          <cell r="I3084" t="str">
            <v>ФЧОРНОМОРСЬКЕ ВІДДІ ВАТОЩАД СМТ.ЧОРНОМ</v>
          </cell>
          <cell r="J3084" t="str">
            <v>ФЧорноморське відділВАТОщад</v>
          </cell>
          <cell r="K3084" t="str">
            <v>ULLM</v>
          </cell>
          <cell r="L3084" t="str">
            <v>ULLA</v>
          </cell>
          <cell r="M3084">
            <v>11</v>
          </cell>
          <cell r="N3084">
            <v>26</v>
          </cell>
          <cell r="O3084" t="str">
            <v>ГУ НБУ В АРК М.СІМФЕРОПОЛЬ</v>
          </cell>
        </row>
        <row r="3085">
          <cell r="A3085">
            <v>384102</v>
          </cell>
          <cell r="B3085">
            <v>300465</v>
          </cell>
          <cell r="D3085">
            <v>0</v>
          </cell>
          <cell r="E3085">
            <v>6</v>
          </cell>
          <cell r="F3085">
            <v>0</v>
          </cell>
          <cell r="G3085" t="str">
            <v>6</v>
          </cell>
          <cell r="H3085">
            <v>611</v>
          </cell>
          <cell r="I3085" t="str">
            <v>ФНИЖНЬОГІРСЬКЕ ВІДД ВАТОЩАД СМТ.НИЖНЬО</v>
          </cell>
          <cell r="J3085" t="str">
            <v>ФНижньогірське віддіВАТОщад</v>
          </cell>
          <cell r="K3085" t="str">
            <v>ULLK</v>
          </cell>
          <cell r="L3085" t="str">
            <v>ULLA</v>
          </cell>
          <cell r="M3085">
            <v>11</v>
          </cell>
          <cell r="N3085">
            <v>26</v>
          </cell>
          <cell r="O3085" t="str">
            <v>ГУ НБУ В АРК М.СІМФЕРОПОЛЬ</v>
          </cell>
        </row>
        <row r="3086">
          <cell r="A3086">
            <v>384135</v>
          </cell>
          <cell r="B3086">
            <v>300465</v>
          </cell>
          <cell r="D3086">
            <v>0</v>
          </cell>
          <cell r="E3086">
            <v>6</v>
          </cell>
          <cell r="F3086">
            <v>0</v>
          </cell>
          <cell r="G3086" t="str">
            <v>6</v>
          </cell>
          <cell r="H3086">
            <v>614</v>
          </cell>
          <cell r="I3086" t="str">
            <v>ФКРАСНОПЕРЕКОПСЬКЕ  ВАТОЩАД М.КРАСНОПЕ</v>
          </cell>
          <cell r="J3086" t="str">
            <v>ФКрасноперекопське вВАТОщад</v>
          </cell>
          <cell r="K3086" t="str">
            <v>ULLN</v>
          </cell>
          <cell r="L3086" t="str">
            <v>ULLA</v>
          </cell>
          <cell r="M3086">
            <v>11</v>
          </cell>
          <cell r="N3086">
            <v>26</v>
          </cell>
          <cell r="O3086" t="str">
            <v>ГУ НБУ В АРК М.СІМФЕРОПОЛЬ</v>
          </cell>
        </row>
        <row r="3087">
          <cell r="A3087">
            <v>384146</v>
          </cell>
          <cell r="B3087">
            <v>300465</v>
          </cell>
          <cell r="D3087">
            <v>0</v>
          </cell>
          <cell r="E3087">
            <v>6</v>
          </cell>
          <cell r="F3087">
            <v>0</v>
          </cell>
          <cell r="G3087" t="str">
            <v>6</v>
          </cell>
          <cell r="H3087">
            <v>615</v>
          </cell>
          <cell r="I3087" t="str">
            <v>ФЛЕНІНСЬКЕ ВІДДІЛЕН ВАТОЩАД СМТ.ЛЕНІНЕ</v>
          </cell>
          <cell r="J3087" t="str">
            <v>ФЛенінське відділеннВАТОщад</v>
          </cell>
          <cell r="K3087" t="str">
            <v>ULLO</v>
          </cell>
          <cell r="L3087" t="str">
            <v>ULLA</v>
          </cell>
          <cell r="M3087">
            <v>11</v>
          </cell>
          <cell r="N3087">
            <v>26</v>
          </cell>
          <cell r="O3087" t="str">
            <v>ГУ НБУ В АРК М.СІМФЕРОПОЛЬ</v>
          </cell>
        </row>
        <row r="3088">
          <cell r="A3088">
            <v>384157</v>
          </cell>
          <cell r="B3088">
            <v>300465</v>
          </cell>
          <cell r="D3088">
            <v>0</v>
          </cell>
          <cell r="E3088">
            <v>6</v>
          </cell>
          <cell r="F3088">
            <v>0</v>
          </cell>
          <cell r="G3088" t="str">
            <v>6</v>
          </cell>
          <cell r="H3088">
            <v>616</v>
          </cell>
          <cell r="I3088" t="str">
            <v>ФКРАСНОГВАРДІЙСЬКЕ  ВАТОЩАД СМТ.КРАСНО</v>
          </cell>
          <cell r="J3088" t="str">
            <v>ФКрасногвардійське вВАТОщад</v>
          </cell>
          <cell r="K3088" t="str">
            <v>ULLP</v>
          </cell>
          <cell r="L3088" t="str">
            <v>ULLA</v>
          </cell>
          <cell r="M3088">
            <v>11</v>
          </cell>
          <cell r="N3088">
            <v>26</v>
          </cell>
          <cell r="O3088" t="str">
            <v>ГУ НБУ В АРК М.СІМФЕРОПОЛЬ</v>
          </cell>
        </row>
        <row r="3089">
          <cell r="A3089">
            <v>384168</v>
          </cell>
          <cell r="B3089">
            <v>300465</v>
          </cell>
          <cell r="D3089">
            <v>0</v>
          </cell>
          <cell r="E3089">
            <v>6</v>
          </cell>
          <cell r="F3089">
            <v>0</v>
          </cell>
          <cell r="G3089" t="str">
            <v>6</v>
          </cell>
          <cell r="H3089">
            <v>617</v>
          </cell>
          <cell r="I3089" t="str">
            <v>ФРОЗДОЛЬНЕНСЬКЕ ВІД ВАТОЩАД СМТ.РОЗДОЛ</v>
          </cell>
          <cell r="J3089" t="str">
            <v>ФРоздольненське віддВАТОщад</v>
          </cell>
          <cell r="K3089" t="str">
            <v>ULLQ</v>
          </cell>
          <cell r="L3089" t="str">
            <v>ULLA</v>
          </cell>
          <cell r="M3089">
            <v>11</v>
          </cell>
          <cell r="N3089">
            <v>26</v>
          </cell>
          <cell r="O3089" t="str">
            <v>ГУ НБУ В АРК М.СІМФЕРОПОЛЬ</v>
          </cell>
        </row>
        <row r="3090">
          <cell r="A3090">
            <v>384179</v>
          </cell>
          <cell r="B3090">
            <v>300465</v>
          </cell>
          <cell r="D3090">
            <v>0</v>
          </cell>
          <cell r="E3090">
            <v>6</v>
          </cell>
          <cell r="F3090">
            <v>0</v>
          </cell>
          <cell r="G3090" t="str">
            <v>6</v>
          </cell>
          <cell r="H3090">
            <v>618</v>
          </cell>
          <cell r="I3090" t="str">
            <v>ФПЕРВОМАЙСЬКЕ ВІДДІ ВАТОЩАД СМТ.ПЕРВОМ</v>
          </cell>
          <cell r="J3090" t="str">
            <v>ФПервомайське відділВАТОщад</v>
          </cell>
          <cell r="K3090" t="str">
            <v>ULLR</v>
          </cell>
          <cell r="L3090" t="str">
            <v>ULLA</v>
          </cell>
          <cell r="M3090">
            <v>11</v>
          </cell>
          <cell r="N3090">
            <v>26</v>
          </cell>
          <cell r="O3090" t="str">
            <v>ГУ НБУ В АРК М.СІМФЕРОПОЛЬ</v>
          </cell>
        </row>
        <row r="3091">
          <cell r="A3091">
            <v>384180</v>
          </cell>
          <cell r="B3091">
            <v>300465</v>
          </cell>
          <cell r="D3091">
            <v>0</v>
          </cell>
          <cell r="E3091">
            <v>6</v>
          </cell>
          <cell r="F3091">
            <v>0</v>
          </cell>
          <cell r="G3091" t="str">
            <v>6</v>
          </cell>
          <cell r="H3091">
            <v>619</v>
          </cell>
          <cell r="I3091" t="str">
            <v>ФСАКСЬКЕ ВІДДІЛЕННЯ № 4 ВАТОЩАД М.САКИ</v>
          </cell>
          <cell r="J3091" t="str">
            <v>ФСакське відділення ВАТОщад</v>
          </cell>
          <cell r="K3091" t="str">
            <v>ULLS</v>
          </cell>
          <cell r="L3091" t="str">
            <v>ULLA</v>
          </cell>
          <cell r="M3091">
            <v>11</v>
          </cell>
          <cell r="N3091">
            <v>26</v>
          </cell>
          <cell r="O3091" t="str">
            <v>ГУ НБУ В АРК М.СІМФЕРОПОЛЬ</v>
          </cell>
        </row>
        <row r="3092">
          <cell r="A3092">
            <v>384191</v>
          </cell>
          <cell r="B3092">
            <v>300465</v>
          </cell>
          <cell r="D3092">
            <v>0</v>
          </cell>
          <cell r="E3092">
            <v>6</v>
          </cell>
          <cell r="F3092">
            <v>0</v>
          </cell>
          <cell r="G3092" t="str">
            <v>6</v>
          </cell>
          <cell r="H3092">
            <v>610</v>
          </cell>
          <cell r="I3092" t="str">
            <v>ФБІЛОГІРСЬКЕ ВІДДІЛ ВАТОЩАД М.БІЛОГІРС</v>
          </cell>
          <cell r="J3092" t="str">
            <v>ФБілогірське відділеВАТОщад</v>
          </cell>
          <cell r="K3092" t="str">
            <v>ULLJ</v>
          </cell>
          <cell r="L3092" t="str">
            <v>ULLA</v>
          </cell>
          <cell r="M3092">
            <v>11</v>
          </cell>
          <cell r="N3092">
            <v>26</v>
          </cell>
          <cell r="O3092" t="str">
            <v>ГУ НБУ В АРК М.СІМФЕРОПОЛЬ</v>
          </cell>
        </row>
        <row r="3093">
          <cell r="A3093">
            <v>384209</v>
          </cell>
          <cell r="B3093">
            <v>300465</v>
          </cell>
          <cell r="D3093">
            <v>0</v>
          </cell>
          <cell r="E3093">
            <v>6</v>
          </cell>
          <cell r="F3093">
            <v>0</v>
          </cell>
          <cell r="G3093" t="str">
            <v>6</v>
          </cell>
          <cell r="H3093">
            <v>621</v>
          </cell>
          <cell r="I3093" t="str">
            <v>ФСОВЄТСЬКЕ ВІДДІЛЕН ВАТОЩАД СМТ.СОВЄТС</v>
          </cell>
          <cell r="J3093" t="str">
            <v>ФСовєтське відділеннВАТОщад</v>
          </cell>
          <cell r="K3093" t="str">
            <v>ULLU</v>
          </cell>
          <cell r="L3093" t="str">
            <v>ULLA</v>
          </cell>
          <cell r="M3093">
            <v>11</v>
          </cell>
          <cell r="N3093">
            <v>26</v>
          </cell>
          <cell r="O3093" t="str">
            <v>ГУ НБУ В АРК М.СІМФЕРОПОЛЬ</v>
          </cell>
        </row>
        <row r="3094">
          <cell r="A3094">
            <v>384298</v>
          </cell>
          <cell r="B3094">
            <v>300465</v>
          </cell>
          <cell r="D3094">
            <v>0</v>
          </cell>
          <cell r="E3094">
            <v>6</v>
          </cell>
          <cell r="F3094">
            <v>0</v>
          </cell>
          <cell r="G3094" t="str">
            <v>6</v>
          </cell>
          <cell r="H3094">
            <v>620</v>
          </cell>
          <cell r="I3094" t="str">
            <v>ФКІРОВСЬКЕ ВІДДІЛЕН ВАТОЩАД СМТ.КІРОВС</v>
          </cell>
          <cell r="J3094" t="str">
            <v>ФКіровське відділеннВАТОщад</v>
          </cell>
          <cell r="K3094" t="str">
            <v>ULLT</v>
          </cell>
          <cell r="L3094" t="str">
            <v>ULLA</v>
          </cell>
          <cell r="M3094">
            <v>11</v>
          </cell>
          <cell r="N3094">
            <v>26</v>
          </cell>
          <cell r="O3094" t="str">
            <v>ГУ НБУ В АРК М.СІМФЕРОПОЛЬ</v>
          </cell>
        </row>
        <row r="3095">
          <cell r="A3095">
            <v>384414</v>
          </cell>
          <cell r="B3095">
            <v>324742</v>
          </cell>
          <cell r="D3095">
            <v>0</v>
          </cell>
          <cell r="E3095">
            <v>215</v>
          </cell>
          <cell r="F3095">
            <v>0</v>
          </cell>
          <cell r="G3095" t="str">
            <v>8</v>
          </cell>
          <cell r="H3095">
            <v>785</v>
          </cell>
          <cell r="I3095" t="str">
            <v>КЕРЧЕНСЬКА ФВАТ БАНК "МОРСЬКИЙ" М.КЕРЧ</v>
          </cell>
          <cell r="J3095" t="str">
            <v>Керчен ФВАТ Банк "Морський"</v>
          </cell>
          <cell r="K3095" t="str">
            <v>ULXE</v>
          </cell>
          <cell r="L3095" t="str">
            <v>ULXE</v>
          </cell>
          <cell r="M3095">
            <v>11</v>
          </cell>
          <cell r="N3095">
            <v>11</v>
          </cell>
          <cell r="O3095" t="str">
            <v>ГУ НБУ В АРК М.СІМФЕРОПОЛЬ</v>
          </cell>
        </row>
        <row r="3096">
          <cell r="A3096">
            <v>384436</v>
          </cell>
          <cell r="B3096">
            <v>305299</v>
          </cell>
          <cell r="D3096">
            <v>0</v>
          </cell>
          <cell r="E3096">
            <v>46</v>
          </cell>
          <cell r="F3096">
            <v>0</v>
          </cell>
          <cell r="G3096" t="str">
            <v>A</v>
          </cell>
          <cell r="H3096">
            <v>716</v>
          </cell>
          <cell r="I3096" t="str">
            <v>Ф-Я КРИМ.РУ ПРИВАТБАНКУ,М.СІМФЕРОПОЛЬ</v>
          </cell>
          <cell r="J3096" t="str">
            <v>Ф-я Крим.РУ ПриватБанку</v>
          </cell>
          <cell r="K3096" t="str">
            <v>ULKF</v>
          </cell>
          <cell r="L3096" t="str">
            <v>ULKF</v>
          </cell>
          <cell r="M3096">
            <v>11</v>
          </cell>
          <cell r="N3096">
            <v>3</v>
          </cell>
          <cell r="O3096" t="str">
            <v>ГУ НБУ В АРК М.СІМФЕРОПОЛЬ</v>
          </cell>
        </row>
        <row r="3097">
          <cell r="A3097">
            <v>384481</v>
          </cell>
          <cell r="B3097">
            <v>351878</v>
          </cell>
          <cell r="D3097">
            <v>0</v>
          </cell>
          <cell r="E3097">
            <v>135</v>
          </cell>
          <cell r="F3097">
            <v>0</v>
          </cell>
          <cell r="G3097" t="str">
            <v>8</v>
          </cell>
          <cell r="H3097">
            <v>795</v>
          </cell>
          <cell r="I3097" t="str">
            <v>КРИМ.Ф-Я ВАТ "ІНПРОМБАНК" М.ФЕОДОСІЯ</v>
          </cell>
          <cell r="J3097" t="str">
            <v>КФ ВАТ"Інпромбанк",Феодосія</v>
          </cell>
          <cell r="K3097" t="str">
            <v>ULXJ</v>
          </cell>
          <cell r="L3097" t="str">
            <v>ULXJ</v>
          </cell>
          <cell r="M3097">
            <v>11</v>
          </cell>
          <cell r="N3097">
            <v>20</v>
          </cell>
          <cell r="O3097" t="str">
            <v>ГУ НБУ В АРК М.СІМФЕРОПОЛЬ</v>
          </cell>
        </row>
        <row r="3098">
          <cell r="A3098">
            <v>384492</v>
          </cell>
          <cell r="B3098">
            <v>300926</v>
          </cell>
          <cell r="D3098">
            <v>0</v>
          </cell>
          <cell r="E3098">
            <v>899</v>
          </cell>
          <cell r="F3098">
            <v>0</v>
          </cell>
          <cell r="G3098" t="str">
            <v>8</v>
          </cell>
          <cell r="H3098">
            <v>800</v>
          </cell>
          <cell r="I3098" t="str">
            <v>ДРУГА СЕВАСТОПОЛЬСЬКА ФАТ "УФГ"</v>
          </cell>
          <cell r="J3098" t="str">
            <v>Друга Севастопол. ФАТ "УФГ"</v>
          </cell>
          <cell r="K3098" t="str">
            <v>ULW2</v>
          </cell>
          <cell r="L3098" t="str">
            <v>U1WF</v>
          </cell>
          <cell r="M3098">
            <v>11</v>
          </cell>
          <cell r="N3098">
            <v>26</v>
          </cell>
          <cell r="O3098" t="str">
            <v>ГУ НБУ В АРК М.СІМФЕРОПОЛЬ</v>
          </cell>
        </row>
        <row r="3099">
          <cell r="A3099">
            <v>384522</v>
          </cell>
          <cell r="B3099">
            <v>328209</v>
          </cell>
          <cell r="D3099">
            <v>0</v>
          </cell>
          <cell r="E3099">
            <v>106</v>
          </cell>
          <cell r="F3099">
            <v>0</v>
          </cell>
          <cell r="G3099" t="str">
            <v>8</v>
          </cell>
          <cell r="H3099">
            <v>796</v>
          </cell>
          <cell r="I3099" t="str">
            <v>ФІЛІЯ АБ "ПІВДЕННИЙ" В М. ЯЛТА</v>
          </cell>
          <cell r="J3099" t="str">
            <v>ФАБ "ПІВДЕННИЙ" в м. Ялта</v>
          </cell>
          <cell r="K3099" t="str">
            <v>ULXK</v>
          </cell>
          <cell r="L3099" t="str">
            <v>ULXK</v>
          </cell>
          <cell r="M3099">
            <v>11</v>
          </cell>
          <cell r="N3099">
            <v>15</v>
          </cell>
          <cell r="O3099" t="str">
            <v>ГУ НБУ В АРК М.СІМФЕРОПОЛЬ</v>
          </cell>
        </row>
        <row r="3100">
          <cell r="A3100">
            <v>384544</v>
          </cell>
          <cell r="B3100">
            <v>300120</v>
          </cell>
          <cell r="D3100">
            <v>0</v>
          </cell>
          <cell r="E3100">
            <v>283</v>
          </cell>
          <cell r="F3100">
            <v>0</v>
          </cell>
          <cell r="G3100" t="str">
            <v>B</v>
          </cell>
          <cell r="H3100">
            <v>798</v>
          </cell>
          <cell r="I3100" t="str">
            <v>СФ-Я ЗАТ Б"ПЕТРОКОММЕРЦ-УК."М.СЕВАСТОП</v>
          </cell>
          <cell r="J3100" t="str">
            <v>СФ"БАНК ПЕТРОКОММЕРЦ-УКРАЇН</v>
          </cell>
          <cell r="K3100" t="str">
            <v>ULXO</v>
          </cell>
          <cell r="L3100" t="str">
            <v>ULXO</v>
          </cell>
          <cell r="M3100">
            <v>29</v>
          </cell>
          <cell r="N3100">
            <v>26</v>
          </cell>
          <cell r="O3100" t="str">
            <v>Севастополь</v>
          </cell>
        </row>
        <row r="3101">
          <cell r="A3101">
            <v>384555</v>
          </cell>
          <cell r="B3101">
            <v>324485</v>
          </cell>
          <cell r="D3101">
            <v>0</v>
          </cell>
          <cell r="E3101">
            <v>81</v>
          </cell>
          <cell r="F3101">
            <v>0</v>
          </cell>
          <cell r="G3101" t="str">
            <v>8</v>
          </cell>
          <cell r="H3101">
            <v>786</v>
          </cell>
          <cell r="I3101" t="str">
            <v>СФ ВАТ"ЄВР.БАНК РОЗВ.ТА ЗАОЩ."СІМФЕРОП</v>
          </cell>
          <cell r="J3101" t="str">
            <v>СФ ВАТ "ЄБРЗ" СІМФЕРОПОЛЬ</v>
          </cell>
          <cell r="K3101" t="str">
            <v>ULXF</v>
          </cell>
          <cell r="L3101" t="str">
            <v>ULXF</v>
          </cell>
          <cell r="M3101">
            <v>11</v>
          </cell>
          <cell r="N3101">
            <v>11</v>
          </cell>
          <cell r="O3101" t="str">
            <v>ГУ НБУ В АРК М.СІМФЕРОПОЛЬ</v>
          </cell>
        </row>
        <row r="3102">
          <cell r="A3102">
            <v>384577</v>
          </cell>
          <cell r="B3102">
            <v>384577</v>
          </cell>
          <cell r="C3102" t="str">
            <v>АКБ ЧБРР М.СІМФЕРОПОЛЬ</v>
          </cell>
          <cell r="D3102">
            <v>284</v>
          </cell>
          <cell r="E3102">
            <v>284</v>
          </cell>
          <cell r="F3102">
            <v>0</v>
          </cell>
          <cell r="G3102" t="str">
            <v>8</v>
          </cell>
          <cell r="H3102">
            <v>775</v>
          </cell>
          <cell r="I3102" t="str">
            <v>АКБ"ЧЕРН.БАНК РОЗВ.ТА РЕК."М.СІМФЕРОП.</v>
          </cell>
          <cell r="J3102" t="str">
            <v>АКБ ЧБРР М.СІМФЕРОПОЛЬ</v>
          </cell>
          <cell r="K3102" t="str">
            <v>ULKZ</v>
          </cell>
          <cell r="L3102" t="str">
            <v>ULKZ</v>
          </cell>
          <cell r="M3102">
            <v>11</v>
          </cell>
          <cell r="N3102">
            <v>11</v>
          </cell>
          <cell r="O3102" t="str">
            <v>ГУ НБУ В АРК М.СІМФЕРОПОЛЬ</v>
          </cell>
        </row>
        <row r="3103">
          <cell r="A3103">
            <v>384618</v>
          </cell>
          <cell r="B3103">
            <v>321767</v>
          </cell>
          <cell r="D3103">
            <v>0</v>
          </cell>
          <cell r="E3103">
            <v>42</v>
          </cell>
          <cell r="F3103">
            <v>0</v>
          </cell>
          <cell r="G3103" t="str">
            <v>B</v>
          </cell>
          <cell r="H3103">
            <v>776</v>
          </cell>
          <cell r="I3103" t="str">
            <v>КРИМСЬКА Ф ВАТ ВТБ БАНК, СІМФЕРОПОЛЬ</v>
          </cell>
          <cell r="J3103" t="str">
            <v>Кримська філія ВАТ ВТБ Банк</v>
          </cell>
          <cell r="K3103" t="str">
            <v>ULXC</v>
          </cell>
          <cell r="L3103" t="str">
            <v>ULXC</v>
          </cell>
          <cell r="M3103">
            <v>11</v>
          </cell>
          <cell r="N3103">
            <v>26</v>
          </cell>
          <cell r="O3103" t="str">
            <v>ГУ НБУ В АРК М.СІМФЕРОПОЛЬ</v>
          </cell>
        </row>
        <row r="3104">
          <cell r="A3104">
            <v>384652</v>
          </cell>
          <cell r="B3104">
            <v>328209</v>
          </cell>
          <cell r="D3104">
            <v>0</v>
          </cell>
          <cell r="E3104">
            <v>106</v>
          </cell>
          <cell r="F3104">
            <v>0</v>
          </cell>
          <cell r="G3104" t="str">
            <v>8</v>
          </cell>
          <cell r="H3104">
            <v>826</v>
          </cell>
          <cell r="I3104" t="str">
            <v>ФІЛІЯ АБ "ПІВДЕННИЙ" М.СІМФЕРОПОЛЬ</v>
          </cell>
          <cell r="J3104" t="str">
            <v>ФАБ "ПІВДЕННИЙ",Сімферополь</v>
          </cell>
          <cell r="K3104" t="str">
            <v>ULXP</v>
          </cell>
          <cell r="L3104" t="str">
            <v>ULXP</v>
          </cell>
          <cell r="M3104">
            <v>11</v>
          </cell>
          <cell r="N3104">
            <v>15</v>
          </cell>
          <cell r="O3104" t="str">
            <v>ГУ НБУ В АРК М.СІМФЕРОПОЛЬ</v>
          </cell>
        </row>
        <row r="3105">
          <cell r="A3105">
            <v>384674</v>
          </cell>
          <cell r="B3105">
            <v>322959</v>
          </cell>
          <cell r="D3105">
            <v>0</v>
          </cell>
          <cell r="E3105">
            <v>262</v>
          </cell>
          <cell r="F3105">
            <v>0</v>
          </cell>
          <cell r="G3105" t="str">
            <v>8</v>
          </cell>
          <cell r="H3105">
            <v>802</v>
          </cell>
          <cell r="I3105" t="str">
            <v>КРИМ.Ф-Я АБ"ЕКСПРЕС-БАНК"М.СІМФЕРОПОЛЬ</v>
          </cell>
          <cell r="J3105" t="str">
            <v>Кримська філія АБ "Експр-Б"</v>
          </cell>
          <cell r="K3105" t="str">
            <v>ULIJ</v>
          </cell>
          <cell r="L3105" t="str">
            <v>ULIJ</v>
          </cell>
          <cell r="M3105">
            <v>11</v>
          </cell>
          <cell r="N3105">
            <v>26</v>
          </cell>
          <cell r="O3105" t="str">
            <v>ГУ НБУ В АРК М.СІМФЕРОПОЛЬ</v>
          </cell>
        </row>
        <row r="3106">
          <cell r="A3106">
            <v>384685</v>
          </cell>
          <cell r="B3106">
            <v>300658</v>
          </cell>
          <cell r="D3106">
            <v>0</v>
          </cell>
          <cell r="E3106">
            <v>251</v>
          </cell>
          <cell r="F3106">
            <v>0</v>
          </cell>
          <cell r="G3106" t="str">
            <v>B</v>
          </cell>
          <cell r="H3106">
            <v>760</v>
          </cell>
          <cell r="I3106" t="str">
            <v>ФВАТ"ПІРЕУС БАНК МКБ"КРД"М.СІМФЕРОПОЛЬ</v>
          </cell>
          <cell r="J3106" t="str">
            <v>ФВАТ"ПІРЕУС БАНК МКБ""КРД"</v>
          </cell>
          <cell r="K3106" t="str">
            <v>ULKQ</v>
          </cell>
          <cell r="L3106" t="str">
            <v>ULKQ</v>
          </cell>
          <cell r="M3106">
            <v>11</v>
          </cell>
          <cell r="N3106">
            <v>26</v>
          </cell>
          <cell r="O3106" t="str">
            <v>ГУ НБУ В АРК М.СІМФЕРОПОЛЬ</v>
          </cell>
        </row>
        <row r="3107">
          <cell r="A3107">
            <v>384704</v>
          </cell>
          <cell r="B3107">
            <v>353489</v>
          </cell>
          <cell r="D3107">
            <v>0</v>
          </cell>
          <cell r="E3107">
            <v>133</v>
          </cell>
          <cell r="F3107">
            <v>0</v>
          </cell>
          <cell r="G3107" t="str">
            <v>B</v>
          </cell>
          <cell r="H3107">
            <v>815</v>
          </cell>
          <cell r="I3107" t="str">
            <v>КРИМСЬКА ФІЛІЯ АБ "ПРИВАТІНВЕСТ"</v>
          </cell>
          <cell r="J3107" t="str">
            <v>Кримська філ.Приватінвест</v>
          </cell>
          <cell r="K3107" t="str">
            <v>ULXR</v>
          </cell>
          <cell r="L3107" t="str">
            <v>ULXR</v>
          </cell>
          <cell r="M3107">
            <v>11</v>
          </cell>
          <cell r="N3107">
            <v>24</v>
          </cell>
          <cell r="O3107" t="str">
            <v>ГУ НБУ В АРК М.СІМФЕРОПОЛЬ</v>
          </cell>
        </row>
        <row r="3108">
          <cell r="A3108">
            <v>384715</v>
          </cell>
          <cell r="B3108">
            <v>320702</v>
          </cell>
          <cell r="D3108">
            <v>0</v>
          </cell>
          <cell r="E3108">
            <v>277</v>
          </cell>
          <cell r="F3108">
            <v>0</v>
          </cell>
          <cell r="G3108" t="str">
            <v>8</v>
          </cell>
          <cell r="H3108">
            <v>731</v>
          </cell>
          <cell r="I3108" t="str">
            <v>ФАКБ "НАЦІОНАЛЬНИЙ КРЕДИТ" В М.ЯЛТА</v>
          </cell>
          <cell r="J3108" t="str">
            <v>ФАКБ "НК" в м.Ялта</v>
          </cell>
          <cell r="K3108" t="str">
            <v>ULXG</v>
          </cell>
          <cell r="L3108" t="str">
            <v>ULXG</v>
          </cell>
          <cell r="M3108">
            <v>11</v>
          </cell>
          <cell r="N3108">
            <v>26</v>
          </cell>
          <cell r="O3108" t="str">
            <v>ГУ НБУ В АРК М.СІМФЕРОПОЛЬ</v>
          </cell>
        </row>
        <row r="3109">
          <cell r="A3109">
            <v>384737</v>
          </cell>
          <cell r="B3109">
            <v>320940</v>
          </cell>
          <cell r="D3109">
            <v>0</v>
          </cell>
          <cell r="E3109">
            <v>43</v>
          </cell>
          <cell r="F3109">
            <v>0</v>
          </cell>
          <cell r="G3109" t="str">
            <v>8</v>
          </cell>
          <cell r="H3109">
            <v>805</v>
          </cell>
          <cell r="I3109" t="str">
            <v>СІМФЕР.ФАБ "АВТОЗАЗБАНК" М.СІМФЕРОПОЛЬ</v>
          </cell>
          <cell r="J3109" t="str">
            <v>Сімфероп.Ф АБ "АвтоЗАЗбанк"</v>
          </cell>
          <cell r="K3109" t="str">
            <v>ULXS</v>
          </cell>
          <cell r="L3109" t="str">
            <v>ULXS</v>
          </cell>
          <cell r="M3109">
            <v>11</v>
          </cell>
          <cell r="N3109">
            <v>26</v>
          </cell>
          <cell r="O3109" t="str">
            <v>ГУ НБУ В АРК М.СІМФЕРОПОЛЬ</v>
          </cell>
        </row>
        <row r="3110">
          <cell r="A3110">
            <v>384748</v>
          </cell>
          <cell r="B3110">
            <v>328168</v>
          </cell>
          <cell r="D3110">
            <v>0</v>
          </cell>
          <cell r="E3110">
            <v>105</v>
          </cell>
          <cell r="F3110">
            <v>0</v>
          </cell>
          <cell r="G3110" t="str">
            <v>B</v>
          </cell>
          <cell r="H3110">
            <v>789</v>
          </cell>
          <cell r="I3110" t="str">
            <v>ФІЛІЯ ВАТ "МТБ" У М.СІМФЕРОПОЛІ</v>
          </cell>
          <cell r="J3110" t="str">
            <v>ФВАТ "МТБ", СІМФЕРОПОЛЬ</v>
          </cell>
          <cell r="K3110" t="str">
            <v>ULXI</v>
          </cell>
          <cell r="L3110" t="str">
            <v>ULXI</v>
          </cell>
          <cell r="M3110">
            <v>11</v>
          </cell>
          <cell r="N3110">
            <v>15</v>
          </cell>
          <cell r="O3110" t="str">
            <v>ГУ НБУ В АРК М.СІМФЕРОПОЛЬ</v>
          </cell>
        </row>
        <row r="3111">
          <cell r="A3111">
            <v>384760</v>
          </cell>
          <cell r="B3111">
            <v>300926</v>
          </cell>
          <cell r="D3111">
            <v>0</v>
          </cell>
          <cell r="E3111">
            <v>899</v>
          </cell>
          <cell r="F3111">
            <v>0</v>
          </cell>
          <cell r="G3111" t="str">
            <v>8</v>
          </cell>
          <cell r="H3111">
            <v>808</v>
          </cell>
          <cell r="I3111" t="str">
            <v>КРИМСЬКА ФІЛІЯ АТ "УФГ"</v>
          </cell>
          <cell r="J3111" t="str">
            <v>КРИМСЬКА ФІЛІЯ АТ "УФГ"</v>
          </cell>
          <cell r="K3111" t="str">
            <v>ULW4</v>
          </cell>
          <cell r="L3111" t="str">
            <v>U1WF</v>
          </cell>
          <cell r="M3111">
            <v>11</v>
          </cell>
          <cell r="N3111">
            <v>26</v>
          </cell>
          <cell r="O3111" t="str">
            <v>ГУ НБУ В АРК М.СІМФЕРОПОЛЬ</v>
          </cell>
        </row>
        <row r="3112">
          <cell r="A3112">
            <v>384782</v>
          </cell>
          <cell r="B3112">
            <v>300142</v>
          </cell>
          <cell r="D3112">
            <v>0</v>
          </cell>
          <cell r="E3112">
            <v>18</v>
          </cell>
          <cell r="F3112">
            <v>0</v>
          </cell>
          <cell r="G3112" t="str">
            <v>8</v>
          </cell>
          <cell r="H3112">
            <v>839</v>
          </cell>
          <cell r="I3112" t="str">
            <v>СІМФЕРОП.ФАТ"УКРІНБАНК" М.СІМФЕРОПОЛЬ</v>
          </cell>
          <cell r="J3112" t="str">
            <v>Сімфероп. ФАТ"Укрінбанк"</v>
          </cell>
          <cell r="K3112" t="str">
            <v>ULXV</v>
          </cell>
          <cell r="L3112" t="str">
            <v>ULXV</v>
          </cell>
          <cell r="M3112">
            <v>11</v>
          </cell>
          <cell r="N3112">
            <v>26</v>
          </cell>
          <cell r="O3112" t="str">
            <v>ГУ НБУ В АРК М.СІМФЕРОПОЛЬ</v>
          </cell>
        </row>
        <row r="3113">
          <cell r="A3113">
            <v>384793</v>
          </cell>
          <cell r="B3113">
            <v>319092</v>
          </cell>
          <cell r="D3113">
            <v>0</v>
          </cell>
          <cell r="E3113">
            <v>280</v>
          </cell>
          <cell r="F3113">
            <v>0</v>
          </cell>
          <cell r="G3113" t="str">
            <v>B</v>
          </cell>
          <cell r="H3113">
            <v>814</v>
          </cell>
          <cell r="I3113" t="str">
            <v>СІМФ.Ф-ЯАБ"КИЇВСЬКА РУСЬ"М.СІМФЕРОПОЛЬ</v>
          </cell>
          <cell r="J3113" t="str">
            <v>Сімфероп.ФАБ"КИЇВСЬКА РУСЬ"</v>
          </cell>
          <cell r="K3113" t="str">
            <v>ULNC</v>
          </cell>
          <cell r="L3113" t="str">
            <v>ULNC</v>
          </cell>
          <cell r="M3113">
            <v>11</v>
          </cell>
          <cell r="N3113">
            <v>26</v>
          </cell>
          <cell r="O3113" t="str">
            <v>ГУ НБУ В АРК М.СІМФЕРОПОЛЬ</v>
          </cell>
        </row>
        <row r="3114">
          <cell r="A3114">
            <v>384812</v>
          </cell>
          <cell r="B3114">
            <v>300131</v>
          </cell>
          <cell r="D3114">
            <v>0</v>
          </cell>
          <cell r="E3114">
            <v>17</v>
          </cell>
          <cell r="F3114">
            <v>0</v>
          </cell>
          <cell r="G3114" t="str">
            <v>8</v>
          </cell>
          <cell r="H3114">
            <v>842</v>
          </cell>
          <cell r="I3114" t="str">
            <v>СЕВАСТ Ф ВАТ "Б"ФІН ТА КР" М.СЕВАСТОП</v>
          </cell>
          <cell r="J3114" t="str">
            <v>Севаст.Ф. ВАТ "Б."Ф.та Кр."</v>
          </cell>
          <cell r="K3114" t="str">
            <v>ULNE</v>
          </cell>
          <cell r="L3114" t="str">
            <v>ULNE</v>
          </cell>
          <cell r="M3114">
            <v>29</v>
          </cell>
          <cell r="N3114">
            <v>26</v>
          </cell>
          <cell r="O3114" t="str">
            <v>Севастополь</v>
          </cell>
        </row>
        <row r="3115">
          <cell r="A3115">
            <v>384823</v>
          </cell>
          <cell r="B3115">
            <v>320003</v>
          </cell>
          <cell r="D3115">
            <v>0</v>
          </cell>
          <cell r="E3115">
            <v>225</v>
          </cell>
          <cell r="F3115">
            <v>0</v>
          </cell>
          <cell r="G3115" t="str">
            <v>B</v>
          </cell>
          <cell r="H3115">
            <v>827</v>
          </cell>
          <cell r="I3115" t="str">
            <v>Ф ВАТ КБ"НАДРА"КРИМ.РУ М.СІМФЕРОПОЛЬ</v>
          </cell>
          <cell r="J3115" t="str">
            <v>ВАТКБ"Надра"Кримське РУ</v>
          </cell>
          <cell r="K3115" t="str">
            <v>ULNF</v>
          </cell>
          <cell r="L3115" t="str">
            <v>ULNF</v>
          </cell>
          <cell r="M3115">
            <v>11</v>
          </cell>
          <cell r="N3115">
            <v>26</v>
          </cell>
          <cell r="O3115" t="str">
            <v>ГУ НБУ В АРК М.СІМФЕРОПОЛЬ</v>
          </cell>
        </row>
        <row r="3116">
          <cell r="A3116">
            <v>384834</v>
          </cell>
          <cell r="B3116">
            <v>321228</v>
          </cell>
          <cell r="D3116">
            <v>0</v>
          </cell>
          <cell r="E3116">
            <v>68</v>
          </cell>
          <cell r="F3116">
            <v>0</v>
          </cell>
          <cell r="G3116" t="str">
            <v>8</v>
          </cell>
          <cell r="H3116">
            <v>828</v>
          </cell>
          <cell r="I3116" t="str">
            <v>КРИМ РДТОВ"УКРПРОМБАНК", М.СЕВАСТОПОЛЬ</v>
          </cell>
          <cell r="J3116" t="str">
            <v>КримРДТОВ "Укрпромбанк"</v>
          </cell>
          <cell r="K3116" t="str">
            <v>ULNK</v>
          </cell>
          <cell r="L3116" t="str">
            <v>ULNK</v>
          </cell>
          <cell r="M3116">
            <v>29</v>
          </cell>
          <cell r="N3116">
            <v>26</v>
          </cell>
          <cell r="O3116" t="str">
            <v>Севастополь</v>
          </cell>
        </row>
        <row r="3117">
          <cell r="A3117">
            <v>384845</v>
          </cell>
          <cell r="B3117">
            <v>300614</v>
          </cell>
          <cell r="D3117">
            <v>0</v>
          </cell>
          <cell r="E3117">
            <v>171</v>
          </cell>
          <cell r="F3117">
            <v>0</v>
          </cell>
          <cell r="G3117" t="str">
            <v>8</v>
          </cell>
          <cell r="H3117">
            <v>803</v>
          </cell>
          <cell r="I3117" t="str">
            <v>ФІЛ.КР.ДИР.АТ"ІНДЕКС-БАНК" М.СІМФЕРОП.</v>
          </cell>
          <cell r="J3117" t="str">
            <v>ФКД.ІНДЕКС-БАНКм.Сімферопол</v>
          </cell>
          <cell r="K3117" t="str">
            <v>ULNL</v>
          </cell>
          <cell r="L3117" t="str">
            <v>ULNL</v>
          </cell>
          <cell r="M3117">
            <v>11</v>
          </cell>
          <cell r="N3117">
            <v>26</v>
          </cell>
          <cell r="O3117" t="str">
            <v>ГУ НБУ В АРК М.СІМФЕРОПОЛЬ</v>
          </cell>
        </row>
        <row r="3118">
          <cell r="A3118">
            <v>384867</v>
          </cell>
          <cell r="B3118">
            <v>321228</v>
          </cell>
          <cell r="D3118">
            <v>0</v>
          </cell>
          <cell r="E3118">
            <v>68</v>
          </cell>
          <cell r="F3118">
            <v>0</v>
          </cell>
          <cell r="G3118" t="str">
            <v>8</v>
          </cell>
          <cell r="H3118">
            <v>821</v>
          </cell>
          <cell r="I3118" t="str">
            <v>СІМФ.Ф.ТОВ"УКРПРОМБАНК",М.СІМФЕРОПОЛЬ</v>
          </cell>
          <cell r="J3118" t="str">
            <v>Сімфероп.ФТОВ"Укрпромбанк"</v>
          </cell>
          <cell r="K3118" t="str">
            <v>ULNV</v>
          </cell>
          <cell r="L3118" t="str">
            <v>ULNV</v>
          </cell>
          <cell r="M3118">
            <v>11</v>
          </cell>
          <cell r="N3118">
            <v>26</v>
          </cell>
          <cell r="O3118" t="str">
            <v>ГУ НБУ В АРК М.СІМФЕРОПОЛЬ</v>
          </cell>
        </row>
        <row r="3119">
          <cell r="A3119">
            <v>384878</v>
          </cell>
          <cell r="B3119">
            <v>322313</v>
          </cell>
          <cell r="D3119">
            <v>0</v>
          </cell>
          <cell r="E3119">
            <v>2</v>
          </cell>
          <cell r="F3119">
            <v>0</v>
          </cell>
          <cell r="G3119" t="str">
            <v>2</v>
          </cell>
          <cell r="H3119">
            <v>201</v>
          </cell>
          <cell r="I3119" t="str">
            <v>Ф-Я ВАТ "УКРЕКСІМБАНК", М.АРМЯНСК</v>
          </cell>
          <cell r="J3119" t="str">
            <v>Ф-я Укрексімбанк, Армянськ</v>
          </cell>
          <cell r="K3119" t="str">
            <v>ULGC</v>
          </cell>
          <cell r="L3119" t="str">
            <v>ULGC</v>
          </cell>
          <cell r="M3119">
            <v>11</v>
          </cell>
          <cell r="N3119">
            <v>26</v>
          </cell>
          <cell r="O3119" t="str">
            <v>ГУ НБУ В АРК М.СІМФЕРОПОЛЬ</v>
          </cell>
        </row>
        <row r="3120">
          <cell r="A3120">
            <v>384889</v>
          </cell>
          <cell r="B3120">
            <v>300131</v>
          </cell>
          <cell r="D3120">
            <v>0</v>
          </cell>
          <cell r="E3120">
            <v>17</v>
          </cell>
          <cell r="F3120">
            <v>0</v>
          </cell>
          <cell r="G3120" t="str">
            <v>8</v>
          </cell>
          <cell r="H3120">
            <v>793</v>
          </cell>
          <cell r="I3120" t="str">
            <v>Ф КРУ ВАТ"Б"ФІНАНСИ ТА КРЕДИТ М.СІМФЕ</v>
          </cell>
          <cell r="J3120" t="str">
            <v>Ф"КРУ"ВАТ"Б"Фінанси та Кред</v>
          </cell>
          <cell r="K3120" t="str">
            <v>ULNI</v>
          </cell>
          <cell r="L3120" t="str">
            <v>ULNI</v>
          </cell>
          <cell r="M3120">
            <v>11</v>
          </cell>
          <cell r="N3120">
            <v>26</v>
          </cell>
          <cell r="O3120" t="str">
            <v>ГУ НБУ В АРК М.СІМФЕРОПОЛЬ</v>
          </cell>
        </row>
        <row r="3121">
          <cell r="A3121">
            <v>384890</v>
          </cell>
          <cell r="B3121">
            <v>322948</v>
          </cell>
          <cell r="D3121">
            <v>0</v>
          </cell>
          <cell r="E3121">
            <v>248</v>
          </cell>
          <cell r="F3121">
            <v>0</v>
          </cell>
          <cell r="G3121" t="str">
            <v>B</v>
          </cell>
          <cell r="H3121">
            <v>840</v>
          </cell>
          <cell r="I3121" t="str">
            <v>СІМФЕРОПОЛ.Ф АКБ "ФОРУМ" М.СІМФЕРОПОЛЬ</v>
          </cell>
          <cell r="J3121" t="str">
            <v>СімферопольськаФАКБ"Форум"</v>
          </cell>
          <cell r="K3121" t="str">
            <v>ULUD</v>
          </cell>
          <cell r="L3121" t="str">
            <v>ULUD</v>
          </cell>
          <cell r="M3121">
            <v>11</v>
          </cell>
          <cell r="N3121">
            <v>26</v>
          </cell>
          <cell r="O3121" t="str">
            <v>ГУ НБУ В АРК М.СІМФЕРОПОЛЬ</v>
          </cell>
        </row>
        <row r="3122">
          <cell r="A3122">
            <v>384919</v>
          </cell>
          <cell r="B3122">
            <v>328209</v>
          </cell>
          <cell r="D3122">
            <v>0</v>
          </cell>
          <cell r="E3122">
            <v>106</v>
          </cell>
          <cell r="F3122">
            <v>0</v>
          </cell>
          <cell r="G3122" t="str">
            <v>8</v>
          </cell>
          <cell r="H3122">
            <v>878</v>
          </cell>
          <cell r="I3122" t="str">
            <v>ФІЛІЯ АБ "ПІВДЕННИЙ" В М.СЕВАСТОПОЛЬ</v>
          </cell>
          <cell r="J3122" t="str">
            <v>ФАБ "ПІВДЕННИЙ" В М.СЕВАСТ.</v>
          </cell>
          <cell r="K3122" t="str">
            <v>ULUM</v>
          </cell>
          <cell r="L3122" t="str">
            <v>ULUM</v>
          </cell>
          <cell r="M3122">
            <v>29</v>
          </cell>
          <cell r="N3122">
            <v>15</v>
          </cell>
          <cell r="O3122" t="str">
            <v>Севастополь</v>
          </cell>
        </row>
        <row r="3123">
          <cell r="A3123">
            <v>384920</v>
          </cell>
          <cell r="B3123">
            <v>300647</v>
          </cell>
          <cell r="D3123">
            <v>0</v>
          </cell>
          <cell r="E3123">
            <v>288</v>
          </cell>
          <cell r="F3123">
            <v>0</v>
          </cell>
          <cell r="G3123" t="str">
            <v>8</v>
          </cell>
          <cell r="H3123">
            <v>866</v>
          </cell>
          <cell r="I3123" t="str">
            <v>Ф"КРИМ.ДИР."АБ"КЛІРИНГОВИЙ ДІМ" М.СИМФ</v>
          </cell>
          <cell r="J3123" t="str">
            <v>Ф"КР.Д" АБ"КЛІРИНГОВИЙ ДІМ"</v>
          </cell>
          <cell r="K3123" t="str">
            <v>ULUN</v>
          </cell>
          <cell r="L3123" t="str">
            <v>ULUN</v>
          </cell>
          <cell r="M3123">
            <v>11</v>
          </cell>
          <cell r="N3123">
            <v>26</v>
          </cell>
          <cell r="O3123" t="str">
            <v>ГУ НБУ В АРК М.СІМФЕРОПОЛЬ</v>
          </cell>
        </row>
        <row r="3124">
          <cell r="A3124">
            <v>384931</v>
          </cell>
          <cell r="B3124">
            <v>322948</v>
          </cell>
          <cell r="D3124">
            <v>0</v>
          </cell>
          <cell r="E3124">
            <v>248</v>
          </cell>
          <cell r="F3124">
            <v>0</v>
          </cell>
          <cell r="G3124" t="str">
            <v>B</v>
          </cell>
          <cell r="H3124">
            <v>883</v>
          </cell>
          <cell r="I3124" t="str">
            <v>СЕВАСТОПОЛ. ФАКБ "ФОРУМ" М.СЕВАСТОПОЛЬ</v>
          </cell>
          <cell r="J3124" t="str">
            <v>Севастопольська ФАКБ"Форум"</v>
          </cell>
          <cell r="K3124" t="str">
            <v>ULVB</v>
          </cell>
          <cell r="L3124" t="str">
            <v>ULVB</v>
          </cell>
          <cell r="M3124">
            <v>29</v>
          </cell>
          <cell r="N3124">
            <v>26</v>
          </cell>
          <cell r="O3124" t="str">
            <v>Севастополь</v>
          </cell>
        </row>
        <row r="3125">
          <cell r="A3125">
            <v>384942</v>
          </cell>
          <cell r="B3125">
            <v>300670</v>
          </cell>
          <cell r="D3125">
            <v>0</v>
          </cell>
          <cell r="E3125">
            <v>202</v>
          </cell>
          <cell r="F3125">
            <v>0</v>
          </cell>
          <cell r="G3125" t="str">
            <v>8</v>
          </cell>
          <cell r="H3125">
            <v>969</v>
          </cell>
          <cell r="I3125" t="str">
            <v>КРИМСЬКА ФВАТ КБ "ХРЕЩАТИК"СІМФЕРОПОЛЬ</v>
          </cell>
          <cell r="J3125" t="str">
            <v>КРИМСЬКА ФВАТ КБ "ХРЕЩАТИК"</v>
          </cell>
          <cell r="K3125" t="str">
            <v>ULUR</v>
          </cell>
          <cell r="L3125" t="str">
            <v>ULUR</v>
          </cell>
          <cell r="M3125">
            <v>11</v>
          </cell>
          <cell r="N3125">
            <v>26</v>
          </cell>
          <cell r="O3125" t="str">
            <v>ГУ НБУ В АРК М.СІМФЕРОПОЛЬ</v>
          </cell>
        </row>
        <row r="3126">
          <cell r="A3126">
            <v>384975</v>
          </cell>
          <cell r="B3126">
            <v>322711</v>
          </cell>
          <cell r="D3126">
            <v>0</v>
          </cell>
          <cell r="E3126">
            <v>238</v>
          </cell>
          <cell r="F3126">
            <v>0</v>
          </cell>
          <cell r="G3126" t="str">
            <v>8</v>
          </cell>
          <cell r="H3126">
            <v>412</v>
          </cell>
          <cell r="I3126" t="str">
            <v>СІМФ. ФІЛІЯ АБ "СИНТЕЗ", М.СІМФЕРОПОЛЬ</v>
          </cell>
          <cell r="J3126" t="str">
            <v>Сімфероп. Філія АБ "СИНТЕЗ"</v>
          </cell>
          <cell r="K3126" t="str">
            <v>ULUY</v>
          </cell>
          <cell r="L3126" t="str">
            <v>ULUY</v>
          </cell>
          <cell r="M3126">
            <v>11</v>
          </cell>
          <cell r="N3126">
            <v>26</v>
          </cell>
          <cell r="O3126" t="str">
            <v>ГУ НБУ В АРК М.СІМФЕРОПОЛЬ</v>
          </cell>
        </row>
        <row r="3127">
          <cell r="A3127">
            <v>384986</v>
          </cell>
          <cell r="B3127">
            <v>322313</v>
          </cell>
          <cell r="D3127">
            <v>0</v>
          </cell>
          <cell r="E3127">
            <v>2</v>
          </cell>
          <cell r="F3127">
            <v>0</v>
          </cell>
          <cell r="G3127" t="str">
            <v>2</v>
          </cell>
          <cell r="H3127">
            <v>208</v>
          </cell>
          <cell r="I3127" t="str">
            <v>Ф-Я ВАТ УКРЕКСІМБАНК, СЕВАСТОПОЛЬ</v>
          </cell>
          <cell r="J3127" t="str">
            <v>Ф-я Укрексімбанк, Севастоп</v>
          </cell>
          <cell r="K3127" t="str">
            <v>ULGB</v>
          </cell>
          <cell r="L3127" t="str">
            <v>ULGB</v>
          </cell>
          <cell r="M3127">
            <v>29</v>
          </cell>
          <cell r="N3127">
            <v>26</v>
          </cell>
          <cell r="O3127" t="str">
            <v>Севастополь</v>
          </cell>
        </row>
        <row r="3128">
          <cell r="A3128">
            <v>384997</v>
          </cell>
          <cell r="B3128">
            <v>321767</v>
          </cell>
          <cell r="D3128">
            <v>0</v>
          </cell>
          <cell r="E3128">
            <v>42</v>
          </cell>
          <cell r="F3128">
            <v>0</v>
          </cell>
          <cell r="G3128" t="str">
            <v>B</v>
          </cell>
          <cell r="H3128">
            <v>889</v>
          </cell>
          <cell r="I3128" t="str">
            <v>СЕВАСТОП. Ф ВАТ ВТБ БАНК, СЕВАСТОПОЛЬ</v>
          </cell>
          <cell r="J3128" t="str">
            <v>Севастоп. Ф ВАТ ВТБ БАНК</v>
          </cell>
          <cell r="K3128" t="str">
            <v>ULSD</v>
          </cell>
          <cell r="L3128" t="str">
            <v>ULSD</v>
          </cell>
          <cell r="M3128">
            <v>29</v>
          </cell>
          <cell r="N3128">
            <v>26</v>
          </cell>
          <cell r="O3128" t="str">
            <v>Севастополь</v>
          </cell>
        </row>
        <row r="3129">
          <cell r="A3129">
            <v>385015</v>
          </cell>
          <cell r="B3129">
            <v>300465</v>
          </cell>
          <cell r="D3129">
            <v>0</v>
          </cell>
          <cell r="E3129">
            <v>6</v>
          </cell>
          <cell r="F3129">
            <v>0</v>
          </cell>
          <cell r="G3129" t="str">
            <v>6</v>
          </cell>
          <cell r="H3129">
            <v>614</v>
          </cell>
          <cell r="I3129" t="str">
            <v>ФГОРОДОЦЬКЕ ВІДДІЛЕН ВАТОЩАД М.ГОРОДОК</v>
          </cell>
          <cell r="J3129" t="str">
            <v>ФГородоцьке відділенВАТОщад</v>
          </cell>
          <cell r="K3129" t="str">
            <v>UNLM</v>
          </cell>
          <cell r="L3129" t="str">
            <v>UNLA</v>
          </cell>
          <cell r="M3129">
            <v>13</v>
          </cell>
          <cell r="N3129">
            <v>26</v>
          </cell>
          <cell r="O3129" t="str">
            <v>Управління НБУ у Львівс.обл</v>
          </cell>
        </row>
        <row r="3130">
          <cell r="A3130">
            <v>385048</v>
          </cell>
          <cell r="B3130">
            <v>300465</v>
          </cell>
          <cell r="D3130">
            <v>0</v>
          </cell>
          <cell r="E3130">
            <v>6</v>
          </cell>
          <cell r="F3130">
            <v>0</v>
          </cell>
          <cell r="G3130" t="str">
            <v>6</v>
          </cell>
          <cell r="H3130">
            <v>604</v>
          </cell>
          <cell r="I3130" t="str">
            <v>ФЛЬВІВСЬКЕ МІСЬКЕ ВІДД ВАТОЩАД М.ЛЬВІВ</v>
          </cell>
          <cell r="J3130" t="str">
            <v>ФЛьвівське міське віВАТОщад</v>
          </cell>
          <cell r="K3130" t="str">
            <v>UNLC</v>
          </cell>
          <cell r="L3130" t="str">
            <v>UNLA</v>
          </cell>
          <cell r="M3130">
            <v>13</v>
          </cell>
          <cell r="N3130">
            <v>26</v>
          </cell>
          <cell r="O3130" t="str">
            <v>Управління НБУ у Львівс.обл</v>
          </cell>
        </row>
        <row r="3131">
          <cell r="A3131">
            <v>385082</v>
          </cell>
          <cell r="B3131">
            <v>300465</v>
          </cell>
          <cell r="D3131">
            <v>0</v>
          </cell>
          <cell r="E3131">
            <v>6</v>
          </cell>
          <cell r="F3131">
            <v>0</v>
          </cell>
          <cell r="G3131" t="str">
            <v>6</v>
          </cell>
          <cell r="H3131">
            <v>608</v>
          </cell>
          <cell r="I3131" t="str">
            <v>ФБОРИСЛАВСЬКЕ ВІДДІ ВАТОЩАД М.БОРИСЛАВ</v>
          </cell>
          <cell r="J3131" t="str">
            <v>ФБориславське відділВАТОщад</v>
          </cell>
          <cell r="K3131" t="str">
            <v>UNLG</v>
          </cell>
          <cell r="L3131" t="str">
            <v>UNLA</v>
          </cell>
          <cell r="M3131">
            <v>13</v>
          </cell>
          <cell r="N3131">
            <v>26</v>
          </cell>
          <cell r="O3131" t="str">
            <v>Управління НБУ у Львівс.обл</v>
          </cell>
        </row>
        <row r="3132">
          <cell r="A3132">
            <v>385093</v>
          </cell>
          <cell r="B3132">
            <v>300465</v>
          </cell>
          <cell r="D3132">
            <v>0</v>
          </cell>
          <cell r="E3132">
            <v>6</v>
          </cell>
          <cell r="F3132">
            <v>0</v>
          </cell>
          <cell r="G3132" t="str">
            <v>6</v>
          </cell>
          <cell r="H3132">
            <v>609</v>
          </cell>
          <cell r="I3132" t="str">
            <v>ФДРОГОБИЦЬКЕ ВІДДІЛ ВАТОЩАД М.ДРОГОБИЧ</v>
          </cell>
          <cell r="J3132" t="str">
            <v>ФДрогобицьке відділеВАТОщад</v>
          </cell>
          <cell r="K3132" t="str">
            <v>UNLH</v>
          </cell>
          <cell r="L3132" t="str">
            <v>UNLA</v>
          </cell>
          <cell r="M3132">
            <v>13</v>
          </cell>
          <cell r="N3132">
            <v>26</v>
          </cell>
          <cell r="O3132" t="str">
            <v>Управління НБУ у Львівс.обл</v>
          </cell>
        </row>
        <row r="3133">
          <cell r="A3133">
            <v>385101</v>
          </cell>
          <cell r="B3133">
            <v>300465</v>
          </cell>
          <cell r="D3133">
            <v>0</v>
          </cell>
          <cell r="E3133">
            <v>6</v>
          </cell>
          <cell r="F3133">
            <v>0</v>
          </cell>
          <cell r="G3133" t="str">
            <v>6</v>
          </cell>
          <cell r="H3133">
            <v>610</v>
          </cell>
          <cell r="I3133" t="str">
            <v>ФТРУСКАВЕЦЬКЕ ВІДДІ ВАТОЩАД М.ТРУСКАВЕ</v>
          </cell>
          <cell r="J3133" t="str">
            <v>ФТрускавецьке відділВАТОщад</v>
          </cell>
          <cell r="K3133" t="str">
            <v>UNLI</v>
          </cell>
          <cell r="L3133" t="str">
            <v>UNLA</v>
          </cell>
          <cell r="M3133">
            <v>13</v>
          </cell>
          <cell r="N3133">
            <v>26</v>
          </cell>
          <cell r="O3133" t="str">
            <v>Управління НБУ у Львівс.обл</v>
          </cell>
        </row>
        <row r="3134">
          <cell r="A3134">
            <v>385112</v>
          </cell>
          <cell r="B3134">
            <v>300465</v>
          </cell>
          <cell r="D3134">
            <v>0</v>
          </cell>
          <cell r="E3134">
            <v>6</v>
          </cell>
          <cell r="F3134">
            <v>0</v>
          </cell>
          <cell r="G3134" t="str">
            <v>6</v>
          </cell>
          <cell r="H3134">
            <v>611</v>
          </cell>
          <cell r="I3134" t="str">
            <v>ФЧЕРВОНОГРАДСЬКЕ ВІ ВАТОЩАД М.ЧЕРВОНОГ</v>
          </cell>
          <cell r="J3134" t="str">
            <v>ФЧервоноградське відВАТОщад</v>
          </cell>
          <cell r="K3134" t="str">
            <v>UNLJ</v>
          </cell>
          <cell r="L3134" t="str">
            <v>UNLA</v>
          </cell>
          <cell r="M3134">
            <v>13</v>
          </cell>
          <cell r="N3134">
            <v>26</v>
          </cell>
          <cell r="O3134" t="str">
            <v>Управління НБУ у Львівс.обл</v>
          </cell>
        </row>
        <row r="3135">
          <cell r="A3135">
            <v>385123</v>
          </cell>
          <cell r="B3135">
            <v>300465</v>
          </cell>
          <cell r="D3135">
            <v>0</v>
          </cell>
          <cell r="E3135">
            <v>6</v>
          </cell>
          <cell r="F3135">
            <v>0</v>
          </cell>
          <cell r="G3135" t="str">
            <v>6</v>
          </cell>
          <cell r="H3135">
            <v>612</v>
          </cell>
          <cell r="I3135" t="str">
            <v>ФБРОДІВСЬКЕ ВІДДІЛЕННЯ ВАТОЩАД М.БРОДИ</v>
          </cell>
          <cell r="J3135" t="str">
            <v>ФБродівське відділенВАТОщад</v>
          </cell>
          <cell r="K3135" t="str">
            <v>UNLK</v>
          </cell>
          <cell r="L3135" t="str">
            <v>UNLA</v>
          </cell>
          <cell r="M3135">
            <v>13</v>
          </cell>
          <cell r="N3135">
            <v>26</v>
          </cell>
          <cell r="O3135" t="str">
            <v>Управління НБУ у Львівс.обл</v>
          </cell>
        </row>
        <row r="3136">
          <cell r="A3136">
            <v>385134</v>
          </cell>
          <cell r="B3136">
            <v>300465</v>
          </cell>
          <cell r="D3136">
            <v>0</v>
          </cell>
          <cell r="E3136">
            <v>6</v>
          </cell>
          <cell r="F3136">
            <v>0</v>
          </cell>
          <cell r="G3136" t="str">
            <v>6</v>
          </cell>
          <cell r="H3136">
            <v>613</v>
          </cell>
          <cell r="I3136" t="str">
            <v>ФБУСЬКЕ ВІДДІЛЕННЯ № 6 ВАТОЩАД М.БУСЬК</v>
          </cell>
          <cell r="J3136" t="str">
            <v>ФБуське відділення №ВАТОщад</v>
          </cell>
          <cell r="K3136" t="str">
            <v>UNLL</v>
          </cell>
          <cell r="L3136" t="str">
            <v>UNLA</v>
          </cell>
          <cell r="M3136">
            <v>13</v>
          </cell>
          <cell r="N3136">
            <v>26</v>
          </cell>
          <cell r="O3136" t="str">
            <v>Управління НБУ у Львівс.обл</v>
          </cell>
        </row>
        <row r="3137">
          <cell r="A3137">
            <v>385145</v>
          </cell>
          <cell r="B3137">
            <v>300465</v>
          </cell>
          <cell r="D3137">
            <v>0</v>
          </cell>
          <cell r="E3137">
            <v>6</v>
          </cell>
          <cell r="F3137">
            <v>0</v>
          </cell>
          <cell r="G3137" t="str">
            <v>6</v>
          </cell>
          <cell r="H3137">
            <v>627</v>
          </cell>
          <cell r="I3137" t="str">
            <v>ФСОКАЛЬСЬКЕ ВІДДІЛЕНН ВАТОЩАД М.СОКАЛЬ</v>
          </cell>
          <cell r="J3137" t="str">
            <v>ФСокальське відділенВАТОщад</v>
          </cell>
          <cell r="K3137" t="str">
            <v>UNLZ</v>
          </cell>
          <cell r="L3137" t="str">
            <v>UNLA</v>
          </cell>
          <cell r="M3137">
            <v>13</v>
          </cell>
          <cell r="N3137">
            <v>26</v>
          </cell>
          <cell r="O3137" t="str">
            <v>Управління НБУ у Львівс.обл</v>
          </cell>
        </row>
        <row r="3138">
          <cell r="A3138">
            <v>385156</v>
          </cell>
          <cell r="B3138">
            <v>300465</v>
          </cell>
          <cell r="D3138">
            <v>0</v>
          </cell>
          <cell r="E3138">
            <v>6</v>
          </cell>
          <cell r="F3138">
            <v>0</v>
          </cell>
          <cell r="G3138" t="str">
            <v>6</v>
          </cell>
          <cell r="H3138">
            <v>628</v>
          </cell>
          <cell r="I3138" t="str">
            <v>ФСТАРОСАМБІРСЬКЕ ВІ ВАТОЩАД М.СТАРИЙ С</v>
          </cell>
          <cell r="J3138" t="str">
            <v>ФСтаросамбірське відВАТОщад</v>
          </cell>
          <cell r="K3138" t="str">
            <v>UNMA</v>
          </cell>
          <cell r="L3138" t="str">
            <v>UNLA</v>
          </cell>
          <cell r="M3138">
            <v>13</v>
          </cell>
          <cell r="N3138">
            <v>26</v>
          </cell>
          <cell r="O3138" t="str">
            <v>Управління НБУ у Львівс.обл</v>
          </cell>
        </row>
        <row r="3139">
          <cell r="A3139">
            <v>385167</v>
          </cell>
          <cell r="B3139">
            <v>300465</v>
          </cell>
          <cell r="D3139">
            <v>0</v>
          </cell>
          <cell r="E3139">
            <v>6</v>
          </cell>
          <cell r="F3139">
            <v>0</v>
          </cell>
          <cell r="G3139" t="str">
            <v>6</v>
          </cell>
          <cell r="H3139">
            <v>616</v>
          </cell>
          <cell r="I3139" t="str">
            <v>ФЖИДАЧІВСЬКЕ ВІДДІЛЕ ВАТОЩАД М.ЖИДАЧІВ</v>
          </cell>
          <cell r="J3139" t="str">
            <v>ФЖидачівське відділеВАТОщад</v>
          </cell>
          <cell r="K3139" t="str">
            <v>UNLO</v>
          </cell>
          <cell r="L3139" t="str">
            <v>UNLA</v>
          </cell>
          <cell r="M3139">
            <v>13</v>
          </cell>
          <cell r="N3139">
            <v>26</v>
          </cell>
          <cell r="O3139" t="str">
            <v>Управління НБУ у Львівс.обл</v>
          </cell>
        </row>
        <row r="3140">
          <cell r="A3140">
            <v>385178</v>
          </cell>
          <cell r="B3140">
            <v>300465</v>
          </cell>
          <cell r="D3140">
            <v>0</v>
          </cell>
          <cell r="E3140">
            <v>6</v>
          </cell>
          <cell r="F3140">
            <v>0</v>
          </cell>
          <cell r="G3140" t="str">
            <v>6</v>
          </cell>
          <cell r="H3140">
            <v>617</v>
          </cell>
          <cell r="I3140" t="str">
            <v>ФЗОЛОЧІВСЬКЕ ВІДДІЛЕ ВАТОЩАД М.ЗОЛОЧІВ</v>
          </cell>
          <cell r="J3140" t="str">
            <v>ФЗолочівське відділеВАТОщад</v>
          </cell>
          <cell r="K3140" t="str">
            <v>UNLP</v>
          </cell>
          <cell r="L3140" t="str">
            <v>UNLA</v>
          </cell>
          <cell r="M3140">
            <v>13</v>
          </cell>
          <cell r="N3140">
            <v>26</v>
          </cell>
          <cell r="O3140" t="str">
            <v>Управління НБУ у Львівс.обл</v>
          </cell>
        </row>
        <row r="3141">
          <cell r="A3141">
            <v>385189</v>
          </cell>
          <cell r="B3141">
            <v>300465</v>
          </cell>
          <cell r="D3141">
            <v>0</v>
          </cell>
          <cell r="E3141">
            <v>6</v>
          </cell>
          <cell r="F3141">
            <v>0</v>
          </cell>
          <cell r="G3141" t="str">
            <v>6</v>
          </cell>
          <cell r="H3141">
            <v>618</v>
          </cell>
          <cell r="I3141" t="str">
            <v>ФКАМ`ЯНКА-БУЗЬКЕ ВІ ВАТОЩАД М.КАМ`ЯНКА</v>
          </cell>
          <cell r="J3141" t="str">
            <v>ФКам`янка-Бузьке відВАТОщад</v>
          </cell>
          <cell r="K3141" t="str">
            <v>UNLQ</v>
          </cell>
          <cell r="L3141" t="str">
            <v>UNLA</v>
          </cell>
          <cell r="M3141">
            <v>13</v>
          </cell>
          <cell r="N3141">
            <v>26</v>
          </cell>
          <cell r="O3141" t="str">
            <v>Управління НБУ у Львівс.обл</v>
          </cell>
        </row>
        <row r="3142">
          <cell r="A3142">
            <v>385190</v>
          </cell>
          <cell r="B3142">
            <v>300465</v>
          </cell>
          <cell r="D3142">
            <v>0</v>
          </cell>
          <cell r="E3142">
            <v>6</v>
          </cell>
          <cell r="F3142">
            <v>0</v>
          </cell>
          <cell r="G3142" t="str">
            <v>6</v>
          </cell>
          <cell r="H3142">
            <v>619</v>
          </cell>
          <cell r="I3142" t="str">
            <v>ФМИКОЛАЇВСЬКЕ ВІДДІ ВАТОЩАД М.МИКОЛАЇВ</v>
          </cell>
          <cell r="J3142" t="str">
            <v>ФМиколаївське відділВАТОщад</v>
          </cell>
          <cell r="K3142" t="str">
            <v>UNLR</v>
          </cell>
          <cell r="L3142" t="str">
            <v>UNLA</v>
          </cell>
          <cell r="M3142">
            <v>13</v>
          </cell>
          <cell r="N3142">
            <v>26</v>
          </cell>
          <cell r="O3142" t="str">
            <v>Управління НБУ у Львівс.обл</v>
          </cell>
        </row>
        <row r="3143">
          <cell r="A3143">
            <v>385208</v>
          </cell>
          <cell r="B3143">
            <v>300465</v>
          </cell>
          <cell r="D3143">
            <v>0</v>
          </cell>
          <cell r="E3143">
            <v>6</v>
          </cell>
          <cell r="F3143">
            <v>0</v>
          </cell>
          <cell r="G3143" t="str">
            <v>6</v>
          </cell>
          <cell r="H3143">
            <v>620</v>
          </cell>
          <cell r="I3143" t="str">
            <v>ФМОСТИСЬКЕ ВІДДІЛЕН ВАТОЩАД М.МОСТИСЬК</v>
          </cell>
          <cell r="J3143" t="str">
            <v>ФМостиське відділеннВАТОщад</v>
          </cell>
          <cell r="K3143" t="str">
            <v>UNLS</v>
          </cell>
          <cell r="L3143" t="str">
            <v>UNLA</v>
          </cell>
          <cell r="M3143">
            <v>13</v>
          </cell>
          <cell r="N3143">
            <v>26</v>
          </cell>
          <cell r="O3143" t="str">
            <v>Управління НБУ у Львівс.обл</v>
          </cell>
        </row>
        <row r="3144">
          <cell r="A3144">
            <v>385219</v>
          </cell>
          <cell r="B3144">
            <v>300465</v>
          </cell>
          <cell r="D3144">
            <v>0</v>
          </cell>
          <cell r="E3144">
            <v>6</v>
          </cell>
          <cell r="F3144">
            <v>0</v>
          </cell>
          <cell r="G3144" t="str">
            <v>6</v>
          </cell>
          <cell r="H3144">
            <v>621</v>
          </cell>
          <cell r="I3144" t="str">
            <v>ФЖОВКІВСЬКЕ ВІДДІЛЕНН ВАТОЩАД М.ЖОВКВА</v>
          </cell>
          <cell r="J3144" t="str">
            <v>ФЖовківське відділенВАТОщад</v>
          </cell>
          <cell r="K3144" t="str">
            <v>UNLT</v>
          </cell>
          <cell r="L3144" t="str">
            <v>UNLA</v>
          </cell>
          <cell r="M3144">
            <v>13</v>
          </cell>
          <cell r="N3144">
            <v>26</v>
          </cell>
          <cell r="O3144" t="str">
            <v>Управління НБУ у Львівс.обл</v>
          </cell>
        </row>
        <row r="3145">
          <cell r="A3145">
            <v>385220</v>
          </cell>
          <cell r="B3145">
            <v>300465</v>
          </cell>
          <cell r="D3145">
            <v>0</v>
          </cell>
          <cell r="E3145">
            <v>6</v>
          </cell>
          <cell r="F3145">
            <v>0</v>
          </cell>
          <cell r="G3145" t="str">
            <v>6</v>
          </cell>
          <cell r="H3145">
            <v>622</v>
          </cell>
          <cell r="I3145" t="str">
            <v>ФПЕРЕМИШЛЯНСЬКЕ ВІД ВАТОЩАД М.ПЕРЕМИШЛ</v>
          </cell>
          <cell r="J3145" t="str">
            <v>ФПеремишлянське віддВАТОщад</v>
          </cell>
          <cell r="K3145" t="str">
            <v>UNLU</v>
          </cell>
          <cell r="L3145" t="str">
            <v>UNLA</v>
          </cell>
          <cell r="M3145">
            <v>13</v>
          </cell>
          <cell r="N3145">
            <v>26</v>
          </cell>
          <cell r="O3145" t="str">
            <v>Управління НБУ у Львівс.обл</v>
          </cell>
        </row>
        <row r="3146">
          <cell r="A3146">
            <v>385231</v>
          </cell>
          <cell r="B3146">
            <v>300465</v>
          </cell>
          <cell r="D3146">
            <v>0</v>
          </cell>
          <cell r="E3146">
            <v>6</v>
          </cell>
          <cell r="F3146">
            <v>0</v>
          </cell>
          <cell r="G3146" t="str">
            <v>6</v>
          </cell>
          <cell r="H3146">
            <v>623</v>
          </cell>
          <cell r="I3146" t="str">
            <v>ФПУСТОМИТІВСЬКЕ ВІД ВАТОЩАД М.ПУСТОМИТ</v>
          </cell>
          <cell r="J3146" t="str">
            <v>ФПустомитівське віддВАТОщад</v>
          </cell>
          <cell r="K3146" t="str">
            <v>UNLV</v>
          </cell>
          <cell r="L3146" t="str">
            <v>UNLA</v>
          </cell>
          <cell r="M3146">
            <v>13</v>
          </cell>
          <cell r="N3146">
            <v>26</v>
          </cell>
          <cell r="O3146" t="str">
            <v>Управління НБУ у Львівс.обл</v>
          </cell>
        </row>
        <row r="3147">
          <cell r="A3147">
            <v>385242</v>
          </cell>
          <cell r="B3147">
            <v>300465</v>
          </cell>
          <cell r="D3147">
            <v>0</v>
          </cell>
          <cell r="E3147">
            <v>6</v>
          </cell>
          <cell r="F3147">
            <v>0</v>
          </cell>
          <cell r="G3147" t="str">
            <v>6</v>
          </cell>
          <cell r="H3147">
            <v>624</v>
          </cell>
          <cell r="I3147" t="str">
            <v>ФРАДЕХІВСЬКЕ ВІДДІЛЕ ВАТОЩАД М.РАДЕХІВ</v>
          </cell>
          <cell r="J3147" t="str">
            <v>ФРадехівське відділеВАТОщад</v>
          </cell>
          <cell r="K3147" t="str">
            <v>UNLW</v>
          </cell>
          <cell r="L3147" t="str">
            <v>UNLA</v>
          </cell>
          <cell r="M3147">
            <v>13</v>
          </cell>
          <cell r="N3147">
            <v>26</v>
          </cell>
          <cell r="O3147" t="str">
            <v>Управління НБУ у Львівс.обл</v>
          </cell>
        </row>
        <row r="3148">
          <cell r="A3148">
            <v>385253</v>
          </cell>
          <cell r="B3148">
            <v>300465</v>
          </cell>
          <cell r="D3148">
            <v>0</v>
          </cell>
          <cell r="E3148">
            <v>6</v>
          </cell>
          <cell r="F3148">
            <v>0</v>
          </cell>
          <cell r="G3148" t="str">
            <v>6</v>
          </cell>
          <cell r="H3148">
            <v>625</v>
          </cell>
          <cell r="I3148" t="str">
            <v>ФСАМБІРСЬКЕ ВІДДІЛЕНН ВАТОЩАД М.САМБІР</v>
          </cell>
          <cell r="J3148" t="str">
            <v>ФСамбірське відділенВАТОщад</v>
          </cell>
          <cell r="K3148" t="str">
            <v>UNLX</v>
          </cell>
          <cell r="L3148" t="str">
            <v>UNLA</v>
          </cell>
          <cell r="M3148">
            <v>13</v>
          </cell>
          <cell r="N3148">
            <v>26</v>
          </cell>
          <cell r="O3148" t="str">
            <v>Управління НБУ у Львівс.обл</v>
          </cell>
        </row>
        <row r="3149">
          <cell r="A3149">
            <v>385264</v>
          </cell>
          <cell r="B3149">
            <v>300465</v>
          </cell>
          <cell r="D3149">
            <v>0</v>
          </cell>
          <cell r="E3149">
            <v>6</v>
          </cell>
          <cell r="F3149">
            <v>0</v>
          </cell>
          <cell r="G3149" t="str">
            <v>6</v>
          </cell>
          <cell r="H3149">
            <v>626</v>
          </cell>
          <cell r="I3149" t="str">
            <v>ФСКОЛІВСЬКЕ ВІДДІЛЕННЯ ВАТОЩАД М.СКОЛЕ</v>
          </cell>
          <cell r="J3149" t="str">
            <v>ФСколівське відділенВАТОщад</v>
          </cell>
          <cell r="K3149" t="str">
            <v>UNLY</v>
          </cell>
          <cell r="L3149" t="str">
            <v>UNLA</v>
          </cell>
          <cell r="M3149">
            <v>13</v>
          </cell>
          <cell r="N3149">
            <v>26</v>
          </cell>
          <cell r="O3149" t="str">
            <v>Управління НБУ у Львівс.обл</v>
          </cell>
        </row>
        <row r="3150">
          <cell r="A3150">
            <v>385275</v>
          </cell>
          <cell r="B3150">
            <v>300465</v>
          </cell>
          <cell r="D3150">
            <v>0</v>
          </cell>
          <cell r="E3150">
            <v>6</v>
          </cell>
          <cell r="F3150">
            <v>0</v>
          </cell>
          <cell r="G3150" t="str">
            <v>6</v>
          </cell>
          <cell r="H3150">
            <v>630</v>
          </cell>
          <cell r="I3150" t="str">
            <v>ФТУРКІВСЬКЕ ВІДДІЛЕННЯ ВАТОЩАД М.ТУРКА</v>
          </cell>
          <cell r="J3150" t="str">
            <v>ФТурківське відділенВАТОщад</v>
          </cell>
          <cell r="K3150" t="str">
            <v>UNMC</v>
          </cell>
          <cell r="L3150" t="str">
            <v>UNLA</v>
          </cell>
          <cell r="M3150">
            <v>13</v>
          </cell>
          <cell r="N3150">
            <v>26</v>
          </cell>
          <cell r="O3150" t="str">
            <v>Управління НБУ у Львівс.обл</v>
          </cell>
        </row>
        <row r="3151">
          <cell r="A3151">
            <v>385286</v>
          </cell>
          <cell r="B3151">
            <v>300465</v>
          </cell>
          <cell r="D3151">
            <v>0</v>
          </cell>
          <cell r="E3151">
            <v>6</v>
          </cell>
          <cell r="F3151">
            <v>0</v>
          </cell>
          <cell r="G3151" t="str">
            <v>6</v>
          </cell>
          <cell r="H3151">
            <v>631</v>
          </cell>
          <cell r="I3151" t="str">
            <v>ФЯВОРІВСЬКЕ ВІДДІЛЕНН ВАТОЩАД М.ЯВОРІВ</v>
          </cell>
          <cell r="J3151" t="str">
            <v>ФЯворівське відділенВАТОщад</v>
          </cell>
          <cell r="K3151" t="str">
            <v>UNMD</v>
          </cell>
          <cell r="L3151" t="str">
            <v>UNLA</v>
          </cell>
          <cell r="M3151">
            <v>13</v>
          </cell>
          <cell r="N3151">
            <v>26</v>
          </cell>
          <cell r="O3151" t="str">
            <v>Управління НБУ у Львівс.обл</v>
          </cell>
        </row>
        <row r="3152">
          <cell r="A3152">
            <v>385297</v>
          </cell>
          <cell r="B3152">
            <v>300465</v>
          </cell>
          <cell r="D3152">
            <v>0</v>
          </cell>
          <cell r="E3152">
            <v>6</v>
          </cell>
          <cell r="F3152">
            <v>0</v>
          </cell>
          <cell r="G3152" t="str">
            <v>6</v>
          </cell>
          <cell r="H3152">
            <v>629</v>
          </cell>
          <cell r="I3152" t="str">
            <v>ФСТРИЙСЬКЕ ВІДДІЛЕННЯ  ВАТОЩАД М.СТРИЙ</v>
          </cell>
          <cell r="J3152" t="str">
            <v>ФСтрийське відділеннВАТОщад</v>
          </cell>
          <cell r="K3152" t="str">
            <v>UNMB</v>
          </cell>
          <cell r="L3152" t="str">
            <v>UNLA</v>
          </cell>
          <cell r="M3152">
            <v>13</v>
          </cell>
          <cell r="N3152">
            <v>26</v>
          </cell>
          <cell r="O3152" t="str">
            <v>Управління НБУ у Львівс.обл</v>
          </cell>
        </row>
        <row r="3153">
          <cell r="A3153">
            <v>385305</v>
          </cell>
          <cell r="B3153">
            <v>300863</v>
          </cell>
          <cell r="D3153">
            <v>0</v>
          </cell>
          <cell r="E3153">
            <v>289</v>
          </cell>
          <cell r="F3153">
            <v>0</v>
          </cell>
          <cell r="G3153" t="str">
            <v>9</v>
          </cell>
          <cell r="H3153">
            <v>760</v>
          </cell>
          <cell r="I3153" t="str">
            <v>ЛЬВІВ.Ф-Я ВАТ "КРЕДИТПРОМБАНК",М.ЛЬВІВ</v>
          </cell>
          <cell r="J3153" t="str">
            <v>ЛФ ВАТ "КРЕДИТПРОМБАНК"</v>
          </cell>
          <cell r="K3153" t="str">
            <v>UNJZ</v>
          </cell>
          <cell r="L3153" t="str">
            <v>UNJZ</v>
          </cell>
          <cell r="M3153">
            <v>13</v>
          </cell>
          <cell r="N3153">
            <v>26</v>
          </cell>
          <cell r="O3153" t="str">
            <v>Управління НБУ у Львівс.обл</v>
          </cell>
        </row>
        <row r="3154">
          <cell r="A3154">
            <v>385316</v>
          </cell>
          <cell r="B3154">
            <v>321767</v>
          </cell>
          <cell r="D3154">
            <v>0</v>
          </cell>
          <cell r="E3154">
            <v>42</v>
          </cell>
          <cell r="F3154">
            <v>0</v>
          </cell>
          <cell r="G3154" t="str">
            <v>B</v>
          </cell>
          <cell r="H3154">
            <v>745</v>
          </cell>
          <cell r="I3154" t="str">
            <v>ЛЬВІВСЬКА Ф ВАТ ВТБ БАНК, М.ЛЬВІВ</v>
          </cell>
          <cell r="J3154" t="str">
            <v>Львівська Ф ВАТ ВТБ Банк</v>
          </cell>
          <cell r="K3154" t="str">
            <v>UNKB</v>
          </cell>
          <cell r="L3154" t="str">
            <v>UNKB</v>
          </cell>
          <cell r="M3154">
            <v>13</v>
          </cell>
          <cell r="N3154">
            <v>26</v>
          </cell>
          <cell r="O3154" t="str">
            <v>Управління НБУ у Львівс.обл</v>
          </cell>
        </row>
        <row r="3155">
          <cell r="A3155">
            <v>385338</v>
          </cell>
          <cell r="B3155">
            <v>300926</v>
          </cell>
          <cell r="D3155">
            <v>0</v>
          </cell>
          <cell r="E3155">
            <v>899</v>
          </cell>
          <cell r="F3155">
            <v>0</v>
          </cell>
          <cell r="G3155" t="str">
            <v>8</v>
          </cell>
          <cell r="H3155">
            <v>721</v>
          </cell>
          <cell r="I3155" t="str">
            <v>ПЕРША ФІЛІЯ АТ "УФГ" В М.ЛЬВІВ</v>
          </cell>
          <cell r="J3155" t="str">
            <v>Перша ФАТ "УФГ" в м.Львів</v>
          </cell>
          <cell r="K3155" t="str">
            <v>UNW3</v>
          </cell>
          <cell r="L3155" t="str">
            <v>U1WF</v>
          </cell>
          <cell r="M3155">
            <v>13</v>
          </cell>
          <cell r="N3155">
            <v>26</v>
          </cell>
          <cell r="O3155" t="str">
            <v>Управління НБУ у Львівс.обл</v>
          </cell>
        </row>
        <row r="3156">
          <cell r="A3156">
            <v>385349</v>
          </cell>
          <cell r="B3156">
            <v>300926</v>
          </cell>
          <cell r="D3156">
            <v>0</v>
          </cell>
          <cell r="E3156">
            <v>899</v>
          </cell>
          <cell r="F3156">
            <v>0</v>
          </cell>
          <cell r="G3156" t="str">
            <v>8</v>
          </cell>
          <cell r="H3156">
            <v>780</v>
          </cell>
          <cell r="I3156" t="str">
            <v>ДРУГА ФІЛІЯ АТ "УФГ" В М.ЛЬВІВ</v>
          </cell>
          <cell r="J3156" t="str">
            <v>Друга ф-я АТ "УФГ"в м.Львів</v>
          </cell>
          <cell r="K3156" t="str">
            <v>UNW4</v>
          </cell>
          <cell r="L3156" t="str">
            <v>U1WF</v>
          </cell>
          <cell r="M3156">
            <v>13</v>
          </cell>
          <cell r="N3156">
            <v>26</v>
          </cell>
          <cell r="O3156" t="str">
            <v>Управління НБУ у Львівс.обл</v>
          </cell>
        </row>
        <row r="3157">
          <cell r="A3157">
            <v>385350</v>
          </cell>
          <cell r="B3157">
            <v>334851</v>
          </cell>
          <cell r="D3157">
            <v>0</v>
          </cell>
          <cell r="E3157">
            <v>115</v>
          </cell>
          <cell r="F3157">
            <v>0</v>
          </cell>
          <cell r="G3157" t="str">
            <v>8</v>
          </cell>
          <cell r="H3157">
            <v>752</v>
          </cell>
          <cell r="I3157" t="str">
            <v>ФІЛІЯ ЗАТ "ПУМБ" В М.ЛЬВОВІ</v>
          </cell>
          <cell r="J3157" t="str">
            <v>Філія ЗАТ "ПУМБ" в м.Львові</v>
          </cell>
          <cell r="K3157" t="str">
            <v>UNKF</v>
          </cell>
          <cell r="L3157" t="str">
            <v>UNKF</v>
          </cell>
          <cell r="M3157">
            <v>13</v>
          </cell>
          <cell r="N3157">
            <v>4</v>
          </cell>
          <cell r="O3157" t="str">
            <v>Управління НБУ у Львівс.обл</v>
          </cell>
        </row>
        <row r="3158">
          <cell r="A3158">
            <v>385361</v>
          </cell>
          <cell r="B3158">
            <v>320702</v>
          </cell>
          <cell r="D3158">
            <v>0</v>
          </cell>
          <cell r="E3158">
            <v>277</v>
          </cell>
          <cell r="F3158">
            <v>0</v>
          </cell>
          <cell r="G3158" t="str">
            <v>8</v>
          </cell>
          <cell r="H3158">
            <v>737</v>
          </cell>
          <cell r="I3158" t="str">
            <v>ФАКБ"НАЦ. КРЕДИТ" М.ДРОГОБИЧ</v>
          </cell>
          <cell r="J3158" t="str">
            <v>ФАКБ "НК" м.Дрогобич</v>
          </cell>
          <cell r="K3158" t="str">
            <v>UNJY</v>
          </cell>
          <cell r="L3158" t="str">
            <v>UNJY</v>
          </cell>
          <cell r="M3158">
            <v>13</v>
          </cell>
          <cell r="N3158">
            <v>26</v>
          </cell>
          <cell r="O3158" t="str">
            <v>Управління НБУ у Львівс.обл</v>
          </cell>
        </row>
        <row r="3159">
          <cell r="A3159">
            <v>385372</v>
          </cell>
          <cell r="B3159">
            <v>325912</v>
          </cell>
          <cell r="D3159">
            <v>0</v>
          </cell>
          <cell r="E3159">
            <v>88</v>
          </cell>
          <cell r="F3159">
            <v>0</v>
          </cell>
          <cell r="G3159" t="str">
            <v>B</v>
          </cell>
          <cell r="H3159">
            <v>767</v>
          </cell>
          <cell r="I3159" t="str">
            <v>Друга Львівська філія ВАТ "КРЕДОБАНК"</v>
          </cell>
          <cell r="J3159" t="str">
            <v>Друга Льв.ф.ВАТ "КРЕДОБАНК"</v>
          </cell>
          <cell r="K3159" t="str">
            <v>UNKH</v>
          </cell>
          <cell r="L3159" t="str">
            <v>UNKH</v>
          </cell>
          <cell r="M3159">
            <v>13</v>
          </cell>
          <cell r="N3159">
            <v>13</v>
          </cell>
          <cell r="O3159" t="str">
            <v>Управління НБУ у Львівс.обл</v>
          </cell>
        </row>
        <row r="3160">
          <cell r="A3160">
            <v>385394</v>
          </cell>
          <cell r="B3160">
            <v>300658</v>
          </cell>
          <cell r="D3160">
            <v>0</v>
          </cell>
          <cell r="E3160">
            <v>251</v>
          </cell>
          <cell r="F3160">
            <v>0</v>
          </cell>
          <cell r="G3160" t="str">
            <v>B</v>
          </cell>
          <cell r="H3160">
            <v>772</v>
          </cell>
          <cell r="I3160" t="str">
            <v>ЛФ ВАТ "ПІРЕУС БАНК МКБ", М.ЛЬВІВ</v>
          </cell>
          <cell r="J3160" t="str">
            <v>ЛФ ВАТ "ПІРЕУС БАНК МКБ"</v>
          </cell>
          <cell r="K3160" t="str">
            <v>UNKI</v>
          </cell>
          <cell r="L3160" t="str">
            <v>UNKI</v>
          </cell>
          <cell r="M3160">
            <v>13</v>
          </cell>
          <cell r="N3160">
            <v>26</v>
          </cell>
          <cell r="O3160" t="str">
            <v>Управління НБУ у Львівс.обл</v>
          </cell>
        </row>
        <row r="3161">
          <cell r="A3161">
            <v>385402</v>
          </cell>
          <cell r="B3161">
            <v>300528</v>
          </cell>
          <cell r="D3161">
            <v>0</v>
          </cell>
          <cell r="E3161">
            <v>296</v>
          </cell>
          <cell r="F3161">
            <v>0</v>
          </cell>
          <cell r="G3161" t="str">
            <v>F</v>
          </cell>
          <cell r="H3161">
            <v>783</v>
          </cell>
          <cell r="I3161" t="str">
            <v>ФІЛІЯ ЗАТ "ОТП БАНК" У М.ЛЬВІВ</v>
          </cell>
          <cell r="J3161" t="str">
            <v>ФіліяЗАТ"ОТП Банк"у м.Львів</v>
          </cell>
          <cell r="K3161" t="str">
            <v>UNKK</v>
          </cell>
          <cell r="L3161" t="str">
            <v>UNKK</v>
          </cell>
          <cell r="M3161">
            <v>13</v>
          </cell>
          <cell r="N3161">
            <v>26</v>
          </cell>
          <cell r="O3161" t="str">
            <v>Управління НБУ у Львівс.обл</v>
          </cell>
        </row>
        <row r="3162">
          <cell r="A3162">
            <v>385413</v>
          </cell>
          <cell r="B3162">
            <v>351629</v>
          </cell>
          <cell r="D3162">
            <v>0</v>
          </cell>
          <cell r="E3162">
            <v>126</v>
          </cell>
          <cell r="F3162">
            <v>0</v>
          </cell>
          <cell r="G3162" t="str">
            <v>8</v>
          </cell>
          <cell r="H3162">
            <v>771</v>
          </cell>
          <cell r="I3162" t="str">
            <v>ЛЬВІВСЬКА ФІЛІЯ ВАТ "МЕГАБАНК",М.ЛЬВІВ</v>
          </cell>
          <cell r="J3162" t="str">
            <v>ЛЬВІВСЬКА Ф-Я ВАТ"МЕГАБАНК"</v>
          </cell>
          <cell r="K3162" t="str">
            <v>UNKL</v>
          </cell>
          <cell r="L3162" t="str">
            <v>UNKL</v>
          </cell>
          <cell r="M3162">
            <v>13</v>
          </cell>
          <cell r="N3162">
            <v>20</v>
          </cell>
          <cell r="O3162" t="str">
            <v>Управління НБУ у Львівс.обл</v>
          </cell>
        </row>
        <row r="3163">
          <cell r="A3163">
            <v>385424</v>
          </cell>
          <cell r="B3163">
            <v>313849</v>
          </cell>
          <cell r="D3163">
            <v>0</v>
          </cell>
          <cell r="E3163">
            <v>101</v>
          </cell>
          <cell r="F3163">
            <v>0</v>
          </cell>
          <cell r="G3163" t="str">
            <v>8</v>
          </cell>
          <cell r="H3163">
            <v>798</v>
          </cell>
          <cell r="I3163" t="str">
            <v>Львівська філія АКБ "ІНДУСТРІАЛБАНК"</v>
          </cell>
          <cell r="J3163" t="str">
            <v>ЛФ АКБ "Індустріалбанк"</v>
          </cell>
          <cell r="K3163" t="str">
            <v>UNKN</v>
          </cell>
          <cell r="L3163" t="str">
            <v>UNKN</v>
          </cell>
          <cell r="M3163">
            <v>13</v>
          </cell>
          <cell r="N3163">
            <v>7</v>
          </cell>
          <cell r="O3163" t="str">
            <v>Управління НБУ у Львівс.обл</v>
          </cell>
        </row>
        <row r="3164">
          <cell r="A3164">
            <v>385435</v>
          </cell>
          <cell r="B3164">
            <v>300089</v>
          </cell>
          <cell r="D3164">
            <v>0</v>
          </cell>
          <cell r="E3164">
            <v>26</v>
          </cell>
          <cell r="F3164">
            <v>0</v>
          </cell>
          <cell r="G3164" t="str">
            <v>8</v>
          </cell>
          <cell r="H3164">
            <v>744</v>
          </cell>
          <cell r="I3164" t="str">
            <v>ЗРФАКБ"ТРАНСБАНК"М.ЛЬВІВ</v>
          </cell>
          <cell r="J3164" t="str">
            <v>ЗРФАКБ"Трансбанк"м.Львів</v>
          </cell>
          <cell r="K3164" t="str">
            <v>UNKA</v>
          </cell>
          <cell r="L3164" t="str">
            <v>UNKA</v>
          </cell>
          <cell r="M3164">
            <v>13</v>
          </cell>
          <cell r="N3164">
            <v>26</v>
          </cell>
          <cell r="O3164" t="str">
            <v>Управління НБУ у Львівс.обл</v>
          </cell>
        </row>
        <row r="3165">
          <cell r="A3165">
            <v>385446</v>
          </cell>
          <cell r="B3165">
            <v>320995</v>
          </cell>
          <cell r="D3165">
            <v>0</v>
          </cell>
          <cell r="E3165">
            <v>228</v>
          </cell>
          <cell r="F3165">
            <v>0</v>
          </cell>
          <cell r="G3165" t="str">
            <v>8</v>
          </cell>
          <cell r="H3165">
            <v>758</v>
          </cell>
          <cell r="I3165" t="str">
            <v>ЛЬВІВСЬКА ФІЛІЯ ВАТ "УБРП", М.ЛЬВІВ</v>
          </cell>
          <cell r="J3165" t="str">
            <v>Львівська філія ВАТ "УБРП"</v>
          </cell>
          <cell r="K3165" t="str">
            <v>UNKO</v>
          </cell>
          <cell r="L3165" t="str">
            <v>UNKO</v>
          </cell>
          <cell r="M3165">
            <v>13</v>
          </cell>
          <cell r="N3165">
            <v>26</v>
          </cell>
          <cell r="O3165" t="str">
            <v>Управління НБУ у Львівс.обл</v>
          </cell>
        </row>
        <row r="3166">
          <cell r="A3166">
            <v>385457</v>
          </cell>
          <cell r="B3166">
            <v>321228</v>
          </cell>
          <cell r="D3166">
            <v>0</v>
          </cell>
          <cell r="E3166">
            <v>68</v>
          </cell>
          <cell r="F3166">
            <v>0</v>
          </cell>
          <cell r="G3166" t="str">
            <v>8</v>
          </cell>
          <cell r="H3166">
            <v>791</v>
          </cell>
          <cell r="I3166" t="str">
            <v>ЛЬВІВ. ФІЛІЯ ТОВ "УКРПРОМБАНК",М.ЛЬВІВ</v>
          </cell>
          <cell r="J3166" t="str">
            <v>Львів.ФТОВ"Укрпромбанк"</v>
          </cell>
          <cell r="K3166" t="str">
            <v>UNKP</v>
          </cell>
          <cell r="L3166" t="str">
            <v>UNKP</v>
          </cell>
          <cell r="M3166">
            <v>13</v>
          </cell>
          <cell r="N3166">
            <v>26</v>
          </cell>
          <cell r="O3166" t="str">
            <v>Управління НБУ у Львівс.обл</v>
          </cell>
        </row>
        <row r="3167">
          <cell r="A3167">
            <v>385468</v>
          </cell>
          <cell r="B3167">
            <v>300670</v>
          </cell>
          <cell r="D3167">
            <v>0</v>
          </cell>
          <cell r="E3167">
            <v>202</v>
          </cell>
          <cell r="F3167">
            <v>0</v>
          </cell>
          <cell r="G3167" t="str">
            <v>8</v>
          </cell>
          <cell r="H3167">
            <v>776</v>
          </cell>
          <cell r="I3167" t="str">
            <v>ЛЬВІВ. ФІЛІЯ ВАТ КБ "ХРЕЩАТИК",М.ЛЬВІВ</v>
          </cell>
          <cell r="J3167" t="str">
            <v>Львівська ФВАТ КБ"Хрещатик"</v>
          </cell>
          <cell r="K3167" t="str">
            <v>UNKS</v>
          </cell>
          <cell r="L3167" t="str">
            <v>UNKS</v>
          </cell>
          <cell r="M3167">
            <v>13</v>
          </cell>
          <cell r="N3167">
            <v>26</v>
          </cell>
          <cell r="O3167" t="str">
            <v>Управління НБУ у Львівс.обл</v>
          </cell>
        </row>
        <row r="3168">
          <cell r="A3168">
            <v>385480</v>
          </cell>
          <cell r="B3168">
            <v>303484</v>
          </cell>
          <cell r="D3168">
            <v>0</v>
          </cell>
          <cell r="E3168">
            <v>273</v>
          </cell>
          <cell r="F3168">
            <v>0</v>
          </cell>
          <cell r="G3168" t="str">
            <v>8</v>
          </cell>
          <cell r="H3168">
            <v>765</v>
          </cell>
          <cell r="I3168" t="str">
            <v>Львівська філія КБ"Західінкомбанк"ТзОВ</v>
          </cell>
          <cell r="J3168" t="str">
            <v>ЛФ КБ "Західінкомбанк" ТзОВ</v>
          </cell>
          <cell r="K3168" t="str">
            <v>UNKU</v>
          </cell>
          <cell r="L3168" t="str">
            <v>UNKU</v>
          </cell>
          <cell r="M3168">
            <v>13</v>
          </cell>
          <cell r="N3168">
            <v>2</v>
          </cell>
          <cell r="O3168" t="str">
            <v>Управління НБУ у Львівс.обл</v>
          </cell>
        </row>
        <row r="3169">
          <cell r="A3169">
            <v>385491</v>
          </cell>
          <cell r="B3169">
            <v>328384</v>
          </cell>
          <cell r="D3169">
            <v>0</v>
          </cell>
          <cell r="E3169">
            <v>258</v>
          </cell>
          <cell r="F3169">
            <v>0</v>
          </cell>
          <cell r="G3169" t="str">
            <v>8</v>
          </cell>
          <cell r="H3169">
            <v>779</v>
          </cell>
          <cell r="I3169" t="str">
            <v>ФІЛІЯ АКБ "ІМЕКСБАНК" У М.ЛЬВОВІ</v>
          </cell>
          <cell r="J3169" t="str">
            <v>ЛЬВІВСЬКАФ АКБ "ІМЕКСБАНК"</v>
          </cell>
          <cell r="K3169" t="str">
            <v>UNKX</v>
          </cell>
          <cell r="L3169" t="str">
            <v>UNKX</v>
          </cell>
          <cell r="M3169">
            <v>13</v>
          </cell>
          <cell r="N3169">
            <v>15</v>
          </cell>
          <cell r="O3169" t="str">
            <v>Управління НБУ у Львівс.обл</v>
          </cell>
        </row>
        <row r="3170">
          <cell r="A3170">
            <v>385509</v>
          </cell>
          <cell r="B3170">
            <v>322948</v>
          </cell>
          <cell r="D3170">
            <v>0</v>
          </cell>
          <cell r="E3170">
            <v>248</v>
          </cell>
          <cell r="F3170">
            <v>0</v>
          </cell>
          <cell r="G3170" t="str">
            <v>B</v>
          </cell>
          <cell r="H3170">
            <v>823</v>
          </cell>
          <cell r="I3170" t="str">
            <v>ЛЬВІВСЬКА ФІЛІЯ АКБ "ФОРУМ" М.ЛЬВІВ</v>
          </cell>
          <cell r="J3170" t="str">
            <v>Львiвська фiлiя АКБ "Форум"</v>
          </cell>
          <cell r="K3170" t="str">
            <v>UNNE</v>
          </cell>
          <cell r="L3170" t="str">
            <v>UNNE</v>
          </cell>
          <cell r="M3170">
            <v>13</v>
          </cell>
          <cell r="N3170">
            <v>26</v>
          </cell>
          <cell r="O3170" t="str">
            <v>Управління НБУ у Львівс.обл</v>
          </cell>
        </row>
        <row r="3171">
          <cell r="A3171">
            <v>385521</v>
          </cell>
          <cell r="B3171">
            <v>300852</v>
          </cell>
          <cell r="D3171">
            <v>0</v>
          </cell>
          <cell r="E3171">
            <v>302</v>
          </cell>
          <cell r="F3171">
            <v>0</v>
          </cell>
          <cell r="G3171" t="str">
            <v>8</v>
          </cell>
          <cell r="H3171">
            <v>825</v>
          </cell>
          <cell r="I3171" t="str">
            <v>ФІЛІЯ ВАТ "КБ "АКТИВ-БАНК" У М.ЛЬВОВІ</v>
          </cell>
          <cell r="J3171" t="str">
            <v>ФВАТ"КБ"Актив-банк" Львів</v>
          </cell>
          <cell r="K3171" t="str">
            <v>UNNL</v>
          </cell>
          <cell r="L3171" t="str">
            <v>UNNL</v>
          </cell>
          <cell r="M3171">
            <v>13</v>
          </cell>
          <cell r="N3171">
            <v>26</v>
          </cell>
          <cell r="O3171" t="str">
            <v>Управління НБУ у Львівс.обл</v>
          </cell>
        </row>
        <row r="3172">
          <cell r="A3172">
            <v>385532</v>
          </cell>
          <cell r="B3172">
            <v>328209</v>
          </cell>
          <cell r="D3172">
            <v>0</v>
          </cell>
          <cell r="E3172">
            <v>106</v>
          </cell>
          <cell r="F3172">
            <v>0</v>
          </cell>
          <cell r="G3172" t="str">
            <v>8</v>
          </cell>
          <cell r="H3172">
            <v>842</v>
          </cell>
          <cell r="I3172" t="str">
            <v>ФІЛІЯ АБ "ПІВДЕННИЙ" У М.ЛЬВІВ</v>
          </cell>
          <cell r="J3172" t="str">
            <v>ФАБ "Південний" у м.Львів</v>
          </cell>
          <cell r="K3172" t="str">
            <v>UNNM</v>
          </cell>
          <cell r="L3172" t="str">
            <v>UNNM</v>
          </cell>
          <cell r="M3172">
            <v>13</v>
          </cell>
          <cell r="N3172">
            <v>15</v>
          </cell>
          <cell r="O3172" t="str">
            <v>Управління НБУ у Львівс.обл</v>
          </cell>
        </row>
        <row r="3173">
          <cell r="A3173">
            <v>385543</v>
          </cell>
          <cell r="B3173">
            <v>319092</v>
          </cell>
          <cell r="D3173">
            <v>0</v>
          </cell>
          <cell r="E3173">
            <v>280</v>
          </cell>
          <cell r="F3173">
            <v>0</v>
          </cell>
          <cell r="G3173" t="str">
            <v>B</v>
          </cell>
          <cell r="H3173">
            <v>503</v>
          </cell>
          <cell r="I3173" t="str">
            <v>ЛФВ АБ "КИЇВСЬКА РУСЬ" М.ЛЬВІВ</v>
          </cell>
          <cell r="J3173" t="str">
            <v>Лвівська ФАБ "Київська Русь</v>
          </cell>
          <cell r="K3173" t="str">
            <v>UNFA</v>
          </cell>
          <cell r="L3173" t="str">
            <v>UNFA</v>
          </cell>
          <cell r="M3173">
            <v>13</v>
          </cell>
          <cell r="N3173">
            <v>26</v>
          </cell>
          <cell r="O3173" t="str">
            <v>Управління НБУ у Львівс.обл</v>
          </cell>
        </row>
        <row r="3174">
          <cell r="A3174">
            <v>385554</v>
          </cell>
          <cell r="B3174">
            <v>300272</v>
          </cell>
          <cell r="D3174">
            <v>0</v>
          </cell>
          <cell r="E3174">
            <v>31</v>
          </cell>
          <cell r="F3174">
            <v>0</v>
          </cell>
          <cell r="G3174" t="str">
            <v>B</v>
          </cell>
          <cell r="H3174">
            <v>803</v>
          </cell>
          <cell r="I3174" t="str">
            <v>ФІЛІЯ АБ "ЕНЕРГОБАНК" ВМ.ЛЬВІВ, ЛЬВІВ</v>
          </cell>
          <cell r="J3174" t="str">
            <v>Філ.АБ"Енергобанк"в м.Львів</v>
          </cell>
          <cell r="K3174" t="str">
            <v>UNFB</v>
          </cell>
          <cell r="L3174" t="str">
            <v>UNFB</v>
          </cell>
          <cell r="M3174">
            <v>13</v>
          </cell>
          <cell r="N3174">
            <v>26</v>
          </cell>
          <cell r="O3174" t="str">
            <v>Управління НБУ у Львівс.обл</v>
          </cell>
        </row>
        <row r="3175">
          <cell r="A3175">
            <v>385565</v>
          </cell>
          <cell r="B3175">
            <v>320940</v>
          </cell>
          <cell r="D3175">
            <v>0</v>
          </cell>
          <cell r="E3175">
            <v>43</v>
          </cell>
          <cell r="F3175">
            <v>0</v>
          </cell>
          <cell r="G3175" t="str">
            <v>8</v>
          </cell>
          <cell r="H3175">
            <v>204</v>
          </cell>
          <cell r="I3175" t="str">
            <v>ФІЛІЯ АБ"АВТОЗАЗБАНК"В М.ЛЬВІВ</v>
          </cell>
          <cell r="J3175" t="str">
            <v>Ф.А,"АвтоЗАЗбанк"в м.Львів</v>
          </cell>
          <cell r="K3175" t="str">
            <v>UNFM</v>
          </cell>
          <cell r="L3175" t="str">
            <v>UNFM</v>
          </cell>
          <cell r="M3175">
            <v>13</v>
          </cell>
          <cell r="N3175">
            <v>26</v>
          </cell>
          <cell r="O3175" t="str">
            <v>Управління НБУ у Львівс.обл</v>
          </cell>
        </row>
        <row r="3176">
          <cell r="A3176">
            <v>385918</v>
          </cell>
          <cell r="B3176">
            <v>300926</v>
          </cell>
          <cell r="D3176">
            <v>0</v>
          </cell>
          <cell r="E3176">
            <v>899</v>
          </cell>
          <cell r="F3176">
            <v>0</v>
          </cell>
          <cell r="G3176" t="str">
            <v>8</v>
          </cell>
          <cell r="H3176">
            <v>806</v>
          </cell>
          <cell r="I3176" t="str">
            <v>ФІЛІЯ АТ "УФГ" У М.ДРОГОБИЧ</v>
          </cell>
          <cell r="J3176" t="str">
            <v>Філія АТ "УФГ" у м.Дрогобич</v>
          </cell>
          <cell r="K3176" t="str">
            <v>UNW5</v>
          </cell>
          <cell r="L3176" t="str">
            <v>U1WF</v>
          </cell>
          <cell r="M3176">
            <v>13</v>
          </cell>
          <cell r="N3176">
            <v>26</v>
          </cell>
          <cell r="O3176" t="str">
            <v>Управління НБУ у Львівс.обл</v>
          </cell>
        </row>
        <row r="3177">
          <cell r="A3177">
            <v>386003</v>
          </cell>
          <cell r="B3177">
            <v>322294</v>
          </cell>
          <cell r="D3177">
            <v>0</v>
          </cell>
          <cell r="E3177">
            <v>67</v>
          </cell>
          <cell r="F3177">
            <v>0</v>
          </cell>
          <cell r="G3177" t="str">
            <v>8</v>
          </cell>
          <cell r="H3177">
            <v>503</v>
          </cell>
          <cell r="I3177" t="str">
            <v>Ф"МРУ"ВАТ"КБ"ЕКСПОБАНК",М.МИКОЛАЇВ</v>
          </cell>
          <cell r="J3177" t="str">
            <v>Ф"МРУ"ВАТ"КБ"Експобанк"</v>
          </cell>
          <cell r="K3177" t="str">
            <v>UOFA</v>
          </cell>
          <cell r="L3177" t="str">
            <v>UOFA</v>
          </cell>
          <cell r="M3177">
            <v>14</v>
          </cell>
          <cell r="N3177">
            <v>26</v>
          </cell>
          <cell r="O3177" t="str">
            <v>Управління НБУ в Микол.обл.</v>
          </cell>
        </row>
        <row r="3178">
          <cell r="A3178">
            <v>386014</v>
          </cell>
          <cell r="B3178">
            <v>300465</v>
          </cell>
          <cell r="D3178">
            <v>0</v>
          </cell>
          <cell r="E3178">
            <v>6</v>
          </cell>
          <cell r="F3178">
            <v>0</v>
          </cell>
          <cell r="G3178" t="str">
            <v>6</v>
          </cell>
          <cell r="H3178">
            <v>613</v>
          </cell>
          <cell r="I3178" t="str">
            <v>ФВЕСЕЛИНІВСЬКЕ ВІДД ВАТОЩАД СМТ.ВЕСЕЛИ</v>
          </cell>
          <cell r="J3178" t="str">
            <v>ФВеселинівське віддіВАТОщад</v>
          </cell>
          <cell r="K3178" t="str">
            <v>UOLK</v>
          </cell>
          <cell r="L3178" t="str">
            <v>UOLA</v>
          </cell>
          <cell r="M3178">
            <v>14</v>
          </cell>
          <cell r="N3178">
            <v>26</v>
          </cell>
          <cell r="O3178" t="str">
            <v>Управління НБУ в Микол.обл.</v>
          </cell>
        </row>
        <row r="3179">
          <cell r="A3179">
            <v>386025</v>
          </cell>
          <cell r="B3179">
            <v>300465</v>
          </cell>
          <cell r="D3179">
            <v>0</v>
          </cell>
          <cell r="E3179">
            <v>6</v>
          </cell>
          <cell r="F3179">
            <v>0</v>
          </cell>
          <cell r="G3179" t="str">
            <v>6</v>
          </cell>
          <cell r="H3179">
            <v>614</v>
          </cell>
          <cell r="I3179" t="str">
            <v>ФВОЗНЕСЕНСЬКЕ ВІДДІ ВАТОЩАД М.ВОЗНЕСЕН</v>
          </cell>
          <cell r="J3179" t="str">
            <v>ФВознесенське відділВАТОщад</v>
          </cell>
          <cell r="K3179" t="str">
            <v>UOLL</v>
          </cell>
          <cell r="L3179" t="str">
            <v>UOLA</v>
          </cell>
          <cell r="M3179">
            <v>14</v>
          </cell>
          <cell r="N3179">
            <v>26</v>
          </cell>
          <cell r="O3179" t="str">
            <v>Управління НБУ в Микол.обл.</v>
          </cell>
        </row>
        <row r="3180">
          <cell r="A3180">
            <v>386069</v>
          </cell>
          <cell r="B3180">
            <v>300465</v>
          </cell>
          <cell r="D3180">
            <v>0</v>
          </cell>
          <cell r="E3180">
            <v>6</v>
          </cell>
          <cell r="F3180">
            <v>0</v>
          </cell>
          <cell r="G3180" t="str">
            <v>6</v>
          </cell>
          <cell r="H3180">
            <v>605</v>
          </cell>
          <cell r="I3180" t="str">
            <v>ФМІСЬКЕ ВІДДІЛЕННЯ  ВАТОЩАД М.МИКОЛАЇВ</v>
          </cell>
          <cell r="J3180" t="str">
            <v>ФМіське відділення №ВАТОщад</v>
          </cell>
          <cell r="K3180" t="str">
            <v>UOLD</v>
          </cell>
          <cell r="L3180" t="str">
            <v>UOLA</v>
          </cell>
          <cell r="M3180">
            <v>14</v>
          </cell>
          <cell r="N3180">
            <v>26</v>
          </cell>
          <cell r="O3180" t="str">
            <v>Управління НБУ в Микол.обл.</v>
          </cell>
        </row>
        <row r="3181">
          <cell r="A3181">
            <v>386070</v>
          </cell>
          <cell r="B3181">
            <v>300465</v>
          </cell>
          <cell r="D3181">
            <v>0</v>
          </cell>
          <cell r="E3181">
            <v>6</v>
          </cell>
          <cell r="F3181">
            <v>0</v>
          </cell>
          <cell r="G3181" t="str">
            <v>6</v>
          </cell>
          <cell r="H3181">
            <v>606</v>
          </cell>
          <cell r="I3181" t="str">
            <v>ФКОРАБЕЛЬНЕ ВІДДІЛЕ ВАТОЩАД М.МИКОЛАЇВ</v>
          </cell>
          <cell r="J3181" t="str">
            <v>ФКорабельне відділенВАТОщад</v>
          </cell>
          <cell r="K3181" t="str">
            <v>UOLE</v>
          </cell>
          <cell r="L3181" t="str">
            <v>UOLA</v>
          </cell>
          <cell r="M3181">
            <v>14</v>
          </cell>
          <cell r="N3181">
            <v>26</v>
          </cell>
          <cell r="O3181" t="str">
            <v>Управління НБУ в Микол.обл.</v>
          </cell>
        </row>
        <row r="3182">
          <cell r="A3182">
            <v>386081</v>
          </cell>
          <cell r="B3182">
            <v>300465</v>
          </cell>
          <cell r="D3182">
            <v>0</v>
          </cell>
          <cell r="E3182">
            <v>6</v>
          </cell>
          <cell r="F3182">
            <v>0</v>
          </cell>
          <cell r="G3182" t="str">
            <v>6</v>
          </cell>
          <cell r="H3182">
            <v>610</v>
          </cell>
          <cell r="I3182" t="str">
            <v>ФБЕРЕЗАНСЬКЕ ВІДДІЛ ВАТОЩАД СМТ.БЕРЕЗА</v>
          </cell>
          <cell r="J3182" t="str">
            <v>ФБерезанське відділеВАТОщад</v>
          </cell>
          <cell r="K3182" t="str">
            <v>UOLH</v>
          </cell>
          <cell r="L3182" t="str">
            <v>UOLA</v>
          </cell>
          <cell r="M3182">
            <v>14</v>
          </cell>
          <cell r="N3182">
            <v>26</v>
          </cell>
          <cell r="O3182" t="str">
            <v>Управління НБУ в Микол.обл.</v>
          </cell>
        </row>
        <row r="3183">
          <cell r="A3183">
            <v>386092</v>
          </cell>
          <cell r="B3183">
            <v>300465</v>
          </cell>
          <cell r="D3183">
            <v>0</v>
          </cell>
          <cell r="E3183">
            <v>6</v>
          </cell>
          <cell r="F3183">
            <v>0</v>
          </cell>
          <cell r="G3183" t="str">
            <v>6</v>
          </cell>
          <cell r="H3183">
            <v>608</v>
          </cell>
          <cell r="I3183" t="str">
            <v>ФАРБУЗИНСЬКЕ ВІДДІЛ ВАТОЩАД СМТ.АРБУЗИ</v>
          </cell>
          <cell r="J3183" t="str">
            <v>ФАрбузинське відділеВАТОщад</v>
          </cell>
          <cell r="K3183" t="str">
            <v>UOLF</v>
          </cell>
          <cell r="L3183" t="str">
            <v>UOLA</v>
          </cell>
          <cell r="M3183">
            <v>14</v>
          </cell>
          <cell r="N3183">
            <v>26</v>
          </cell>
          <cell r="O3183" t="str">
            <v>Управління НБУ в Микол.обл.</v>
          </cell>
        </row>
        <row r="3184">
          <cell r="A3184">
            <v>386100</v>
          </cell>
          <cell r="B3184">
            <v>300465</v>
          </cell>
          <cell r="D3184">
            <v>0</v>
          </cell>
          <cell r="E3184">
            <v>6</v>
          </cell>
          <cell r="F3184">
            <v>0</v>
          </cell>
          <cell r="G3184" t="str">
            <v>6</v>
          </cell>
          <cell r="H3184">
            <v>619</v>
          </cell>
          <cell r="I3184" t="str">
            <v>ФКАЗАНКІВСЬКЕ ВІДДІ ВАТОЩАД СМТ.КАЗАНК</v>
          </cell>
          <cell r="J3184" t="str">
            <v>ФКазанківське відділВАТОщад</v>
          </cell>
          <cell r="K3184" t="str">
            <v>UOLQ</v>
          </cell>
          <cell r="L3184" t="str">
            <v>UOLA</v>
          </cell>
          <cell r="M3184">
            <v>14</v>
          </cell>
          <cell r="N3184">
            <v>26</v>
          </cell>
          <cell r="O3184" t="str">
            <v>Управління НБУ в Микол.обл.</v>
          </cell>
        </row>
        <row r="3185">
          <cell r="A3185">
            <v>386122</v>
          </cell>
          <cell r="B3185">
            <v>300465</v>
          </cell>
          <cell r="D3185">
            <v>0</v>
          </cell>
          <cell r="E3185">
            <v>6</v>
          </cell>
          <cell r="F3185">
            <v>0</v>
          </cell>
          <cell r="G3185" t="str">
            <v>6</v>
          </cell>
          <cell r="H3185">
            <v>611</v>
          </cell>
          <cell r="I3185" t="str">
            <v>ФБЕРЕЗНЕГУВАТСЬКЕ В ВАТОЩАД СМТ.БЕРЕЗН</v>
          </cell>
          <cell r="J3185" t="str">
            <v>ФБерезнегуватське віВАТОщад</v>
          </cell>
          <cell r="K3185" t="str">
            <v>UOLI</v>
          </cell>
          <cell r="L3185" t="str">
            <v>UOLA</v>
          </cell>
          <cell r="M3185">
            <v>14</v>
          </cell>
          <cell r="N3185">
            <v>26</v>
          </cell>
          <cell r="O3185" t="str">
            <v>Управління НБУ в Микол.обл.</v>
          </cell>
        </row>
        <row r="3186">
          <cell r="A3186">
            <v>386133</v>
          </cell>
          <cell r="B3186">
            <v>300465</v>
          </cell>
          <cell r="D3186">
            <v>0</v>
          </cell>
          <cell r="E3186">
            <v>6</v>
          </cell>
          <cell r="F3186">
            <v>0</v>
          </cell>
          <cell r="G3186" t="str">
            <v>6</v>
          </cell>
          <cell r="H3186">
            <v>609</v>
          </cell>
          <cell r="I3186" t="str">
            <v>ФБАШТАНСЬКЕ ВІДДІЛЕ ВАТОЩАД М.БАШТАНКА</v>
          </cell>
          <cell r="J3186" t="str">
            <v>ФБаштанське відділенВАТОщад</v>
          </cell>
          <cell r="K3186" t="str">
            <v>UOLG</v>
          </cell>
          <cell r="L3186" t="str">
            <v>UOLA</v>
          </cell>
          <cell r="M3186">
            <v>14</v>
          </cell>
          <cell r="N3186">
            <v>26</v>
          </cell>
          <cell r="O3186" t="str">
            <v>Управління НБУ в Микол.обл.</v>
          </cell>
        </row>
        <row r="3187">
          <cell r="A3187">
            <v>386144</v>
          </cell>
          <cell r="B3187">
            <v>300465</v>
          </cell>
          <cell r="D3187">
            <v>0</v>
          </cell>
          <cell r="E3187">
            <v>6</v>
          </cell>
          <cell r="F3187">
            <v>0</v>
          </cell>
          <cell r="G3187" t="str">
            <v>6</v>
          </cell>
          <cell r="H3187">
            <v>626</v>
          </cell>
          <cell r="I3187" t="str">
            <v>ФСНІГУРІВСЬКЕ ВІДДІ ВАТОЩАД М.СНІГУРІВ</v>
          </cell>
          <cell r="J3187" t="str">
            <v>ФСнігурівське відділВАТОщад</v>
          </cell>
          <cell r="K3187" t="str">
            <v>UOLX</v>
          </cell>
          <cell r="L3187" t="str">
            <v>UOLA</v>
          </cell>
          <cell r="M3187">
            <v>14</v>
          </cell>
          <cell r="N3187">
            <v>26</v>
          </cell>
          <cell r="O3187" t="str">
            <v>Управління НБУ в Микол.обл.</v>
          </cell>
        </row>
        <row r="3188">
          <cell r="A3188">
            <v>386155</v>
          </cell>
          <cell r="B3188">
            <v>300926</v>
          </cell>
          <cell r="D3188">
            <v>0</v>
          </cell>
          <cell r="E3188">
            <v>899</v>
          </cell>
          <cell r="F3188">
            <v>0</v>
          </cell>
          <cell r="G3188" t="str">
            <v>8</v>
          </cell>
          <cell r="H3188">
            <v>803</v>
          </cell>
          <cell r="I3188" t="str">
            <v>ПЕРША ФІЛІЯ АТ "УФГ" У М. МИКОЛАЄВІ</v>
          </cell>
          <cell r="J3188" t="str">
            <v>Перша ФАТ "УФГ", м.Миколаїв</v>
          </cell>
          <cell r="K3188" t="str">
            <v>UOW2</v>
          </cell>
          <cell r="L3188" t="str">
            <v>U1WF</v>
          </cell>
          <cell r="M3188">
            <v>14</v>
          </cell>
          <cell r="N3188">
            <v>26</v>
          </cell>
          <cell r="O3188" t="str">
            <v>Управління НБУ в Микол.обл.</v>
          </cell>
        </row>
        <row r="3189">
          <cell r="A3189">
            <v>386177</v>
          </cell>
          <cell r="B3189">
            <v>300465</v>
          </cell>
          <cell r="D3189">
            <v>0</v>
          </cell>
          <cell r="E3189">
            <v>6</v>
          </cell>
          <cell r="F3189">
            <v>0</v>
          </cell>
          <cell r="G3189" t="str">
            <v>6</v>
          </cell>
          <cell r="H3189">
            <v>616</v>
          </cell>
          <cell r="I3189" t="str">
            <v>ФДОМАНІВСЬКЕ ВІДДІЛ ВАТОЩАД СМТ.ДОМАНІ</v>
          </cell>
          <cell r="J3189" t="str">
            <v>ФДоманівське відділеВАТОщад</v>
          </cell>
          <cell r="K3189" t="str">
            <v>UOLN</v>
          </cell>
          <cell r="L3189" t="str">
            <v>UOLA</v>
          </cell>
          <cell r="M3189">
            <v>14</v>
          </cell>
          <cell r="N3189">
            <v>26</v>
          </cell>
          <cell r="O3189" t="str">
            <v>Управління НБУ в Микол.обл.</v>
          </cell>
        </row>
        <row r="3190">
          <cell r="A3190">
            <v>386218</v>
          </cell>
          <cell r="B3190">
            <v>300465</v>
          </cell>
          <cell r="D3190">
            <v>0</v>
          </cell>
          <cell r="E3190">
            <v>6</v>
          </cell>
          <cell r="F3190">
            <v>0</v>
          </cell>
          <cell r="G3190" t="str">
            <v>6</v>
          </cell>
          <cell r="H3190">
            <v>620</v>
          </cell>
          <cell r="I3190" t="str">
            <v>ФКРИВООЗЕРСЬКЕ ВІДДІ ВАТОЩАД СМТ.КРИВЕ</v>
          </cell>
          <cell r="J3190" t="str">
            <v>ФКривоозерське віддіВАТОщад</v>
          </cell>
          <cell r="K3190" t="str">
            <v>UOLR</v>
          </cell>
          <cell r="L3190" t="str">
            <v>UOLA</v>
          </cell>
          <cell r="M3190">
            <v>14</v>
          </cell>
          <cell r="N3190">
            <v>26</v>
          </cell>
          <cell r="O3190" t="str">
            <v>Управління НБУ в Микол.обл.</v>
          </cell>
        </row>
        <row r="3191">
          <cell r="A3191">
            <v>386229</v>
          </cell>
          <cell r="B3191">
            <v>300465</v>
          </cell>
          <cell r="D3191">
            <v>0</v>
          </cell>
          <cell r="E3191">
            <v>6</v>
          </cell>
          <cell r="F3191">
            <v>0</v>
          </cell>
          <cell r="G3191" t="str">
            <v>6</v>
          </cell>
          <cell r="H3191">
            <v>621</v>
          </cell>
          <cell r="I3191" t="str">
            <v>ФМИКОЛАЇВСЬКЕ ВІДДІ ВАТОЩАД М.МИКОЛАЇВ</v>
          </cell>
          <cell r="J3191" t="str">
            <v>ФМиколаївське відділВАТОщад</v>
          </cell>
          <cell r="K3191" t="str">
            <v>UOLS</v>
          </cell>
          <cell r="L3191" t="str">
            <v>UOLA</v>
          </cell>
          <cell r="M3191">
            <v>14</v>
          </cell>
          <cell r="N3191">
            <v>26</v>
          </cell>
          <cell r="O3191" t="str">
            <v>Управління НБУ в Микол.обл.</v>
          </cell>
        </row>
        <row r="3192">
          <cell r="A3192">
            <v>386230</v>
          </cell>
          <cell r="B3192">
            <v>300465</v>
          </cell>
          <cell r="D3192">
            <v>0</v>
          </cell>
          <cell r="E3192">
            <v>6</v>
          </cell>
          <cell r="F3192">
            <v>0</v>
          </cell>
          <cell r="G3192" t="str">
            <v>6</v>
          </cell>
          <cell r="H3192">
            <v>622</v>
          </cell>
          <cell r="I3192" t="str">
            <v>ФНОВОБУЗЬКЕ ВІДДІЛЕ ВАТОЩАД М.НОВИЙ БУ</v>
          </cell>
          <cell r="J3192" t="str">
            <v>ФНовобузьке відділенВАТОщад</v>
          </cell>
          <cell r="K3192" t="str">
            <v>UOLT</v>
          </cell>
          <cell r="L3192" t="str">
            <v>UOLA</v>
          </cell>
          <cell r="M3192">
            <v>14</v>
          </cell>
          <cell r="N3192">
            <v>26</v>
          </cell>
          <cell r="O3192" t="str">
            <v>Управління НБУ в Микол.обл.</v>
          </cell>
        </row>
        <row r="3193">
          <cell r="A3193">
            <v>386241</v>
          </cell>
          <cell r="B3193">
            <v>321767</v>
          </cell>
          <cell r="D3193">
            <v>0</v>
          </cell>
          <cell r="E3193">
            <v>42</v>
          </cell>
          <cell r="F3193">
            <v>0</v>
          </cell>
          <cell r="G3193" t="str">
            <v>B</v>
          </cell>
          <cell r="H3193">
            <v>795</v>
          </cell>
          <cell r="I3193" t="str">
            <v>МИКОЛАЇВ. Ф ВАТ ВТБ БАНК, М.МИКОЛАЇВ</v>
          </cell>
          <cell r="J3193" t="str">
            <v>Миколаїв. Ф ВАТ ВТБ Банк</v>
          </cell>
          <cell r="K3193" t="str">
            <v>UONH</v>
          </cell>
          <cell r="L3193" t="str">
            <v>UONH</v>
          </cell>
          <cell r="M3193">
            <v>14</v>
          </cell>
          <cell r="N3193">
            <v>26</v>
          </cell>
          <cell r="O3193" t="str">
            <v>Управління НБУ в Микол.обл.</v>
          </cell>
        </row>
        <row r="3194">
          <cell r="A3194">
            <v>386252</v>
          </cell>
          <cell r="B3194">
            <v>300465</v>
          </cell>
          <cell r="D3194">
            <v>0</v>
          </cell>
          <cell r="E3194">
            <v>6</v>
          </cell>
          <cell r="F3194">
            <v>0</v>
          </cell>
          <cell r="G3194" t="str">
            <v>6</v>
          </cell>
          <cell r="H3194">
            <v>624</v>
          </cell>
          <cell r="I3194" t="str">
            <v>ФОЧАКІВСЬКЕ ВІДДІЛЕНН ВАТОЩАД М.ОЧАКІВ</v>
          </cell>
          <cell r="J3194" t="str">
            <v>ФОчаківське відділенВАТОщад</v>
          </cell>
          <cell r="K3194" t="str">
            <v>UOLV</v>
          </cell>
          <cell r="L3194" t="str">
            <v>UOLA</v>
          </cell>
          <cell r="M3194">
            <v>14</v>
          </cell>
          <cell r="N3194">
            <v>26</v>
          </cell>
          <cell r="O3194" t="str">
            <v>Управління НБУ в Микол.обл.</v>
          </cell>
        </row>
        <row r="3195">
          <cell r="A3195">
            <v>386360</v>
          </cell>
          <cell r="B3195">
            <v>300465</v>
          </cell>
          <cell r="D3195">
            <v>0</v>
          </cell>
          <cell r="E3195">
            <v>6</v>
          </cell>
          <cell r="F3195">
            <v>0</v>
          </cell>
          <cell r="G3195" t="str">
            <v>6</v>
          </cell>
          <cell r="H3195">
            <v>602</v>
          </cell>
          <cell r="I3195" t="str">
            <v>ФЮЖНОУКРАЇНСЬКЕ ВІД ВАТОЩАД М.ЮЖНОУКРА</v>
          </cell>
          <cell r="J3195" t="str">
            <v>ФЮжноукраїнське віддВАТОщад</v>
          </cell>
          <cell r="K3195" t="str">
            <v>UOLY</v>
          </cell>
          <cell r="L3195" t="str">
            <v>UOLA</v>
          </cell>
          <cell r="M3195">
            <v>14</v>
          </cell>
          <cell r="N3195">
            <v>26</v>
          </cell>
          <cell r="O3195" t="str">
            <v>Управління НБУ в Микол.обл.</v>
          </cell>
        </row>
        <row r="3196">
          <cell r="A3196">
            <v>386393</v>
          </cell>
          <cell r="B3196">
            <v>300465</v>
          </cell>
          <cell r="D3196">
            <v>0</v>
          </cell>
          <cell r="E3196">
            <v>6</v>
          </cell>
          <cell r="F3196">
            <v>0</v>
          </cell>
          <cell r="G3196" t="str">
            <v>6</v>
          </cell>
          <cell r="H3196">
            <v>625</v>
          </cell>
          <cell r="I3196" t="str">
            <v>ФПЕРВОМАЙСЬКЕ ВІДДІ ВАТОЩАД М.ПЕРВОМАЙ</v>
          </cell>
          <cell r="J3196" t="str">
            <v>ФПервомайське відділВАТОщад</v>
          </cell>
          <cell r="K3196" t="str">
            <v>UOLW</v>
          </cell>
          <cell r="L3196" t="str">
            <v>UOLA</v>
          </cell>
          <cell r="M3196">
            <v>14</v>
          </cell>
          <cell r="N3196">
            <v>26</v>
          </cell>
          <cell r="O3196" t="str">
            <v>Управління НБУ в Микол.обл.</v>
          </cell>
        </row>
        <row r="3197">
          <cell r="A3197">
            <v>386423</v>
          </cell>
          <cell r="B3197">
            <v>300670</v>
          </cell>
          <cell r="D3197">
            <v>0</v>
          </cell>
          <cell r="E3197">
            <v>202</v>
          </cell>
          <cell r="F3197">
            <v>0</v>
          </cell>
          <cell r="G3197" t="str">
            <v>8</v>
          </cell>
          <cell r="H3197">
            <v>700</v>
          </cell>
          <cell r="I3197" t="str">
            <v>МФ ВАТ КБ "ХРЕЩАТИК" М.МИКОЛАЇВ</v>
          </cell>
          <cell r="J3197" t="str">
            <v>Миколаївська ФВАТ"ХРЕЩАТИК"</v>
          </cell>
          <cell r="K3197" t="str">
            <v>UONG</v>
          </cell>
          <cell r="L3197" t="str">
            <v>UONG</v>
          </cell>
          <cell r="M3197">
            <v>14</v>
          </cell>
          <cell r="N3197">
            <v>26</v>
          </cell>
          <cell r="O3197" t="str">
            <v>Управління НБУ в Микол.обл.</v>
          </cell>
        </row>
        <row r="3198">
          <cell r="A3198">
            <v>388001</v>
          </cell>
          <cell r="B3198">
            <v>300272</v>
          </cell>
          <cell r="D3198">
            <v>0</v>
          </cell>
          <cell r="E3198">
            <v>31</v>
          </cell>
          <cell r="F3198">
            <v>0</v>
          </cell>
          <cell r="G3198" t="str">
            <v>B</v>
          </cell>
          <cell r="H3198">
            <v>803</v>
          </cell>
          <cell r="I3198" t="str">
            <v>ФІЛІЯ АБ "ЕНЕРГОБАНК"ВМ.ОДЕСА, М.ОДЕСА</v>
          </cell>
          <cell r="J3198" t="str">
            <v>Філ.АБ"Енергобанк"в м.Одеса</v>
          </cell>
          <cell r="K3198" t="str">
            <v>UPFE</v>
          </cell>
          <cell r="L3198" t="str">
            <v>UPFE</v>
          </cell>
          <cell r="M3198">
            <v>15</v>
          </cell>
          <cell r="N3198">
            <v>26</v>
          </cell>
          <cell r="O3198" t="str">
            <v>Управління НБУ в Одес.обл.</v>
          </cell>
        </row>
        <row r="3199">
          <cell r="A3199">
            <v>388045</v>
          </cell>
          <cell r="B3199">
            <v>300465</v>
          </cell>
          <cell r="D3199">
            <v>0</v>
          </cell>
          <cell r="E3199">
            <v>6</v>
          </cell>
          <cell r="F3199">
            <v>0</v>
          </cell>
          <cell r="G3199" t="str">
            <v>6</v>
          </cell>
          <cell r="H3199">
            <v>614</v>
          </cell>
          <cell r="I3199" t="str">
            <v>ФБIЛЯЇВСЬКЕ ВІДДІЛЕ ВАТОЩАД М.БІЛЯЇВКА</v>
          </cell>
          <cell r="J3199" t="str">
            <v>ФБiляївське відділенВАТОщад</v>
          </cell>
          <cell r="K3199" t="str">
            <v>UPLO</v>
          </cell>
          <cell r="L3199" t="str">
            <v>UPLB</v>
          </cell>
          <cell r="M3199">
            <v>15</v>
          </cell>
          <cell r="N3199">
            <v>26</v>
          </cell>
          <cell r="O3199" t="str">
            <v>Управління НБУ в Одес.обл.</v>
          </cell>
        </row>
        <row r="3200">
          <cell r="A3200">
            <v>388078</v>
          </cell>
          <cell r="B3200">
            <v>300465</v>
          </cell>
          <cell r="D3200">
            <v>0</v>
          </cell>
          <cell r="E3200">
            <v>6</v>
          </cell>
          <cell r="F3200">
            <v>0</v>
          </cell>
          <cell r="G3200" t="str">
            <v>6</v>
          </cell>
          <cell r="H3200">
            <v>604</v>
          </cell>
          <cell r="I3200" t="str">
            <v>ФОДЕСЬКЕ МІСЬКЕ ВІДДІЛ ВАТОЩАД М.ОДЕСА</v>
          </cell>
          <cell r="J3200" t="str">
            <v>ФОдеське міське віддВАТОщад</v>
          </cell>
          <cell r="K3200" t="str">
            <v>UPLE</v>
          </cell>
          <cell r="L3200" t="str">
            <v>UPLB</v>
          </cell>
          <cell r="M3200">
            <v>15</v>
          </cell>
          <cell r="N3200">
            <v>26</v>
          </cell>
          <cell r="O3200" t="str">
            <v>Управління НБУ в Одес.обл.</v>
          </cell>
        </row>
        <row r="3201">
          <cell r="A3201">
            <v>388108</v>
          </cell>
          <cell r="B3201">
            <v>300465</v>
          </cell>
          <cell r="D3201">
            <v>0</v>
          </cell>
          <cell r="E3201">
            <v>6</v>
          </cell>
          <cell r="F3201">
            <v>0</v>
          </cell>
          <cell r="G3201" t="str">
            <v>6</v>
          </cell>
          <cell r="H3201">
            <v>617</v>
          </cell>
          <cell r="I3201" t="str">
            <v>ФВЕЛИКОМИХАЙЛІВСЬКЕ ВАТОЩАД СМТ.ВЕЛИКА</v>
          </cell>
          <cell r="J3201" t="str">
            <v>ФВеликомихайлівське ВАТОщад</v>
          </cell>
          <cell r="K3201" t="str">
            <v>UPLR</v>
          </cell>
          <cell r="L3201" t="str">
            <v>UPLB</v>
          </cell>
          <cell r="M3201">
            <v>15</v>
          </cell>
          <cell r="N3201">
            <v>26</v>
          </cell>
          <cell r="O3201" t="str">
            <v>Управління НБУ в Одес.обл.</v>
          </cell>
        </row>
        <row r="3202">
          <cell r="A3202">
            <v>388119</v>
          </cell>
          <cell r="B3202">
            <v>300465</v>
          </cell>
          <cell r="D3202">
            <v>0</v>
          </cell>
          <cell r="E3202">
            <v>6</v>
          </cell>
          <cell r="F3202">
            <v>0</v>
          </cell>
          <cell r="G3202" t="str">
            <v>6</v>
          </cell>
          <cell r="H3202">
            <v>618</v>
          </cell>
          <cell r="I3202" t="str">
            <v>ФІВАНІВСЬКЕ ВІДДІЛЕ ВАТОЩАД СМТ.ІВАНІВ</v>
          </cell>
          <cell r="J3202" t="str">
            <v>ФІванівське відділенВАТОщад</v>
          </cell>
          <cell r="K3202" t="str">
            <v>UPLS</v>
          </cell>
          <cell r="L3202" t="str">
            <v>UPLB</v>
          </cell>
          <cell r="M3202">
            <v>15</v>
          </cell>
          <cell r="N3202">
            <v>26</v>
          </cell>
          <cell r="O3202" t="str">
            <v>Управління НБУ в Одес.обл.</v>
          </cell>
        </row>
        <row r="3203">
          <cell r="A3203">
            <v>388120</v>
          </cell>
          <cell r="B3203">
            <v>300465</v>
          </cell>
          <cell r="D3203">
            <v>0</v>
          </cell>
          <cell r="E3203">
            <v>6</v>
          </cell>
          <cell r="F3203">
            <v>0</v>
          </cell>
          <cell r="G3203" t="str">
            <v>6</v>
          </cell>
          <cell r="H3203">
            <v>619</v>
          </cell>
          <cell r="I3203" t="str">
            <v>ФІЗМАЇЛЬСЬКЕ ВІДДІЛЕН ВАТОЩАД М.ІЗМАЇЛ</v>
          </cell>
          <cell r="J3203" t="str">
            <v>ФІзмаїльське відділеВАТОщад</v>
          </cell>
          <cell r="K3203" t="str">
            <v>UPLT</v>
          </cell>
          <cell r="L3203" t="str">
            <v>UPLB</v>
          </cell>
          <cell r="M3203">
            <v>15</v>
          </cell>
          <cell r="N3203">
            <v>26</v>
          </cell>
          <cell r="O3203" t="str">
            <v>Управління НБУ в Одес.обл.</v>
          </cell>
        </row>
        <row r="3204">
          <cell r="A3204">
            <v>388142</v>
          </cell>
          <cell r="B3204">
            <v>300465</v>
          </cell>
          <cell r="D3204">
            <v>0</v>
          </cell>
          <cell r="E3204">
            <v>6</v>
          </cell>
          <cell r="F3204">
            <v>0</v>
          </cell>
          <cell r="G3204" t="str">
            <v>6</v>
          </cell>
          <cell r="H3204">
            <v>611</v>
          </cell>
          <cell r="I3204" t="str">
            <v>ФАРЦИЗЬКЕ ВІДДІЛЕННЯ № ВАТОЩАД М.АРЦИЗ</v>
          </cell>
          <cell r="J3204" t="str">
            <v>ФАрцизьке відділенняВАТОщад</v>
          </cell>
          <cell r="K3204" t="str">
            <v>UPLL</v>
          </cell>
          <cell r="L3204" t="str">
            <v>UPLB</v>
          </cell>
          <cell r="M3204">
            <v>15</v>
          </cell>
          <cell r="N3204">
            <v>26</v>
          </cell>
          <cell r="O3204" t="str">
            <v>Управління НБУ в Одес.обл.</v>
          </cell>
        </row>
        <row r="3205">
          <cell r="A3205">
            <v>388153</v>
          </cell>
          <cell r="B3205">
            <v>300465</v>
          </cell>
          <cell r="D3205">
            <v>0</v>
          </cell>
          <cell r="E3205">
            <v>6</v>
          </cell>
          <cell r="F3205">
            <v>0</v>
          </cell>
          <cell r="G3205" t="str">
            <v>6</v>
          </cell>
          <cell r="H3205">
            <v>612</v>
          </cell>
          <cell r="I3205" t="str">
            <v>ФБАЛТСЬКЕ ВІДДІЛЕННЯ № ВАТОЩАД М.БАЛТА</v>
          </cell>
          <cell r="J3205" t="str">
            <v>ФБалтське відділенняВАТОщад</v>
          </cell>
          <cell r="K3205" t="str">
            <v>UPLM</v>
          </cell>
          <cell r="L3205" t="str">
            <v>UPLB</v>
          </cell>
          <cell r="M3205">
            <v>15</v>
          </cell>
          <cell r="N3205">
            <v>26</v>
          </cell>
          <cell r="O3205" t="str">
            <v>Управління НБУ в Одес.обл.</v>
          </cell>
        </row>
        <row r="3206">
          <cell r="A3206">
            <v>388164</v>
          </cell>
          <cell r="B3206">
            <v>300465</v>
          </cell>
          <cell r="D3206">
            <v>0</v>
          </cell>
          <cell r="E3206">
            <v>6</v>
          </cell>
          <cell r="F3206">
            <v>0</v>
          </cell>
          <cell r="G3206" t="str">
            <v>6</v>
          </cell>
          <cell r="H3206">
            <v>626</v>
          </cell>
          <cell r="I3206" t="str">
            <v>ФЛЮБАШІВСЬКЕ ВІДДІЛ ВАТОЩАД СМТ.ЛЮБАШІ</v>
          </cell>
          <cell r="J3206" t="str">
            <v>ФЛюбашівське відділеВАТОщад</v>
          </cell>
          <cell r="K3206" t="str">
            <v>UPMA</v>
          </cell>
          <cell r="L3206" t="str">
            <v>UPLB</v>
          </cell>
          <cell r="M3206">
            <v>15</v>
          </cell>
          <cell r="N3206">
            <v>26</v>
          </cell>
          <cell r="O3206" t="str">
            <v>Управління НБУ в Одес.обл.</v>
          </cell>
        </row>
        <row r="3207">
          <cell r="A3207">
            <v>388175</v>
          </cell>
          <cell r="B3207">
            <v>300465</v>
          </cell>
          <cell r="D3207">
            <v>0</v>
          </cell>
          <cell r="E3207">
            <v>6</v>
          </cell>
          <cell r="F3207">
            <v>0</v>
          </cell>
          <cell r="G3207" t="str">
            <v>6</v>
          </cell>
          <cell r="H3207">
            <v>627</v>
          </cell>
          <cell r="I3207" t="str">
            <v>ФМИКОЛАЇВСЬКЕ ВІДДІ ВАТОЩАД СМТ.МИКОЛА</v>
          </cell>
          <cell r="J3207" t="str">
            <v>ФМиколаївське відділВАТОщад</v>
          </cell>
          <cell r="K3207" t="str">
            <v>UPMB</v>
          </cell>
          <cell r="L3207" t="str">
            <v>UPLB</v>
          </cell>
          <cell r="M3207">
            <v>15</v>
          </cell>
          <cell r="N3207">
            <v>26</v>
          </cell>
          <cell r="O3207" t="str">
            <v>Управління НБУ в Одес.обл.</v>
          </cell>
        </row>
        <row r="3208">
          <cell r="A3208">
            <v>388186</v>
          </cell>
          <cell r="B3208">
            <v>300465</v>
          </cell>
          <cell r="D3208">
            <v>0</v>
          </cell>
          <cell r="E3208">
            <v>6</v>
          </cell>
          <cell r="F3208">
            <v>0</v>
          </cell>
          <cell r="G3208" t="str">
            <v>6</v>
          </cell>
          <cell r="H3208">
            <v>615</v>
          </cell>
          <cell r="I3208" t="str">
            <v>ФБЕРЕЗІВСЬКЕ ВІДДІЛ ВАТОЩАД М.БЕРЕЗІВК</v>
          </cell>
          <cell r="J3208" t="str">
            <v>ФБерезівське відділеВАТОщад</v>
          </cell>
          <cell r="K3208" t="str">
            <v>UPLP</v>
          </cell>
          <cell r="L3208" t="str">
            <v>UPLB</v>
          </cell>
          <cell r="M3208">
            <v>15</v>
          </cell>
          <cell r="N3208">
            <v>26</v>
          </cell>
          <cell r="O3208" t="str">
            <v>Управління НБУ в Одес.обл.</v>
          </cell>
        </row>
        <row r="3209">
          <cell r="A3209">
            <v>388197</v>
          </cell>
          <cell r="B3209">
            <v>300465</v>
          </cell>
          <cell r="D3209">
            <v>0</v>
          </cell>
          <cell r="E3209">
            <v>6</v>
          </cell>
          <cell r="F3209">
            <v>0</v>
          </cell>
          <cell r="G3209" t="str">
            <v>6</v>
          </cell>
          <cell r="H3209">
            <v>616</v>
          </cell>
          <cell r="I3209" t="str">
            <v>ФБОЛГРАДСЬКЕ ВІДДІЛЕ ВАТОЩАД М.БОЛГРАД</v>
          </cell>
          <cell r="J3209" t="str">
            <v>ФБолградське відділеВАТОщад</v>
          </cell>
          <cell r="K3209" t="str">
            <v>UPLQ</v>
          </cell>
          <cell r="L3209" t="str">
            <v>UPLB</v>
          </cell>
          <cell r="M3209">
            <v>15</v>
          </cell>
          <cell r="N3209">
            <v>26</v>
          </cell>
          <cell r="O3209" t="str">
            <v>Управління НБУ в Одес.обл.</v>
          </cell>
        </row>
        <row r="3210">
          <cell r="A3210">
            <v>388205</v>
          </cell>
          <cell r="B3210">
            <v>300465</v>
          </cell>
          <cell r="D3210">
            <v>0</v>
          </cell>
          <cell r="E3210">
            <v>6</v>
          </cell>
          <cell r="F3210">
            <v>0</v>
          </cell>
          <cell r="G3210" t="str">
            <v>6</v>
          </cell>
          <cell r="H3210">
            <v>630</v>
          </cell>
          <cell r="I3210" t="str">
            <v>ФРЕНІЙСЬКЕ ВІДДІЛЕННЯ № ВАТОЩАД М.РЕНІ</v>
          </cell>
          <cell r="J3210" t="str">
            <v>ФРенійське відділеннВАТОщад</v>
          </cell>
          <cell r="K3210" t="str">
            <v>UPME</v>
          </cell>
          <cell r="L3210" t="str">
            <v>UPLB</v>
          </cell>
          <cell r="M3210">
            <v>15</v>
          </cell>
          <cell r="N3210">
            <v>26</v>
          </cell>
          <cell r="O3210" t="str">
            <v>Управління НБУ в Одес.обл.</v>
          </cell>
        </row>
        <row r="3211">
          <cell r="A3211">
            <v>388227</v>
          </cell>
          <cell r="B3211">
            <v>300465</v>
          </cell>
          <cell r="D3211">
            <v>0</v>
          </cell>
          <cell r="E3211">
            <v>6</v>
          </cell>
          <cell r="F3211">
            <v>0</v>
          </cell>
          <cell r="G3211" t="str">
            <v>6</v>
          </cell>
          <cell r="H3211">
            <v>629</v>
          </cell>
          <cell r="I3211" t="str">
            <v>ФРОЗДІЛЬНЯНСЬКЕ ВІД ВАТОЩАД М.РОЗДІЛЬН</v>
          </cell>
          <cell r="J3211" t="str">
            <v>ФРоздільнянське віддВАТОщад</v>
          </cell>
          <cell r="K3211" t="str">
            <v>UPMD</v>
          </cell>
          <cell r="L3211" t="str">
            <v>UPLB</v>
          </cell>
          <cell r="M3211">
            <v>15</v>
          </cell>
          <cell r="N3211">
            <v>26</v>
          </cell>
          <cell r="O3211" t="str">
            <v>Управління НБУ в Одес.обл.</v>
          </cell>
        </row>
        <row r="3212">
          <cell r="A3212">
            <v>388238</v>
          </cell>
          <cell r="B3212">
            <v>300465</v>
          </cell>
          <cell r="D3212">
            <v>0</v>
          </cell>
          <cell r="E3212">
            <v>6</v>
          </cell>
          <cell r="F3212">
            <v>0</v>
          </cell>
          <cell r="G3212" t="str">
            <v>6</v>
          </cell>
          <cell r="H3212">
            <v>620</v>
          </cell>
          <cell r="I3212" t="str">
            <v>ФІЛЛІЧІВСЬКЕ ВІДДІЛ ВАТОЩАД М.ІЛЛІЧІВС</v>
          </cell>
          <cell r="J3212" t="str">
            <v>ФІллічівське відділеВАТОщад</v>
          </cell>
          <cell r="K3212" t="str">
            <v>UPLU</v>
          </cell>
          <cell r="L3212" t="str">
            <v>UPLB</v>
          </cell>
          <cell r="M3212">
            <v>15</v>
          </cell>
          <cell r="N3212">
            <v>26</v>
          </cell>
          <cell r="O3212" t="str">
            <v>Управління НБУ в Одес.обл.</v>
          </cell>
        </row>
        <row r="3213">
          <cell r="A3213">
            <v>388249</v>
          </cell>
          <cell r="B3213">
            <v>300465</v>
          </cell>
          <cell r="D3213">
            <v>0</v>
          </cell>
          <cell r="E3213">
            <v>6</v>
          </cell>
          <cell r="F3213">
            <v>0</v>
          </cell>
          <cell r="G3213" t="str">
            <v>6</v>
          </cell>
          <cell r="H3213">
            <v>621</v>
          </cell>
          <cell r="I3213" t="str">
            <v>ФКІЛІЙСЬКЕ ВІДДІЛЕННЯ  ВАТОЩАД М.КІЛІЯ</v>
          </cell>
          <cell r="J3213" t="str">
            <v>ФКілійське відділеннВАТОщад</v>
          </cell>
          <cell r="K3213" t="str">
            <v>UPLV</v>
          </cell>
          <cell r="L3213" t="str">
            <v>UPLB</v>
          </cell>
          <cell r="M3213">
            <v>15</v>
          </cell>
          <cell r="N3213">
            <v>26</v>
          </cell>
          <cell r="O3213" t="str">
            <v>Управління НБУ в Одес.обл.</v>
          </cell>
        </row>
        <row r="3214">
          <cell r="A3214">
            <v>388261</v>
          </cell>
          <cell r="B3214">
            <v>300465</v>
          </cell>
          <cell r="D3214">
            <v>0</v>
          </cell>
          <cell r="E3214">
            <v>6</v>
          </cell>
          <cell r="F3214">
            <v>0</v>
          </cell>
          <cell r="G3214" t="str">
            <v>6</v>
          </cell>
          <cell r="H3214">
            <v>610</v>
          </cell>
          <cell r="I3214" t="str">
            <v>ФАНАНЬЇВСЬКЕ ВІДДІЛЕ ВАТОЩАД М.АНАНЬЇВ</v>
          </cell>
          <cell r="J3214" t="str">
            <v>ФАнаньївське відділеВАТОщад</v>
          </cell>
          <cell r="K3214" t="str">
            <v>UPLK</v>
          </cell>
          <cell r="L3214" t="str">
            <v>UPLB</v>
          </cell>
          <cell r="M3214">
            <v>15</v>
          </cell>
          <cell r="N3214">
            <v>26</v>
          </cell>
          <cell r="O3214" t="str">
            <v>Управління НБУ в Одес.обл.</v>
          </cell>
        </row>
        <row r="3215">
          <cell r="A3215">
            <v>388272</v>
          </cell>
          <cell r="B3215">
            <v>300465</v>
          </cell>
          <cell r="D3215">
            <v>0</v>
          </cell>
          <cell r="E3215">
            <v>6</v>
          </cell>
          <cell r="F3215">
            <v>0</v>
          </cell>
          <cell r="G3215" t="str">
            <v>6</v>
          </cell>
          <cell r="H3215">
            <v>624</v>
          </cell>
          <cell r="I3215" t="str">
            <v>ФКОТОВСЬКЕ ВІДДІЛЕН ВАТОЩАД М.КОТОВСЬК</v>
          </cell>
          <cell r="J3215" t="str">
            <v>ФКотовське відділеннВАТОщад</v>
          </cell>
          <cell r="K3215" t="str">
            <v>UPLY</v>
          </cell>
          <cell r="L3215" t="str">
            <v>UPLB</v>
          </cell>
          <cell r="M3215">
            <v>15</v>
          </cell>
          <cell r="N3215">
            <v>26</v>
          </cell>
          <cell r="O3215" t="str">
            <v>Управління НБУ в Одес.обл.</v>
          </cell>
        </row>
        <row r="3216">
          <cell r="A3216">
            <v>388283</v>
          </cell>
          <cell r="B3216">
            <v>300465</v>
          </cell>
          <cell r="D3216">
            <v>0</v>
          </cell>
          <cell r="E3216">
            <v>6</v>
          </cell>
          <cell r="F3216">
            <v>0</v>
          </cell>
          <cell r="G3216" t="str">
            <v>6</v>
          </cell>
          <cell r="H3216">
            <v>625</v>
          </cell>
          <cell r="I3216" t="str">
            <v>ФКРАСНООКНЯНСЬКЕ ВІ ВАТОЩАД СМТ.КРАСНІ</v>
          </cell>
          <cell r="J3216" t="str">
            <v>ФКрасноокнянське відВАТОщад</v>
          </cell>
          <cell r="K3216" t="str">
            <v>UPLZ</v>
          </cell>
          <cell r="L3216" t="str">
            <v>UPLB</v>
          </cell>
          <cell r="M3216">
            <v>15</v>
          </cell>
          <cell r="N3216">
            <v>26</v>
          </cell>
          <cell r="O3216" t="str">
            <v>Управління НБУ в Одес.обл.</v>
          </cell>
        </row>
        <row r="3217">
          <cell r="A3217">
            <v>388294</v>
          </cell>
          <cell r="B3217">
            <v>300926</v>
          </cell>
          <cell r="D3217">
            <v>0</v>
          </cell>
          <cell r="E3217">
            <v>899</v>
          </cell>
          <cell r="F3217">
            <v>0</v>
          </cell>
          <cell r="G3217" t="str">
            <v>8</v>
          </cell>
          <cell r="H3217">
            <v>804</v>
          </cell>
          <cell r="I3217" t="str">
            <v>ПРИМОРСЬКА ФАТ "УФГ", М.ОДЕСА</v>
          </cell>
          <cell r="J3217" t="str">
            <v>Приморська ФАТ УФГ, м.Одеса</v>
          </cell>
          <cell r="K3217" t="str">
            <v>UPW4</v>
          </cell>
          <cell r="L3217" t="str">
            <v>U1WF</v>
          </cell>
          <cell r="M3217">
            <v>15</v>
          </cell>
          <cell r="N3217">
            <v>26</v>
          </cell>
          <cell r="O3217" t="str">
            <v>Управління НБУ в Одес.обл.</v>
          </cell>
        </row>
        <row r="3218">
          <cell r="A3218">
            <v>388313</v>
          </cell>
          <cell r="B3218">
            <v>388313</v>
          </cell>
          <cell r="C3218" t="str">
            <v>ТОВ КБ "СКБ"</v>
          </cell>
          <cell r="D3218">
            <v>308</v>
          </cell>
          <cell r="E3218">
            <v>308</v>
          </cell>
          <cell r="F3218">
            <v>0</v>
          </cell>
          <cell r="G3218" t="str">
            <v>8</v>
          </cell>
          <cell r="H3218">
            <v>742</v>
          </cell>
          <cell r="I3218" t="str">
            <v>ТОВ КБ "СКБ", М.ОДЕСА</v>
          </cell>
          <cell r="J3218" t="str">
            <v>ТОВ КБ "СКБ"</v>
          </cell>
          <cell r="K3218" t="str">
            <v>UPJZ</v>
          </cell>
          <cell r="L3218" t="str">
            <v>UPJZ</v>
          </cell>
          <cell r="M3218">
            <v>15</v>
          </cell>
          <cell r="N3218">
            <v>15</v>
          </cell>
          <cell r="O3218" t="str">
            <v>Управління НБУ в Одес.обл.</v>
          </cell>
        </row>
        <row r="3219">
          <cell r="A3219">
            <v>388324</v>
          </cell>
          <cell r="B3219">
            <v>300670</v>
          </cell>
          <cell r="D3219">
            <v>0</v>
          </cell>
          <cell r="E3219">
            <v>202</v>
          </cell>
          <cell r="F3219">
            <v>0</v>
          </cell>
          <cell r="G3219" t="str">
            <v>8</v>
          </cell>
          <cell r="H3219">
            <v>743</v>
          </cell>
          <cell r="I3219" t="str">
            <v>ОДЕСЬКА ФВАТ КБ "ХРЕЩАТИК", М.ОДЕСА</v>
          </cell>
          <cell r="J3219" t="str">
            <v>Одеська ФВАТ КБ "Хрещатик"</v>
          </cell>
          <cell r="K3219" t="str">
            <v>UPJW</v>
          </cell>
          <cell r="L3219" t="str">
            <v>UPJW</v>
          </cell>
          <cell r="M3219">
            <v>15</v>
          </cell>
          <cell r="N3219">
            <v>26</v>
          </cell>
          <cell r="O3219" t="str">
            <v>Управління НБУ в Одес.обл.</v>
          </cell>
        </row>
        <row r="3220">
          <cell r="A3220">
            <v>388335</v>
          </cell>
          <cell r="B3220">
            <v>300614</v>
          </cell>
          <cell r="D3220">
            <v>0</v>
          </cell>
          <cell r="E3220">
            <v>171</v>
          </cell>
          <cell r="F3220">
            <v>0</v>
          </cell>
          <cell r="G3220" t="str">
            <v>8</v>
          </cell>
          <cell r="H3220">
            <v>757</v>
          </cell>
          <cell r="I3220" t="str">
            <v>Ф-Я ОД АТ"ІНДЕКС-БАНК" В М.ОДЕСА</v>
          </cell>
          <cell r="J3220" t="str">
            <v>Філія ОД АТ"ІНДЕКС-БАНК"</v>
          </cell>
          <cell r="K3220" t="str">
            <v>UPKH</v>
          </cell>
          <cell r="L3220" t="str">
            <v>UPKH</v>
          </cell>
          <cell r="M3220">
            <v>15</v>
          </cell>
          <cell r="N3220">
            <v>26</v>
          </cell>
          <cell r="O3220" t="str">
            <v>Управління НБУ в Одес.обл.</v>
          </cell>
        </row>
        <row r="3221">
          <cell r="A3221">
            <v>388357</v>
          </cell>
          <cell r="B3221">
            <v>300465</v>
          </cell>
          <cell r="D3221">
            <v>0</v>
          </cell>
          <cell r="E3221">
            <v>6</v>
          </cell>
          <cell r="F3221">
            <v>0</v>
          </cell>
          <cell r="G3221" t="str">
            <v>6</v>
          </cell>
          <cell r="H3221">
            <v>632</v>
          </cell>
          <cell r="I3221" t="str">
            <v>ФСАРАТСЬКЕ ВІДДІЛЕН ВАТОЩАД СМТ.САРАТА</v>
          </cell>
          <cell r="J3221" t="str">
            <v>ФСаратське відділеннВАТОщад</v>
          </cell>
          <cell r="K3221" t="str">
            <v>UPMG</v>
          </cell>
          <cell r="L3221" t="str">
            <v>UPLB</v>
          </cell>
          <cell r="M3221">
            <v>15</v>
          </cell>
          <cell r="N3221">
            <v>26</v>
          </cell>
          <cell r="O3221" t="str">
            <v>Управління НБУ в Одес.обл.</v>
          </cell>
        </row>
        <row r="3222">
          <cell r="A3222">
            <v>388368</v>
          </cell>
          <cell r="B3222">
            <v>300465</v>
          </cell>
          <cell r="D3222">
            <v>0</v>
          </cell>
          <cell r="E3222">
            <v>6</v>
          </cell>
          <cell r="F3222">
            <v>0</v>
          </cell>
          <cell r="G3222" t="str">
            <v>6</v>
          </cell>
          <cell r="H3222">
            <v>633</v>
          </cell>
          <cell r="I3222" t="str">
            <v>ФТАРУТИНСЬКЕ ВІДДІЛ ВАТОЩАД СМТ.ТАРУТИ</v>
          </cell>
          <cell r="J3222" t="str">
            <v>ФТарутинське відділеВАТОщад</v>
          </cell>
          <cell r="K3222" t="str">
            <v>UPMH</v>
          </cell>
          <cell r="L3222" t="str">
            <v>UPLB</v>
          </cell>
          <cell r="M3222">
            <v>15</v>
          </cell>
          <cell r="N3222">
            <v>26</v>
          </cell>
          <cell r="O3222" t="str">
            <v>Управління НБУ в Одес.обл.</v>
          </cell>
        </row>
        <row r="3223">
          <cell r="A3223">
            <v>388379</v>
          </cell>
          <cell r="B3223">
            <v>300465</v>
          </cell>
          <cell r="D3223">
            <v>0</v>
          </cell>
          <cell r="E3223">
            <v>6</v>
          </cell>
          <cell r="F3223">
            <v>0</v>
          </cell>
          <cell r="G3223" t="str">
            <v>6</v>
          </cell>
          <cell r="H3223">
            <v>634</v>
          </cell>
          <cell r="I3223" t="str">
            <v>ФТАТАРБУНАРСЬКЕ ВІД ВАТОЩАД М.ТАТАРБУН</v>
          </cell>
          <cell r="J3223" t="str">
            <v>ФТатарбунарське віддВАТОщад</v>
          </cell>
          <cell r="K3223" t="str">
            <v>UPMI</v>
          </cell>
          <cell r="L3223" t="str">
            <v>UPLB</v>
          </cell>
          <cell r="M3223">
            <v>15</v>
          </cell>
          <cell r="N3223">
            <v>26</v>
          </cell>
          <cell r="O3223" t="str">
            <v>Управління НБУ в Одес.обл.</v>
          </cell>
        </row>
        <row r="3224">
          <cell r="A3224">
            <v>388380</v>
          </cell>
          <cell r="B3224">
            <v>300465</v>
          </cell>
          <cell r="D3224">
            <v>0</v>
          </cell>
          <cell r="E3224">
            <v>6</v>
          </cell>
          <cell r="F3224">
            <v>0</v>
          </cell>
          <cell r="G3224" t="str">
            <v>6</v>
          </cell>
          <cell r="H3224">
            <v>635</v>
          </cell>
          <cell r="I3224" t="str">
            <v>ФФРУНЗІВСЬКЕ ВІДДІЛ ВАТОЩАД СМТ.ФРУНЗІ</v>
          </cell>
          <cell r="J3224" t="str">
            <v>ФФрунзівське відділеВАТОщад</v>
          </cell>
          <cell r="K3224" t="str">
            <v>UPMJ</v>
          </cell>
          <cell r="L3224" t="str">
            <v>UPLB</v>
          </cell>
          <cell r="M3224">
            <v>15</v>
          </cell>
          <cell r="N3224">
            <v>26</v>
          </cell>
          <cell r="O3224" t="str">
            <v>Управління НБУ в Одес.обл.</v>
          </cell>
        </row>
        <row r="3225">
          <cell r="A3225">
            <v>388391</v>
          </cell>
          <cell r="B3225">
            <v>300465</v>
          </cell>
          <cell r="D3225">
            <v>0</v>
          </cell>
          <cell r="E3225">
            <v>6</v>
          </cell>
          <cell r="F3225">
            <v>0</v>
          </cell>
          <cell r="G3225" t="str">
            <v>6</v>
          </cell>
          <cell r="H3225">
            <v>623</v>
          </cell>
          <cell r="I3225" t="str">
            <v>ФКОМІНТЕРНІВСЬКЕ ВІ ВАТОЩАД СМТ.КОМІНТ</v>
          </cell>
          <cell r="J3225" t="str">
            <v>ФКомінтернівське відВАТОщад</v>
          </cell>
          <cell r="K3225" t="str">
            <v>UPLX</v>
          </cell>
          <cell r="L3225" t="str">
            <v>UPLB</v>
          </cell>
          <cell r="M3225">
            <v>15</v>
          </cell>
          <cell r="N3225">
            <v>26</v>
          </cell>
          <cell r="O3225" t="str">
            <v>Управління НБУ в Одес.обл.</v>
          </cell>
        </row>
        <row r="3226">
          <cell r="A3226">
            <v>388409</v>
          </cell>
          <cell r="B3226">
            <v>322948</v>
          </cell>
          <cell r="D3226">
            <v>0</v>
          </cell>
          <cell r="E3226">
            <v>248</v>
          </cell>
          <cell r="F3226">
            <v>0</v>
          </cell>
          <cell r="G3226" t="str">
            <v>B</v>
          </cell>
          <cell r="H3226">
            <v>751</v>
          </cell>
          <cell r="I3226" t="str">
            <v>ОДЕСЬКА ФІЛІЯ АКБ "ФОРУМ" М.ОДЕСА</v>
          </cell>
          <cell r="J3226" t="str">
            <v>Одеська філія АКБ "Форум"</v>
          </cell>
          <cell r="K3226" t="str">
            <v>UPJX</v>
          </cell>
          <cell r="L3226" t="str">
            <v>UPJX</v>
          </cell>
          <cell r="M3226">
            <v>15</v>
          </cell>
          <cell r="N3226">
            <v>26</v>
          </cell>
          <cell r="O3226" t="str">
            <v>Управління НБУ в Одес.обл.</v>
          </cell>
        </row>
        <row r="3227">
          <cell r="A3227">
            <v>388410</v>
          </cell>
          <cell r="B3227">
            <v>321767</v>
          </cell>
          <cell r="D3227">
            <v>0</v>
          </cell>
          <cell r="E3227">
            <v>42</v>
          </cell>
          <cell r="F3227">
            <v>0</v>
          </cell>
          <cell r="G3227" t="str">
            <v>B</v>
          </cell>
          <cell r="H3227">
            <v>765</v>
          </cell>
          <cell r="I3227" t="str">
            <v>ОДЕСЬКА Ф ВАТ ВТБ БАНК, М.ОДЕСА</v>
          </cell>
          <cell r="J3227" t="str">
            <v>Одеська філія ВАТ ВТБ Банк</v>
          </cell>
          <cell r="K3227" t="str">
            <v>UPKA</v>
          </cell>
          <cell r="L3227" t="str">
            <v>UPKA</v>
          </cell>
          <cell r="M3227">
            <v>15</v>
          </cell>
          <cell r="N3227">
            <v>26</v>
          </cell>
          <cell r="O3227" t="str">
            <v>Управління НБУ в Одес.обл.</v>
          </cell>
        </row>
        <row r="3228">
          <cell r="A3228">
            <v>388432</v>
          </cell>
          <cell r="B3228">
            <v>321228</v>
          </cell>
          <cell r="D3228">
            <v>0</v>
          </cell>
          <cell r="E3228">
            <v>68</v>
          </cell>
          <cell r="F3228">
            <v>0</v>
          </cell>
          <cell r="G3228" t="str">
            <v>8</v>
          </cell>
          <cell r="H3228">
            <v>767</v>
          </cell>
          <cell r="I3228" t="str">
            <v>ОДЕСЬКА ФТОВ "УКРПРОМБАНК", М.ОДЕСА</v>
          </cell>
          <cell r="J3228" t="str">
            <v>ОДЕСЬКА Ф-Я ТОВ"УКРПРОМБАНК</v>
          </cell>
          <cell r="K3228" t="str">
            <v>UPKC</v>
          </cell>
          <cell r="L3228" t="str">
            <v>UPKC</v>
          </cell>
          <cell r="M3228">
            <v>15</v>
          </cell>
          <cell r="N3228">
            <v>26</v>
          </cell>
          <cell r="O3228" t="str">
            <v>Управління НБУ в Одес.обл.</v>
          </cell>
        </row>
        <row r="3229">
          <cell r="A3229">
            <v>388454</v>
          </cell>
          <cell r="B3229">
            <v>300249</v>
          </cell>
          <cell r="D3229">
            <v>0</v>
          </cell>
          <cell r="E3229">
            <v>37</v>
          </cell>
          <cell r="F3229">
            <v>0</v>
          </cell>
          <cell r="G3229" t="str">
            <v>8</v>
          </cell>
          <cell r="H3229">
            <v>772</v>
          </cell>
          <cell r="I3229" t="str">
            <v>ОДЕСЬКА ФІЛ.АБ"БРОКБІЗНЕСБАНК",М.ОДЕСА</v>
          </cell>
          <cell r="J3229" t="str">
            <v>Одеська ФАБ"БРОКБІЗНЕСБАНК"</v>
          </cell>
          <cell r="K3229" t="str">
            <v>UPKR</v>
          </cell>
          <cell r="L3229" t="str">
            <v>UPKR</v>
          </cell>
          <cell r="M3229">
            <v>15</v>
          </cell>
          <cell r="N3229">
            <v>26</v>
          </cell>
          <cell r="O3229" t="str">
            <v>Управління НБУ в Одес.обл.</v>
          </cell>
        </row>
        <row r="3230">
          <cell r="A3230">
            <v>388476</v>
          </cell>
          <cell r="B3230">
            <v>300506</v>
          </cell>
          <cell r="D3230">
            <v>0</v>
          </cell>
          <cell r="E3230">
            <v>290</v>
          </cell>
          <cell r="F3230">
            <v>0</v>
          </cell>
          <cell r="G3230" t="str">
            <v>8</v>
          </cell>
          <cell r="H3230">
            <v>761</v>
          </cell>
          <cell r="I3230" t="str">
            <v>ФВАТ"ПЕРШИЙ ІНВЕСТИЦІЙНИЙ БАНК"М.ОДЕСА</v>
          </cell>
          <cell r="J3230" t="str">
            <v>Ф ВАТ "ПершІнвБ" в м.Одеса</v>
          </cell>
          <cell r="K3230" t="str">
            <v>UPKI</v>
          </cell>
          <cell r="L3230" t="str">
            <v>UPKI</v>
          </cell>
          <cell r="M3230">
            <v>15</v>
          </cell>
          <cell r="N3230">
            <v>26</v>
          </cell>
          <cell r="O3230" t="str">
            <v>Управління НБУ в Одес.обл.</v>
          </cell>
        </row>
        <row r="3231">
          <cell r="A3231">
            <v>388487</v>
          </cell>
          <cell r="B3231">
            <v>300863</v>
          </cell>
          <cell r="D3231">
            <v>0</v>
          </cell>
          <cell r="E3231">
            <v>289</v>
          </cell>
          <cell r="F3231">
            <v>0</v>
          </cell>
          <cell r="G3231" t="str">
            <v>9</v>
          </cell>
          <cell r="H3231">
            <v>759</v>
          </cell>
          <cell r="I3231" t="str">
            <v>ОДЕСЬКА ФВАТ"КРЕДИТПРОМБАНК",М.ОДЕСА</v>
          </cell>
          <cell r="J3231" t="str">
            <v>Одеська ФВАТ"Кредитпромбанк</v>
          </cell>
          <cell r="K3231" t="str">
            <v>UPNG</v>
          </cell>
          <cell r="L3231" t="str">
            <v>UPNG</v>
          </cell>
          <cell r="M3231">
            <v>15</v>
          </cell>
          <cell r="N3231">
            <v>26</v>
          </cell>
          <cell r="O3231" t="str">
            <v>Управління НБУ в Одес.обл.</v>
          </cell>
        </row>
        <row r="3232">
          <cell r="A3232">
            <v>388498</v>
          </cell>
          <cell r="B3232">
            <v>328168</v>
          </cell>
          <cell r="D3232">
            <v>0</v>
          </cell>
          <cell r="E3232">
            <v>105</v>
          </cell>
          <cell r="F3232">
            <v>0</v>
          </cell>
          <cell r="G3232" t="str">
            <v>B</v>
          </cell>
          <cell r="H3232">
            <v>747</v>
          </cell>
          <cell r="I3232" t="str">
            <v>ФІЛІЯ ВАТ "МТБ" У М.ІЛЛІЧІВСЬКУ</v>
          </cell>
          <cell r="J3232" t="str">
            <v>ФІЛІЯ ВАТ "МТБ" У М.ІЛЛІЧІВ</v>
          </cell>
          <cell r="K3232" t="str">
            <v>UPJU</v>
          </cell>
          <cell r="L3232" t="str">
            <v>UPJU</v>
          </cell>
          <cell r="M3232">
            <v>15</v>
          </cell>
          <cell r="N3232">
            <v>15</v>
          </cell>
          <cell r="O3232" t="str">
            <v>Управління НБУ в Одес.обл.</v>
          </cell>
        </row>
        <row r="3233">
          <cell r="A3233">
            <v>388506</v>
          </cell>
          <cell r="B3233">
            <v>380300</v>
          </cell>
          <cell r="D3233">
            <v>0</v>
          </cell>
          <cell r="E3233">
            <v>51</v>
          </cell>
          <cell r="F3233">
            <v>0</v>
          </cell>
          <cell r="G3233" t="str">
            <v>8</v>
          </cell>
          <cell r="H3233">
            <v>903</v>
          </cell>
          <cell r="I3233" t="str">
            <v>ОФ ТОВ КБ "АРМА" М.ОДЕСА</v>
          </cell>
          <cell r="J3233" t="str">
            <v>ОФ ТОВ КБ "АРМА"</v>
          </cell>
          <cell r="K3233" t="str">
            <v>UPFF</v>
          </cell>
          <cell r="L3233" t="str">
            <v>UPFF</v>
          </cell>
          <cell r="M3233">
            <v>15</v>
          </cell>
          <cell r="N3233">
            <v>26</v>
          </cell>
          <cell r="O3233" t="str">
            <v>Управління НБУ в Одес.обл.</v>
          </cell>
        </row>
        <row r="3234">
          <cell r="A3234">
            <v>388517</v>
          </cell>
          <cell r="B3234">
            <v>322658</v>
          </cell>
          <cell r="D3234">
            <v>0</v>
          </cell>
          <cell r="E3234">
            <v>217</v>
          </cell>
          <cell r="F3234">
            <v>0</v>
          </cell>
          <cell r="G3234" t="str">
            <v>8</v>
          </cell>
          <cell r="H3234">
            <v>204</v>
          </cell>
          <cell r="I3234" t="str">
            <v>ОДЕСЬКА ФІЛІЯ АКБ"СЄБ", М.ОДЕСА</v>
          </cell>
          <cell r="J3234" t="str">
            <v>Одеська філія АКБ "СЄБ"</v>
          </cell>
          <cell r="K3234" t="str">
            <v>UPFK</v>
          </cell>
          <cell r="L3234" t="str">
            <v>UPFK</v>
          </cell>
          <cell r="M3234">
            <v>15</v>
          </cell>
          <cell r="N3234">
            <v>26</v>
          </cell>
          <cell r="O3234" t="str">
            <v>Управління НБУ в Одес.обл.</v>
          </cell>
        </row>
        <row r="3235">
          <cell r="A3235">
            <v>388528</v>
          </cell>
          <cell r="B3235">
            <v>322294</v>
          </cell>
          <cell r="D3235">
            <v>0</v>
          </cell>
          <cell r="E3235">
            <v>67</v>
          </cell>
          <cell r="F3235">
            <v>0</v>
          </cell>
          <cell r="G3235" t="str">
            <v>8</v>
          </cell>
          <cell r="H3235">
            <v>304</v>
          </cell>
          <cell r="I3235" t="str">
            <v>Ф"ОДЕСЬКЕ РУ"ВАТ"КБ"ЕКСПОБАНК"М.ОДЕСА</v>
          </cell>
          <cell r="J3235" t="str">
            <v>Ф"Одес.РУ"ВАТ"КБ"Експобанк"</v>
          </cell>
          <cell r="K3235" t="str">
            <v>UPFU</v>
          </cell>
          <cell r="L3235" t="str">
            <v>UPFU</v>
          </cell>
          <cell r="M3235">
            <v>15</v>
          </cell>
          <cell r="N3235">
            <v>26</v>
          </cell>
          <cell r="O3235" t="str">
            <v>Управління НБУ в Одес.обл.</v>
          </cell>
        </row>
        <row r="3236">
          <cell r="A3236">
            <v>388539</v>
          </cell>
          <cell r="B3236">
            <v>320940</v>
          </cell>
          <cell r="D3236">
            <v>0</v>
          </cell>
          <cell r="E3236">
            <v>43</v>
          </cell>
          <cell r="F3236">
            <v>0</v>
          </cell>
          <cell r="G3236" t="str">
            <v>8</v>
          </cell>
          <cell r="H3236">
            <v>504</v>
          </cell>
          <cell r="I3236" t="str">
            <v>ФІЛІЯ АБ "АВТОЗАЗБАНК"В М.ОДЕСА</v>
          </cell>
          <cell r="J3236" t="str">
            <v>Ф.АБ"АвтоЗАЗбанк"в м. Одеса</v>
          </cell>
          <cell r="K3236" t="str">
            <v>UPFX</v>
          </cell>
          <cell r="L3236" t="str">
            <v>UPFX</v>
          </cell>
          <cell r="M3236">
            <v>15</v>
          </cell>
          <cell r="N3236">
            <v>26</v>
          </cell>
          <cell r="O3236" t="str">
            <v>Управління НБУ в Одес.обл.</v>
          </cell>
        </row>
        <row r="3237">
          <cell r="A3237">
            <v>388540</v>
          </cell>
          <cell r="B3237">
            <v>300926</v>
          </cell>
          <cell r="D3237">
            <v>0</v>
          </cell>
          <cell r="E3237">
            <v>899</v>
          </cell>
          <cell r="F3237">
            <v>0</v>
          </cell>
          <cell r="G3237" t="str">
            <v>8</v>
          </cell>
          <cell r="H3237">
            <v>904</v>
          </cell>
          <cell r="I3237" t="str">
            <v>Одеська філія АТ "УФГ"</v>
          </cell>
          <cell r="J3237" t="str">
            <v>Одеська філія АТ "УФГ"</v>
          </cell>
          <cell r="K3237" t="str">
            <v>UPFY</v>
          </cell>
          <cell r="L3237" t="str">
            <v>UPFY</v>
          </cell>
          <cell r="M3237">
            <v>15</v>
          </cell>
          <cell r="N3237">
            <v>26</v>
          </cell>
          <cell r="O3237" t="str">
            <v>Управління НБУ в Одес.обл.</v>
          </cell>
        </row>
        <row r="3238">
          <cell r="A3238">
            <v>388573</v>
          </cell>
          <cell r="B3238">
            <v>325912</v>
          </cell>
          <cell r="D3238">
            <v>0</v>
          </cell>
          <cell r="E3238">
            <v>88</v>
          </cell>
          <cell r="F3238">
            <v>0</v>
          </cell>
          <cell r="G3238" t="str">
            <v>B</v>
          </cell>
          <cell r="H3238">
            <v>700</v>
          </cell>
          <cell r="I3238" t="str">
            <v>Одеська філія ВАТ "КРЕДОБАНК"</v>
          </cell>
          <cell r="J3238" t="str">
            <v>Одеська філіяВАТ"КРЕДОБАНК"</v>
          </cell>
          <cell r="K3238" t="str">
            <v>UPNI</v>
          </cell>
          <cell r="L3238" t="str">
            <v>UPNI</v>
          </cell>
          <cell r="M3238">
            <v>15</v>
          </cell>
          <cell r="N3238">
            <v>13</v>
          </cell>
          <cell r="O3238" t="str">
            <v>Управління НБУ в Одес.обл.</v>
          </cell>
        </row>
        <row r="3239">
          <cell r="A3239">
            <v>388584</v>
          </cell>
          <cell r="B3239">
            <v>328384</v>
          </cell>
          <cell r="D3239">
            <v>0</v>
          </cell>
          <cell r="E3239">
            <v>258</v>
          </cell>
          <cell r="F3239">
            <v>0</v>
          </cell>
          <cell r="G3239" t="str">
            <v>8</v>
          </cell>
          <cell r="H3239">
            <v>815</v>
          </cell>
          <cell r="I3239" t="str">
            <v>ФАКБ "ІМЕКСБАНК" У  М. ОДЕСА</v>
          </cell>
          <cell r="J3239" t="str">
            <v>ОДЕСЬКАФ АКБ "ІМЕКСБАНК"</v>
          </cell>
          <cell r="K3239" t="str">
            <v>UPNH</v>
          </cell>
          <cell r="L3239" t="str">
            <v>UPNH</v>
          </cell>
          <cell r="M3239">
            <v>15</v>
          </cell>
          <cell r="N3239">
            <v>15</v>
          </cell>
          <cell r="O3239" t="str">
            <v>Управління НБУ в Одес.обл.</v>
          </cell>
        </row>
        <row r="3240">
          <cell r="A3240">
            <v>388603</v>
          </cell>
          <cell r="B3240">
            <v>328760</v>
          </cell>
          <cell r="D3240">
            <v>0</v>
          </cell>
          <cell r="E3240">
            <v>206</v>
          </cell>
          <cell r="F3240">
            <v>0</v>
          </cell>
          <cell r="G3240" t="str">
            <v>8</v>
          </cell>
          <cell r="H3240">
            <v>885</v>
          </cell>
          <cell r="I3240" t="str">
            <v>ОДЕСЬКА ФІЛІЯ КБ ТОВ "МІСТО БАНК"</v>
          </cell>
          <cell r="J3240" t="str">
            <v>Одеська Ф КБТОВ"Місто Банк"</v>
          </cell>
          <cell r="K3240" t="str">
            <v>UPNM</v>
          </cell>
          <cell r="L3240" t="str">
            <v>UPNM</v>
          </cell>
          <cell r="M3240">
            <v>15</v>
          </cell>
          <cell r="N3240">
            <v>15</v>
          </cell>
          <cell r="O3240" t="str">
            <v>Управління НБУ в Одес.обл.</v>
          </cell>
        </row>
        <row r="3241">
          <cell r="A3241">
            <v>388625</v>
          </cell>
          <cell r="B3241">
            <v>300012</v>
          </cell>
          <cell r="D3241">
            <v>0</v>
          </cell>
          <cell r="E3241">
            <v>3</v>
          </cell>
          <cell r="F3241">
            <v>0</v>
          </cell>
          <cell r="G3241" t="str">
            <v>3</v>
          </cell>
          <cell r="H3241">
            <v>340</v>
          </cell>
          <cell r="I3241" t="str">
            <v>Ф."ВІД.ПІБ В М.ЮЖНИЙ ОДЕСЬКОЇ ОБЛ."</v>
          </cell>
          <cell r="J3241" t="str">
            <v>Ф.Від.ПІБ в м.Южний Од.обл.</v>
          </cell>
          <cell r="K3241" t="str">
            <v>UPAN</v>
          </cell>
          <cell r="L3241" t="str">
            <v>UPA0</v>
          </cell>
          <cell r="M3241">
            <v>15</v>
          </cell>
          <cell r="N3241">
            <v>26</v>
          </cell>
          <cell r="O3241" t="str">
            <v>Управління НБУ в Одес.обл.</v>
          </cell>
        </row>
        <row r="3242">
          <cell r="A3242">
            <v>388755</v>
          </cell>
          <cell r="B3242">
            <v>320702</v>
          </cell>
          <cell r="D3242">
            <v>0</v>
          </cell>
          <cell r="E3242">
            <v>277</v>
          </cell>
          <cell r="F3242">
            <v>0</v>
          </cell>
          <cell r="G3242" t="str">
            <v>8</v>
          </cell>
          <cell r="H3242">
            <v>744</v>
          </cell>
          <cell r="I3242" t="str">
            <v>ФАКБ "НАЦІОНАЛЬНИЙ КРЕДИТ" В М.ОДЕСА</v>
          </cell>
          <cell r="J3242" t="str">
            <v>ФАКБ "НК" в м.Одеса</v>
          </cell>
          <cell r="K3242" t="str">
            <v>UPJO</v>
          </cell>
          <cell r="L3242" t="str">
            <v>UPJO</v>
          </cell>
          <cell r="M3242">
            <v>15</v>
          </cell>
          <cell r="N3242">
            <v>26</v>
          </cell>
          <cell r="O3242" t="str">
            <v>Управління НБУ в Одес.обл.</v>
          </cell>
        </row>
        <row r="3243">
          <cell r="A3243">
            <v>391010</v>
          </cell>
          <cell r="B3243">
            <v>300465</v>
          </cell>
          <cell r="D3243">
            <v>0</v>
          </cell>
          <cell r="E3243">
            <v>6</v>
          </cell>
          <cell r="F3243">
            <v>0</v>
          </cell>
          <cell r="G3243" t="str">
            <v>6</v>
          </cell>
          <cell r="H3243">
            <v>606</v>
          </cell>
          <cell r="I3243" t="str">
            <v>ФВЕЛИКОБАГАЧАНСЬКЕ  ВАТОЩАД СМТ.ВЕЛИКА</v>
          </cell>
          <cell r="J3243" t="str">
            <v>ФВеликобагачанське вВАТОщад</v>
          </cell>
          <cell r="K3243" t="str">
            <v>UQLF</v>
          </cell>
          <cell r="L3243" t="str">
            <v>UQLA</v>
          </cell>
          <cell r="M3243">
            <v>16</v>
          </cell>
          <cell r="N3243">
            <v>26</v>
          </cell>
          <cell r="O3243" t="str">
            <v>Управління НБУ в Полтав.обл</v>
          </cell>
        </row>
        <row r="3244">
          <cell r="A3244">
            <v>391021</v>
          </cell>
          <cell r="B3244">
            <v>300465</v>
          </cell>
          <cell r="D3244">
            <v>0</v>
          </cell>
          <cell r="E3244">
            <v>6</v>
          </cell>
          <cell r="F3244">
            <v>0</v>
          </cell>
          <cell r="G3244" t="str">
            <v>6</v>
          </cell>
          <cell r="H3244">
            <v>623</v>
          </cell>
          <cell r="I3244" t="str">
            <v>ФГАДЯЦЬКЕ ВІДДІЛЕННЯ № ВАТОЩАД М.ГАДЯЧ</v>
          </cell>
          <cell r="J3244" t="str">
            <v>ФГадяцьке відділенняВАТОщад</v>
          </cell>
          <cell r="K3244" t="str">
            <v>UQLG</v>
          </cell>
          <cell r="L3244" t="str">
            <v>UQLA</v>
          </cell>
          <cell r="M3244">
            <v>16</v>
          </cell>
          <cell r="N3244">
            <v>26</v>
          </cell>
          <cell r="O3244" t="str">
            <v>Управління НБУ в Полтав.обл</v>
          </cell>
        </row>
        <row r="3245">
          <cell r="A3245">
            <v>391032</v>
          </cell>
          <cell r="B3245">
            <v>300465</v>
          </cell>
          <cell r="D3245">
            <v>0</v>
          </cell>
          <cell r="E3245">
            <v>6</v>
          </cell>
          <cell r="F3245">
            <v>0</v>
          </cell>
          <cell r="G3245" t="str">
            <v>6</v>
          </cell>
          <cell r="H3245">
            <v>608</v>
          </cell>
          <cell r="I3245" t="str">
            <v>ФГЛОБИНСЬКЕ ВІДДІЛЕН ВАТОЩАД М.ГЛОБИНО</v>
          </cell>
          <cell r="J3245" t="str">
            <v>ФГлобинське відділенВАТОщад</v>
          </cell>
          <cell r="K3245" t="str">
            <v>UQLH</v>
          </cell>
          <cell r="L3245" t="str">
            <v>UQLA</v>
          </cell>
          <cell r="M3245">
            <v>16</v>
          </cell>
          <cell r="N3245">
            <v>26</v>
          </cell>
          <cell r="O3245" t="str">
            <v>Управління НБУ в Полтав.обл</v>
          </cell>
        </row>
        <row r="3246">
          <cell r="A3246">
            <v>391043</v>
          </cell>
          <cell r="B3246">
            <v>300465</v>
          </cell>
          <cell r="D3246">
            <v>0</v>
          </cell>
          <cell r="E3246">
            <v>6</v>
          </cell>
          <cell r="F3246">
            <v>0</v>
          </cell>
          <cell r="G3246" t="str">
            <v>6</v>
          </cell>
          <cell r="H3246">
            <v>625</v>
          </cell>
          <cell r="I3246" t="str">
            <v>ФГРЕБІНКІВСЬКЕ ВІДД ВАТОЩАД М.ГРЕБІНКА</v>
          </cell>
          <cell r="J3246" t="str">
            <v>ФГребінківське віддіВАТОщад</v>
          </cell>
          <cell r="K3246" t="str">
            <v>UQLI</v>
          </cell>
          <cell r="L3246" t="str">
            <v>UQLA</v>
          </cell>
          <cell r="M3246">
            <v>16</v>
          </cell>
          <cell r="N3246">
            <v>26</v>
          </cell>
          <cell r="O3246" t="str">
            <v>Управління НБУ в Полтав.обл</v>
          </cell>
        </row>
        <row r="3247">
          <cell r="A3247">
            <v>391087</v>
          </cell>
          <cell r="B3247">
            <v>300465</v>
          </cell>
          <cell r="D3247">
            <v>0</v>
          </cell>
          <cell r="E3247">
            <v>6</v>
          </cell>
          <cell r="F3247">
            <v>0</v>
          </cell>
          <cell r="G3247" t="str">
            <v>6</v>
          </cell>
          <cell r="H3247">
            <v>629</v>
          </cell>
          <cell r="I3247" t="str">
            <v>ФКОТЕЛЕВСЬКЕ ВІДДІЛ ВАТОЩАД СМТ.КОТЕЛЬ</v>
          </cell>
          <cell r="J3247" t="str">
            <v>ФКотелевське відділеВАТОщад</v>
          </cell>
          <cell r="K3247" t="str">
            <v>UQLP</v>
          </cell>
          <cell r="L3247" t="str">
            <v>UQLA</v>
          </cell>
          <cell r="M3247">
            <v>16</v>
          </cell>
          <cell r="N3247">
            <v>26</v>
          </cell>
          <cell r="O3247" t="str">
            <v>Управління НБУ в Полтав.обл</v>
          </cell>
        </row>
        <row r="3248">
          <cell r="A3248">
            <v>391098</v>
          </cell>
          <cell r="B3248">
            <v>300465</v>
          </cell>
          <cell r="D3248">
            <v>0</v>
          </cell>
          <cell r="E3248">
            <v>6</v>
          </cell>
          <cell r="F3248">
            <v>0</v>
          </cell>
          <cell r="G3248" t="str">
            <v>6</v>
          </cell>
          <cell r="H3248">
            <v>604</v>
          </cell>
          <cell r="I3248" t="str">
            <v>ФОКТЯБРСЬКЕ ВІДДІЛЕН ВАТОЩАД М.ПОЛТАВА</v>
          </cell>
          <cell r="J3248" t="str">
            <v>ФОктябрське відділенВАТОщад</v>
          </cell>
          <cell r="K3248" t="str">
            <v>UQLD</v>
          </cell>
          <cell r="L3248" t="str">
            <v>UQLA</v>
          </cell>
          <cell r="M3248">
            <v>16</v>
          </cell>
          <cell r="N3248">
            <v>26</v>
          </cell>
          <cell r="O3248" t="str">
            <v>Управління НБУ в Полтав.обл</v>
          </cell>
        </row>
        <row r="3249">
          <cell r="A3249">
            <v>391128</v>
          </cell>
          <cell r="B3249">
            <v>300465</v>
          </cell>
          <cell r="D3249">
            <v>0</v>
          </cell>
          <cell r="E3249">
            <v>6</v>
          </cell>
          <cell r="F3249">
            <v>0</v>
          </cell>
          <cell r="G3249" t="str">
            <v>6</v>
          </cell>
          <cell r="H3249">
            <v>617</v>
          </cell>
          <cell r="I3249" t="str">
            <v>ФЛОХВИЦЬКЕ ВІДДІЛЕНН ВАТОЩАД М.ЛОХВИЦЯ</v>
          </cell>
          <cell r="J3249" t="str">
            <v>ФЛохвицьке відділеннВАТОщад</v>
          </cell>
          <cell r="K3249" t="str">
            <v>UQLQ</v>
          </cell>
          <cell r="L3249" t="str">
            <v>UQLA</v>
          </cell>
          <cell r="M3249">
            <v>16</v>
          </cell>
          <cell r="N3249">
            <v>26</v>
          </cell>
          <cell r="O3249" t="str">
            <v>Управління НБУ в Полтав.обл</v>
          </cell>
        </row>
        <row r="3250">
          <cell r="A3250">
            <v>391139</v>
          </cell>
          <cell r="B3250">
            <v>300465</v>
          </cell>
          <cell r="D3250">
            <v>0</v>
          </cell>
          <cell r="E3250">
            <v>6</v>
          </cell>
          <cell r="F3250">
            <v>0</v>
          </cell>
          <cell r="G3250" t="str">
            <v>6</v>
          </cell>
          <cell r="H3250">
            <v>605</v>
          </cell>
          <cell r="I3250" t="str">
            <v>ФМІСЬКЕ ВІДДІЛЕННЯ  ВАТОЩАД М.КРЕМЕНЧУ</v>
          </cell>
          <cell r="J3250" t="str">
            <v>ФМіське відділення №ВАТОщад</v>
          </cell>
          <cell r="K3250" t="str">
            <v>UQLE</v>
          </cell>
          <cell r="L3250" t="str">
            <v>UQLA</v>
          </cell>
          <cell r="M3250">
            <v>16</v>
          </cell>
          <cell r="N3250">
            <v>26</v>
          </cell>
          <cell r="O3250" t="str">
            <v>Управління НБУ в Полтав.обл</v>
          </cell>
        </row>
        <row r="3251">
          <cell r="A3251">
            <v>391151</v>
          </cell>
          <cell r="B3251">
            <v>300465</v>
          </cell>
          <cell r="D3251">
            <v>0</v>
          </cell>
          <cell r="E3251">
            <v>6</v>
          </cell>
          <cell r="F3251">
            <v>0</v>
          </cell>
          <cell r="G3251" t="str">
            <v>6</v>
          </cell>
          <cell r="H3251">
            <v>610</v>
          </cell>
          <cell r="I3251" t="str">
            <v>ФДИКАНСЬКЕ ВІДДІЛЕН ВАТОЩАД СМТ.ДИКАНЬ</v>
          </cell>
          <cell r="J3251" t="str">
            <v>ФДиканське відділеннВАТОщад</v>
          </cell>
          <cell r="K3251" t="str">
            <v>UQLJ</v>
          </cell>
          <cell r="L3251" t="str">
            <v>UQLA</v>
          </cell>
          <cell r="M3251">
            <v>16</v>
          </cell>
          <cell r="N3251">
            <v>26</v>
          </cell>
          <cell r="O3251" t="str">
            <v>Управління НБУ в Полтав.обл</v>
          </cell>
        </row>
        <row r="3252">
          <cell r="A3252">
            <v>391162</v>
          </cell>
          <cell r="B3252">
            <v>300465</v>
          </cell>
          <cell r="D3252">
            <v>0</v>
          </cell>
          <cell r="E3252">
            <v>6</v>
          </cell>
          <cell r="F3252">
            <v>0</v>
          </cell>
          <cell r="G3252" t="str">
            <v>6</v>
          </cell>
          <cell r="H3252">
            <v>611</v>
          </cell>
          <cell r="I3252" t="str">
            <v>ФЗІНЬКІВСЬКЕ ВІДДІЛЕ ВАТОЩАД М.ЗІНЬКІВ</v>
          </cell>
          <cell r="J3252" t="str">
            <v>ФЗіньківське відділеВАТОщад</v>
          </cell>
          <cell r="K3252" t="str">
            <v>UQLK</v>
          </cell>
          <cell r="L3252" t="str">
            <v>UQLA</v>
          </cell>
          <cell r="M3252">
            <v>16</v>
          </cell>
          <cell r="N3252">
            <v>26</v>
          </cell>
          <cell r="O3252" t="str">
            <v>Управління НБУ в Полтав.обл</v>
          </cell>
        </row>
        <row r="3253">
          <cell r="A3253">
            <v>391173</v>
          </cell>
          <cell r="B3253">
            <v>300465</v>
          </cell>
          <cell r="D3253">
            <v>0</v>
          </cell>
          <cell r="E3253">
            <v>6</v>
          </cell>
          <cell r="F3253">
            <v>0</v>
          </cell>
          <cell r="G3253" t="str">
            <v>6</v>
          </cell>
          <cell r="H3253">
            <v>609</v>
          </cell>
          <cell r="I3253" t="str">
            <v>ФКАРЛІВСЬКЕ ВІДДІЛЕ ВАТОЩАД М.КАРЛІВКА</v>
          </cell>
          <cell r="J3253" t="str">
            <v>ФКарлівське відділенВАТОщад</v>
          </cell>
          <cell r="K3253" t="str">
            <v>UQLL</v>
          </cell>
          <cell r="L3253" t="str">
            <v>UQLA</v>
          </cell>
          <cell r="M3253">
            <v>16</v>
          </cell>
          <cell r="N3253">
            <v>26</v>
          </cell>
          <cell r="O3253" t="str">
            <v>Управління НБУ в Полтав.обл</v>
          </cell>
        </row>
        <row r="3254">
          <cell r="A3254">
            <v>391184</v>
          </cell>
          <cell r="B3254">
            <v>300465</v>
          </cell>
          <cell r="D3254">
            <v>0</v>
          </cell>
          <cell r="E3254">
            <v>6</v>
          </cell>
          <cell r="F3254">
            <v>0</v>
          </cell>
          <cell r="G3254" t="str">
            <v>6</v>
          </cell>
          <cell r="H3254">
            <v>613</v>
          </cell>
          <cell r="I3254" t="str">
            <v>ФСЕМЕНІВСЬКЕ ВІДДІЛ ВАТОЩАД СМТ.СЕМЕНІ</v>
          </cell>
          <cell r="J3254" t="str">
            <v>ФСеменівське відділеВАТОщад</v>
          </cell>
          <cell r="K3254" t="str">
            <v>UQLZ</v>
          </cell>
          <cell r="L3254" t="str">
            <v>UQLA</v>
          </cell>
          <cell r="M3254">
            <v>16</v>
          </cell>
          <cell r="N3254">
            <v>26</v>
          </cell>
          <cell r="O3254" t="str">
            <v>Управління НБУ в Полтав.обл</v>
          </cell>
        </row>
        <row r="3255">
          <cell r="A3255">
            <v>391195</v>
          </cell>
          <cell r="B3255">
            <v>300465</v>
          </cell>
          <cell r="D3255">
            <v>0</v>
          </cell>
          <cell r="E3255">
            <v>6</v>
          </cell>
          <cell r="F3255">
            <v>0</v>
          </cell>
          <cell r="G3255" t="str">
            <v>6</v>
          </cell>
          <cell r="H3255">
            <v>614</v>
          </cell>
          <cell r="I3255" t="str">
            <v>ФХОРОЛЬСЬКЕ ВІДДІЛЕННЯ ВАТОЩАД М.ХОРОЛ</v>
          </cell>
          <cell r="J3255" t="str">
            <v>ФХорольське відділенВАТОщад</v>
          </cell>
          <cell r="K3255" t="str">
            <v>UQMA</v>
          </cell>
          <cell r="L3255" t="str">
            <v>UQLA</v>
          </cell>
          <cell r="M3255">
            <v>16</v>
          </cell>
          <cell r="N3255">
            <v>26</v>
          </cell>
          <cell r="O3255" t="str">
            <v>Управління НБУ в Полтав.обл</v>
          </cell>
        </row>
        <row r="3256">
          <cell r="A3256">
            <v>391203</v>
          </cell>
          <cell r="B3256">
            <v>300465</v>
          </cell>
          <cell r="D3256">
            <v>0</v>
          </cell>
          <cell r="E3256">
            <v>6</v>
          </cell>
          <cell r="F3256">
            <v>0</v>
          </cell>
          <cell r="G3256" t="str">
            <v>6</v>
          </cell>
          <cell r="H3256">
            <v>612</v>
          </cell>
          <cell r="I3256" t="str">
            <v>ФРЕШЕТИЛІВСЬКЕ ВІДД ВАТОЩАД СМТ.РЕШЕТИ</v>
          </cell>
          <cell r="J3256" t="str">
            <v>ФРешетилівське віддіВАТОщад</v>
          </cell>
          <cell r="K3256" t="str">
            <v>UQLY</v>
          </cell>
          <cell r="L3256" t="str">
            <v>UQLA</v>
          </cell>
          <cell r="M3256">
            <v>16</v>
          </cell>
          <cell r="N3256">
            <v>26</v>
          </cell>
          <cell r="O3256" t="str">
            <v>Управління НБУ в Полтав.обл</v>
          </cell>
        </row>
        <row r="3257">
          <cell r="A3257">
            <v>391225</v>
          </cell>
          <cell r="B3257">
            <v>300465</v>
          </cell>
          <cell r="D3257">
            <v>0</v>
          </cell>
          <cell r="E3257">
            <v>6</v>
          </cell>
          <cell r="F3257">
            <v>0</v>
          </cell>
          <cell r="G3257" t="str">
            <v>6</v>
          </cell>
          <cell r="H3257">
            <v>627</v>
          </cell>
          <cell r="I3257" t="str">
            <v>ФШИШАЦЬКЕ ВІДДІЛЕНН ВАТОЩАД СМТ.ШИШАКИ</v>
          </cell>
          <cell r="J3257" t="str">
            <v>ФШишацьке відділенняВАТОщад</v>
          </cell>
          <cell r="K3257" t="str">
            <v>UQMD</v>
          </cell>
          <cell r="L3257" t="str">
            <v>UQLA</v>
          </cell>
          <cell r="M3257">
            <v>16</v>
          </cell>
          <cell r="N3257">
            <v>26</v>
          </cell>
          <cell r="O3257" t="str">
            <v>Управління НБУ в Полтав.обл</v>
          </cell>
        </row>
        <row r="3258">
          <cell r="A3258">
            <v>391258</v>
          </cell>
          <cell r="B3258">
            <v>300465</v>
          </cell>
          <cell r="D3258">
            <v>0</v>
          </cell>
          <cell r="E3258">
            <v>6</v>
          </cell>
          <cell r="F3258">
            <v>0</v>
          </cell>
          <cell r="G3258" t="str">
            <v>6</v>
          </cell>
          <cell r="H3258">
            <v>620</v>
          </cell>
          <cell r="I3258" t="str">
            <v>ФМИРГОРОДСЬКЕ ВІДДІ ВАТОЩАД М.МИРГОРОД</v>
          </cell>
          <cell r="J3258" t="str">
            <v>ФМиргородське відділВАТОщад</v>
          </cell>
          <cell r="K3258" t="str">
            <v>UQLT</v>
          </cell>
          <cell r="L3258" t="str">
            <v>UQLA</v>
          </cell>
          <cell r="M3258">
            <v>16</v>
          </cell>
          <cell r="N3258">
            <v>26</v>
          </cell>
          <cell r="O3258" t="str">
            <v>Управління НБУ в Полтав.обл</v>
          </cell>
        </row>
        <row r="3259">
          <cell r="A3259">
            <v>391269</v>
          </cell>
          <cell r="B3259">
            <v>300465</v>
          </cell>
          <cell r="D3259">
            <v>0</v>
          </cell>
          <cell r="E3259">
            <v>6</v>
          </cell>
          <cell r="F3259">
            <v>0</v>
          </cell>
          <cell r="G3259" t="str">
            <v>6</v>
          </cell>
          <cell r="H3259">
            <v>618</v>
          </cell>
          <cell r="I3259" t="str">
            <v>ФЛУБЕНСЬКЕ ВІДДІЛЕННЯ  ВАТОЩАД М.ЛУБНИ</v>
          </cell>
          <cell r="J3259" t="str">
            <v>ФЛубенське відділеннВАТОщад</v>
          </cell>
          <cell r="K3259" t="str">
            <v>UQLR</v>
          </cell>
          <cell r="L3259" t="str">
            <v>UQLA</v>
          </cell>
          <cell r="M3259">
            <v>16</v>
          </cell>
          <cell r="N3259">
            <v>26</v>
          </cell>
          <cell r="O3259" t="str">
            <v>Управління НБУ в Полтав.обл</v>
          </cell>
        </row>
        <row r="3260">
          <cell r="A3260">
            <v>391281</v>
          </cell>
          <cell r="B3260">
            <v>300465</v>
          </cell>
          <cell r="D3260">
            <v>0</v>
          </cell>
          <cell r="E3260">
            <v>6</v>
          </cell>
          <cell r="F3260">
            <v>0</v>
          </cell>
          <cell r="G3260" t="str">
            <v>6</v>
          </cell>
          <cell r="H3260">
            <v>607</v>
          </cell>
          <cell r="I3260" t="str">
            <v>ФПИРЯТИНСЬКЕ ВІДДІЛЕ ВАТОЩАД М.ПИРЯТИН</v>
          </cell>
          <cell r="J3260" t="str">
            <v>ФПирятинське відділеВАТОщад</v>
          </cell>
          <cell r="K3260" t="str">
            <v>UQLW</v>
          </cell>
          <cell r="L3260" t="str">
            <v>UQLA</v>
          </cell>
          <cell r="M3260">
            <v>16</v>
          </cell>
          <cell r="N3260">
            <v>26</v>
          </cell>
          <cell r="O3260" t="str">
            <v>Управління НБУ в Полтав.обл</v>
          </cell>
        </row>
        <row r="3261">
          <cell r="A3261">
            <v>391366</v>
          </cell>
          <cell r="B3261">
            <v>300465</v>
          </cell>
          <cell r="D3261">
            <v>0</v>
          </cell>
          <cell r="E3261">
            <v>6</v>
          </cell>
          <cell r="F3261">
            <v>0</v>
          </cell>
          <cell r="G3261" t="str">
            <v>6</v>
          </cell>
          <cell r="H3261">
            <v>631</v>
          </cell>
          <cell r="I3261" t="str">
            <v>ФКОМСОМОЛЬСЬКЕ ВІДД ВАТОЩАД М.КОМСОМОЛ</v>
          </cell>
          <cell r="J3261" t="str">
            <v>ФКомсомольське віддіВАТОщад</v>
          </cell>
          <cell r="K3261" t="str">
            <v>UQME</v>
          </cell>
          <cell r="L3261" t="str">
            <v>UQLA</v>
          </cell>
          <cell r="M3261">
            <v>16</v>
          </cell>
          <cell r="N3261">
            <v>26</v>
          </cell>
          <cell r="O3261" t="str">
            <v>Управління НБУ в Полтав.обл</v>
          </cell>
        </row>
        <row r="3262">
          <cell r="A3262">
            <v>394017</v>
          </cell>
          <cell r="B3262">
            <v>300465</v>
          </cell>
          <cell r="D3262">
            <v>0</v>
          </cell>
          <cell r="E3262">
            <v>6</v>
          </cell>
          <cell r="F3262">
            <v>0</v>
          </cell>
          <cell r="G3262" t="str">
            <v>6</v>
          </cell>
          <cell r="H3262">
            <v>603</v>
          </cell>
          <cell r="I3262" t="str">
            <v>ФВОРОШИЛОВСЬКЕ ВІДДІ ВАТОЩАД М.ДОНЕЦЬК</v>
          </cell>
          <cell r="J3262" t="str">
            <v>ФВорошиловське віддіВАТОщад</v>
          </cell>
          <cell r="K3262" t="str">
            <v>UDLC</v>
          </cell>
          <cell r="L3262" t="str">
            <v>UDLA</v>
          </cell>
          <cell r="M3262">
            <v>4</v>
          </cell>
          <cell r="N3262">
            <v>26</v>
          </cell>
          <cell r="O3262" t="str">
            <v>Управління НБУ в Донец.обл.</v>
          </cell>
        </row>
        <row r="3263">
          <cell r="A3263">
            <v>394028</v>
          </cell>
          <cell r="B3263">
            <v>300465</v>
          </cell>
          <cell r="D3263">
            <v>0</v>
          </cell>
          <cell r="E3263">
            <v>6</v>
          </cell>
          <cell r="F3263">
            <v>0</v>
          </cell>
          <cell r="G3263" t="str">
            <v>6</v>
          </cell>
          <cell r="H3263">
            <v>604</v>
          </cell>
          <cell r="I3263" t="str">
            <v>ФКАЛIНIНСЬКЕ ВІДДІЛЕ ВАТОЩАД М.ДОНЕЦЬК</v>
          </cell>
          <cell r="J3263" t="str">
            <v>ФКалiнiнське відділеВАТОщад</v>
          </cell>
          <cell r="K3263" t="str">
            <v>UDLD</v>
          </cell>
          <cell r="L3263" t="str">
            <v>UDLA</v>
          </cell>
          <cell r="M3263">
            <v>4</v>
          </cell>
          <cell r="N3263">
            <v>26</v>
          </cell>
          <cell r="O3263" t="str">
            <v>Управління НБУ в Донец.обл.</v>
          </cell>
        </row>
        <row r="3264">
          <cell r="A3264">
            <v>394039</v>
          </cell>
          <cell r="B3264">
            <v>300465</v>
          </cell>
          <cell r="D3264">
            <v>0</v>
          </cell>
          <cell r="E3264">
            <v>6</v>
          </cell>
          <cell r="F3264">
            <v>0</v>
          </cell>
          <cell r="G3264" t="str">
            <v>6</v>
          </cell>
          <cell r="H3264">
            <v>605</v>
          </cell>
          <cell r="I3264" t="str">
            <v>ФКІРОВСЬКЕ ВІДДІЛЕНН ВАТОЩАД М.ДОНЕЦЬК</v>
          </cell>
          <cell r="J3264" t="str">
            <v>ФКіровське відділеннВАТОщад</v>
          </cell>
          <cell r="K3264" t="str">
            <v>UDLE</v>
          </cell>
          <cell r="L3264" t="str">
            <v>UDLA</v>
          </cell>
          <cell r="M3264">
            <v>4</v>
          </cell>
          <cell r="N3264">
            <v>26</v>
          </cell>
          <cell r="O3264" t="str">
            <v>Управління НБУ в Донец.обл.</v>
          </cell>
        </row>
        <row r="3265">
          <cell r="A3265">
            <v>394040</v>
          </cell>
          <cell r="B3265">
            <v>300465</v>
          </cell>
          <cell r="D3265">
            <v>0</v>
          </cell>
          <cell r="E3265">
            <v>6</v>
          </cell>
          <cell r="F3265">
            <v>0</v>
          </cell>
          <cell r="G3265" t="str">
            <v>6</v>
          </cell>
          <cell r="H3265">
            <v>606</v>
          </cell>
          <cell r="I3265" t="str">
            <v>ФКУЙБИШЕВСЬКЕ ВІДДІЛ ВАТОЩАД М.ДОНЕЦЬК</v>
          </cell>
          <cell r="J3265" t="str">
            <v>ФКуйбишевське відділВАТОщад</v>
          </cell>
          <cell r="K3265" t="str">
            <v>UDLF</v>
          </cell>
          <cell r="L3265" t="str">
            <v>UDLA</v>
          </cell>
          <cell r="M3265">
            <v>4</v>
          </cell>
          <cell r="N3265">
            <v>26</v>
          </cell>
          <cell r="O3265" t="str">
            <v>Управління НБУ в Донец.обл.</v>
          </cell>
        </row>
        <row r="3266">
          <cell r="A3266">
            <v>394051</v>
          </cell>
          <cell r="B3266">
            <v>300465</v>
          </cell>
          <cell r="D3266">
            <v>0</v>
          </cell>
          <cell r="E3266">
            <v>6</v>
          </cell>
          <cell r="F3266">
            <v>0</v>
          </cell>
          <cell r="G3266" t="str">
            <v>6</v>
          </cell>
          <cell r="H3266">
            <v>607</v>
          </cell>
          <cell r="I3266" t="str">
            <v>ФПРОЛЕТАРСЬКЕ ВІДДІЛ ВАТОЩАД М.ДОНЕЦЬК</v>
          </cell>
          <cell r="J3266" t="str">
            <v>ФПролетарське відділВАТОщад</v>
          </cell>
          <cell r="K3266" t="str">
            <v>UDLG</v>
          </cell>
          <cell r="L3266" t="str">
            <v>UDLA</v>
          </cell>
          <cell r="M3266">
            <v>4</v>
          </cell>
          <cell r="N3266">
            <v>26</v>
          </cell>
          <cell r="O3266" t="str">
            <v>Управління НБУ в Донец.обл.</v>
          </cell>
        </row>
        <row r="3267">
          <cell r="A3267">
            <v>394062</v>
          </cell>
          <cell r="B3267">
            <v>300465</v>
          </cell>
          <cell r="D3267">
            <v>0</v>
          </cell>
          <cell r="E3267">
            <v>6</v>
          </cell>
          <cell r="F3267">
            <v>0</v>
          </cell>
          <cell r="G3267" t="str">
            <v>6</v>
          </cell>
          <cell r="H3267">
            <v>608</v>
          </cell>
          <cell r="I3267" t="str">
            <v>ФПЕТРОВСЬКЕ ВІДДІЛЕН ВАТОЩАД М.ДОНЕЦЬК</v>
          </cell>
          <cell r="J3267" t="str">
            <v>ФПетровське відділенВАТОщад</v>
          </cell>
          <cell r="K3267" t="str">
            <v>UDLH</v>
          </cell>
          <cell r="L3267" t="str">
            <v>UDLA</v>
          </cell>
          <cell r="M3267">
            <v>4</v>
          </cell>
          <cell r="N3267">
            <v>26</v>
          </cell>
          <cell r="O3267" t="str">
            <v>Управління НБУ в Донец.обл.</v>
          </cell>
        </row>
        <row r="3268">
          <cell r="A3268">
            <v>394073</v>
          </cell>
          <cell r="B3268">
            <v>300465</v>
          </cell>
          <cell r="D3268">
            <v>0</v>
          </cell>
          <cell r="E3268">
            <v>6</v>
          </cell>
          <cell r="F3268">
            <v>0</v>
          </cell>
          <cell r="G3268" t="str">
            <v>6</v>
          </cell>
          <cell r="H3268">
            <v>609</v>
          </cell>
          <cell r="I3268" t="str">
            <v>ФЛЕНIНСЬКЕ ВІДДІЛЕНН ВАТОЩАД М.ДОНЕЦЬК</v>
          </cell>
          <cell r="J3268" t="str">
            <v>ФЛенiнське відділеннВАТОщад</v>
          </cell>
          <cell r="K3268" t="str">
            <v>UDLI</v>
          </cell>
          <cell r="L3268" t="str">
            <v>UDLA</v>
          </cell>
          <cell r="M3268">
            <v>4</v>
          </cell>
          <cell r="N3268">
            <v>26</v>
          </cell>
          <cell r="O3268" t="str">
            <v>Управління НБУ в Донец.обл.</v>
          </cell>
        </row>
        <row r="3269">
          <cell r="A3269">
            <v>394103</v>
          </cell>
          <cell r="B3269">
            <v>300465</v>
          </cell>
          <cell r="D3269">
            <v>0</v>
          </cell>
          <cell r="E3269">
            <v>6</v>
          </cell>
          <cell r="F3269">
            <v>0</v>
          </cell>
          <cell r="G3269" t="str">
            <v>6</v>
          </cell>
          <cell r="H3269">
            <v>612</v>
          </cell>
          <cell r="I3269" t="str">
            <v>ФГОРЛІВСЬКЕ МІСЬКЕ  ВАТОЩАД М.ГОРЛІВКА</v>
          </cell>
          <cell r="J3269" t="str">
            <v>ФГорлівське міське вВАТОщад</v>
          </cell>
          <cell r="K3269" t="str">
            <v>UDLL</v>
          </cell>
          <cell r="L3269" t="str">
            <v>UDLA</v>
          </cell>
          <cell r="M3269">
            <v>4</v>
          </cell>
          <cell r="N3269">
            <v>26</v>
          </cell>
          <cell r="O3269" t="str">
            <v>Управління НБУ в Донец.обл.</v>
          </cell>
        </row>
        <row r="3270">
          <cell r="A3270">
            <v>394114</v>
          </cell>
          <cell r="B3270">
            <v>300465</v>
          </cell>
          <cell r="D3270">
            <v>0</v>
          </cell>
          <cell r="E3270">
            <v>6</v>
          </cell>
          <cell r="F3270">
            <v>0</v>
          </cell>
          <cell r="G3270" t="str">
            <v>6</v>
          </cell>
          <cell r="H3270">
            <v>626</v>
          </cell>
          <cell r="I3270" t="str">
            <v>ФКОСТЯНТИНIВСЬКЕ ВІ ВАТОЩАД М.КОСТЯНТИ</v>
          </cell>
          <cell r="J3270" t="str">
            <v>ФКостянтинiвське відВАТОщад</v>
          </cell>
          <cell r="K3270" t="str">
            <v>UDLZ</v>
          </cell>
          <cell r="L3270" t="str">
            <v>UDLA</v>
          </cell>
          <cell r="M3270">
            <v>4</v>
          </cell>
          <cell r="N3270">
            <v>26</v>
          </cell>
          <cell r="O3270" t="str">
            <v>Управління НБУ в Донец.обл.</v>
          </cell>
        </row>
        <row r="3271">
          <cell r="A3271">
            <v>394125</v>
          </cell>
          <cell r="B3271">
            <v>300465</v>
          </cell>
          <cell r="D3271">
            <v>0</v>
          </cell>
          <cell r="E3271">
            <v>6</v>
          </cell>
          <cell r="F3271">
            <v>0</v>
          </cell>
          <cell r="G3271" t="str">
            <v>6</v>
          </cell>
          <cell r="H3271">
            <v>627</v>
          </cell>
          <cell r="I3271" t="str">
            <v>ФМАКІЇВСЬКЕ МIСЬКЕ  ВАТОЩАД М.МАКІЇВКА</v>
          </cell>
          <cell r="J3271" t="str">
            <v>ФМакіївське мiське вВАТОщад</v>
          </cell>
          <cell r="K3271" t="str">
            <v>UDMA</v>
          </cell>
          <cell r="L3271" t="str">
            <v>UDLA</v>
          </cell>
          <cell r="M3271">
            <v>4</v>
          </cell>
          <cell r="N3271">
            <v>26</v>
          </cell>
          <cell r="O3271" t="str">
            <v>Управління НБУ в Донец.обл.</v>
          </cell>
        </row>
        <row r="3272">
          <cell r="A3272">
            <v>394136</v>
          </cell>
          <cell r="B3272">
            <v>300465</v>
          </cell>
          <cell r="D3272">
            <v>0</v>
          </cell>
          <cell r="E3272">
            <v>6</v>
          </cell>
          <cell r="F3272">
            <v>0</v>
          </cell>
          <cell r="G3272" t="str">
            <v>6</v>
          </cell>
          <cell r="H3272">
            <v>615</v>
          </cell>
          <cell r="I3272" t="str">
            <v>ФДЕБАЛЬЦІВСЬКЕ ВІДД ВАТОЩАД М.ДЕБАЛЬЦЕ</v>
          </cell>
          <cell r="J3272" t="str">
            <v>ФДебальцівське віддіВАТОщад</v>
          </cell>
          <cell r="K3272" t="str">
            <v>UDLO</v>
          </cell>
          <cell r="L3272" t="str">
            <v>UDLA</v>
          </cell>
          <cell r="M3272">
            <v>4</v>
          </cell>
          <cell r="N3272">
            <v>26</v>
          </cell>
          <cell r="O3272" t="str">
            <v>Управління НБУ в Донец.обл.</v>
          </cell>
        </row>
        <row r="3273">
          <cell r="A3273">
            <v>394147</v>
          </cell>
          <cell r="B3273">
            <v>300465</v>
          </cell>
          <cell r="D3273">
            <v>0</v>
          </cell>
          <cell r="E3273">
            <v>6</v>
          </cell>
          <cell r="F3273">
            <v>0</v>
          </cell>
          <cell r="G3273" t="str">
            <v>6</v>
          </cell>
          <cell r="H3273">
            <v>616</v>
          </cell>
          <cell r="I3273" t="str">
            <v>ФДЗЕРЖИНСЬКЕ ВІДДІЛ ВАТОЩАД М.ДЗЕРЖИНС</v>
          </cell>
          <cell r="J3273" t="str">
            <v>ФДзержинське відділеВАТОщад</v>
          </cell>
          <cell r="K3273" t="str">
            <v>UDLP</v>
          </cell>
          <cell r="L3273" t="str">
            <v>UDLA</v>
          </cell>
          <cell r="M3273">
            <v>4</v>
          </cell>
          <cell r="N3273">
            <v>26</v>
          </cell>
          <cell r="O3273" t="str">
            <v>Управління НБУ в Донец.обл.</v>
          </cell>
        </row>
        <row r="3274">
          <cell r="A3274">
            <v>394158</v>
          </cell>
          <cell r="B3274">
            <v>300465</v>
          </cell>
          <cell r="D3274">
            <v>0</v>
          </cell>
          <cell r="E3274">
            <v>6</v>
          </cell>
          <cell r="F3274">
            <v>0</v>
          </cell>
          <cell r="G3274" t="str">
            <v>6</v>
          </cell>
          <cell r="H3274">
            <v>617</v>
          </cell>
          <cell r="I3274" t="str">
            <v>ФДОБРОПІЛЬСЬКЕ ВІДД ВАТОЩАД М.ДОБРОПІЛ</v>
          </cell>
          <cell r="J3274" t="str">
            <v>ФДобропільське віддіВАТОщад</v>
          </cell>
          <cell r="K3274" t="str">
            <v>UDLQ</v>
          </cell>
          <cell r="L3274" t="str">
            <v>UDLA</v>
          </cell>
          <cell r="M3274">
            <v>4</v>
          </cell>
          <cell r="N3274">
            <v>26</v>
          </cell>
          <cell r="O3274" t="str">
            <v>Управління НБУ в Донец.обл.</v>
          </cell>
        </row>
        <row r="3275">
          <cell r="A3275">
            <v>394170</v>
          </cell>
          <cell r="B3275">
            <v>300465</v>
          </cell>
          <cell r="D3275">
            <v>0</v>
          </cell>
          <cell r="E3275">
            <v>6</v>
          </cell>
          <cell r="F3275">
            <v>0</v>
          </cell>
          <cell r="G3275" t="str">
            <v>6</v>
          </cell>
          <cell r="H3275">
            <v>619</v>
          </cell>
          <cell r="I3275" t="str">
            <v>ФЄНАКIЇВСЬКЕ ВІДДІЛ ВАТОЩАД М.ЄНАКІЄВЕ</v>
          </cell>
          <cell r="J3275" t="str">
            <v>ФЄнакiївське відділеВАТОщад</v>
          </cell>
          <cell r="K3275" t="str">
            <v>UDLS</v>
          </cell>
          <cell r="L3275" t="str">
            <v>UDLA</v>
          </cell>
          <cell r="M3275">
            <v>4</v>
          </cell>
          <cell r="N3275">
            <v>26</v>
          </cell>
          <cell r="O3275" t="str">
            <v>Управління НБУ в Донец.обл.</v>
          </cell>
        </row>
        <row r="3276">
          <cell r="A3276">
            <v>394181</v>
          </cell>
          <cell r="B3276">
            <v>300465</v>
          </cell>
          <cell r="D3276">
            <v>0</v>
          </cell>
          <cell r="E3276">
            <v>6</v>
          </cell>
          <cell r="F3276">
            <v>0</v>
          </cell>
          <cell r="G3276" t="str">
            <v>6</v>
          </cell>
          <cell r="H3276">
            <v>610</v>
          </cell>
          <cell r="I3276" t="str">
            <v>ФКИЇВСЬКЕ ВІДДІЛЕННЯ ВАТОЩАД М.ДОНЕЦЬК</v>
          </cell>
          <cell r="J3276" t="str">
            <v>ФКиївське відділенняВАТОщад</v>
          </cell>
          <cell r="K3276" t="str">
            <v>UDLJ</v>
          </cell>
          <cell r="L3276" t="str">
            <v>UDLA</v>
          </cell>
          <cell r="M3276">
            <v>4</v>
          </cell>
          <cell r="N3276">
            <v>26</v>
          </cell>
          <cell r="O3276" t="str">
            <v>Управління НБУ в Донец.обл.</v>
          </cell>
        </row>
        <row r="3277">
          <cell r="A3277">
            <v>394192</v>
          </cell>
          <cell r="B3277">
            <v>300465</v>
          </cell>
          <cell r="D3277">
            <v>0</v>
          </cell>
          <cell r="E3277">
            <v>6</v>
          </cell>
          <cell r="F3277">
            <v>0</v>
          </cell>
          <cell r="G3277" t="str">
            <v>6</v>
          </cell>
          <cell r="H3277">
            <v>611</v>
          </cell>
          <cell r="I3277" t="str">
            <v>ФАРТЕМIВСЬКЕ ВІДДІЛ ВАТОЩАД М.АРТЕМІВС</v>
          </cell>
          <cell r="J3277" t="str">
            <v>ФАртемiвське відділеВАТОщад</v>
          </cell>
          <cell r="K3277" t="str">
            <v>UDLK</v>
          </cell>
          <cell r="L3277" t="str">
            <v>UDLA</v>
          </cell>
          <cell r="M3277">
            <v>4</v>
          </cell>
          <cell r="N3277">
            <v>26</v>
          </cell>
          <cell r="O3277" t="str">
            <v>Управління НБУ в Донец.обл.</v>
          </cell>
        </row>
        <row r="3278">
          <cell r="A3278">
            <v>394200</v>
          </cell>
          <cell r="B3278">
            <v>300465</v>
          </cell>
          <cell r="D3278">
            <v>0</v>
          </cell>
          <cell r="E3278">
            <v>6</v>
          </cell>
          <cell r="F3278">
            <v>0</v>
          </cell>
          <cell r="G3278" t="str">
            <v>6</v>
          </cell>
          <cell r="H3278">
            <v>622</v>
          </cell>
          <cell r="I3278" t="str">
            <v>ФМАРІУПОЛЬСЬКЕ ВІДД ВАТОЩАД М.МАРІУПОЛ</v>
          </cell>
          <cell r="J3278" t="str">
            <v>ФМаріупольське віддіВАТОщад</v>
          </cell>
          <cell r="K3278" t="str">
            <v>UDLV</v>
          </cell>
          <cell r="L3278" t="str">
            <v>UDLA</v>
          </cell>
          <cell r="M3278">
            <v>4</v>
          </cell>
          <cell r="N3278">
            <v>26</v>
          </cell>
          <cell r="O3278" t="str">
            <v>Управління НБУ в Донец.обл.</v>
          </cell>
        </row>
        <row r="3279">
          <cell r="A3279">
            <v>394222</v>
          </cell>
          <cell r="B3279">
            <v>300465</v>
          </cell>
          <cell r="D3279">
            <v>0</v>
          </cell>
          <cell r="E3279">
            <v>6</v>
          </cell>
          <cell r="F3279">
            <v>0</v>
          </cell>
          <cell r="G3279" t="str">
            <v>6</v>
          </cell>
          <cell r="H3279">
            <v>624</v>
          </cell>
          <cell r="I3279" t="str">
            <v>ФКРАМАТОРСЬКЕ ВІДДІ ВАТОЩАД М.КРАМАТОР</v>
          </cell>
          <cell r="J3279" t="str">
            <v>ФКраматорське відділВАТОщад</v>
          </cell>
          <cell r="K3279" t="str">
            <v>UDLX</v>
          </cell>
          <cell r="L3279" t="str">
            <v>UDLA</v>
          </cell>
          <cell r="M3279">
            <v>4</v>
          </cell>
          <cell r="N3279">
            <v>26</v>
          </cell>
          <cell r="O3279" t="str">
            <v>Управління НБУ в Донец.обл.</v>
          </cell>
        </row>
        <row r="3280">
          <cell r="A3280">
            <v>394233</v>
          </cell>
          <cell r="B3280">
            <v>300465</v>
          </cell>
          <cell r="D3280">
            <v>0</v>
          </cell>
          <cell r="E3280">
            <v>6</v>
          </cell>
          <cell r="F3280">
            <v>0</v>
          </cell>
          <cell r="G3280" t="str">
            <v>6</v>
          </cell>
          <cell r="H3280">
            <v>625</v>
          </cell>
          <cell r="I3280" t="str">
            <v>ФКРАСНОАРМIЙСЬКЕ ВІ ВАТОЩАД М.КРАСНОАР</v>
          </cell>
          <cell r="J3280" t="str">
            <v>ФКрасноармiйське відВАТОщад</v>
          </cell>
          <cell r="K3280" t="str">
            <v>UDLY</v>
          </cell>
          <cell r="L3280" t="str">
            <v>UDLA</v>
          </cell>
          <cell r="M3280">
            <v>4</v>
          </cell>
          <cell r="N3280">
            <v>26</v>
          </cell>
          <cell r="O3280" t="str">
            <v>Управління НБУ в Донец.обл.</v>
          </cell>
        </row>
        <row r="3281">
          <cell r="A3281">
            <v>394244</v>
          </cell>
          <cell r="B3281">
            <v>300465</v>
          </cell>
          <cell r="D3281">
            <v>0</v>
          </cell>
          <cell r="E3281">
            <v>6</v>
          </cell>
          <cell r="F3281">
            <v>0</v>
          </cell>
          <cell r="G3281" t="str">
            <v>6</v>
          </cell>
          <cell r="H3281">
            <v>639</v>
          </cell>
          <cell r="I3281" t="str">
            <v>ФАМВРОСIЇВСЬКЕ ВІДД ВАТОЩАД М.АМВРОСІЇ</v>
          </cell>
          <cell r="J3281" t="str">
            <v>ФАмвросiївське віддіВАТОщад</v>
          </cell>
          <cell r="K3281" t="str">
            <v>UDMM</v>
          </cell>
          <cell r="L3281" t="str">
            <v>UDLA</v>
          </cell>
          <cell r="M3281">
            <v>4</v>
          </cell>
          <cell r="N3281">
            <v>26</v>
          </cell>
          <cell r="O3281" t="str">
            <v>Управління НБУ в Донец.обл.</v>
          </cell>
        </row>
        <row r="3282">
          <cell r="A3282">
            <v>394307</v>
          </cell>
          <cell r="B3282">
            <v>300465</v>
          </cell>
          <cell r="D3282">
            <v>0</v>
          </cell>
          <cell r="E3282">
            <v>6</v>
          </cell>
          <cell r="F3282">
            <v>0</v>
          </cell>
          <cell r="G3282" t="str">
            <v>6</v>
          </cell>
          <cell r="H3282">
            <v>632</v>
          </cell>
          <cell r="I3282" t="str">
            <v>ФСЕЛИДІВСЬКЕ ВІДДІЛ ВАТОЩАД М.СЕЛІДОВЕ</v>
          </cell>
          <cell r="J3282" t="str">
            <v>ФСелидівське відділеВАТОщад</v>
          </cell>
          <cell r="K3282" t="str">
            <v>UDMF</v>
          </cell>
          <cell r="L3282" t="str">
            <v>UDLA</v>
          </cell>
          <cell r="M3282">
            <v>4</v>
          </cell>
          <cell r="N3282">
            <v>26</v>
          </cell>
          <cell r="O3282" t="str">
            <v>Управління НБУ в Донец.обл.</v>
          </cell>
        </row>
        <row r="3283">
          <cell r="A3283">
            <v>394318</v>
          </cell>
          <cell r="B3283">
            <v>300465</v>
          </cell>
          <cell r="D3283">
            <v>0</v>
          </cell>
          <cell r="E3283">
            <v>6</v>
          </cell>
          <cell r="F3283">
            <v>0</v>
          </cell>
          <cell r="G3283" t="str">
            <v>6</v>
          </cell>
          <cell r="H3283">
            <v>633</v>
          </cell>
          <cell r="I3283" t="str">
            <v>ФСЛОВ`ЯНСЬКЕ ВІДДІЛ ВАТОЩАД М.СЛОВ`ЯНС</v>
          </cell>
          <cell r="J3283" t="str">
            <v>ФСлов`янське відділеВАТОщад</v>
          </cell>
          <cell r="K3283" t="str">
            <v>UDMG</v>
          </cell>
          <cell r="L3283" t="str">
            <v>UDLA</v>
          </cell>
          <cell r="M3283">
            <v>4</v>
          </cell>
          <cell r="N3283">
            <v>26</v>
          </cell>
          <cell r="O3283" t="str">
            <v>Управління НБУ в Донец.обл.</v>
          </cell>
        </row>
        <row r="3284">
          <cell r="A3284">
            <v>394329</v>
          </cell>
          <cell r="B3284">
            <v>300465</v>
          </cell>
          <cell r="D3284">
            <v>0</v>
          </cell>
          <cell r="E3284">
            <v>6</v>
          </cell>
          <cell r="F3284">
            <v>0</v>
          </cell>
          <cell r="G3284" t="str">
            <v>6</v>
          </cell>
          <cell r="H3284">
            <v>634</v>
          </cell>
          <cell r="I3284" t="str">
            <v>ФСНІЖНЯНСЬКЕ ВІДДІЛЕН ВАТОЩАД М.СНІЖНЕ</v>
          </cell>
          <cell r="J3284" t="str">
            <v>ФСніжнянське відділеВАТОщад</v>
          </cell>
          <cell r="K3284" t="str">
            <v>UDMH</v>
          </cell>
          <cell r="L3284" t="str">
            <v>UDLA</v>
          </cell>
          <cell r="M3284">
            <v>4</v>
          </cell>
          <cell r="N3284">
            <v>26</v>
          </cell>
          <cell r="O3284" t="str">
            <v>Управління НБУ в Донец.обл.</v>
          </cell>
        </row>
        <row r="3285">
          <cell r="A3285">
            <v>394330</v>
          </cell>
          <cell r="B3285">
            <v>300465</v>
          </cell>
          <cell r="D3285">
            <v>0</v>
          </cell>
          <cell r="E3285">
            <v>6</v>
          </cell>
          <cell r="F3285">
            <v>0</v>
          </cell>
          <cell r="G3285" t="str">
            <v>6</v>
          </cell>
          <cell r="H3285">
            <v>635</v>
          </cell>
          <cell r="I3285" t="str">
            <v>ФТОРЕЗЬКЕ ВІДДІЛЕННЯ № ВАТОЩАД М.ТОРЕЗ</v>
          </cell>
          <cell r="J3285" t="str">
            <v>ФТорезьке відділенняВАТОщад</v>
          </cell>
          <cell r="K3285" t="str">
            <v>UDMI</v>
          </cell>
          <cell r="L3285" t="str">
            <v>UDLA</v>
          </cell>
          <cell r="M3285">
            <v>4</v>
          </cell>
          <cell r="N3285">
            <v>26</v>
          </cell>
          <cell r="O3285" t="str">
            <v>Управління НБУ в Донец.обл.</v>
          </cell>
        </row>
        <row r="3286">
          <cell r="A3286">
            <v>394341</v>
          </cell>
          <cell r="B3286">
            <v>335902</v>
          </cell>
          <cell r="D3286">
            <v>0</v>
          </cell>
          <cell r="E3286">
            <v>306</v>
          </cell>
          <cell r="F3286">
            <v>0</v>
          </cell>
          <cell r="G3286" t="str">
            <v>8</v>
          </cell>
          <cell r="H3286">
            <v>753</v>
          </cell>
          <cell r="I3286" t="str">
            <v>КАЛІНІНСЬКА ФТОВ"УНІКОМБАНК",М.ДОНЕЦЬК</v>
          </cell>
          <cell r="J3286" t="str">
            <v>Калінін. ФТОВ "УНІКОМБАНК"</v>
          </cell>
          <cell r="K3286" t="str">
            <v>UDNH</v>
          </cell>
          <cell r="L3286" t="str">
            <v>UDNH</v>
          </cell>
          <cell r="M3286">
            <v>4</v>
          </cell>
          <cell r="N3286">
            <v>4</v>
          </cell>
          <cell r="O3286" t="str">
            <v>Управління НБУ в Донец.обл.</v>
          </cell>
        </row>
        <row r="3287">
          <cell r="A3287">
            <v>394352</v>
          </cell>
          <cell r="B3287">
            <v>300465</v>
          </cell>
          <cell r="D3287">
            <v>0</v>
          </cell>
          <cell r="E3287">
            <v>6</v>
          </cell>
          <cell r="F3287">
            <v>0</v>
          </cell>
          <cell r="G3287" t="str">
            <v>6</v>
          </cell>
          <cell r="H3287">
            <v>637</v>
          </cell>
          <cell r="I3287" t="str">
            <v>ФШАХТАРСЬКЕ ВІДДІЛЕ ВАТОЩАД М.ШАХТАРСЬ</v>
          </cell>
          <cell r="J3287" t="str">
            <v>ФШахтарське відділенВАТОщад</v>
          </cell>
          <cell r="K3287" t="str">
            <v>UDMK</v>
          </cell>
          <cell r="L3287" t="str">
            <v>UDLA</v>
          </cell>
          <cell r="M3287">
            <v>4</v>
          </cell>
          <cell r="N3287">
            <v>26</v>
          </cell>
          <cell r="O3287" t="str">
            <v>Управління НБУ в Донец.обл.</v>
          </cell>
        </row>
        <row r="3288">
          <cell r="A3288">
            <v>394374</v>
          </cell>
          <cell r="B3288">
            <v>300465</v>
          </cell>
          <cell r="D3288">
            <v>0</v>
          </cell>
          <cell r="E3288">
            <v>6</v>
          </cell>
          <cell r="F3288">
            <v>0</v>
          </cell>
          <cell r="G3288" t="str">
            <v>6</v>
          </cell>
          <cell r="H3288">
            <v>642</v>
          </cell>
          <cell r="I3288" t="str">
            <v>ФВОЛОДАРСЬКЕ ВІДДІЛ ВАТОЩАД СМТ.ВОЛОДА</v>
          </cell>
          <cell r="J3288" t="str">
            <v>ФВолодарське відділеВАТОщад</v>
          </cell>
          <cell r="K3288" t="str">
            <v>UDMP</v>
          </cell>
          <cell r="L3288" t="str">
            <v>UDLA</v>
          </cell>
          <cell r="M3288">
            <v>4</v>
          </cell>
          <cell r="N3288">
            <v>26</v>
          </cell>
          <cell r="O3288" t="str">
            <v>Управління НБУ в Донец.обл.</v>
          </cell>
        </row>
        <row r="3289">
          <cell r="A3289">
            <v>394385</v>
          </cell>
          <cell r="B3289">
            <v>300465</v>
          </cell>
          <cell r="D3289">
            <v>0</v>
          </cell>
          <cell r="E3289">
            <v>6</v>
          </cell>
          <cell r="F3289">
            <v>0</v>
          </cell>
          <cell r="G3289" t="str">
            <v>6</v>
          </cell>
          <cell r="H3289">
            <v>643</v>
          </cell>
          <cell r="I3289" t="str">
            <v>ФКРАСНОЛИМАНСЬКЕ ВІД ВАТОЩАД М.КРАСНИЙ</v>
          </cell>
          <cell r="J3289" t="str">
            <v>ФКраснолиманське відВАТОщад</v>
          </cell>
          <cell r="K3289" t="str">
            <v>UDMQ</v>
          </cell>
          <cell r="L3289" t="str">
            <v>UDLA</v>
          </cell>
          <cell r="M3289">
            <v>4</v>
          </cell>
          <cell r="N3289">
            <v>26</v>
          </cell>
          <cell r="O3289" t="str">
            <v>Управління НБУ в Донец.обл.</v>
          </cell>
        </row>
        <row r="3290">
          <cell r="A3290">
            <v>394404</v>
          </cell>
          <cell r="B3290">
            <v>328384</v>
          </cell>
          <cell r="D3290">
            <v>0</v>
          </cell>
          <cell r="E3290">
            <v>258</v>
          </cell>
          <cell r="F3290">
            <v>0</v>
          </cell>
          <cell r="G3290" t="str">
            <v>8</v>
          </cell>
          <cell r="H3290">
            <v>828</v>
          </cell>
          <cell r="I3290" t="str">
            <v>ФІЛІЯ АКБ "ІМЕКСБАНК" У М.ДОНЕЦЬК</v>
          </cell>
          <cell r="J3290" t="str">
            <v>ДОНЕЦЬКАФ АКБ "ІМЕКСБАНК"</v>
          </cell>
          <cell r="K3290" t="str">
            <v>UDNI</v>
          </cell>
          <cell r="L3290" t="str">
            <v>UDNI</v>
          </cell>
          <cell r="M3290">
            <v>4</v>
          </cell>
          <cell r="N3290">
            <v>15</v>
          </cell>
          <cell r="O3290" t="str">
            <v>Управління НБУ в Донец.обл.</v>
          </cell>
        </row>
        <row r="3291">
          <cell r="A3291">
            <v>394426</v>
          </cell>
          <cell r="B3291">
            <v>300465</v>
          </cell>
          <cell r="D3291">
            <v>0</v>
          </cell>
          <cell r="E3291">
            <v>6</v>
          </cell>
          <cell r="F3291">
            <v>0</v>
          </cell>
          <cell r="G3291" t="str">
            <v>6</v>
          </cell>
          <cell r="H3291">
            <v>644</v>
          </cell>
          <cell r="I3291" t="str">
            <v>ФМАР`ЇНСЬКЕ ВІДДІЛЕ ВАТОЩАД М.МАР`ЇНКА</v>
          </cell>
          <cell r="J3291" t="str">
            <v>ФМар`їнське відділенВАТОщад</v>
          </cell>
          <cell r="K3291" t="str">
            <v>UDMR</v>
          </cell>
          <cell r="L3291" t="str">
            <v>UDLA</v>
          </cell>
          <cell r="M3291">
            <v>4</v>
          </cell>
          <cell r="N3291">
            <v>26</v>
          </cell>
          <cell r="O3291" t="str">
            <v>Управління НБУ в Донец.обл.</v>
          </cell>
        </row>
        <row r="3292">
          <cell r="A3292">
            <v>394459</v>
          </cell>
          <cell r="B3292">
            <v>300465</v>
          </cell>
          <cell r="D3292">
            <v>0</v>
          </cell>
          <cell r="E3292">
            <v>6</v>
          </cell>
          <cell r="F3292">
            <v>0</v>
          </cell>
          <cell r="G3292" t="str">
            <v>6</v>
          </cell>
          <cell r="H3292">
            <v>647</v>
          </cell>
          <cell r="I3292" t="str">
            <v>ФСТАРОБЕШІВСЬКЕ ВІД ВАТОЩАД СМТ.СТАРОБ</v>
          </cell>
          <cell r="J3292" t="str">
            <v>ФСтаробешівське віддВАТОщад</v>
          </cell>
          <cell r="K3292" t="str">
            <v>UDMU</v>
          </cell>
          <cell r="L3292" t="str">
            <v>UDLA</v>
          </cell>
          <cell r="M3292">
            <v>4</v>
          </cell>
          <cell r="N3292">
            <v>26</v>
          </cell>
          <cell r="O3292" t="str">
            <v>Управління НБУ в Донец.обл.</v>
          </cell>
        </row>
        <row r="3293">
          <cell r="A3293">
            <v>394460</v>
          </cell>
          <cell r="B3293">
            <v>300465</v>
          </cell>
          <cell r="D3293">
            <v>0</v>
          </cell>
          <cell r="E3293">
            <v>6</v>
          </cell>
          <cell r="F3293">
            <v>0</v>
          </cell>
          <cell r="G3293" t="str">
            <v>6</v>
          </cell>
          <cell r="H3293">
            <v>648</v>
          </cell>
          <cell r="I3293" t="str">
            <v>ФТЕЛЬМАНІВСЬКЕ ВІДД ВАТОЩАД СМТ.ТЕЛЬМА</v>
          </cell>
          <cell r="J3293" t="str">
            <v>ФТельманівське віддіВАТОщад</v>
          </cell>
          <cell r="K3293" t="str">
            <v>UDMV</v>
          </cell>
          <cell r="L3293" t="str">
            <v>UDLA</v>
          </cell>
          <cell r="M3293">
            <v>4</v>
          </cell>
          <cell r="N3293">
            <v>26</v>
          </cell>
          <cell r="O3293" t="str">
            <v>Управління НБУ в Донец.обл.</v>
          </cell>
        </row>
        <row r="3294">
          <cell r="A3294">
            <v>394471</v>
          </cell>
          <cell r="B3294">
            <v>300465</v>
          </cell>
          <cell r="D3294">
            <v>0</v>
          </cell>
          <cell r="E3294">
            <v>6</v>
          </cell>
          <cell r="F3294">
            <v>0</v>
          </cell>
          <cell r="G3294" t="str">
            <v>6</v>
          </cell>
          <cell r="H3294">
            <v>649</v>
          </cell>
          <cell r="I3294" t="str">
            <v>ФЯСИНУВАТСЬКЕ ВІДДІ ВАТОЩАД М.ЯСИНУВАТ</v>
          </cell>
          <cell r="J3294" t="str">
            <v>ФЯсинуватське відділВАТОщад</v>
          </cell>
          <cell r="K3294" t="str">
            <v>UDMW</v>
          </cell>
          <cell r="L3294" t="str">
            <v>UDLA</v>
          </cell>
          <cell r="M3294">
            <v>4</v>
          </cell>
          <cell r="N3294">
            <v>26</v>
          </cell>
          <cell r="O3294" t="str">
            <v>Управління НБУ в Донец.обл.</v>
          </cell>
        </row>
        <row r="3295">
          <cell r="A3295">
            <v>394482</v>
          </cell>
          <cell r="B3295">
            <v>300465</v>
          </cell>
          <cell r="D3295">
            <v>0</v>
          </cell>
          <cell r="E3295">
            <v>6</v>
          </cell>
          <cell r="F3295">
            <v>0</v>
          </cell>
          <cell r="G3295" t="str">
            <v>6</v>
          </cell>
          <cell r="H3295">
            <v>640</v>
          </cell>
          <cell r="I3295" t="str">
            <v>ФВЕЛИКОНОВОСІЛКIВСЬ ВАТОЩАД СМТ.ВЕЛИКА</v>
          </cell>
          <cell r="J3295" t="str">
            <v>ФВеликоновосілкiвськВАТОщад</v>
          </cell>
          <cell r="K3295" t="str">
            <v>UDMN</v>
          </cell>
          <cell r="L3295" t="str">
            <v>UDLA</v>
          </cell>
          <cell r="M3295">
            <v>4</v>
          </cell>
          <cell r="N3295">
            <v>26</v>
          </cell>
          <cell r="O3295" t="str">
            <v>Управління НБУ в Донец.обл.</v>
          </cell>
        </row>
        <row r="3296">
          <cell r="A3296">
            <v>394493</v>
          </cell>
          <cell r="B3296">
            <v>300465</v>
          </cell>
          <cell r="D3296">
            <v>0</v>
          </cell>
          <cell r="E3296">
            <v>6</v>
          </cell>
          <cell r="F3296">
            <v>0</v>
          </cell>
          <cell r="G3296" t="str">
            <v>6</v>
          </cell>
          <cell r="H3296">
            <v>641</v>
          </cell>
          <cell r="I3296" t="str">
            <v>ФВОЛНОВАСЬКЕ ВІДДІЛ ВАТОЩАД М.ВОЛНОВАХ</v>
          </cell>
          <cell r="J3296" t="str">
            <v>ФВолноваське відділеВАТОщад</v>
          </cell>
          <cell r="K3296" t="str">
            <v>UDMO</v>
          </cell>
          <cell r="L3296" t="str">
            <v>UDLA</v>
          </cell>
          <cell r="M3296">
            <v>4</v>
          </cell>
          <cell r="N3296">
            <v>26</v>
          </cell>
          <cell r="O3296" t="str">
            <v>Управління НБУ в Донец.обл.</v>
          </cell>
        </row>
        <row r="3297">
          <cell r="A3297">
            <v>394501</v>
          </cell>
          <cell r="B3297">
            <v>300658</v>
          </cell>
          <cell r="D3297">
            <v>0</v>
          </cell>
          <cell r="E3297">
            <v>251</v>
          </cell>
          <cell r="F3297">
            <v>0</v>
          </cell>
          <cell r="G3297" t="str">
            <v>B</v>
          </cell>
          <cell r="H3297">
            <v>812</v>
          </cell>
          <cell r="I3297" t="str">
            <v>ДОНФ ВАТ "ПІРЕУС БАНК МКБ",М.ДОНЕЦЬК</v>
          </cell>
          <cell r="J3297" t="str">
            <v>ДонФ ВАТ "ПІРЕУС БАНК МКБ"</v>
          </cell>
          <cell r="K3297" t="str">
            <v>UDNM</v>
          </cell>
          <cell r="L3297" t="str">
            <v>UDNM</v>
          </cell>
          <cell r="M3297">
            <v>4</v>
          </cell>
          <cell r="N3297">
            <v>26</v>
          </cell>
          <cell r="O3297" t="str">
            <v>Управління НБУ в Донец.обл.</v>
          </cell>
        </row>
        <row r="3298">
          <cell r="A3298">
            <v>394512</v>
          </cell>
          <cell r="B3298">
            <v>321712</v>
          </cell>
          <cell r="D3298">
            <v>0</v>
          </cell>
          <cell r="E3298">
            <v>66</v>
          </cell>
          <cell r="F3298">
            <v>0</v>
          </cell>
          <cell r="G3298" t="str">
            <v>B</v>
          </cell>
          <cell r="H3298">
            <v>842</v>
          </cell>
          <cell r="I3298" t="str">
            <v>ДОНБАСЬКА ФВАТ "РОДОВІД БАНК"М.ДОНЕЦЬК</v>
          </cell>
          <cell r="J3298" t="str">
            <v>ДОНБАС.ФВАТ"РОДОВІД  БАНК"</v>
          </cell>
          <cell r="K3298" t="str">
            <v>UDNX</v>
          </cell>
          <cell r="L3298" t="str">
            <v>UDNX</v>
          </cell>
          <cell r="M3298">
            <v>4</v>
          </cell>
          <cell r="N3298">
            <v>26</v>
          </cell>
          <cell r="O3298" t="str">
            <v>Управління НБУ в Донец.обл.</v>
          </cell>
        </row>
        <row r="3299">
          <cell r="A3299">
            <v>394523</v>
          </cell>
          <cell r="B3299">
            <v>380399</v>
          </cell>
          <cell r="D3299">
            <v>0</v>
          </cell>
          <cell r="E3299">
            <v>315</v>
          </cell>
          <cell r="F3299">
            <v>0</v>
          </cell>
          <cell r="G3299" t="str">
            <v>8</v>
          </cell>
          <cell r="H3299">
            <v>856</v>
          </cell>
          <cell r="I3299" t="str">
            <v>Ф."ДОНЕЦЬКАДИР.ТОВУКБ"КАМБІО"ДОНЕЦЬК</v>
          </cell>
          <cell r="J3299" t="str">
            <v>Ф.ДОН.ДИР.ТОВ УКБ КАМБІО</v>
          </cell>
          <cell r="K3299" t="str">
            <v>UDUB</v>
          </cell>
          <cell r="L3299" t="str">
            <v>UDUB</v>
          </cell>
          <cell r="M3299">
            <v>4</v>
          </cell>
          <cell r="N3299">
            <v>26</v>
          </cell>
          <cell r="O3299" t="str">
            <v>Управління НБУ в Донец.обл.</v>
          </cell>
        </row>
        <row r="3300">
          <cell r="A3300">
            <v>394534</v>
          </cell>
          <cell r="B3300">
            <v>300089</v>
          </cell>
          <cell r="D3300">
            <v>0</v>
          </cell>
          <cell r="E3300">
            <v>26</v>
          </cell>
          <cell r="F3300">
            <v>0</v>
          </cell>
          <cell r="G3300" t="str">
            <v>8</v>
          </cell>
          <cell r="H3300">
            <v>873</v>
          </cell>
          <cell r="I3300" t="str">
            <v>Ф. АКБ "ТРАНСБАНК" У М. ДОНЕЦЬК</v>
          </cell>
          <cell r="J3300" t="str">
            <v>Ф.АКБ "Трансбанк" м.Донецьк</v>
          </cell>
          <cell r="K3300" t="str">
            <v>UDVC</v>
          </cell>
          <cell r="L3300" t="str">
            <v>UDVC</v>
          </cell>
          <cell r="M3300">
            <v>4</v>
          </cell>
          <cell r="N3300">
            <v>26</v>
          </cell>
          <cell r="O3300" t="str">
            <v>Управління НБУ в Донец.обл.</v>
          </cell>
        </row>
        <row r="3301">
          <cell r="A3301">
            <v>394545</v>
          </cell>
          <cell r="B3301">
            <v>380537</v>
          </cell>
          <cell r="D3301">
            <v>0</v>
          </cell>
          <cell r="E3301">
            <v>76</v>
          </cell>
          <cell r="F3301">
            <v>0</v>
          </cell>
          <cell r="G3301" t="str">
            <v>B</v>
          </cell>
          <cell r="H3301">
            <v>887</v>
          </cell>
          <cell r="I3301" t="str">
            <v>ДОНЕЦЬКА ФІЛІЯВАТ"ВІЕЙБІБАНК"М.ДОНЕЦЬК</v>
          </cell>
          <cell r="J3301" t="str">
            <v>Донец.Ф.ВАТ"ВІЕЙБІБАНК"</v>
          </cell>
          <cell r="K3301" t="str">
            <v>UDVD</v>
          </cell>
          <cell r="L3301" t="str">
            <v>UDVD</v>
          </cell>
          <cell r="M3301">
            <v>4</v>
          </cell>
          <cell r="N3301">
            <v>26</v>
          </cell>
          <cell r="O3301" t="str">
            <v>Управління НБУ в Донец.обл.</v>
          </cell>
        </row>
        <row r="3302">
          <cell r="A3302">
            <v>394578</v>
          </cell>
          <cell r="B3302">
            <v>300249</v>
          </cell>
          <cell r="D3302">
            <v>0</v>
          </cell>
          <cell r="E3302">
            <v>37</v>
          </cell>
          <cell r="F3302">
            <v>0</v>
          </cell>
          <cell r="G3302" t="str">
            <v>8</v>
          </cell>
          <cell r="H3302">
            <v>851</v>
          </cell>
          <cell r="I3302" t="str">
            <v>ГОРЛІВ.Ф-Я АБ"БРОКБІЗНЕСБАНК",ГОРЛІВКА</v>
          </cell>
          <cell r="J3302" t="str">
            <v>Горл.Ф АБ "БРОКБІЗНЕСБАНК"</v>
          </cell>
          <cell r="K3302" t="str">
            <v>UDVB</v>
          </cell>
          <cell r="L3302" t="str">
            <v>UDVB</v>
          </cell>
          <cell r="M3302">
            <v>4</v>
          </cell>
          <cell r="N3302">
            <v>26</v>
          </cell>
          <cell r="O3302" t="str">
            <v>Управління НБУ в Донец.обл.</v>
          </cell>
        </row>
        <row r="3303">
          <cell r="A3303">
            <v>394589</v>
          </cell>
          <cell r="B3303">
            <v>380292</v>
          </cell>
          <cell r="D3303">
            <v>0</v>
          </cell>
          <cell r="E3303">
            <v>237</v>
          </cell>
          <cell r="F3303">
            <v>0</v>
          </cell>
          <cell r="G3303" t="str">
            <v>8</v>
          </cell>
          <cell r="H3303">
            <v>881</v>
          </cell>
          <cell r="I3303" t="str">
            <v>ДОНЕЦЬКА ФІЛІЯ ЗАТ "ЄБРФ", М.ДОНЕЦЬК</v>
          </cell>
          <cell r="J3303" t="str">
            <v>Донецька філія ЗАТ "ЄБРФ"</v>
          </cell>
          <cell r="K3303" t="str">
            <v>UDVE</v>
          </cell>
          <cell r="L3303" t="str">
            <v>UDVE</v>
          </cell>
          <cell r="M3303">
            <v>4</v>
          </cell>
          <cell r="N3303">
            <v>26</v>
          </cell>
          <cell r="O3303" t="str">
            <v>Управління НБУ в Донец.обл.</v>
          </cell>
        </row>
        <row r="3304">
          <cell r="A3304">
            <v>394631</v>
          </cell>
          <cell r="B3304">
            <v>322948</v>
          </cell>
          <cell r="D3304">
            <v>0</v>
          </cell>
          <cell r="E3304">
            <v>248</v>
          </cell>
          <cell r="F3304">
            <v>0</v>
          </cell>
          <cell r="G3304" t="str">
            <v>B</v>
          </cell>
          <cell r="H3304">
            <v>896</v>
          </cell>
          <cell r="I3304" t="str">
            <v>ДОНЕЦЬКА Ф АКБ "ФОРУМ" М.ДОНЕЦЬК</v>
          </cell>
          <cell r="J3304" t="str">
            <v>Донецька філія АКБ "Форум"</v>
          </cell>
          <cell r="K3304" t="str">
            <v>UDWA</v>
          </cell>
          <cell r="L3304" t="str">
            <v>UDWA</v>
          </cell>
          <cell r="M3304">
            <v>4</v>
          </cell>
          <cell r="N3304">
            <v>26</v>
          </cell>
          <cell r="O3304" t="str">
            <v>Управління НБУ в Донец.обл.</v>
          </cell>
        </row>
        <row r="3305">
          <cell r="A3305">
            <v>394653</v>
          </cell>
          <cell r="B3305">
            <v>322948</v>
          </cell>
          <cell r="D3305">
            <v>0</v>
          </cell>
          <cell r="E3305">
            <v>248</v>
          </cell>
          <cell r="F3305">
            <v>0</v>
          </cell>
          <cell r="G3305" t="str">
            <v>B</v>
          </cell>
          <cell r="H3305">
            <v>700</v>
          </cell>
          <cell r="I3305" t="str">
            <v>МАРІУПОЛЬСЬКА ФАКБ "ФОРУМ" М.МАРІУПОЛЬ</v>
          </cell>
          <cell r="J3305" t="str">
            <v>Маріупольська Ф АКБ "Форум"</v>
          </cell>
          <cell r="K3305" t="str">
            <v>UDVF</v>
          </cell>
          <cell r="L3305" t="str">
            <v>UDVF</v>
          </cell>
          <cell r="M3305">
            <v>4</v>
          </cell>
          <cell r="N3305">
            <v>26</v>
          </cell>
          <cell r="O3305" t="str">
            <v>Управління НБУ в Донец.обл.</v>
          </cell>
        </row>
        <row r="3306">
          <cell r="A3306">
            <v>394675</v>
          </cell>
          <cell r="B3306">
            <v>335902</v>
          </cell>
          <cell r="D3306">
            <v>0</v>
          </cell>
          <cell r="E3306">
            <v>306</v>
          </cell>
          <cell r="F3306">
            <v>0</v>
          </cell>
          <cell r="G3306" t="str">
            <v>8</v>
          </cell>
          <cell r="H3306">
            <v>920</v>
          </cell>
          <cell r="I3306" t="str">
            <v>КИЇВСЬКА ФТОВ "УНІКОМБАНК", М. ДОНЕЦЬК</v>
          </cell>
          <cell r="J3306" t="str">
            <v>Київська ФТОВ "УНІКОМБАНК"</v>
          </cell>
          <cell r="K3306" t="str">
            <v>UDWB</v>
          </cell>
          <cell r="L3306" t="str">
            <v>UDWB</v>
          </cell>
          <cell r="M3306">
            <v>4</v>
          </cell>
          <cell r="N3306">
            <v>4</v>
          </cell>
          <cell r="O3306" t="str">
            <v>Управління НБУ в Донец.обл.</v>
          </cell>
        </row>
        <row r="3307">
          <cell r="A3307">
            <v>397003</v>
          </cell>
          <cell r="B3307">
            <v>322313</v>
          </cell>
          <cell r="D3307">
            <v>0</v>
          </cell>
          <cell r="E3307">
            <v>2</v>
          </cell>
          <cell r="F3307">
            <v>0</v>
          </cell>
          <cell r="G3307" t="str">
            <v>2</v>
          </cell>
          <cell r="H3307">
            <v>503</v>
          </cell>
          <cell r="I3307" t="str">
            <v>ФІЛ.ВАТ "УКРЕКСІМБАНК"В М.СУМАХ,М.СУМИ</v>
          </cell>
          <cell r="J3307" t="str">
            <v>ФІЛ.ВАТ"УКРЕКСІМБАНК"мСУМАХ</v>
          </cell>
          <cell r="K3307" t="str">
            <v>USGC</v>
          </cell>
          <cell r="L3307" t="str">
            <v>USGC</v>
          </cell>
          <cell r="M3307">
            <v>18</v>
          </cell>
          <cell r="N3307">
            <v>26</v>
          </cell>
          <cell r="O3307" t="str">
            <v>Управління НБУ в Сумськ.обл</v>
          </cell>
        </row>
        <row r="3308">
          <cell r="A3308">
            <v>397014</v>
          </cell>
          <cell r="B3308">
            <v>325912</v>
          </cell>
          <cell r="D3308">
            <v>0</v>
          </cell>
          <cell r="E3308">
            <v>88</v>
          </cell>
          <cell r="F3308">
            <v>0</v>
          </cell>
          <cell r="G3308" t="str">
            <v>B</v>
          </cell>
          <cell r="H3308">
            <v>803</v>
          </cell>
          <cell r="I3308" t="str">
            <v>Сумська філія ВАТ "КРЕДОБАНК"</v>
          </cell>
          <cell r="J3308" t="str">
            <v>Сумська ф-я ВАТ "КРЕДОБАНК"</v>
          </cell>
          <cell r="K3308" t="str">
            <v>USFA</v>
          </cell>
          <cell r="L3308" t="str">
            <v>USFA</v>
          </cell>
          <cell r="M3308">
            <v>18</v>
          </cell>
          <cell r="N3308">
            <v>13</v>
          </cell>
          <cell r="O3308" t="str">
            <v>Управління НБУ в Сумськ.обл</v>
          </cell>
        </row>
        <row r="3309">
          <cell r="A3309">
            <v>397133</v>
          </cell>
          <cell r="B3309">
            <v>397133</v>
          </cell>
          <cell r="C3309" t="str">
            <v>ВАТ АБ "СТОЛИЧНИЙ"</v>
          </cell>
          <cell r="D3309">
            <v>223</v>
          </cell>
          <cell r="E3309">
            <v>223</v>
          </cell>
          <cell r="F3309">
            <v>0</v>
          </cell>
          <cell r="G3309" t="str">
            <v>8</v>
          </cell>
          <cell r="H3309">
            <v>700</v>
          </cell>
          <cell r="I3309" t="str">
            <v>ВАТ АБ "СТОЛИЧНИЙ", М.СУМИ</v>
          </cell>
          <cell r="J3309" t="str">
            <v>ВАТ АБ "СТОЛИЧНИЙ"</v>
          </cell>
          <cell r="K3309" t="str">
            <v>USJW</v>
          </cell>
          <cell r="L3309" t="str">
            <v>USJW</v>
          </cell>
          <cell r="M3309">
            <v>18</v>
          </cell>
          <cell r="N3309">
            <v>18</v>
          </cell>
          <cell r="O3309" t="str">
            <v>Управління НБУ в Сумськ.обл</v>
          </cell>
        </row>
        <row r="3310">
          <cell r="A3310">
            <v>398002</v>
          </cell>
          <cell r="B3310">
            <v>300926</v>
          </cell>
          <cell r="D3310">
            <v>0</v>
          </cell>
          <cell r="E3310">
            <v>899</v>
          </cell>
          <cell r="F3310">
            <v>0</v>
          </cell>
          <cell r="G3310" t="str">
            <v>8</v>
          </cell>
          <cell r="H3310">
            <v>813</v>
          </cell>
          <cell r="I3310" t="str">
            <v>ФІЛІЯ АТ "УФГ" В М.ТЕРНОПІЛЬ</v>
          </cell>
          <cell r="J3310" t="str">
            <v>Філія АТ "УФГ" в м.Тернопіл</v>
          </cell>
          <cell r="K3310" t="str">
            <v>UTW1</v>
          </cell>
          <cell r="L3310" t="str">
            <v>U1WF</v>
          </cell>
          <cell r="M3310">
            <v>19</v>
          </cell>
          <cell r="N3310">
            <v>26</v>
          </cell>
          <cell r="O3310" t="str">
            <v>Управління НБУ в Терноп.обл</v>
          </cell>
        </row>
        <row r="3311">
          <cell r="A3311">
            <v>398013</v>
          </cell>
          <cell r="B3311">
            <v>300465</v>
          </cell>
          <cell r="D3311">
            <v>0</v>
          </cell>
          <cell r="E3311">
            <v>6</v>
          </cell>
          <cell r="F3311">
            <v>0</v>
          </cell>
          <cell r="G3311" t="str">
            <v>6</v>
          </cell>
          <cell r="H3311">
            <v>609</v>
          </cell>
          <cell r="I3311" t="str">
            <v>ФЗБОРІВСЬКЕ ВІДДІЛЕНН ВАТОЩАД М.ЗБОРІВ</v>
          </cell>
          <cell r="J3311" t="str">
            <v>ФЗборівське відділенВАТОщад</v>
          </cell>
          <cell r="K3311" t="str">
            <v>UTLJ</v>
          </cell>
          <cell r="L3311" t="str">
            <v>UTLA</v>
          </cell>
          <cell r="M3311">
            <v>19</v>
          </cell>
          <cell r="N3311">
            <v>26</v>
          </cell>
          <cell r="O3311" t="str">
            <v>Управління НБУ в Терноп.обл</v>
          </cell>
        </row>
        <row r="3312">
          <cell r="A3312">
            <v>398057</v>
          </cell>
          <cell r="B3312">
            <v>300465</v>
          </cell>
          <cell r="D3312">
            <v>0</v>
          </cell>
          <cell r="E3312">
            <v>6</v>
          </cell>
          <cell r="F3312">
            <v>0</v>
          </cell>
          <cell r="G3312" t="str">
            <v>6</v>
          </cell>
          <cell r="H3312">
            <v>603</v>
          </cell>
          <cell r="I3312" t="str">
            <v>ФБЕРЕЖАНСЬКЕ ВІДДІЛ ВАТОЩАД М.БЕРЕЖАНИ</v>
          </cell>
          <cell r="J3312" t="str">
            <v>ФБережанське відділеВАТОщад</v>
          </cell>
          <cell r="K3312" t="str">
            <v>UTLD</v>
          </cell>
          <cell r="L3312" t="str">
            <v>UTLA</v>
          </cell>
          <cell r="M3312">
            <v>19</v>
          </cell>
          <cell r="N3312">
            <v>26</v>
          </cell>
          <cell r="O3312" t="str">
            <v>Управління НБУ в Терноп.обл</v>
          </cell>
        </row>
        <row r="3313">
          <cell r="A3313">
            <v>398068</v>
          </cell>
          <cell r="B3313">
            <v>300465</v>
          </cell>
          <cell r="D3313">
            <v>0</v>
          </cell>
          <cell r="E3313">
            <v>6</v>
          </cell>
          <cell r="F3313">
            <v>0</v>
          </cell>
          <cell r="G3313" t="str">
            <v>6</v>
          </cell>
          <cell r="H3313">
            <v>604</v>
          </cell>
          <cell r="I3313" t="str">
            <v>ФБОРЩІВСЬКЕ ВІДДІЛЕНН ВАТОЩАД М.БОРЩІВ</v>
          </cell>
          <cell r="J3313" t="str">
            <v>ФБорщівське відділенВАТОщад</v>
          </cell>
          <cell r="K3313" t="str">
            <v>UTLE</v>
          </cell>
          <cell r="L3313" t="str">
            <v>UTLA</v>
          </cell>
          <cell r="M3313">
            <v>19</v>
          </cell>
          <cell r="N3313">
            <v>26</v>
          </cell>
          <cell r="O3313" t="str">
            <v>Управління НБУ в Терноп.обл</v>
          </cell>
        </row>
        <row r="3314">
          <cell r="A3314">
            <v>398079</v>
          </cell>
          <cell r="B3314">
            <v>300465</v>
          </cell>
          <cell r="D3314">
            <v>0</v>
          </cell>
          <cell r="E3314">
            <v>6</v>
          </cell>
          <cell r="F3314">
            <v>0</v>
          </cell>
          <cell r="G3314" t="str">
            <v>6</v>
          </cell>
          <cell r="H3314">
            <v>605</v>
          </cell>
          <cell r="I3314" t="str">
            <v>ФБУЧАЦЬКЕ ВІДДІЛЕННЯ № ВАТОЩАД М.БУЧАЧ</v>
          </cell>
          <cell r="J3314" t="str">
            <v>ФБучацьке відділенняВАТОщад</v>
          </cell>
          <cell r="K3314" t="str">
            <v>UTLF</v>
          </cell>
          <cell r="L3314" t="str">
            <v>UTLA</v>
          </cell>
          <cell r="M3314">
            <v>19</v>
          </cell>
          <cell r="N3314">
            <v>26</v>
          </cell>
          <cell r="O3314" t="str">
            <v>Управління НБУ в Терноп.обл</v>
          </cell>
        </row>
        <row r="3315">
          <cell r="A3315">
            <v>398080</v>
          </cell>
          <cell r="B3315">
            <v>300465</v>
          </cell>
          <cell r="D3315">
            <v>0</v>
          </cell>
          <cell r="E3315">
            <v>6</v>
          </cell>
          <cell r="F3315">
            <v>0</v>
          </cell>
          <cell r="G3315" t="str">
            <v>6</v>
          </cell>
          <cell r="H3315">
            <v>606</v>
          </cell>
          <cell r="I3315" t="str">
            <v>ФГУСЯТИНСЬКЕ ВІДДІЛ ВАТОЩАД СМТ.ГУСЯТИ</v>
          </cell>
          <cell r="J3315" t="str">
            <v>ФГусятинське відділеВАТОщад</v>
          </cell>
          <cell r="K3315" t="str">
            <v>UTLG</v>
          </cell>
          <cell r="L3315" t="str">
            <v>UTLA</v>
          </cell>
          <cell r="M3315">
            <v>19</v>
          </cell>
          <cell r="N3315">
            <v>26</v>
          </cell>
          <cell r="O3315" t="str">
            <v>Управління НБУ в Терноп.обл</v>
          </cell>
        </row>
        <row r="3316">
          <cell r="A3316">
            <v>398091</v>
          </cell>
          <cell r="B3316">
            <v>300465</v>
          </cell>
          <cell r="D3316">
            <v>0</v>
          </cell>
          <cell r="E3316">
            <v>6</v>
          </cell>
          <cell r="F3316">
            <v>0</v>
          </cell>
          <cell r="G3316" t="str">
            <v>6</v>
          </cell>
          <cell r="H3316">
            <v>607</v>
          </cell>
          <cell r="I3316" t="str">
            <v>ФЗАЛІЩИЦЬКЕ ВІДДІЛЕ ВАТОЩАД М.ЗАЛІЩИКИ</v>
          </cell>
          <cell r="J3316" t="str">
            <v>ФЗаліщицьке відділенВАТОщад</v>
          </cell>
          <cell r="K3316" t="str">
            <v>UTLH</v>
          </cell>
          <cell r="L3316" t="str">
            <v>UTLA</v>
          </cell>
          <cell r="M3316">
            <v>19</v>
          </cell>
          <cell r="N3316">
            <v>26</v>
          </cell>
          <cell r="O3316" t="str">
            <v>Управління НБУ в Терноп.обл</v>
          </cell>
        </row>
        <row r="3317">
          <cell r="A3317">
            <v>398110</v>
          </cell>
          <cell r="B3317">
            <v>300926</v>
          </cell>
          <cell r="D3317">
            <v>0</v>
          </cell>
          <cell r="E3317">
            <v>899</v>
          </cell>
          <cell r="F3317">
            <v>0</v>
          </cell>
          <cell r="G3317" t="str">
            <v>8</v>
          </cell>
          <cell r="H3317">
            <v>808</v>
          </cell>
          <cell r="I3317" t="str">
            <v>ПЕРША ФІЛІЯ АТ "УФГ" В М.ТЕРНОПІЛЬ</v>
          </cell>
          <cell r="J3317" t="str">
            <v>Перша ФАТ "УФГ" в м.Терноп.</v>
          </cell>
          <cell r="K3317" t="str">
            <v>UTW2</v>
          </cell>
          <cell r="L3317" t="str">
            <v>U1WF</v>
          </cell>
          <cell r="M3317">
            <v>19</v>
          </cell>
          <cell r="N3317">
            <v>26</v>
          </cell>
          <cell r="O3317" t="str">
            <v>Управління НБУ в Терноп.обл</v>
          </cell>
        </row>
        <row r="3318">
          <cell r="A3318">
            <v>398132</v>
          </cell>
          <cell r="B3318">
            <v>300465</v>
          </cell>
          <cell r="D3318">
            <v>0</v>
          </cell>
          <cell r="E3318">
            <v>6</v>
          </cell>
          <cell r="F3318">
            <v>0</v>
          </cell>
          <cell r="G3318" t="str">
            <v>6</v>
          </cell>
          <cell r="H3318">
            <v>608</v>
          </cell>
          <cell r="I3318" t="str">
            <v>ФЗБАРАЗЬКЕ ВІДДІЛЕННЯ ВАТОЩАД М.ЗБАРАЖ</v>
          </cell>
          <cell r="J3318" t="str">
            <v>ФЗбаразьке відділеннВАТОщад</v>
          </cell>
          <cell r="K3318" t="str">
            <v>UTLI</v>
          </cell>
          <cell r="L3318" t="str">
            <v>UTLA</v>
          </cell>
          <cell r="M3318">
            <v>19</v>
          </cell>
          <cell r="N3318">
            <v>26</v>
          </cell>
          <cell r="O3318" t="str">
            <v>Управління НБУ в Терноп.обл</v>
          </cell>
        </row>
        <row r="3319">
          <cell r="A3319">
            <v>398143</v>
          </cell>
          <cell r="B3319">
            <v>300465</v>
          </cell>
          <cell r="D3319">
            <v>0</v>
          </cell>
          <cell r="E3319">
            <v>6</v>
          </cell>
          <cell r="F3319">
            <v>0</v>
          </cell>
          <cell r="G3319" t="str">
            <v>6</v>
          </cell>
          <cell r="H3319">
            <v>612</v>
          </cell>
          <cell r="I3319" t="str">
            <v>ФЛАНІВЕЦЬКЕ ВІДДІЛЕ ВАТОЩАД М  .ЛАНІВЦ</v>
          </cell>
          <cell r="J3319" t="str">
            <v>ФЛанівецьке відділенВАТОщад</v>
          </cell>
          <cell r="K3319" t="str">
            <v>UTLM</v>
          </cell>
          <cell r="L3319" t="str">
            <v>UTLA</v>
          </cell>
          <cell r="M3319">
            <v>19</v>
          </cell>
          <cell r="N3319">
            <v>26</v>
          </cell>
          <cell r="O3319" t="str">
            <v>Управління НБУ в Терноп.обл</v>
          </cell>
        </row>
        <row r="3320">
          <cell r="A3320">
            <v>398165</v>
          </cell>
          <cell r="B3320">
            <v>300465</v>
          </cell>
          <cell r="D3320">
            <v>0</v>
          </cell>
          <cell r="E3320">
            <v>6</v>
          </cell>
          <cell r="F3320">
            <v>0</v>
          </cell>
          <cell r="G3320" t="str">
            <v>6</v>
          </cell>
          <cell r="H3320">
            <v>614</v>
          </cell>
          <cell r="I3320" t="str">
            <v>ФПІДВОЛОЧИСЬКЕ ВІДД ВАТОЩАД СМТ.ПІДВОЛ</v>
          </cell>
          <cell r="J3320" t="str">
            <v>ФПідволочиське віддіВАТОщад</v>
          </cell>
          <cell r="K3320" t="str">
            <v>UTLO</v>
          </cell>
          <cell r="L3320" t="str">
            <v>UTLA</v>
          </cell>
          <cell r="M3320">
            <v>19</v>
          </cell>
          <cell r="N3320">
            <v>26</v>
          </cell>
          <cell r="O3320" t="str">
            <v>Управління НБУ в Терноп.обл</v>
          </cell>
        </row>
        <row r="3321">
          <cell r="A3321">
            <v>398187</v>
          </cell>
          <cell r="B3321">
            <v>300465</v>
          </cell>
          <cell r="D3321">
            <v>0</v>
          </cell>
          <cell r="E3321">
            <v>6</v>
          </cell>
          <cell r="F3321">
            <v>0</v>
          </cell>
          <cell r="G3321" t="str">
            <v>6</v>
          </cell>
          <cell r="H3321">
            <v>616</v>
          </cell>
          <cell r="I3321" t="str">
            <v>ФТЕРЕБОВЛЯНСЬКЕ ВІД ВАТОЩАД М.ТЕРЕБОВЛ</v>
          </cell>
          <cell r="J3321" t="str">
            <v>ФТеребовлянське віддВАТОщад</v>
          </cell>
          <cell r="K3321" t="str">
            <v>UTLQ</v>
          </cell>
          <cell r="L3321" t="str">
            <v>UTLA</v>
          </cell>
          <cell r="M3321">
            <v>19</v>
          </cell>
          <cell r="N3321">
            <v>26</v>
          </cell>
          <cell r="O3321" t="str">
            <v>Управління НБУ в Терноп.обл</v>
          </cell>
        </row>
        <row r="3322">
          <cell r="A3322">
            <v>398198</v>
          </cell>
          <cell r="B3322">
            <v>300465</v>
          </cell>
          <cell r="D3322">
            <v>0</v>
          </cell>
          <cell r="E3322">
            <v>6</v>
          </cell>
          <cell r="F3322">
            <v>0</v>
          </cell>
          <cell r="G3322" t="str">
            <v>6</v>
          </cell>
          <cell r="H3322">
            <v>617</v>
          </cell>
          <cell r="I3322" t="str">
            <v>ФЧОРТКІВСЬКЕ ВІДДІЛЕ ВАТОЩАД М.ЧОРТКІВ</v>
          </cell>
          <cell r="J3322" t="str">
            <v>ФЧортківське відділеВАТОщад</v>
          </cell>
          <cell r="K3322" t="str">
            <v>UTLR</v>
          </cell>
          <cell r="L3322" t="str">
            <v>UTLA</v>
          </cell>
          <cell r="M3322">
            <v>19</v>
          </cell>
          <cell r="N3322">
            <v>26</v>
          </cell>
          <cell r="O3322" t="str">
            <v>Управління НБУ в Терноп.обл</v>
          </cell>
        </row>
        <row r="3323">
          <cell r="A3323">
            <v>398206</v>
          </cell>
          <cell r="B3323">
            <v>303484</v>
          </cell>
          <cell r="D3323">
            <v>0</v>
          </cell>
          <cell r="E3323">
            <v>273</v>
          </cell>
          <cell r="F3323">
            <v>0</v>
          </cell>
          <cell r="G3323" t="str">
            <v>8</v>
          </cell>
          <cell r="H3323">
            <v>503</v>
          </cell>
          <cell r="I3323" t="str">
            <v>Тернопільська Ф. КБ "Західінкомбанк"</v>
          </cell>
          <cell r="J3323" t="str">
            <v>ТФ КБ "Західінкомбанк"</v>
          </cell>
          <cell r="K3323" t="str">
            <v>UTFB</v>
          </cell>
          <cell r="L3323" t="str">
            <v>UTFB</v>
          </cell>
          <cell r="M3323">
            <v>19</v>
          </cell>
          <cell r="N3323">
            <v>2</v>
          </cell>
          <cell r="O3323" t="str">
            <v>Управління НБУ в Терноп.обл</v>
          </cell>
        </row>
        <row r="3324">
          <cell r="A3324">
            <v>398217</v>
          </cell>
          <cell r="B3324">
            <v>300249</v>
          </cell>
          <cell r="D3324">
            <v>0</v>
          </cell>
          <cell r="E3324">
            <v>37</v>
          </cell>
          <cell r="F3324">
            <v>0</v>
          </cell>
          <cell r="G3324" t="str">
            <v>8</v>
          </cell>
          <cell r="H3324">
            <v>803</v>
          </cell>
          <cell r="I3324" t="str">
            <v>ТЕРНОП.ФАБ "БРОКБІЗНЕСБАНК"М.ТЕРНОПІЛЬ</v>
          </cell>
          <cell r="J3324" t="str">
            <v>Терн.філ. АБ"БРОКБІЗНЕСБАНК</v>
          </cell>
          <cell r="K3324" t="str">
            <v>UTFC</v>
          </cell>
          <cell r="L3324" t="str">
            <v>UTFC</v>
          </cell>
          <cell r="M3324">
            <v>19</v>
          </cell>
          <cell r="N3324">
            <v>26</v>
          </cell>
          <cell r="O3324" t="str">
            <v>Управління НБУ в Терноп.обл</v>
          </cell>
        </row>
        <row r="3325">
          <cell r="A3325">
            <v>398262</v>
          </cell>
          <cell r="B3325">
            <v>300465</v>
          </cell>
          <cell r="D3325">
            <v>0</v>
          </cell>
          <cell r="E3325">
            <v>6</v>
          </cell>
          <cell r="F3325">
            <v>0</v>
          </cell>
          <cell r="G3325" t="str">
            <v>6</v>
          </cell>
          <cell r="H3325">
            <v>611</v>
          </cell>
          <cell r="I3325" t="str">
            <v>ФКРЕМЕНЕЦЬКЕ ВІДДІЛ ВАТОЩАД М.КРЕМЕНЕЦ</v>
          </cell>
          <cell r="J3325" t="str">
            <v>ФКременецьке відділеВАТОщад</v>
          </cell>
          <cell r="K3325" t="str">
            <v>UTLL</v>
          </cell>
          <cell r="L3325" t="str">
            <v>UTLA</v>
          </cell>
          <cell r="M3325">
            <v>19</v>
          </cell>
          <cell r="N3325">
            <v>26</v>
          </cell>
          <cell r="O3325" t="str">
            <v>Управління НБУ в Терноп.обл</v>
          </cell>
        </row>
        <row r="3326">
          <cell r="A3326">
            <v>399012</v>
          </cell>
          <cell r="B3326">
            <v>300001</v>
          </cell>
          <cell r="D3326">
            <v>0</v>
          </cell>
          <cell r="E3326">
            <v>1</v>
          </cell>
          <cell r="F3326">
            <v>0</v>
          </cell>
          <cell r="G3326" t="str">
            <v>1</v>
          </cell>
          <cell r="H3326">
            <v>132</v>
          </cell>
          <cell r="I3326" t="str">
            <v>ДЕРЖАВНА СКАРБНИЦЯ УКРАЇНИ</v>
          </cell>
          <cell r="J3326" t="str">
            <v>Державна скарбниця</v>
          </cell>
          <cell r="K3326" t="str">
            <v>U0HD</v>
          </cell>
          <cell r="L3326" t="str">
            <v>U0HD</v>
          </cell>
          <cell r="M3326">
            <v>32</v>
          </cell>
          <cell r="N3326">
            <v>27</v>
          </cell>
        </row>
        <row r="3327">
          <cell r="A3327">
            <v>399023</v>
          </cell>
          <cell r="B3327">
            <v>300001</v>
          </cell>
          <cell r="D3327">
            <v>0</v>
          </cell>
          <cell r="E3327">
            <v>1</v>
          </cell>
          <cell r="F3327">
            <v>0</v>
          </cell>
          <cell r="G3327" t="str">
            <v>1</v>
          </cell>
          <cell r="H3327">
            <v>133</v>
          </cell>
          <cell r="I3327" t="str">
            <v>ЦЕНТРАЛЬНА РОЗРАХУНКОВА ПАЛАТА НБУ</v>
          </cell>
          <cell r="J3327" t="str">
            <v>Центральна РП НБУ</v>
          </cell>
          <cell r="K3327" t="str">
            <v>U0HP</v>
          </cell>
          <cell r="L3327" t="str">
            <v>U1H0</v>
          </cell>
          <cell r="M3327">
            <v>33</v>
          </cell>
          <cell r="N3327">
            <v>27</v>
          </cell>
        </row>
        <row r="3328">
          <cell r="A3328">
            <v>399034</v>
          </cell>
          <cell r="B3328">
            <v>300001</v>
          </cell>
          <cell r="D3328">
            <v>0</v>
          </cell>
          <cell r="E3328">
            <v>1</v>
          </cell>
          <cell r="F3328">
            <v>0</v>
          </cell>
          <cell r="G3328" t="str">
            <v>1</v>
          </cell>
          <cell r="H3328">
            <v>134</v>
          </cell>
          <cell r="I3328" t="str">
            <v>ІНЖЕНЕРНО-ТЕХНІЧНИЙ ЦЕНТР НБУ</v>
          </cell>
          <cell r="J3328" t="str">
            <v>ІТЦ НБУ</v>
          </cell>
          <cell r="K3328" t="str">
            <v>U1HT</v>
          </cell>
          <cell r="L3328" t="str">
            <v>U1HT</v>
          </cell>
          <cell r="M3328">
            <v>34</v>
          </cell>
          <cell r="N3328">
            <v>27</v>
          </cell>
        </row>
        <row r="3329">
          <cell r="A3329">
            <v>399045</v>
          </cell>
          <cell r="B3329">
            <v>300001</v>
          </cell>
          <cell r="D3329">
            <v>0</v>
          </cell>
          <cell r="E3329">
            <v>1</v>
          </cell>
          <cell r="F3329">
            <v>0</v>
          </cell>
          <cell r="G3329" t="str">
            <v>1</v>
          </cell>
          <cell r="H3329">
            <v>135</v>
          </cell>
          <cell r="I3329" t="str">
            <v>БАНКНОТНО-МОНЕТНИЙ ДВІР</v>
          </cell>
          <cell r="J3329" t="str">
            <v>Банкнотно-монетний двір</v>
          </cell>
          <cell r="K3329" t="str">
            <v>U1HF</v>
          </cell>
          <cell r="L3329" t="str">
            <v>U1HF</v>
          </cell>
          <cell r="M3329">
            <v>35</v>
          </cell>
          <cell r="N3329">
            <v>27</v>
          </cell>
        </row>
        <row r="3330">
          <cell r="A3330">
            <v>399056</v>
          </cell>
          <cell r="B3330">
            <v>300001</v>
          </cell>
          <cell r="D3330">
            <v>0</v>
          </cell>
          <cell r="E3330">
            <v>1</v>
          </cell>
          <cell r="F3330">
            <v>0</v>
          </cell>
          <cell r="G3330" t="str">
            <v>1</v>
          </cell>
          <cell r="H3330">
            <v>136</v>
          </cell>
          <cell r="I3330" t="str">
            <v>ФАБРИКА БАНКНОТНОГО ПАПЕРУ</v>
          </cell>
          <cell r="J3330" t="str">
            <v>Фабрика банкнотного паперу</v>
          </cell>
          <cell r="K3330" t="str">
            <v>U0HM</v>
          </cell>
          <cell r="L3330" t="str">
            <v>U0HM</v>
          </cell>
          <cell r="M3330">
            <v>36</v>
          </cell>
          <cell r="N3330">
            <v>27</v>
          </cell>
        </row>
        <row r="3331">
          <cell r="A3331">
            <v>399067</v>
          </cell>
          <cell r="B3331">
            <v>300001</v>
          </cell>
          <cell r="D3331">
            <v>0</v>
          </cell>
          <cell r="E3331">
            <v>1</v>
          </cell>
          <cell r="F3331">
            <v>0</v>
          </cell>
          <cell r="G3331" t="str">
            <v>1</v>
          </cell>
          <cell r="H3331">
            <v>137</v>
          </cell>
          <cell r="I3331" t="str">
            <v>ЛЬВIВС.ІНСТИТ.БАНК.СПРАВИ УБС (М.КИЇВ)</v>
          </cell>
          <cell r="J3331" t="str">
            <v>Львів.інстит.БС УБС(м.Київ)</v>
          </cell>
          <cell r="K3331" t="str">
            <v>UNTS</v>
          </cell>
          <cell r="L3331" t="str">
            <v>UNTS</v>
          </cell>
          <cell r="M3331">
            <v>37</v>
          </cell>
          <cell r="N3331">
            <v>27</v>
          </cell>
        </row>
        <row r="3332">
          <cell r="A3332">
            <v>399078</v>
          </cell>
          <cell r="B3332">
            <v>300001</v>
          </cell>
          <cell r="D3332">
            <v>0</v>
          </cell>
          <cell r="E3332">
            <v>1</v>
          </cell>
          <cell r="F3332">
            <v>0</v>
          </cell>
          <cell r="G3332" t="str">
            <v>1</v>
          </cell>
          <cell r="H3332">
            <v>138</v>
          </cell>
          <cell r="I3332" t="str">
            <v>ХАРКІВ.ІН-Т БАНК.СПРАВИ УБС НБУ,</v>
          </cell>
          <cell r="J3332" t="str">
            <v>Харків.ін-т банк.справи УБС</v>
          </cell>
          <cell r="K3332" t="str">
            <v>UUTS</v>
          </cell>
          <cell r="L3332" t="str">
            <v>UUTS</v>
          </cell>
          <cell r="M3332">
            <v>38</v>
          </cell>
          <cell r="N3332">
            <v>27</v>
          </cell>
        </row>
        <row r="3333">
          <cell r="A3333">
            <v>399089</v>
          </cell>
          <cell r="B3333">
            <v>300001</v>
          </cell>
          <cell r="D3333">
            <v>0</v>
          </cell>
          <cell r="E3333">
            <v>1</v>
          </cell>
          <cell r="F3333">
            <v>0</v>
          </cell>
          <cell r="G3333" t="str">
            <v>1</v>
          </cell>
          <cell r="H3333">
            <v>139</v>
          </cell>
          <cell r="I3333" t="str">
            <v>ЧЕРКАСЬКИЙ ІНСТИТУТ БАНКІВСЬКОЇ СПРАВИ</v>
          </cell>
          <cell r="J3333" t="str">
            <v>Черк.інстит.банк.справи УБС</v>
          </cell>
          <cell r="K3333" t="str">
            <v>UXTS</v>
          </cell>
          <cell r="L3333" t="str">
            <v>UXTS</v>
          </cell>
          <cell r="M3333">
            <v>39</v>
          </cell>
          <cell r="N3333">
            <v>27</v>
          </cell>
        </row>
        <row r="3334">
          <cell r="A3334">
            <v>399090</v>
          </cell>
          <cell r="B3334">
            <v>300001</v>
          </cell>
          <cell r="D3334">
            <v>0</v>
          </cell>
          <cell r="E3334">
            <v>1</v>
          </cell>
          <cell r="F3334">
            <v>0</v>
          </cell>
          <cell r="G3334" t="str">
            <v>1</v>
          </cell>
          <cell r="H3334">
            <v>140</v>
          </cell>
          <cell r="I3334" t="str">
            <v>ВИРОБНИЧО-РЕМОНТНИЙ КОМПЛЕКС НБУ</v>
          </cell>
          <cell r="J3334" t="str">
            <v>Виробничо-ремонтний комп.НБ</v>
          </cell>
          <cell r="K3334" t="str">
            <v>U0HK</v>
          </cell>
          <cell r="L3334" t="str">
            <v>U0HK</v>
          </cell>
          <cell r="M3334">
            <v>40</v>
          </cell>
          <cell r="N3334">
            <v>27</v>
          </cell>
        </row>
        <row r="3335">
          <cell r="A3335">
            <v>399108</v>
          </cell>
          <cell r="B3335">
            <v>300001</v>
          </cell>
          <cell r="D3335">
            <v>0</v>
          </cell>
          <cell r="E3335">
            <v>1</v>
          </cell>
          <cell r="F3335">
            <v>0</v>
          </cell>
          <cell r="G3335" t="str">
            <v>1</v>
          </cell>
          <cell r="H3335">
            <v>141</v>
          </cell>
          <cell r="I3335" t="str">
            <v>ДВНЗ "УКР.АКАДЕМІЯ БАНКІВ.СПРАВИ НБУ"</v>
          </cell>
          <cell r="J3335" t="str">
            <v>ДВНЗ "УКР.АКАДЕМІЯ БС НБУ"</v>
          </cell>
          <cell r="K3335" t="str">
            <v>USTS</v>
          </cell>
          <cell r="L3335" t="str">
            <v>USTS</v>
          </cell>
          <cell r="M3335">
            <v>41</v>
          </cell>
          <cell r="N3335">
            <v>27</v>
          </cell>
        </row>
        <row r="3336">
          <cell r="A3336">
            <v>399119</v>
          </cell>
          <cell r="B3336">
            <v>300001</v>
          </cell>
          <cell r="D3336">
            <v>0</v>
          </cell>
          <cell r="E3336">
            <v>1</v>
          </cell>
          <cell r="F3336">
            <v>0</v>
          </cell>
          <cell r="G3336" t="str">
            <v>1</v>
          </cell>
          <cell r="H3336">
            <v>142</v>
          </cell>
          <cell r="I3336" t="str">
            <v>ЦЕНТРАЛЬНИЙ АПАРАТ НБУ</v>
          </cell>
          <cell r="J3336" t="str">
            <v>Центральний апарат НБУ</v>
          </cell>
          <cell r="K3336" t="str">
            <v>U0HH</v>
          </cell>
          <cell r="L3336" t="str">
            <v>U0H0</v>
          </cell>
          <cell r="M3336">
            <v>100</v>
          </cell>
          <cell r="N3336">
            <v>27</v>
          </cell>
        </row>
        <row r="3337">
          <cell r="A3337">
            <v>399120</v>
          </cell>
          <cell r="B3337">
            <v>300001</v>
          </cell>
          <cell r="D3337">
            <v>0</v>
          </cell>
          <cell r="E3337">
            <v>1</v>
          </cell>
          <cell r="F3337">
            <v>0</v>
          </cell>
          <cell r="G3337" t="str">
            <v>1</v>
          </cell>
          <cell r="H3337">
            <v>707</v>
          </cell>
          <cell r="I3337" t="str">
            <v>АУДИТОР. ФІРМА "ПРАЙСВОТЕРХАУСКУПЕРС"</v>
          </cell>
          <cell r="J3337" t="str">
            <v>Ауд.Ф"ПрайсвотерхаусКуперс"</v>
          </cell>
          <cell r="K3337" t="str">
            <v>U0PW</v>
          </cell>
          <cell r="L3337" t="str">
            <v>U0PW</v>
          </cell>
          <cell r="M3337">
            <v>98</v>
          </cell>
          <cell r="N3337">
            <v>27</v>
          </cell>
        </row>
        <row r="3338">
          <cell r="A3338">
            <v>399131</v>
          </cell>
          <cell r="B3338">
            <v>300001</v>
          </cell>
          <cell r="D3338">
            <v>0</v>
          </cell>
          <cell r="E3338">
            <v>1</v>
          </cell>
          <cell r="F3338">
            <v>0</v>
          </cell>
          <cell r="G3338" t="str">
            <v>1</v>
          </cell>
          <cell r="H3338">
            <v>131</v>
          </cell>
          <cell r="I3338" t="str">
            <v>ГРУПА УПРАВЛІННЯ ПРОЕКТАМИ НБУ</v>
          </cell>
          <cell r="J3338" t="str">
            <v>ГУП НБУ</v>
          </cell>
          <cell r="K3338" t="str">
            <v>U0HG</v>
          </cell>
          <cell r="L3338" t="str">
            <v>U0H0</v>
          </cell>
          <cell r="M3338">
            <v>31</v>
          </cell>
          <cell r="N3338">
            <v>27</v>
          </cell>
        </row>
        <row r="3339">
          <cell r="A3339">
            <v>399261</v>
          </cell>
          <cell r="B3339">
            <v>300001</v>
          </cell>
          <cell r="D3339">
            <v>0</v>
          </cell>
          <cell r="E3339">
            <v>1</v>
          </cell>
          <cell r="F3339">
            <v>0</v>
          </cell>
          <cell r="G3339" t="str">
            <v>1</v>
          </cell>
          <cell r="H3339">
            <v>143</v>
          </cell>
          <cell r="I3339" t="str">
            <v>ГОСПОДАРСЬКО-ЕКСПЛУАТ.УПРАВЛІННЯ НБУ</v>
          </cell>
          <cell r="J3339" t="str">
            <v>Господ.-екс.упр.НБУ</v>
          </cell>
          <cell r="K3339" t="str">
            <v>U1HS</v>
          </cell>
          <cell r="L3339" t="str">
            <v>U0H0</v>
          </cell>
          <cell r="M3339">
            <v>42</v>
          </cell>
          <cell r="N3339">
            <v>27</v>
          </cell>
        </row>
        <row r="3340">
          <cell r="A3340">
            <v>399391</v>
          </cell>
          <cell r="B3340">
            <v>300001</v>
          </cell>
          <cell r="D3340">
            <v>0</v>
          </cell>
          <cell r="E3340">
            <v>1</v>
          </cell>
          <cell r="F3340">
            <v>0</v>
          </cell>
          <cell r="G3340" t="str">
            <v>1</v>
          </cell>
          <cell r="H3340">
            <v>144</v>
          </cell>
          <cell r="I3340" t="str">
            <v>УНІВЕРСИТЕТ БАНКІВ.СПРАВИ НБУ, М.КИЇВ</v>
          </cell>
          <cell r="J3340" t="str">
            <v>УНІВЕРСИТЕТ БС НБУ м.КИЇВ</v>
          </cell>
          <cell r="K3340" t="str">
            <v>U0TS</v>
          </cell>
          <cell r="L3340" t="str">
            <v>U0TS</v>
          </cell>
          <cell r="M3340">
            <v>43</v>
          </cell>
          <cell r="N3340">
            <v>27</v>
          </cell>
        </row>
        <row r="3341">
          <cell r="A3341">
            <v>613033</v>
          </cell>
          <cell r="B3341">
            <v>300926</v>
          </cell>
          <cell r="D3341">
            <v>0</v>
          </cell>
          <cell r="E3341">
            <v>899</v>
          </cell>
          <cell r="F3341">
            <v>0</v>
          </cell>
          <cell r="G3341" t="str">
            <v>8</v>
          </cell>
          <cell r="H3341">
            <v>814</v>
          </cell>
          <cell r="I3341" t="str">
            <v>ЗАПОРІЗЬКА ОБЛАСНА ФІЛІЯ АТ "УФГ"</v>
          </cell>
          <cell r="J3341" t="str">
            <v>ЗАПОРІЗЬКА ОБЛ.ФАТ "УФГ"</v>
          </cell>
          <cell r="K3341" t="str">
            <v>UGW1</v>
          </cell>
          <cell r="L3341" t="str">
            <v>U1WF</v>
          </cell>
          <cell r="M3341">
            <v>7</v>
          </cell>
          <cell r="N3341">
            <v>26</v>
          </cell>
          <cell r="O3341" t="str">
            <v>Управління НБУ в Запор.обл.</v>
          </cell>
        </row>
        <row r="3342">
          <cell r="A3342">
            <v>625225</v>
          </cell>
          <cell r="B3342">
            <v>300926</v>
          </cell>
          <cell r="D3342">
            <v>0</v>
          </cell>
          <cell r="E3342">
            <v>899</v>
          </cell>
          <cell r="F3342">
            <v>0</v>
          </cell>
          <cell r="G3342" t="str">
            <v>8</v>
          </cell>
          <cell r="H3342">
            <v>786</v>
          </cell>
          <cell r="I3342" t="str">
            <v>ФІЛІЯ АТ "УФГ" У М. ЧЕРВОНОГРАД</v>
          </cell>
          <cell r="J3342" t="str">
            <v>ФАТ"УФГ" у м. Червоноград</v>
          </cell>
          <cell r="K3342" t="str">
            <v>UNI0</v>
          </cell>
          <cell r="L3342" t="str">
            <v>U1WF</v>
          </cell>
          <cell r="M3342">
            <v>13</v>
          </cell>
          <cell r="N3342">
            <v>26</v>
          </cell>
          <cell r="O3342" t="str">
            <v>Управління НБУ у Львівс.обл</v>
          </cell>
        </row>
        <row r="3343">
          <cell r="A3343">
            <v>651040</v>
          </cell>
          <cell r="B3343">
            <v>300926</v>
          </cell>
          <cell r="D3343">
            <v>0</v>
          </cell>
          <cell r="E3343">
            <v>899</v>
          </cell>
          <cell r="F3343">
            <v>0</v>
          </cell>
          <cell r="G3343" t="str">
            <v>8</v>
          </cell>
          <cell r="H3343">
            <v>808</v>
          </cell>
          <cell r="I3343" t="str">
            <v>ПЕРША ФІЛІЯ АТ "УФГ" В М.ХАРКІВ</v>
          </cell>
          <cell r="J3343" t="str">
            <v>Перша ф-я АТ"УФГ", м.Харків</v>
          </cell>
          <cell r="K3343" t="str">
            <v>UUW2</v>
          </cell>
          <cell r="L3343" t="str">
            <v>U1WF</v>
          </cell>
          <cell r="M3343">
            <v>20</v>
          </cell>
          <cell r="N3343">
            <v>26</v>
          </cell>
          <cell r="O3343" t="str">
            <v>Управління НБУ в Харків.обл</v>
          </cell>
        </row>
        <row r="3344">
          <cell r="A3344">
            <v>802015</v>
          </cell>
          <cell r="B3344">
            <v>820172</v>
          </cell>
          <cell r="D3344">
            <v>0</v>
          </cell>
          <cell r="E3344">
            <v>898</v>
          </cell>
          <cell r="F3344">
            <v>0</v>
          </cell>
          <cell r="G3344" t="str">
            <v>8</v>
          </cell>
          <cell r="H3344">
            <v>904</v>
          </cell>
          <cell r="I3344" t="str">
            <v>ГУДКУ У ВІННИЦЬКІЙ ОБЛАСТІ, М.ВІННИЦЯ</v>
          </cell>
          <cell r="J3344" t="str">
            <v>ГУДКУ у Вінницькій області</v>
          </cell>
          <cell r="K3344" t="str">
            <v>UAQK</v>
          </cell>
          <cell r="L3344" t="str">
            <v>UAQK</v>
          </cell>
          <cell r="M3344">
            <v>1</v>
          </cell>
          <cell r="N3344">
            <v>27</v>
          </cell>
          <cell r="O3344" t="str">
            <v>Управління НБУ у Вінниц.обл</v>
          </cell>
        </row>
        <row r="3345">
          <cell r="A3345">
            <v>803014</v>
          </cell>
          <cell r="B3345">
            <v>820172</v>
          </cell>
          <cell r="D3345">
            <v>0</v>
          </cell>
          <cell r="E3345">
            <v>898</v>
          </cell>
          <cell r="F3345">
            <v>0</v>
          </cell>
          <cell r="G3345" t="str">
            <v>8</v>
          </cell>
          <cell r="H3345">
            <v>903</v>
          </cell>
          <cell r="I3345" t="str">
            <v>ГУДКУ У ВОЛИНСЬКІЙ ОБЛАСТІ,М.ЛУЦЬК</v>
          </cell>
          <cell r="J3345" t="str">
            <v>ГУДКУ У ВОЛИНСЬКІЙ ОБЛАСТІ</v>
          </cell>
          <cell r="K3345" t="str">
            <v>UBQK</v>
          </cell>
          <cell r="L3345" t="str">
            <v>UBQK</v>
          </cell>
          <cell r="M3345">
            <v>2</v>
          </cell>
          <cell r="N3345">
            <v>27</v>
          </cell>
          <cell r="O3345" t="str">
            <v>Упр. НБУ у Волинській обл.</v>
          </cell>
        </row>
        <row r="3346">
          <cell r="A3346">
            <v>804013</v>
          </cell>
          <cell r="B3346">
            <v>820172</v>
          </cell>
          <cell r="D3346">
            <v>0</v>
          </cell>
          <cell r="E3346">
            <v>898</v>
          </cell>
          <cell r="F3346">
            <v>0</v>
          </cell>
          <cell r="G3346" t="str">
            <v>8</v>
          </cell>
          <cell r="H3346">
            <v>906</v>
          </cell>
          <cell r="I3346" t="str">
            <v>ГУДКУ У ЛУГАНСЬКІЙ ОБЛАСТІ, М.ЛУГАНСЬК</v>
          </cell>
          <cell r="J3346" t="str">
            <v>ГУДКУ у Луганській області</v>
          </cell>
          <cell r="K3346" t="str">
            <v>UMQK</v>
          </cell>
          <cell r="L3346" t="str">
            <v>UMQK</v>
          </cell>
          <cell r="M3346">
            <v>12</v>
          </cell>
          <cell r="N3346">
            <v>27</v>
          </cell>
          <cell r="O3346" t="str">
            <v>Управління НБУ в Луганс.обл</v>
          </cell>
        </row>
        <row r="3347">
          <cell r="A3347">
            <v>805012</v>
          </cell>
          <cell r="B3347">
            <v>820172</v>
          </cell>
          <cell r="D3347">
            <v>0</v>
          </cell>
          <cell r="E3347">
            <v>898</v>
          </cell>
          <cell r="F3347">
            <v>0</v>
          </cell>
          <cell r="G3347" t="str">
            <v>8</v>
          </cell>
          <cell r="H3347">
            <v>927</v>
          </cell>
          <cell r="I3347" t="str">
            <v>ГУДКУ У ДНІПРОПЕТРОВСЬКІЙ ОБЛ,М.ДН-СЬК</v>
          </cell>
          <cell r="J3347" t="str">
            <v>ГУДКУ У ДНІПРОПЕТРОВСЬКІЙ О</v>
          </cell>
          <cell r="K3347" t="str">
            <v>UCQK</v>
          </cell>
          <cell r="L3347" t="str">
            <v>UCQK</v>
          </cell>
          <cell r="M3347">
            <v>3</v>
          </cell>
          <cell r="N3347">
            <v>27</v>
          </cell>
          <cell r="O3347" t="str">
            <v>Управління НБУ в Дніпр.обл.</v>
          </cell>
        </row>
        <row r="3348">
          <cell r="A3348">
            <v>805023</v>
          </cell>
          <cell r="B3348">
            <v>820172</v>
          </cell>
          <cell r="D3348">
            <v>0</v>
          </cell>
          <cell r="E3348">
            <v>898</v>
          </cell>
          <cell r="F3348">
            <v>0</v>
          </cell>
          <cell r="G3348" t="str">
            <v>8</v>
          </cell>
          <cell r="H3348">
            <v>931</v>
          </cell>
          <cell r="I3348" t="str">
            <v>ВДК У М.ВІЛЬНОГ.ДН.ОБЛ, М.ВІЛЬНОГІРСЬК</v>
          </cell>
          <cell r="J3348" t="str">
            <v>ВДК У М.ВІЛЬНОГІРСЬКУ ДНІПР</v>
          </cell>
          <cell r="K3348" t="str">
            <v>UCQA</v>
          </cell>
          <cell r="L3348" t="str">
            <v>UCQK</v>
          </cell>
          <cell r="M3348">
            <v>3</v>
          </cell>
          <cell r="N3348">
            <v>27</v>
          </cell>
          <cell r="O3348" t="str">
            <v>Управління НБУ в Дніпр.обл.</v>
          </cell>
        </row>
        <row r="3349">
          <cell r="A3349">
            <v>805034</v>
          </cell>
          <cell r="B3349">
            <v>820172</v>
          </cell>
          <cell r="D3349">
            <v>0</v>
          </cell>
          <cell r="E3349">
            <v>898</v>
          </cell>
          <cell r="F3349">
            <v>0</v>
          </cell>
          <cell r="G3349" t="str">
            <v>8</v>
          </cell>
          <cell r="H3349">
            <v>932</v>
          </cell>
          <cell r="I3349" t="str">
            <v>ВДК У М.ДНІПРОДЗ.ДН.ОБЛ,М.ДНІПРОДЗ-СЬК</v>
          </cell>
          <cell r="J3349" t="str">
            <v>ВДК У М.ДНІПРОДЗЕРЖИНСЬКУ Д</v>
          </cell>
          <cell r="K3349" t="str">
            <v>UCQB</v>
          </cell>
          <cell r="L3349" t="str">
            <v>UCQK</v>
          </cell>
          <cell r="M3349">
            <v>3</v>
          </cell>
          <cell r="N3349">
            <v>27</v>
          </cell>
          <cell r="O3349" t="str">
            <v>Управління НБУ в Дніпр.обл.</v>
          </cell>
        </row>
        <row r="3350">
          <cell r="A3350">
            <v>805045</v>
          </cell>
          <cell r="B3350">
            <v>820172</v>
          </cell>
          <cell r="D3350">
            <v>0</v>
          </cell>
          <cell r="E3350">
            <v>898</v>
          </cell>
          <cell r="F3350">
            <v>0</v>
          </cell>
          <cell r="G3350" t="str">
            <v>8</v>
          </cell>
          <cell r="H3350">
            <v>920</v>
          </cell>
          <cell r="I3350" t="str">
            <v>ВДК У М.ЖОВТІ ВОДИ ДН.ОБЛ,М.ЖОВТІ ВОДИ</v>
          </cell>
          <cell r="J3350" t="str">
            <v>ВДК У М.ЖОВТІ ВОДИ ДНІПРОПЕ</v>
          </cell>
          <cell r="K3350" t="str">
            <v>UCQC</v>
          </cell>
          <cell r="L3350" t="str">
            <v>UCQK</v>
          </cell>
          <cell r="M3350">
            <v>3</v>
          </cell>
          <cell r="N3350">
            <v>27</v>
          </cell>
          <cell r="O3350" t="str">
            <v>Управління НБУ в Дніпр.обл.</v>
          </cell>
        </row>
        <row r="3351">
          <cell r="A3351">
            <v>805056</v>
          </cell>
          <cell r="B3351">
            <v>820172</v>
          </cell>
          <cell r="D3351">
            <v>0</v>
          </cell>
          <cell r="E3351">
            <v>898</v>
          </cell>
          <cell r="F3351">
            <v>0</v>
          </cell>
          <cell r="G3351" t="str">
            <v>8</v>
          </cell>
          <cell r="H3351">
            <v>921</v>
          </cell>
          <cell r="I3351" t="str">
            <v>ВДК У М.КРИВИЙ РІГ ДН.ОБЛ,М.КРИВИЙ РІГ</v>
          </cell>
          <cell r="J3351" t="str">
            <v>ВДК У М.КРИВИЙ РІГ ДНІПРОПЕ</v>
          </cell>
          <cell r="K3351" t="str">
            <v>UCQD</v>
          </cell>
          <cell r="L3351" t="str">
            <v>UCQK</v>
          </cell>
          <cell r="M3351">
            <v>3</v>
          </cell>
          <cell r="N3351">
            <v>27</v>
          </cell>
          <cell r="O3351" t="str">
            <v>Управління НБУ в Дніпр.обл.</v>
          </cell>
        </row>
        <row r="3352">
          <cell r="A3352">
            <v>805067</v>
          </cell>
          <cell r="B3352">
            <v>820172</v>
          </cell>
          <cell r="D3352">
            <v>0</v>
          </cell>
          <cell r="E3352">
            <v>898</v>
          </cell>
          <cell r="F3352">
            <v>0</v>
          </cell>
          <cell r="G3352" t="str">
            <v>8</v>
          </cell>
          <cell r="H3352">
            <v>922</v>
          </cell>
          <cell r="I3352" t="str">
            <v>ВДК У М.МАРГАНЕЦЬ ДН.ОБЛ, М.МАРГАНЕЦЬ</v>
          </cell>
          <cell r="J3352" t="str">
            <v>ВДК У М.МАРГАНЕЦЬ ДНІПРОПЕТ</v>
          </cell>
          <cell r="K3352" t="str">
            <v>UCQE</v>
          </cell>
          <cell r="L3352" t="str">
            <v>UCQK</v>
          </cell>
          <cell r="M3352">
            <v>3</v>
          </cell>
          <cell r="N3352">
            <v>27</v>
          </cell>
          <cell r="O3352" t="str">
            <v>Управління НБУ в Дніпр.обл.</v>
          </cell>
        </row>
        <row r="3353">
          <cell r="A3353">
            <v>805078</v>
          </cell>
          <cell r="B3353">
            <v>820172</v>
          </cell>
          <cell r="D3353">
            <v>0</v>
          </cell>
          <cell r="E3353">
            <v>898</v>
          </cell>
          <cell r="F3353">
            <v>0</v>
          </cell>
          <cell r="G3353" t="str">
            <v>8</v>
          </cell>
          <cell r="H3353">
            <v>910</v>
          </cell>
          <cell r="I3353" t="str">
            <v>ВДК У М.НІКОПОЛЬ ДНІПРОПЕТРОВСЬКОЇ ОБЛ</v>
          </cell>
          <cell r="J3353" t="str">
            <v>ВДК У М.НІКОПОЛЬ ДНІПРОПЕТР</v>
          </cell>
          <cell r="K3353" t="str">
            <v>UCQF</v>
          </cell>
          <cell r="L3353" t="str">
            <v>UCQK</v>
          </cell>
          <cell r="M3353">
            <v>3</v>
          </cell>
          <cell r="N3353">
            <v>27</v>
          </cell>
          <cell r="O3353" t="str">
            <v>Управління НБУ в Дніпр.обл.</v>
          </cell>
        </row>
        <row r="3354">
          <cell r="A3354">
            <v>805089</v>
          </cell>
          <cell r="B3354">
            <v>820172</v>
          </cell>
          <cell r="D3354">
            <v>0</v>
          </cell>
          <cell r="E3354">
            <v>898</v>
          </cell>
          <cell r="F3354">
            <v>0</v>
          </cell>
          <cell r="G3354" t="str">
            <v>8</v>
          </cell>
          <cell r="H3354">
            <v>924</v>
          </cell>
          <cell r="I3354" t="str">
            <v>ВДК У М.НОВОМОСК.ДН.ОБЛ,М.НОВОМОСКОВ-К</v>
          </cell>
          <cell r="J3354" t="str">
            <v>ВДК У М.НОВОМОСКОВСЬКУ ДНІП</v>
          </cell>
          <cell r="K3354" t="str">
            <v>UCQG</v>
          </cell>
          <cell r="L3354" t="str">
            <v>UCQK</v>
          </cell>
          <cell r="M3354">
            <v>3</v>
          </cell>
          <cell r="N3354">
            <v>27</v>
          </cell>
          <cell r="O3354" t="str">
            <v>Управління НБУ в Дніпр.обл.</v>
          </cell>
        </row>
        <row r="3355">
          <cell r="A3355">
            <v>805090</v>
          </cell>
          <cell r="B3355">
            <v>820172</v>
          </cell>
          <cell r="D3355">
            <v>0</v>
          </cell>
          <cell r="E3355">
            <v>898</v>
          </cell>
          <cell r="F3355">
            <v>0</v>
          </cell>
          <cell r="G3355" t="str">
            <v>8</v>
          </cell>
          <cell r="H3355">
            <v>925</v>
          </cell>
          <cell r="I3355" t="str">
            <v>ВДК У М.ОРДЖ-ДЗЕ ДН.ОБЛ,М.ОРДЖОНІКІДЗЕ</v>
          </cell>
          <cell r="J3355" t="str">
            <v>ВДК У М.ОРДЖОНІКІДЗЕ ДНІПРО</v>
          </cell>
          <cell r="K3355" t="str">
            <v>UCQH</v>
          </cell>
          <cell r="L3355" t="str">
            <v>UCQK</v>
          </cell>
          <cell r="M3355">
            <v>3</v>
          </cell>
          <cell r="N3355">
            <v>27</v>
          </cell>
          <cell r="O3355" t="str">
            <v>Управління НБУ в Дніпр.обл.</v>
          </cell>
        </row>
        <row r="3356">
          <cell r="A3356">
            <v>805108</v>
          </cell>
          <cell r="B3356">
            <v>820172</v>
          </cell>
          <cell r="D3356">
            <v>0</v>
          </cell>
          <cell r="E3356">
            <v>898</v>
          </cell>
          <cell r="F3356">
            <v>0</v>
          </cell>
          <cell r="G3356" t="str">
            <v>8</v>
          </cell>
          <cell r="H3356">
            <v>923</v>
          </cell>
          <cell r="I3356" t="str">
            <v>ВДК У М.ПАВЛОГРАД ДН.ОБЛ, М.ПАВЛОГРАД</v>
          </cell>
          <cell r="J3356" t="str">
            <v>ВДК У М.ПАВЛОГРАД ДНІПРОПЕТ</v>
          </cell>
          <cell r="K3356" t="str">
            <v>UCQI</v>
          </cell>
          <cell r="L3356" t="str">
            <v>UCQK</v>
          </cell>
          <cell r="M3356">
            <v>3</v>
          </cell>
          <cell r="N3356">
            <v>27</v>
          </cell>
          <cell r="O3356" t="str">
            <v>Управління НБУ в Дніпр.обл.</v>
          </cell>
        </row>
        <row r="3357">
          <cell r="A3357">
            <v>805119</v>
          </cell>
          <cell r="B3357">
            <v>820172</v>
          </cell>
          <cell r="D3357">
            <v>0</v>
          </cell>
          <cell r="E3357">
            <v>898</v>
          </cell>
          <cell r="F3357">
            <v>0</v>
          </cell>
          <cell r="G3357" t="str">
            <v>8</v>
          </cell>
          <cell r="H3357">
            <v>937</v>
          </cell>
          <cell r="I3357" t="str">
            <v>ВДК У М.ПЕРШОТРАВЕНСЬКУ ДН-СЬКОЇ ОБЛ.</v>
          </cell>
          <cell r="J3357" t="str">
            <v>ВДК У М.ПЕРШОТРАВЕНСЬКУ  ДН</v>
          </cell>
          <cell r="K3357" t="str">
            <v>UCQJ</v>
          </cell>
          <cell r="L3357" t="str">
            <v>UCQK</v>
          </cell>
          <cell r="M3357">
            <v>3</v>
          </cell>
          <cell r="N3357">
            <v>27</v>
          </cell>
          <cell r="O3357" t="str">
            <v>Управління НБУ в Дніпр.обл.</v>
          </cell>
        </row>
        <row r="3358">
          <cell r="A3358">
            <v>805120</v>
          </cell>
          <cell r="B3358">
            <v>820172</v>
          </cell>
          <cell r="D3358">
            <v>0</v>
          </cell>
          <cell r="E3358">
            <v>898</v>
          </cell>
          <cell r="F3358">
            <v>0</v>
          </cell>
          <cell r="G3358" t="str">
            <v>8</v>
          </cell>
          <cell r="H3358">
            <v>938</v>
          </cell>
          <cell r="I3358" t="str">
            <v>ВДК У М.СИНЕЛЬНИКОВЕ ДН-СЬКОЇ ОБЛ.</v>
          </cell>
          <cell r="J3358" t="str">
            <v>ВДК У М.СИНЕЛЬНИКОВЕ  ДНІПР</v>
          </cell>
          <cell r="K3358" t="str">
            <v>UCQL</v>
          </cell>
          <cell r="L3358" t="str">
            <v>UCQK</v>
          </cell>
          <cell r="M3358">
            <v>3</v>
          </cell>
          <cell r="N3358">
            <v>27</v>
          </cell>
          <cell r="O3358" t="str">
            <v>Управління НБУ в Дніпр.обл.</v>
          </cell>
        </row>
        <row r="3359">
          <cell r="A3359">
            <v>805131</v>
          </cell>
          <cell r="B3359">
            <v>820172</v>
          </cell>
          <cell r="D3359">
            <v>0</v>
          </cell>
          <cell r="E3359">
            <v>898</v>
          </cell>
          <cell r="F3359">
            <v>0</v>
          </cell>
          <cell r="G3359" t="str">
            <v>8</v>
          </cell>
          <cell r="H3359">
            <v>939</v>
          </cell>
          <cell r="I3359" t="str">
            <v>ВДК У М.ТЕРНІВКА ДНІПРОПЕТРОВСЬКОЇ ОБЛ</v>
          </cell>
          <cell r="J3359" t="str">
            <v>ВДК У М.ТЕРНІВКА  ДНІПРОПЕТ</v>
          </cell>
          <cell r="K3359" t="str">
            <v>UCQM</v>
          </cell>
          <cell r="L3359" t="str">
            <v>UCQK</v>
          </cell>
          <cell r="M3359">
            <v>3</v>
          </cell>
          <cell r="N3359">
            <v>27</v>
          </cell>
          <cell r="O3359" t="str">
            <v>Управління НБУ в Дніпр.обл.</v>
          </cell>
        </row>
        <row r="3360">
          <cell r="A3360">
            <v>805142</v>
          </cell>
          <cell r="B3360">
            <v>820172</v>
          </cell>
          <cell r="D3360">
            <v>0</v>
          </cell>
          <cell r="E3360">
            <v>898</v>
          </cell>
          <cell r="F3360">
            <v>0</v>
          </cell>
          <cell r="G3360" t="str">
            <v>8</v>
          </cell>
          <cell r="H3360">
            <v>930</v>
          </cell>
          <cell r="I3360" t="str">
            <v>ВДК У АПОСТ.Р-НІ ДН.ОБЛ,СМТ.АПОСТОЛОВЕ</v>
          </cell>
          <cell r="J3360" t="str">
            <v>ВДК У АПОСТОЛІВСЬКОМУ Р-НІ</v>
          </cell>
          <cell r="K3360" t="str">
            <v>UCQN</v>
          </cell>
          <cell r="L3360" t="str">
            <v>UCQK</v>
          </cell>
          <cell r="M3360">
            <v>3</v>
          </cell>
          <cell r="N3360">
            <v>27</v>
          </cell>
          <cell r="O3360" t="str">
            <v>Управління НБУ в Дніпр.обл.</v>
          </cell>
        </row>
        <row r="3361">
          <cell r="A3361">
            <v>805153</v>
          </cell>
          <cell r="B3361">
            <v>820172</v>
          </cell>
          <cell r="D3361">
            <v>0</v>
          </cell>
          <cell r="E3361">
            <v>898</v>
          </cell>
          <cell r="F3361">
            <v>0</v>
          </cell>
          <cell r="G3361" t="str">
            <v>8</v>
          </cell>
          <cell r="H3361">
            <v>944</v>
          </cell>
          <cell r="I3361" t="str">
            <v>ВДК У ВАСИЛЬКІВСЬКОМУ Р-НІ ДН-КОЇ ОБЛ.</v>
          </cell>
          <cell r="J3361" t="str">
            <v>ВДК У ВАСИЛЬКІВСЬКОМУ Р-НІ</v>
          </cell>
          <cell r="K3361" t="str">
            <v>UCQO</v>
          </cell>
          <cell r="L3361" t="str">
            <v>UCQK</v>
          </cell>
          <cell r="M3361">
            <v>3</v>
          </cell>
          <cell r="N3361">
            <v>27</v>
          </cell>
          <cell r="O3361" t="str">
            <v>Управління НБУ в Дніпр.обл.</v>
          </cell>
        </row>
        <row r="3362">
          <cell r="A3362">
            <v>805164</v>
          </cell>
          <cell r="B3362">
            <v>820172</v>
          </cell>
          <cell r="D3362">
            <v>0</v>
          </cell>
          <cell r="E3362">
            <v>898</v>
          </cell>
          <cell r="F3362">
            <v>0</v>
          </cell>
          <cell r="G3362" t="str">
            <v>8</v>
          </cell>
          <cell r="H3362">
            <v>945</v>
          </cell>
          <cell r="I3362" t="str">
            <v>ВДК У ВЕРХНЬОДНIПРОВ.Р-НІ ДН-СЬКОЇ ОБЛ</v>
          </cell>
          <cell r="J3362" t="str">
            <v>ВДК У ВЕРХНЬОДНіПРОВ.Р-НІ</v>
          </cell>
          <cell r="K3362" t="str">
            <v>UCQP</v>
          </cell>
          <cell r="L3362" t="str">
            <v>UCQK</v>
          </cell>
          <cell r="M3362">
            <v>3</v>
          </cell>
          <cell r="N3362">
            <v>27</v>
          </cell>
          <cell r="O3362" t="str">
            <v>Управління НБУ в Дніпр.обл.</v>
          </cell>
        </row>
        <row r="3363">
          <cell r="A3363">
            <v>805186</v>
          </cell>
          <cell r="B3363">
            <v>820172</v>
          </cell>
          <cell r="D3363">
            <v>0</v>
          </cell>
          <cell r="E3363">
            <v>898</v>
          </cell>
          <cell r="F3363">
            <v>0</v>
          </cell>
          <cell r="G3363" t="str">
            <v>8</v>
          </cell>
          <cell r="H3363">
            <v>934</v>
          </cell>
          <cell r="I3363" t="str">
            <v>ВДК У ДНIПРОПЕТРОВСЬКОМУ Р-НI М.ДН-СЬК</v>
          </cell>
          <cell r="J3363" t="str">
            <v>ВДК У ДНіПРОПЕТРОВСЬКОМУ Р-</v>
          </cell>
          <cell r="K3363" t="str">
            <v>UCQQ</v>
          </cell>
          <cell r="L3363" t="str">
            <v>UCQK</v>
          </cell>
          <cell r="M3363">
            <v>3</v>
          </cell>
          <cell r="N3363">
            <v>27</v>
          </cell>
          <cell r="O3363" t="str">
            <v>Управління НБУ в Дніпр.обл.</v>
          </cell>
        </row>
        <row r="3364">
          <cell r="A3364">
            <v>805197</v>
          </cell>
          <cell r="B3364">
            <v>820172</v>
          </cell>
          <cell r="D3364">
            <v>0</v>
          </cell>
          <cell r="E3364">
            <v>898</v>
          </cell>
          <cell r="F3364">
            <v>0</v>
          </cell>
          <cell r="G3364" t="str">
            <v>8</v>
          </cell>
          <cell r="H3364">
            <v>935</v>
          </cell>
          <cell r="I3364" t="str">
            <v>ВДК У КРИВОРIЗЬКОМУ Р-НІ М.КРИВИЙ РІГ</v>
          </cell>
          <cell r="J3364" t="str">
            <v>ВДК У КРИВОРіЗЬКОМУ Р-НІ КР</v>
          </cell>
          <cell r="K3364" t="str">
            <v>UCQR</v>
          </cell>
          <cell r="L3364" t="str">
            <v>UCQK</v>
          </cell>
          <cell r="M3364">
            <v>3</v>
          </cell>
          <cell r="N3364">
            <v>27</v>
          </cell>
          <cell r="O3364" t="str">
            <v>Управління НБУ в Дніпр.обл.</v>
          </cell>
        </row>
        <row r="3365">
          <cell r="A3365">
            <v>805205</v>
          </cell>
          <cell r="B3365">
            <v>820172</v>
          </cell>
          <cell r="D3365">
            <v>0</v>
          </cell>
          <cell r="E3365">
            <v>898</v>
          </cell>
          <cell r="F3365">
            <v>0</v>
          </cell>
          <cell r="G3365" t="str">
            <v>8</v>
          </cell>
          <cell r="H3365">
            <v>933</v>
          </cell>
          <cell r="I3365" t="str">
            <v>ВДК У КРИНИЧАН.Р-Н.ДН.ОБЛ,СМТ.КРИНИЧКИ</v>
          </cell>
          <cell r="J3365" t="str">
            <v>ВДК У КРИНИЧАНСЬКОМУ Р-НІ</v>
          </cell>
          <cell r="K3365" t="str">
            <v>UCQS</v>
          </cell>
          <cell r="L3365" t="str">
            <v>UCQK</v>
          </cell>
          <cell r="M3365">
            <v>3</v>
          </cell>
          <cell r="N3365">
            <v>27</v>
          </cell>
          <cell r="O3365" t="str">
            <v>Управління НБУ в Дніпр.обл.</v>
          </cell>
        </row>
        <row r="3366">
          <cell r="A3366">
            <v>805216</v>
          </cell>
          <cell r="B3366">
            <v>820172</v>
          </cell>
          <cell r="D3366">
            <v>0</v>
          </cell>
          <cell r="E3366">
            <v>898</v>
          </cell>
          <cell r="F3366">
            <v>0</v>
          </cell>
          <cell r="G3366" t="str">
            <v>8</v>
          </cell>
          <cell r="H3366">
            <v>947</v>
          </cell>
          <cell r="I3366" t="str">
            <v>ВДК У МАГДАЛИНIВСЬКОМУ Р-НІ ДН-КОЇ ОБЛ</v>
          </cell>
          <cell r="J3366" t="str">
            <v>ВДК У МАГДАЛИНіВСЬКОМУ Р-НІ</v>
          </cell>
          <cell r="K3366" t="str">
            <v>UCQT</v>
          </cell>
          <cell r="L3366" t="str">
            <v>UCQK</v>
          </cell>
          <cell r="M3366">
            <v>3</v>
          </cell>
          <cell r="N3366">
            <v>27</v>
          </cell>
          <cell r="O3366" t="str">
            <v>Управління НБУ в Дніпр.обл.</v>
          </cell>
        </row>
        <row r="3367">
          <cell r="A3367">
            <v>805227</v>
          </cell>
          <cell r="B3367">
            <v>820172</v>
          </cell>
          <cell r="D3367">
            <v>0</v>
          </cell>
          <cell r="E3367">
            <v>898</v>
          </cell>
          <cell r="F3367">
            <v>0</v>
          </cell>
          <cell r="G3367" t="str">
            <v>8</v>
          </cell>
          <cell r="H3367">
            <v>948</v>
          </cell>
          <cell r="I3367" t="str">
            <v>ВДК У МЕЖIВСЬКОМУ Р-НІ ДН-СЬКОЇ ОБЛ.</v>
          </cell>
          <cell r="J3367" t="str">
            <v>ВДК У МЕЖіВСЬКОМУ Р-НІ  ДНІ</v>
          </cell>
          <cell r="K3367" t="str">
            <v>UCQU</v>
          </cell>
          <cell r="L3367" t="str">
            <v>UCQK</v>
          </cell>
          <cell r="M3367">
            <v>3</v>
          </cell>
          <cell r="N3367">
            <v>27</v>
          </cell>
          <cell r="O3367" t="str">
            <v>Управління НБУ в Дніпр.обл.</v>
          </cell>
        </row>
        <row r="3368">
          <cell r="A3368">
            <v>805238</v>
          </cell>
          <cell r="B3368">
            <v>820172</v>
          </cell>
          <cell r="D3368">
            <v>0</v>
          </cell>
          <cell r="E3368">
            <v>898</v>
          </cell>
          <cell r="F3368">
            <v>0</v>
          </cell>
          <cell r="G3368" t="str">
            <v>8</v>
          </cell>
          <cell r="H3368">
            <v>936</v>
          </cell>
          <cell r="I3368" t="str">
            <v>ВДК У НIКОПОЛЬСЬКОМУ Р-НІ ДН-СЬКОЇ ОБЛ</v>
          </cell>
          <cell r="J3368" t="str">
            <v>ВДК У НіКОПОЛЬСЬКОМУ Р-НІ</v>
          </cell>
          <cell r="K3368" t="str">
            <v>UCQV</v>
          </cell>
          <cell r="L3368" t="str">
            <v>UCQK</v>
          </cell>
          <cell r="M3368">
            <v>3</v>
          </cell>
          <cell r="N3368">
            <v>27</v>
          </cell>
          <cell r="O3368" t="str">
            <v>Управління НБУ в Дніпр.обл.</v>
          </cell>
        </row>
        <row r="3369">
          <cell r="A3369">
            <v>805249</v>
          </cell>
          <cell r="B3369">
            <v>820172</v>
          </cell>
          <cell r="D3369">
            <v>0</v>
          </cell>
          <cell r="E3369">
            <v>898</v>
          </cell>
          <cell r="F3369">
            <v>0</v>
          </cell>
          <cell r="G3369" t="str">
            <v>8</v>
          </cell>
          <cell r="H3369">
            <v>940</v>
          </cell>
          <cell r="I3369" t="str">
            <v>ВДК У НОВОМОСКОВСЬКОМУ Р-НІ ДН-ОЇ ОБЛ.</v>
          </cell>
          <cell r="J3369" t="str">
            <v>ВДК У НОВОМОСКОВСЬКОМУ Р-НІ</v>
          </cell>
          <cell r="K3369" t="str">
            <v>UCQW</v>
          </cell>
          <cell r="L3369" t="str">
            <v>UCQK</v>
          </cell>
          <cell r="M3369">
            <v>3</v>
          </cell>
          <cell r="N3369">
            <v>27</v>
          </cell>
          <cell r="O3369" t="str">
            <v>Управління НБУ в Дніпр.обл.</v>
          </cell>
        </row>
        <row r="3370">
          <cell r="A3370">
            <v>805250</v>
          </cell>
          <cell r="B3370">
            <v>820172</v>
          </cell>
          <cell r="D3370">
            <v>0</v>
          </cell>
          <cell r="E3370">
            <v>898</v>
          </cell>
          <cell r="F3370">
            <v>0</v>
          </cell>
          <cell r="G3370" t="str">
            <v>8</v>
          </cell>
          <cell r="H3370">
            <v>941</v>
          </cell>
          <cell r="I3370" t="str">
            <v>ВДК У ПАВЛОГРАДСЬКОМУ Р-НІ ДН-ОЇ ОБЛ.</v>
          </cell>
          <cell r="J3370" t="str">
            <v>ВДК У ПАВЛОГРАДСЬКОМУ Р-НІ</v>
          </cell>
          <cell r="K3370" t="str">
            <v>UCQX</v>
          </cell>
          <cell r="L3370" t="str">
            <v>UCQK</v>
          </cell>
          <cell r="M3370">
            <v>3</v>
          </cell>
          <cell r="N3370">
            <v>27</v>
          </cell>
          <cell r="O3370" t="str">
            <v>Управління НБУ в Дніпр.обл.</v>
          </cell>
        </row>
        <row r="3371">
          <cell r="A3371">
            <v>805261</v>
          </cell>
          <cell r="B3371">
            <v>820172</v>
          </cell>
          <cell r="D3371">
            <v>0</v>
          </cell>
          <cell r="E3371">
            <v>898</v>
          </cell>
          <cell r="F3371">
            <v>0</v>
          </cell>
          <cell r="G3371" t="str">
            <v>8</v>
          </cell>
          <cell r="H3371">
            <v>942</v>
          </cell>
          <cell r="I3371" t="str">
            <v>ВДК У ПЕТРИКIВСЬКОМУ Р-НІ ДН-СЬКОЇ ОБЛ</v>
          </cell>
          <cell r="J3371" t="str">
            <v>ВДК У ПЕТРИКіВСЬКОМУ Р-НІ</v>
          </cell>
          <cell r="K3371" t="str">
            <v>UCQY</v>
          </cell>
          <cell r="L3371" t="str">
            <v>UCQK</v>
          </cell>
          <cell r="M3371">
            <v>3</v>
          </cell>
          <cell r="N3371">
            <v>27</v>
          </cell>
          <cell r="O3371" t="str">
            <v>Управління НБУ в Дніпр.обл.</v>
          </cell>
        </row>
        <row r="3372">
          <cell r="A3372">
            <v>805272</v>
          </cell>
          <cell r="B3372">
            <v>820172</v>
          </cell>
          <cell r="D3372">
            <v>0</v>
          </cell>
          <cell r="E3372">
            <v>898</v>
          </cell>
          <cell r="F3372">
            <v>0</v>
          </cell>
          <cell r="G3372" t="str">
            <v>8</v>
          </cell>
          <cell r="H3372">
            <v>943</v>
          </cell>
          <cell r="I3372" t="str">
            <v>ВДК У ПЕТРОПАВЛIВСЬКОМУ Р-НІ ДН-ОЇ ОБЛ</v>
          </cell>
          <cell r="J3372" t="str">
            <v>ВДК У ПЕТРОПАВЛіВСЬКОМУ Р-Н</v>
          </cell>
          <cell r="K3372" t="str">
            <v>UCQZ</v>
          </cell>
          <cell r="L3372" t="str">
            <v>UCQK</v>
          </cell>
          <cell r="M3372">
            <v>3</v>
          </cell>
          <cell r="N3372">
            <v>27</v>
          </cell>
          <cell r="O3372" t="str">
            <v>Управління НБУ в Дніпр.обл.</v>
          </cell>
        </row>
        <row r="3373">
          <cell r="A3373">
            <v>805283</v>
          </cell>
          <cell r="B3373">
            <v>820172</v>
          </cell>
          <cell r="D3373">
            <v>0</v>
          </cell>
          <cell r="E3373">
            <v>898</v>
          </cell>
          <cell r="F3373">
            <v>0</v>
          </cell>
          <cell r="G3373" t="str">
            <v>8</v>
          </cell>
          <cell r="H3373">
            <v>928</v>
          </cell>
          <cell r="I3373" t="str">
            <v>ВДК У ПОКРОВС.Р-НІ ДН.ОБЛ,СМТ.ПОКРОВКА</v>
          </cell>
          <cell r="J3373" t="str">
            <v>ВДК У ПОКРОВСЬКОМУ Р-НІ  ДН</v>
          </cell>
          <cell r="K3373" t="str">
            <v>UC8A</v>
          </cell>
          <cell r="L3373" t="str">
            <v>UCQK</v>
          </cell>
          <cell r="M3373">
            <v>3</v>
          </cell>
          <cell r="N3373">
            <v>27</v>
          </cell>
          <cell r="O3373" t="str">
            <v>Управління НБУ в Дніпр.обл.</v>
          </cell>
        </row>
        <row r="3374">
          <cell r="A3374">
            <v>805294</v>
          </cell>
          <cell r="B3374">
            <v>820172</v>
          </cell>
          <cell r="D3374">
            <v>0</v>
          </cell>
          <cell r="E3374">
            <v>898</v>
          </cell>
          <cell r="F3374">
            <v>0</v>
          </cell>
          <cell r="G3374" t="str">
            <v>8</v>
          </cell>
          <cell r="H3374">
            <v>903</v>
          </cell>
          <cell r="I3374" t="str">
            <v>ВДК У П"ЯТИХАТСЬКОМУ Р-НІ ДНІПР-ОЇ ОБЛ</v>
          </cell>
          <cell r="J3374" t="str">
            <v>ВДК У П"ЯТИХАТСЬКОМУ Р-НІ</v>
          </cell>
          <cell r="K3374" t="str">
            <v>UC8B</v>
          </cell>
          <cell r="L3374" t="str">
            <v>UCQK</v>
          </cell>
          <cell r="M3374">
            <v>3</v>
          </cell>
          <cell r="N3374">
            <v>27</v>
          </cell>
          <cell r="O3374" t="str">
            <v>Управління НБУ в Дніпр.обл.</v>
          </cell>
        </row>
        <row r="3375">
          <cell r="A3375">
            <v>805302</v>
          </cell>
          <cell r="B3375">
            <v>820172</v>
          </cell>
          <cell r="D3375">
            <v>0</v>
          </cell>
          <cell r="E3375">
            <v>898</v>
          </cell>
          <cell r="F3375">
            <v>0</v>
          </cell>
          <cell r="G3375" t="str">
            <v>8</v>
          </cell>
          <cell r="H3375">
            <v>914</v>
          </cell>
          <cell r="I3375" t="str">
            <v>ВДК У СИНЕЛЬНИКIВСЬКОМУ Р-НІ  ДНІПРОП.</v>
          </cell>
          <cell r="J3375" t="str">
            <v>ВДК У СИНЕЛЬНИКіВСЬКОМУ Р-Н</v>
          </cell>
          <cell r="K3375" t="str">
            <v>UC8C</v>
          </cell>
          <cell r="L3375" t="str">
            <v>UCQK</v>
          </cell>
          <cell r="M3375">
            <v>3</v>
          </cell>
          <cell r="N3375">
            <v>27</v>
          </cell>
          <cell r="O3375" t="str">
            <v>Управління НБУ в Дніпр.обл.</v>
          </cell>
        </row>
        <row r="3376">
          <cell r="A3376">
            <v>805313</v>
          </cell>
          <cell r="B3376">
            <v>820172</v>
          </cell>
          <cell r="D3376">
            <v>0</v>
          </cell>
          <cell r="E3376">
            <v>898</v>
          </cell>
          <cell r="F3376">
            <v>0</v>
          </cell>
          <cell r="G3376" t="str">
            <v>8</v>
          </cell>
          <cell r="H3376">
            <v>915</v>
          </cell>
          <cell r="I3376" t="str">
            <v>ВДК У СОЛОНЯНСК.Р-НІ ДН.ОБЛ,СМТ.СОЛОНЕ</v>
          </cell>
          <cell r="J3376" t="str">
            <v>ВДК У СОЛОНЯНСЬКОМУ Р-НІ  Д</v>
          </cell>
          <cell r="K3376" t="str">
            <v>UC8D</v>
          </cell>
          <cell r="L3376" t="str">
            <v>UCQK</v>
          </cell>
          <cell r="M3376">
            <v>3</v>
          </cell>
          <cell r="N3376">
            <v>27</v>
          </cell>
          <cell r="O3376" t="str">
            <v>Управління НБУ в Дніпр.обл.</v>
          </cell>
        </row>
        <row r="3377">
          <cell r="A3377">
            <v>805324</v>
          </cell>
          <cell r="B3377">
            <v>820172</v>
          </cell>
          <cell r="D3377">
            <v>0</v>
          </cell>
          <cell r="E3377">
            <v>898</v>
          </cell>
          <cell r="F3377">
            <v>0</v>
          </cell>
          <cell r="G3377" t="str">
            <v>8</v>
          </cell>
          <cell r="H3377">
            <v>916</v>
          </cell>
          <cell r="I3377" t="str">
            <v>ВДК У СОФІЇВС.Р-НІ ДН.ОБЛ,СМТ.СОФІЇВКА</v>
          </cell>
          <cell r="J3377" t="str">
            <v>ВДК У СОФіЇВСЬКОМУ Р-НІ  ДН</v>
          </cell>
          <cell r="K3377" t="str">
            <v>UC8E</v>
          </cell>
          <cell r="L3377" t="str">
            <v>UCQK</v>
          </cell>
          <cell r="M3377">
            <v>3</v>
          </cell>
          <cell r="N3377">
            <v>27</v>
          </cell>
          <cell r="O3377" t="str">
            <v>Управління НБУ в Дніпр.обл.</v>
          </cell>
        </row>
        <row r="3378">
          <cell r="A3378">
            <v>805335</v>
          </cell>
          <cell r="B3378">
            <v>820172</v>
          </cell>
          <cell r="D3378">
            <v>0</v>
          </cell>
          <cell r="E3378">
            <v>898</v>
          </cell>
          <cell r="F3378">
            <v>0</v>
          </cell>
          <cell r="G3378" t="str">
            <v>8</v>
          </cell>
          <cell r="H3378">
            <v>904</v>
          </cell>
          <cell r="I3378" t="str">
            <v>ВДК У ТОМАКIВСЬКОМУ Р-НІ ДНІПР-ОЇ ОБЛ.</v>
          </cell>
          <cell r="J3378" t="str">
            <v>ВДК У ТОМАКіВСЬКОМУ Р-НІ  Д</v>
          </cell>
          <cell r="K3378" t="str">
            <v>UC8F</v>
          </cell>
          <cell r="L3378" t="str">
            <v>UCQK</v>
          </cell>
          <cell r="M3378">
            <v>3</v>
          </cell>
          <cell r="N3378">
            <v>27</v>
          </cell>
          <cell r="O3378" t="str">
            <v>Управління НБУ в Дніпр.обл.</v>
          </cell>
        </row>
        <row r="3379">
          <cell r="A3379">
            <v>805346</v>
          </cell>
          <cell r="B3379">
            <v>820172</v>
          </cell>
          <cell r="D3379">
            <v>0</v>
          </cell>
          <cell r="E3379">
            <v>898</v>
          </cell>
          <cell r="F3379">
            <v>0</v>
          </cell>
          <cell r="G3379" t="str">
            <v>8</v>
          </cell>
          <cell r="H3379">
            <v>905</v>
          </cell>
          <cell r="I3379" t="str">
            <v>ВДК У ЦАРИЧАНСЬКОМУ Р-НІ ДНІПР-ОЇ ОБЛ.</v>
          </cell>
          <cell r="J3379" t="str">
            <v>ВДК У ЦАРИЧАНСЬКОМУ Р-НІ  Д</v>
          </cell>
          <cell r="K3379" t="str">
            <v>UC8G</v>
          </cell>
          <cell r="L3379" t="str">
            <v>UCQK</v>
          </cell>
          <cell r="M3379">
            <v>3</v>
          </cell>
          <cell r="N3379">
            <v>27</v>
          </cell>
          <cell r="O3379" t="str">
            <v>Управління НБУ в Дніпр.обл.</v>
          </cell>
        </row>
        <row r="3380">
          <cell r="A3380">
            <v>805357</v>
          </cell>
          <cell r="B3380">
            <v>820172</v>
          </cell>
          <cell r="D3380">
            <v>0</v>
          </cell>
          <cell r="E3380">
            <v>898</v>
          </cell>
          <cell r="F3380">
            <v>0</v>
          </cell>
          <cell r="G3380" t="str">
            <v>8</v>
          </cell>
          <cell r="H3380">
            <v>906</v>
          </cell>
          <cell r="I3380" t="str">
            <v>ВДК У ШИРОКIВСЬКОМУ Р-НІ ДНІПР-ОЇ ОБЛ.</v>
          </cell>
          <cell r="J3380" t="str">
            <v>ВДК У ШИРОКіВСЬКОМУ Р-НІ  Д</v>
          </cell>
          <cell r="K3380" t="str">
            <v>UC8H</v>
          </cell>
          <cell r="L3380" t="str">
            <v>UCQK</v>
          </cell>
          <cell r="M3380">
            <v>3</v>
          </cell>
          <cell r="N3380">
            <v>27</v>
          </cell>
          <cell r="O3380" t="str">
            <v>Управління НБУ в Дніпр.обл.</v>
          </cell>
        </row>
        <row r="3381">
          <cell r="A3381">
            <v>805368</v>
          </cell>
          <cell r="B3381">
            <v>820172</v>
          </cell>
          <cell r="D3381">
            <v>0</v>
          </cell>
          <cell r="E3381">
            <v>898</v>
          </cell>
          <cell r="F3381">
            <v>0</v>
          </cell>
          <cell r="G3381" t="str">
            <v>8</v>
          </cell>
          <cell r="H3381">
            <v>907</v>
          </cell>
          <cell r="I3381" t="str">
            <v>ВДК У ЮР"ЇВСЬКОМУ Р-НІ ДНІПРОП-ОЇ ОБЛ.</v>
          </cell>
          <cell r="J3381" t="str">
            <v>ВДК У ЮР"ЇВСЬКОМУ Р-НІ  ДНІ</v>
          </cell>
          <cell r="K3381" t="str">
            <v>UC8I</v>
          </cell>
          <cell r="L3381" t="str">
            <v>UCQK</v>
          </cell>
          <cell r="M3381">
            <v>3</v>
          </cell>
          <cell r="N3381">
            <v>27</v>
          </cell>
          <cell r="O3381" t="str">
            <v>Управління НБУ в Дніпр.обл.</v>
          </cell>
        </row>
        <row r="3382">
          <cell r="A3382">
            <v>805379</v>
          </cell>
          <cell r="B3382">
            <v>820172</v>
          </cell>
          <cell r="D3382">
            <v>0</v>
          </cell>
          <cell r="E3382">
            <v>898</v>
          </cell>
          <cell r="F3382">
            <v>0</v>
          </cell>
          <cell r="G3382" t="str">
            <v>8</v>
          </cell>
          <cell r="H3382">
            <v>908</v>
          </cell>
          <cell r="I3382" t="str">
            <v>ВДК У АМУР-НИЖНЬОДНIПР.Р-НІ М.ДН-СЬК</v>
          </cell>
          <cell r="J3382" t="str">
            <v>ВДК У АМУР-НИЖНЬОДНіПР.Р-НІ</v>
          </cell>
          <cell r="K3382" t="str">
            <v>UC8J</v>
          </cell>
          <cell r="L3382" t="str">
            <v>UCQK</v>
          </cell>
          <cell r="M3382">
            <v>3</v>
          </cell>
          <cell r="N3382">
            <v>27</v>
          </cell>
          <cell r="O3382" t="str">
            <v>Управління НБУ в Дніпр.обл.</v>
          </cell>
        </row>
        <row r="3383">
          <cell r="A3383">
            <v>805380</v>
          </cell>
          <cell r="B3383">
            <v>820172</v>
          </cell>
          <cell r="D3383">
            <v>0</v>
          </cell>
          <cell r="E3383">
            <v>898</v>
          </cell>
          <cell r="F3383">
            <v>0</v>
          </cell>
          <cell r="G3383" t="str">
            <v>8</v>
          </cell>
          <cell r="H3383">
            <v>909</v>
          </cell>
          <cell r="I3383" t="str">
            <v>ВДК У БАБУШКIНСЬКОМУ Р-НІ М.ДН-СЬК</v>
          </cell>
          <cell r="J3383" t="str">
            <v>ВДК У БАБУШКіНСЬКОМУ Р-НІ М</v>
          </cell>
          <cell r="K3383" t="str">
            <v>UC8L</v>
          </cell>
          <cell r="L3383" t="str">
            <v>UCQK</v>
          </cell>
          <cell r="M3383">
            <v>3</v>
          </cell>
          <cell r="N3383">
            <v>27</v>
          </cell>
          <cell r="O3383" t="str">
            <v>Управління НБУ в Дніпр.обл.</v>
          </cell>
        </row>
        <row r="3384">
          <cell r="A3384">
            <v>805391</v>
          </cell>
          <cell r="B3384">
            <v>820172</v>
          </cell>
          <cell r="D3384">
            <v>0</v>
          </cell>
          <cell r="E3384">
            <v>898</v>
          </cell>
          <cell r="F3384">
            <v>0</v>
          </cell>
          <cell r="G3384" t="str">
            <v>8</v>
          </cell>
          <cell r="H3384">
            <v>913</v>
          </cell>
          <cell r="I3384" t="str">
            <v>ВДК У ЖОВТНЕВОМУ Р-НІ М.ДНІПРОПЕТРОВ.</v>
          </cell>
          <cell r="J3384" t="str">
            <v>ВДК У ЖОВТНЕВОМУ Р-НІ М.ДНІ</v>
          </cell>
          <cell r="K3384" t="str">
            <v>UC8K</v>
          </cell>
          <cell r="L3384" t="str">
            <v>UCQK</v>
          </cell>
          <cell r="M3384">
            <v>3</v>
          </cell>
          <cell r="N3384">
            <v>27</v>
          </cell>
          <cell r="O3384" t="str">
            <v>Управління НБУ в Дніпр.обл.</v>
          </cell>
        </row>
        <row r="3385">
          <cell r="A3385">
            <v>805409</v>
          </cell>
          <cell r="B3385">
            <v>820172</v>
          </cell>
          <cell r="D3385">
            <v>0</v>
          </cell>
          <cell r="E3385">
            <v>898</v>
          </cell>
          <cell r="F3385">
            <v>0</v>
          </cell>
          <cell r="G3385" t="str">
            <v>8</v>
          </cell>
          <cell r="H3385">
            <v>911</v>
          </cell>
          <cell r="I3385" t="str">
            <v>ВДК В ІНДУСТРIАЛЬНОМУ Р-НІ М.ДН-СЬК</v>
          </cell>
          <cell r="J3385" t="str">
            <v>ВДК В ІНДУСТРіАЛЬНОМУ Р-НІ</v>
          </cell>
          <cell r="K3385" t="str">
            <v>UC8M</v>
          </cell>
          <cell r="L3385" t="str">
            <v>UCQK</v>
          </cell>
          <cell r="M3385">
            <v>3</v>
          </cell>
          <cell r="N3385">
            <v>27</v>
          </cell>
          <cell r="O3385" t="str">
            <v>Управління НБУ в Дніпр.обл.</v>
          </cell>
        </row>
        <row r="3386">
          <cell r="A3386">
            <v>805410</v>
          </cell>
          <cell r="B3386">
            <v>820172</v>
          </cell>
          <cell r="D3386">
            <v>0</v>
          </cell>
          <cell r="E3386">
            <v>898</v>
          </cell>
          <cell r="F3386">
            <v>0</v>
          </cell>
          <cell r="G3386" t="str">
            <v>8</v>
          </cell>
          <cell r="H3386">
            <v>912</v>
          </cell>
          <cell r="I3386" t="str">
            <v>ВДК У КIРОВСЬКОМУ Р-НІ М.ДНІПРОПЕТРОВ.</v>
          </cell>
          <cell r="J3386" t="str">
            <v>ВДК У КіРОВСЬКОМУ Р-НІ М.ДН</v>
          </cell>
          <cell r="K3386" t="str">
            <v>UC8N</v>
          </cell>
          <cell r="L3386" t="str">
            <v>UCQK</v>
          </cell>
          <cell r="M3386">
            <v>3</v>
          </cell>
          <cell r="N3386">
            <v>27</v>
          </cell>
          <cell r="O3386" t="str">
            <v>Управління НБУ в Дніпр.обл.</v>
          </cell>
        </row>
        <row r="3387">
          <cell r="A3387">
            <v>805421</v>
          </cell>
          <cell r="B3387">
            <v>820172</v>
          </cell>
          <cell r="D3387">
            <v>0</v>
          </cell>
          <cell r="E3387">
            <v>898</v>
          </cell>
          <cell r="F3387">
            <v>0</v>
          </cell>
          <cell r="G3387" t="str">
            <v>8</v>
          </cell>
          <cell r="H3387">
            <v>926</v>
          </cell>
          <cell r="I3387" t="str">
            <v>ВДК У КРАСНОГВАРДІЙСЬК. Р-НІ, М.ДН-СЬК</v>
          </cell>
          <cell r="J3387" t="str">
            <v>ВДК У КРАСНОГВАРДіЙС.Р-Ні М</v>
          </cell>
          <cell r="K3387" t="str">
            <v>UC8O</v>
          </cell>
          <cell r="L3387" t="str">
            <v>UCQK</v>
          </cell>
          <cell r="M3387">
            <v>3</v>
          </cell>
          <cell r="N3387">
            <v>27</v>
          </cell>
          <cell r="O3387" t="str">
            <v>Управління НБУ в Дніпр.обл.</v>
          </cell>
        </row>
        <row r="3388">
          <cell r="A3388">
            <v>805432</v>
          </cell>
          <cell r="B3388">
            <v>820172</v>
          </cell>
          <cell r="D3388">
            <v>0</v>
          </cell>
          <cell r="E3388">
            <v>898</v>
          </cell>
          <cell r="F3388">
            <v>0</v>
          </cell>
          <cell r="G3388" t="str">
            <v>8</v>
          </cell>
          <cell r="H3388">
            <v>901</v>
          </cell>
          <cell r="I3388" t="str">
            <v>ВДК У ЛЕНIНСЬКОМУ Р-НІ М.ДНІПРОПЕТРОВ.</v>
          </cell>
          <cell r="J3388" t="str">
            <v>ВДК У ЛЕНіНСЬКОМУ Р-НІ М.ДН</v>
          </cell>
          <cell r="K3388" t="str">
            <v>UC8P</v>
          </cell>
          <cell r="L3388" t="str">
            <v>UCQK</v>
          </cell>
          <cell r="M3388">
            <v>3</v>
          </cell>
          <cell r="N3388">
            <v>27</v>
          </cell>
          <cell r="O3388" t="str">
            <v>Управління НБУ в Дніпр.обл.</v>
          </cell>
        </row>
        <row r="3389">
          <cell r="A3389">
            <v>805443</v>
          </cell>
          <cell r="B3389">
            <v>820172</v>
          </cell>
          <cell r="D3389">
            <v>0</v>
          </cell>
          <cell r="E3389">
            <v>898</v>
          </cell>
          <cell r="F3389">
            <v>0</v>
          </cell>
          <cell r="G3389" t="str">
            <v>8</v>
          </cell>
          <cell r="H3389">
            <v>902</v>
          </cell>
          <cell r="I3389" t="str">
            <v>ВДК У САМАРСЬКОМУ Р-НІ М.ДНІПРОПЕТРОВ.</v>
          </cell>
          <cell r="J3389" t="str">
            <v>ВДК У САМАРСЬКОМУ Р-НІ М.ДН</v>
          </cell>
          <cell r="K3389" t="str">
            <v>UC8Q</v>
          </cell>
          <cell r="L3389" t="str">
            <v>UCQK</v>
          </cell>
          <cell r="M3389">
            <v>3</v>
          </cell>
          <cell r="N3389">
            <v>27</v>
          </cell>
          <cell r="O3389" t="str">
            <v>Управління НБУ в Дніпр.обл.</v>
          </cell>
        </row>
        <row r="3390">
          <cell r="A3390">
            <v>805454</v>
          </cell>
          <cell r="B3390">
            <v>820172</v>
          </cell>
          <cell r="D3390">
            <v>0</v>
          </cell>
          <cell r="E3390">
            <v>898</v>
          </cell>
          <cell r="F3390">
            <v>0</v>
          </cell>
          <cell r="G3390" t="str">
            <v>8</v>
          </cell>
          <cell r="H3390">
            <v>929</v>
          </cell>
          <cell r="I3390" t="str">
            <v>ВДК ВДК У ЖОВТНЕВОМУ Р-НІ М.КРИВИЙ РIГ</v>
          </cell>
          <cell r="J3390" t="str">
            <v>ВДК У ЖОВТНЕВОМУ Р-НІ М.КРИ</v>
          </cell>
          <cell r="K3390" t="str">
            <v>UC8R</v>
          </cell>
          <cell r="L3390" t="str">
            <v>UCQK</v>
          </cell>
          <cell r="M3390">
            <v>3</v>
          </cell>
          <cell r="N3390">
            <v>27</v>
          </cell>
          <cell r="O3390" t="str">
            <v>Управління НБУ в Дніпр.обл.</v>
          </cell>
        </row>
        <row r="3391">
          <cell r="A3391">
            <v>805465</v>
          </cell>
          <cell r="B3391">
            <v>820172</v>
          </cell>
          <cell r="D3391">
            <v>0</v>
          </cell>
          <cell r="E3391">
            <v>898</v>
          </cell>
          <cell r="F3391">
            <v>0</v>
          </cell>
          <cell r="G3391" t="str">
            <v>8</v>
          </cell>
          <cell r="H3391">
            <v>917</v>
          </cell>
          <cell r="I3391" t="str">
            <v>ВДВДК В ІНГУЛЕЦЬКОМУ Р-НІ М.КРИВИЙ РIГ</v>
          </cell>
          <cell r="J3391" t="str">
            <v>ВДК В ІНГУЛЕЦЬКОМУ Р-НІ М.К</v>
          </cell>
          <cell r="K3391" t="str">
            <v>UC8S</v>
          </cell>
          <cell r="L3391" t="str">
            <v>UCQK</v>
          </cell>
          <cell r="M3391">
            <v>3</v>
          </cell>
          <cell r="N3391">
            <v>27</v>
          </cell>
          <cell r="O3391" t="str">
            <v>Управління НБУ в Дніпр.обл.</v>
          </cell>
        </row>
        <row r="3392">
          <cell r="A3392">
            <v>805476</v>
          </cell>
          <cell r="B3392">
            <v>820172</v>
          </cell>
          <cell r="D3392">
            <v>0</v>
          </cell>
          <cell r="E3392">
            <v>898</v>
          </cell>
          <cell r="F3392">
            <v>0</v>
          </cell>
          <cell r="G3392" t="str">
            <v>8</v>
          </cell>
          <cell r="H3392">
            <v>918</v>
          </cell>
          <cell r="I3392" t="str">
            <v>ВДК У ТЕРНІВСЬКОМУ Р-НІ, М.КРИВИЙ РІГ</v>
          </cell>
          <cell r="J3392" t="str">
            <v>ВДК У ТЕРНіВСЬКОМУ Р-НІ М.К</v>
          </cell>
          <cell r="K3392" t="str">
            <v>UC8T</v>
          </cell>
          <cell r="L3392" t="str">
            <v>UCQK</v>
          </cell>
          <cell r="M3392">
            <v>3</v>
          </cell>
          <cell r="N3392">
            <v>27</v>
          </cell>
          <cell r="O3392" t="str">
            <v>Управління НБУ в Дніпр.обл.</v>
          </cell>
        </row>
        <row r="3393">
          <cell r="A3393">
            <v>805487</v>
          </cell>
          <cell r="B3393">
            <v>820172</v>
          </cell>
          <cell r="D3393">
            <v>0</v>
          </cell>
          <cell r="E3393">
            <v>898</v>
          </cell>
          <cell r="F3393">
            <v>0</v>
          </cell>
          <cell r="G3393" t="str">
            <v>8</v>
          </cell>
          <cell r="H3393">
            <v>919</v>
          </cell>
          <cell r="I3393" t="str">
            <v>ВДК У ЦЕНТРАЛЬНО-МІСЬКОМУ Р-НІ,М.КР.Р</v>
          </cell>
          <cell r="J3393" t="str">
            <v>ВДК У ЦЕНТРАЛЬНО-МіСЬКОМУ Р</v>
          </cell>
          <cell r="K3393" t="str">
            <v>UC8U</v>
          </cell>
          <cell r="L3393" t="str">
            <v>UCQK</v>
          </cell>
          <cell r="M3393">
            <v>3</v>
          </cell>
          <cell r="N3393">
            <v>27</v>
          </cell>
          <cell r="O3393" t="str">
            <v>Управління НБУ в Дніпр.обл.</v>
          </cell>
        </row>
        <row r="3394">
          <cell r="A3394">
            <v>811039</v>
          </cell>
          <cell r="B3394">
            <v>820172</v>
          </cell>
          <cell r="D3394">
            <v>0</v>
          </cell>
          <cell r="E3394">
            <v>898</v>
          </cell>
          <cell r="F3394">
            <v>0</v>
          </cell>
          <cell r="G3394" t="str">
            <v>8</v>
          </cell>
          <cell r="H3394">
            <v>908</v>
          </cell>
          <cell r="I3394" t="str">
            <v>ГУДКУ У ЖИТОМИРСЬКІЙ ОБЛАСТІ,М.ЖИТОМИР</v>
          </cell>
          <cell r="J3394" t="str">
            <v>ГУДКУ У ЖИТОМИРСЬКІЙ ОБЛ.</v>
          </cell>
          <cell r="K3394" t="str">
            <v>UEQK</v>
          </cell>
          <cell r="L3394" t="str">
            <v>UEQK</v>
          </cell>
          <cell r="M3394">
            <v>5</v>
          </cell>
          <cell r="N3394">
            <v>27</v>
          </cell>
          <cell r="O3394" t="str">
            <v>Управління НБУ в Житом.обл.</v>
          </cell>
        </row>
        <row r="3395">
          <cell r="A3395">
            <v>812016</v>
          </cell>
          <cell r="B3395">
            <v>820172</v>
          </cell>
          <cell r="D3395">
            <v>0</v>
          </cell>
          <cell r="E3395">
            <v>898</v>
          </cell>
          <cell r="F3395">
            <v>0</v>
          </cell>
          <cell r="G3395" t="str">
            <v>8</v>
          </cell>
          <cell r="H3395">
            <v>905</v>
          </cell>
          <cell r="I3395" t="str">
            <v>ГУДКУ У ЗАКАРПАТСЬКІЙ ОБЛ., М.УЖГОРОД</v>
          </cell>
          <cell r="J3395" t="str">
            <v>ГУДКУ у Закарпатській обл.</v>
          </cell>
          <cell r="K3395" t="str">
            <v>UFQK</v>
          </cell>
          <cell r="L3395" t="str">
            <v>UFQK</v>
          </cell>
          <cell r="M3395">
            <v>6</v>
          </cell>
          <cell r="N3395">
            <v>27</v>
          </cell>
          <cell r="O3395" t="str">
            <v>Управління НБУ в Закарп.обл</v>
          </cell>
        </row>
        <row r="3396">
          <cell r="A3396">
            <v>813015</v>
          </cell>
          <cell r="B3396">
            <v>820172</v>
          </cell>
          <cell r="D3396">
            <v>0</v>
          </cell>
          <cell r="E3396">
            <v>898</v>
          </cell>
          <cell r="F3396">
            <v>0</v>
          </cell>
          <cell r="G3396" t="str">
            <v>8</v>
          </cell>
          <cell r="H3396">
            <v>904</v>
          </cell>
          <cell r="I3396" t="str">
            <v>ГУДКУ У ЗАПОРІЗЬКІЙ ОБЛАСТІ</v>
          </cell>
          <cell r="J3396" t="str">
            <v>ГУДКУ у Запорізькій області</v>
          </cell>
          <cell r="K3396" t="str">
            <v>UGQK</v>
          </cell>
          <cell r="L3396" t="str">
            <v>UGQK</v>
          </cell>
          <cell r="M3396">
            <v>7</v>
          </cell>
          <cell r="N3396">
            <v>27</v>
          </cell>
          <cell r="O3396" t="str">
            <v>Управління НБУ в Запор.обл.</v>
          </cell>
        </row>
        <row r="3397">
          <cell r="A3397">
            <v>815013</v>
          </cell>
          <cell r="B3397">
            <v>820172</v>
          </cell>
          <cell r="D3397">
            <v>0</v>
          </cell>
          <cell r="E3397">
            <v>898</v>
          </cell>
          <cell r="F3397">
            <v>0</v>
          </cell>
          <cell r="G3397" t="str">
            <v>8</v>
          </cell>
          <cell r="H3397">
            <v>902</v>
          </cell>
          <cell r="I3397" t="str">
            <v>ГУДКУ У ХМЕЛЬНИЦЬКІЙ ОБЛАСТІ,ХМЕЛЬНИЦ</v>
          </cell>
          <cell r="J3397" t="str">
            <v>ГУДКУ У ХМЕЛЬНИЦЬКІЙ ОБЛАСТ</v>
          </cell>
          <cell r="K3397" t="str">
            <v>UWQK</v>
          </cell>
          <cell r="L3397" t="str">
            <v>UWQK</v>
          </cell>
          <cell r="M3397">
            <v>22</v>
          </cell>
          <cell r="N3397">
            <v>27</v>
          </cell>
          <cell r="O3397" t="str">
            <v>Управ.НБУ у  Хмельницьк.обл.</v>
          </cell>
        </row>
        <row r="3398">
          <cell r="A3398">
            <v>820019</v>
          </cell>
          <cell r="B3398">
            <v>820172</v>
          </cell>
          <cell r="D3398">
            <v>0</v>
          </cell>
          <cell r="E3398">
            <v>898</v>
          </cell>
          <cell r="F3398">
            <v>0</v>
          </cell>
          <cell r="G3398" t="str">
            <v>8</v>
          </cell>
          <cell r="H3398">
            <v>961</v>
          </cell>
          <cell r="I3398" t="str">
            <v>ГУДК УКРАЇНИ У М.КИЄВІ</v>
          </cell>
          <cell r="J3398" t="str">
            <v>ГУДК України у м.Києві</v>
          </cell>
          <cell r="K3398" t="str">
            <v>UIQK</v>
          </cell>
          <cell r="L3398" t="str">
            <v>UIQK</v>
          </cell>
          <cell r="M3398">
            <v>26</v>
          </cell>
          <cell r="N3398">
            <v>27</v>
          </cell>
          <cell r="O3398" t="str">
            <v>ГУ НБУ по м.Києву і області</v>
          </cell>
        </row>
        <row r="3399">
          <cell r="A3399">
            <v>820172</v>
          </cell>
          <cell r="B3399">
            <v>820172</v>
          </cell>
          <cell r="C3399" t="str">
            <v>ДЕРЖКАЗНАЧЕЙСТВО УКРАЇНИ</v>
          </cell>
          <cell r="D3399">
            <v>898</v>
          </cell>
          <cell r="E3399">
            <v>898</v>
          </cell>
          <cell r="F3399">
            <v>0</v>
          </cell>
          <cell r="G3399" t="str">
            <v>8</v>
          </cell>
          <cell r="H3399">
            <v>909</v>
          </cell>
          <cell r="I3399" t="str">
            <v>ДЕРЖАВНЕ КАЗНАЧЕЙСТВО УКРАЇНИ</v>
          </cell>
          <cell r="J3399" t="str">
            <v>ДЕРЖКАЗНАЧЕЙСТВО УКРАЇНИ</v>
          </cell>
          <cell r="K3399" t="str">
            <v>U1QK</v>
          </cell>
          <cell r="L3399" t="str">
            <v>U0QK</v>
          </cell>
          <cell r="M3399">
            <v>27</v>
          </cell>
          <cell r="N3399">
            <v>27</v>
          </cell>
          <cell r="O3399" t="str">
            <v>`НАЦІОНАЛЬНИЙ БАНК`  Київ</v>
          </cell>
        </row>
        <row r="3400">
          <cell r="A3400">
            <v>821018</v>
          </cell>
          <cell r="B3400">
            <v>820172</v>
          </cell>
          <cell r="D3400">
            <v>0</v>
          </cell>
          <cell r="E3400">
            <v>898</v>
          </cell>
          <cell r="F3400">
            <v>0</v>
          </cell>
          <cell r="G3400" t="str">
            <v>8</v>
          </cell>
          <cell r="H3400">
            <v>980</v>
          </cell>
          <cell r="I3400" t="str">
            <v>ГУ ДКУ У КИЇВСЬКІЙ ОБЛАСТІ, М.КИЇВ</v>
          </cell>
          <cell r="J3400" t="str">
            <v>ГУ ДКУ у Київській області</v>
          </cell>
          <cell r="K3400" t="str">
            <v>UJQK</v>
          </cell>
          <cell r="L3400" t="str">
            <v>UJQK</v>
          </cell>
          <cell r="M3400">
            <v>26</v>
          </cell>
          <cell r="N3400">
            <v>27</v>
          </cell>
          <cell r="O3400" t="str">
            <v>ГУ НБУ по м.Києву і області</v>
          </cell>
        </row>
        <row r="3401">
          <cell r="A3401">
            <v>823016</v>
          </cell>
          <cell r="B3401">
            <v>820172</v>
          </cell>
          <cell r="D3401">
            <v>0</v>
          </cell>
          <cell r="E3401">
            <v>898</v>
          </cell>
          <cell r="F3401">
            <v>0</v>
          </cell>
          <cell r="G3401" t="str">
            <v>8</v>
          </cell>
          <cell r="H3401">
            <v>905</v>
          </cell>
          <cell r="I3401" t="str">
            <v>ГУДКУ У КІРОВОГРАДСЬКІЙ ОБЛАСТІ</v>
          </cell>
          <cell r="J3401" t="str">
            <v>ГУДКУ у Кіровоградській обл</v>
          </cell>
          <cell r="K3401" t="str">
            <v>UKQK</v>
          </cell>
          <cell r="L3401" t="str">
            <v>UKQK</v>
          </cell>
          <cell r="M3401">
            <v>10</v>
          </cell>
          <cell r="N3401">
            <v>27</v>
          </cell>
          <cell r="O3401" t="str">
            <v>Управл.НБУ в Кіровоград.обл</v>
          </cell>
        </row>
        <row r="3402">
          <cell r="A3402">
            <v>824026</v>
          </cell>
          <cell r="B3402">
            <v>820172</v>
          </cell>
          <cell r="D3402">
            <v>0</v>
          </cell>
          <cell r="E3402">
            <v>898</v>
          </cell>
          <cell r="F3402">
            <v>0</v>
          </cell>
          <cell r="G3402" t="str">
            <v>8</v>
          </cell>
          <cell r="H3402">
            <v>905</v>
          </cell>
          <cell r="I3402" t="str">
            <v>ГУ ДК УКРАЇНИ В АРК, М.СІМФЕРОПОЛЬ</v>
          </cell>
          <cell r="J3402" t="str">
            <v>ГУ ДКУ В АРК</v>
          </cell>
          <cell r="K3402" t="str">
            <v>ULQK</v>
          </cell>
          <cell r="L3402" t="str">
            <v>ULQK</v>
          </cell>
          <cell r="M3402">
            <v>11</v>
          </cell>
          <cell r="N3402">
            <v>27</v>
          </cell>
          <cell r="O3402" t="str">
            <v>ГУ НБУ В АРК М.СІМФЕРОПОЛЬ</v>
          </cell>
        </row>
        <row r="3403">
          <cell r="A3403">
            <v>824509</v>
          </cell>
          <cell r="B3403">
            <v>820172</v>
          </cell>
          <cell r="D3403">
            <v>0</v>
          </cell>
          <cell r="E3403">
            <v>898</v>
          </cell>
          <cell r="F3403">
            <v>0</v>
          </cell>
          <cell r="G3403" t="str">
            <v>8</v>
          </cell>
          <cell r="H3403">
            <v>908</v>
          </cell>
          <cell r="I3403" t="str">
            <v>ГУ ДК УКРАЇНИ У М.СЕВАСТОПОЛІ</v>
          </cell>
          <cell r="J3403" t="str">
            <v>ГУ ДК УКРАЇНИ У СЕВАСТ.</v>
          </cell>
          <cell r="K3403" t="str">
            <v>U9QK</v>
          </cell>
          <cell r="L3403" t="str">
            <v>U9QK</v>
          </cell>
          <cell r="M3403">
            <v>11</v>
          </cell>
          <cell r="N3403">
            <v>27</v>
          </cell>
          <cell r="O3403" t="str">
            <v>ГУ НБУ В АРК М.СІМФЕРОПОЛЬ</v>
          </cell>
        </row>
        <row r="3404">
          <cell r="A3404">
            <v>825014</v>
          </cell>
          <cell r="B3404">
            <v>820172</v>
          </cell>
          <cell r="D3404">
            <v>0</v>
          </cell>
          <cell r="E3404">
            <v>898</v>
          </cell>
          <cell r="F3404">
            <v>0</v>
          </cell>
          <cell r="G3404" t="str">
            <v>8</v>
          </cell>
          <cell r="H3404">
            <v>903</v>
          </cell>
          <cell r="I3404" t="str">
            <v>ГУДКУ У ЛЬВІВСЬКІЙ ОБЛАСТІ</v>
          </cell>
          <cell r="J3404" t="str">
            <v>ГУДКУ у Львівській області</v>
          </cell>
          <cell r="K3404" t="str">
            <v>UNQK</v>
          </cell>
          <cell r="L3404" t="str">
            <v>UNQK</v>
          </cell>
          <cell r="M3404">
            <v>13</v>
          </cell>
          <cell r="N3404">
            <v>27</v>
          </cell>
          <cell r="O3404" t="str">
            <v>Управління НБУ у Львівс.обл</v>
          </cell>
        </row>
        <row r="3405">
          <cell r="A3405">
            <v>826013</v>
          </cell>
          <cell r="B3405">
            <v>820172</v>
          </cell>
          <cell r="D3405">
            <v>0</v>
          </cell>
          <cell r="E3405">
            <v>898</v>
          </cell>
          <cell r="F3405">
            <v>0</v>
          </cell>
          <cell r="G3405" t="str">
            <v>8</v>
          </cell>
          <cell r="H3405">
            <v>902</v>
          </cell>
          <cell r="I3405" t="str">
            <v>ГУДКУ У МИКОЛАЇВСЬКІЙ ОБЛАСТІ</v>
          </cell>
          <cell r="J3405" t="str">
            <v>ГУДКУ у Миколаївській обл.</v>
          </cell>
          <cell r="K3405" t="str">
            <v>UOQK</v>
          </cell>
          <cell r="L3405" t="str">
            <v>UOQK</v>
          </cell>
          <cell r="M3405">
            <v>14</v>
          </cell>
          <cell r="N3405">
            <v>27</v>
          </cell>
          <cell r="O3405" t="str">
            <v>Управління НБУ в Микол.обл.</v>
          </cell>
        </row>
        <row r="3406">
          <cell r="A3406">
            <v>828011</v>
          </cell>
          <cell r="B3406">
            <v>820172</v>
          </cell>
          <cell r="D3406">
            <v>0</v>
          </cell>
          <cell r="E3406">
            <v>898</v>
          </cell>
          <cell r="F3406">
            <v>0</v>
          </cell>
          <cell r="G3406" t="str">
            <v>8</v>
          </cell>
          <cell r="H3406">
            <v>913</v>
          </cell>
          <cell r="I3406" t="str">
            <v>ГУДКУ В ОДЕСЬКІЙ ОБЛАСТІ, М. ОДЕСА</v>
          </cell>
          <cell r="J3406" t="str">
            <v>ГУДКУ в Одеській області</v>
          </cell>
          <cell r="K3406" t="str">
            <v>UPQK</v>
          </cell>
          <cell r="L3406" t="str">
            <v>UPQK</v>
          </cell>
          <cell r="M3406">
            <v>15</v>
          </cell>
          <cell r="N3406">
            <v>27</v>
          </cell>
          <cell r="O3406" t="str">
            <v>Управління НБУ в Одес.обл.</v>
          </cell>
        </row>
        <row r="3407">
          <cell r="A3407">
            <v>831019</v>
          </cell>
          <cell r="B3407">
            <v>820172</v>
          </cell>
          <cell r="D3407">
            <v>0</v>
          </cell>
          <cell r="E3407">
            <v>898</v>
          </cell>
          <cell r="F3407">
            <v>0</v>
          </cell>
          <cell r="G3407" t="str">
            <v>8</v>
          </cell>
          <cell r="H3407">
            <v>908</v>
          </cell>
          <cell r="I3407" t="str">
            <v>ГУДК УКРАЇНИ У ПОЛТАВСЬКІЙ ОБЛАСТІ</v>
          </cell>
          <cell r="J3407" t="str">
            <v>ГУДК України у Полтав.обл.</v>
          </cell>
          <cell r="K3407" t="str">
            <v>UQQK</v>
          </cell>
          <cell r="L3407" t="str">
            <v>UQQK</v>
          </cell>
          <cell r="M3407">
            <v>16</v>
          </cell>
          <cell r="N3407">
            <v>27</v>
          </cell>
          <cell r="O3407" t="str">
            <v>Управління НБУ в Полтав.обл</v>
          </cell>
        </row>
        <row r="3408">
          <cell r="A3408">
            <v>833017</v>
          </cell>
          <cell r="B3408">
            <v>820172</v>
          </cell>
          <cell r="D3408">
            <v>0</v>
          </cell>
          <cell r="E3408">
            <v>898</v>
          </cell>
          <cell r="F3408">
            <v>0</v>
          </cell>
          <cell r="G3408" t="str">
            <v>8</v>
          </cell>
          <cell r="H3408">
            <v>906</v>
          </cell>
          <cell r="I3408" t="str">
            <v>ГУДКУ У РІВНЕНСЬКІЙ ОБЛАСТІ</v>
          </cell>
          <cell r="J3408" t="str">
            <v>ГУДКУ у Рівненській області</v>
          </cell>
          <cell r="K3408" t="str">
            <v>URQK</v>
          </cell>
          <cell r="L3408" t="str">
            <v>URQK</v>
          </cell>
          <cell r="M3408">
            <v>17</v>
          </cell>
          <cell r="N3408">
            <v>27</v>
          </cell>
          <cell r="O3408" t="str">
            <v>Управління НБУ в Рівнен.обл</v>
          </cell>
        </row>
        <row r="3409">
          <cell r="A3409">
            <v>834016</v>
          </cell>
          <cell r="B3409">
            <v>820172</v>
          </cell>
          <cell r="D3409">
            <v>0</v>
          </cell>
          <cell r="E3409">
            <v>898</v>
          </cell>
          <cell r="F3409">
            <v>0</v>
          </cell>
          <cell r="G3409" t="str">
            <v>8</v>
          </cell>
          <cell r="H3409">
            <v>905</v>
          </cell>
          <cell r="I3409" t="str">
            <v>ГУДКУ У ДОНЕЦЬКІЙ ОБЛАСТІ</v>
          </cell>
          <cell r="J3409" t="str">
            <v>ГУДКУ У ДОНЕЦЬКІЙ ОБЛАСТІ</v>
          </cell>
          <cell r="K3409" t="str">
            <v>UDQK</v>
          </cell>
          <cell r="L3409" t="str">
            <v>UDQK</v>
          </cell>
          <cell r="M3409">
            <v>4</v>
          </cell>
          <cell r="N3409">
            <v>27</v>
          </cell>
          <cell r="O3409" t="str">
            <v>Управління НБУ в Донец.обл.</v>
          </cell>
        </row>
        <row r="3410">
          <cell r="A3410">
            <v>836014</v>
          </cell>
          <cell r="B3410">
            <v>820172</v>
          </cell>
          <cell r="D3410">
            <v>0</v>
          </cell>
          <cell r="E3410">
            <v>898</v>
          </cell>
          <cell r="F3410">
            <v>0</v>
          </cell>
          <cell r="G3410" t="str">
            <v>8</v>
          </cell>
          <cell r="H3410">
            <v>903</v>
          </cell>
          <cell r="I3410" t="str">
            <v>ГУДК УКРАЇНИ В ІВАНО-ФРАНКІВСЬКІЇ ОБЛ.</v>
          </cell>
          <cell r="J3410" t="str">
            <v>ГУДК УКРАЇНИ В ІВ-ФРАНК.ОБ.</v>
          </cell>
          <cell r="K3410" t="str">
            <v>UHQK</v>
          </cell>
          <cell r="L3410" t="str">
            <v>UHQK</v>
          </cell>
          <cell r="M3410">
            <v>8</v>
          </cell>
          <cell r="N3410">
            <v>27</v>
          </cell>
          <cell r="O3410" t="str">
            <v>Управління НБУ Ів-Фpанк.обл</v>
          </cell>
        </row>
        <row r="3411">
          <cell r="A3411">
            <v>837013</v>
          </cell>
          <cell r="B3411">
            <v>820172</v>
          </cell>
          <cell r="D3411">
            <v>0</v>
          </cell>
          <cell r="E3411">
            <v>898</v>
          </cell>
          <cell r="F3411">
            <v>0</v>
          </cell>
          <cell r="G3411" t="str">
            <v>8</v>
          </cell>
          <cell r="H3411">
            <v>902</v>
          </cell>
          <cell r="I3411" t="str">
            <v>ГУДКУ У СУМСЬКІЙ ОБЛАСТІ, М.СУМИ</v>
          </cell>
          <cell r="J3411" t="str">
            <v>ГУДКУ у Сумській області</v>
          </cell>
          <cell r="K3411" t="str">
            <v>USQK</v>
          </cell>
          <cell r="L3411" t="str">
            <v>USQK</v>
          </cell>
          <cell r="M3411">
            <v>18</v>
          </cell>
          <cell r="N3411">
            <v>27</v>
          </cell>
          <cell r="O3411" t="str">
            <v>Управління НБУ в Сумськ.обл</v>
          </cell>
        </row>
        <row r="3412">
          <cell r="A3412">
            <v>838012</v>
          </cell>
          <cell r="B3412">
            <v>820172</v>
          </cell>
          <cell r="D3412">
            <v>0</v>
          </cell>
          <cell r="E3412">
            <v>898</v>
          </cell>
          <cell r="F3412">
            <v>0</v>
          </cell>
          <cell r="G3412" t="str">
            <v>8</v>
          </cell>
          <cell r="H3412">
            <v>901</v>
          </cell>
          <cell r="I3412" t="str">
            <v>ГУДКУ У ТЕРНОПІЛЬСЬКІЙ ОБЛ,М.ТЕРНОПІЛЬ</v>
          </cell>
          <cell r="J3412" t="str">
            <v>ГУДКУ У ТЕРНОПІЛЬСЬКІЙ ОБЛ.</v>
          </cell>
          <cell r="K3412" t="str">
            <v>UTQK</v>
          </cell>
          <cell r="L3412" t="str">
            <v>UTQK</v>
          </cell>
          <cell r="M3412">
            <v>19</v>
          </cell>
          <cell r="N3412">
            <v>27</v>
          </cell>
          <cell r="O3412" t="str">
            <v>Управління НБУ в Терноп.обл</v>
          </cell>
        </row>
        <row r="3413">
          <cell r="A3413">
            <v>851011</v>
          </cell>
          <cell r="B3413">
            <v>820172</v>
          </cell>
          <cell r="D3413">
            <v>0</v>
          </cell>
          <cell r="E3413">
            <v>898</v>
          </cell>
          <cell r="F3413">
            <v>0</v>
          </cell>
          <cell r="G3413" t="str">
            <v>8</v>
          </cell>
          <cell r="H3413">
            <v>913</v>
          </cell>
          <cell r="I3413" t="str">
            <v>ГУДКУ У ХАРКІВСЬКІЙ ОБЛАСТІ</v>
          </cell>
          <cell r="J3413" t="str">
            <v>ГУДКУ у Харківській області</v>
          </cell>
          <cell r="K3413" t="str">
            <v>UUQK</v>
          </cell>
          <cell r="L3413" t="str">
            <v>UUQK</v>
          </cell>
          <cell r="M3413">
            <v>20</v>
          </cell>
          <cell r="N3413">
            <v>27</v>
          </cell>
          <cell r="O3413" t="str">
            <v>Управління НБУ в Харків.обл</v>
          </cell>
        </row>
        <row r="3414">
          <cell r="A3414">
            <v>852010</v>
          </cell>
          <cell r="B3414">
            <v>820172</v>
          </cell>
          <cell r="D3414">
            <v>0</v>
          </cell>
          <cell r="E3414">
            <v>898</v>
          </cell>
          <cell r="F3414">
            <v>0</v>
          </cell>
          <cell r="G3414" t="str">
            <v>8</v>
          </cell>
          <cell r="H3414">
            <v>909</v>
          </cell>
          <cell r="I3414" t="str">
            <v>ГУДКУ У ХЕРСОНСЬКІЙ ОБЛАСТІ, М.ХЕРСОН</v>
          </cell>
          <cell r="J3414" t="str">
            <v>ГУДКУ у Херсонській області</v>
          </cell>
          <cell r="K3414" t="str">
            <v>UVQK</v>
          </cell>
          <cell r="L3414" t="str">
            <v>UVQK</v>
          </cell>
          <cell r="M3414">
            <v>21</v>
          </cell>
          <cell r="N3414">
            <v>27</v>
          </cell>
          <cell r="O3414" t="str">
            <v>Управління НБУ в Херсон.обл</v>
          </cell>
        </row>
        <row r="3415">
          <cell r="A3415">
            <v>853592</v>
          </cell>
          <cell r="B3415">
            <v>820172</v>
          </cell>
          <cell r="D3415">
            <v>0</v>
          </cell>
          <cell r="E3415">
            <v>898</v>
          </cell>
          <cell r="F3415">
            <v>0</v>
          </cell>
          <cell r="G3415" t="str">
            <v>8</v>
          </cell>
          <cell r="H3415">
            <v>901</v>
          </cell>
          <cell r="I3415" t="str">
            <v>ГУДК УКРАЇНИ У ЧЕРНІГІВСЬКІЙ ОБЛАСТІ</v>
          </cell>
          <cell r="J3415" t="str">
            <v>ГУДК У ЧЕРНІГІВСЬКІЙ ОБЛАСТ</v>
          </cell>
          <cell r="K3415" t="str">
            <v>UYQK</v>
          </cell>
          <cell r="L3415" t="str">
            <v>UYQK</v>
          </cell>
          <cell r="M3415">
            <v>24</v>
          </cell>
          <cell r="N3415">
            <v>27</v>
          </cell>
          <cell r="O3415" t="str">
            <v>Упр.НБУ в Чернігівській.обл</v>
          </cell>
        </row>
        <row r="3416">
          <cell r="A3416">
            <v>854018</v>
          </cell>
          <cell r="B3416">
            <v>820172</v>
          </cell>
          <cell r="D3416">
            <v>0</v>
          </cell>
          <cell r="E3416">
            <v>898</v>
          </cell>
          <cell r="F3416">
            <v>0</v>
          </cell>
          <cell r="G3416" t="str">
            <v>8</v>
          </cell>
          <cell r="H3416">
            <v>907</v>
          </cell>
          <cell r="I3416" t="str">
            <v>ГУДКУ У ЧЕРКАСЬКІЙ ОБЛАСТІ</v>
          </cell>
          <cell r="J3416" t="str">
            <v>ГУДКУ У ЧЕРКАСЬКІЙ ОБЛАСТІ</v>
          </cell>
          <cell r="K3416" t="str">
            <v>UXQK</v>
          </cell>
          <cell r="L3416" t="str">
            <v>UXQK</v>
          </cell>
          <cell r="M3416">
            <v>23</v>
          </cell>
          <cell r="N3416">
            <v>27</v>
          </cell>
          <cell r="O3416" t="str">
            <v>Управління НБУ в Чеpкас.обл</v>
          </cell>
        </row>
        <row r="3417">
          <cell r="A3417">
            <v>856135</v>
          </cell>
          <cell r="B3417">
            <v>820172</v>
          </cell>
          <cell r="D3417">
            <v>0</v>
          </cell>
          <cell r="E3417">
            <v>898</v>
          </cell>
          <cell r="F3417">
            <v>0</v>
          </cell>
          <cell r="G3417" t="str">
            <v>8</v>
          </cell>
          <cell r="H3417">
            <v>904</v>
          </cell>
          <cell r="I3417" t="str">
            <v>ГУДК УКРАЇНИ У ЧЕРНІВЕЦЬКІЙ ОБЛ.</v>
          </cell>
          <cell r="J3417" t="str">
            <v>ГУДК України у Чернівец.обл</v>
          </cell>
          <cell r="K3417" t="str">
            <v>UZQK</v>
          </cell>
          <cell r="L3417" t="str">
            <v>UZQK</v>
          </cell>
          <cell r="M3417">
            <v>25</v>
          </cell>
          <cell r="N3417">
            <v>27</v>
          </cell>
          <cell r="O3417" t="str">
            <v>Управління НБУ в Чернів.обл</v>
          </cell>
        </row>
      </sheetData>
      <sheetData sheetId="1" refreshError="1"/>
      <sheetData sheetId="2" refreshError="1"/>
      <sheetData sheetId="3" refreshError="1"/>
      <sheetData sheetId="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eating  Data Report Forms"/>
      <sheetName val="BUControlSheet"/>
      <sheetName val="Control"/>
      <sheetName val="ValidationSheet"/>
      <sheetName val="Coverpage"/>
      <sheetName val="Inward"/>
      <sheetName val="Temp 1A"/>
      <sheetName val="Temp 1B"/>
      <sheetName val="Temp 1C"/>
      <sheetName val="Temp 1D"/>
      <sheetName val="Inward_TS"/>
      <sheetName val="Outward"/>
      <sheetName val="Temp1  (Inward) ver 2"/>
      <sheetName val="Temp 2 (Outward) ver 2"/>
      <sheetName val="Outward_TS"/>
      <sheetName val="Temp 3 (Metadata)"/>
      <sheetName val="Temp 4"/>
      <sheetName val="Sheet2"/>
      <sheetName val="Sheet4"/>
      <sheetName val="Sheet1"/>
      <sheetName val="Довідники"/>
    </sheetNames>
    <sheetDataSet>
      <sheetData sheetId="0"/>
      <sheetData sheetId="1"/>
      <sheetData sheetId="2">
        <row r="19">
          <cell r="A19" t="str">
            <v>Yes</v>
          </cell>
        </row>
        <row r="20">
          <cell r="A20" t="str">
            <v>No</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3"/>
      <sheetName val="2014"/>
      <sheetName val="2015"/>
      <sheetName val="2016"/>
      <sheetName val="2017"/>
      <sheetName val="2018"/>
      <sheetName val="Хімія (робочий)"/>
      <sheetName val="Виробництво добрив"/>
      <sheetName val="Хімія (дані)"/>
      <sheetName val="2017 (інш)"/>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т07(98)"/>
      <sheetName val="links"/>
      <sheetName val="c"/>
      <sheetName val="Graph"/>
    </sheetNames>
    <sheetDataSet>
      <sheetData sheetId="0" refreshError="1">
        <row r="1">
          <cell r="A1" t="str">
            <v>ЗВЕДЕНИЙ БАЛАНСОВИЙ ЗВІТ КОМЕРЦІЙНИХ БАНКІВ УКРАЇНИ
за 1998 рік</v>
          </cell>
        </row>
      </sheetData>
      <sheetData sheetId="1" refreshError="1"/>
      <sheetData sheetId="2" refreshError="1"/>
      <sheetData sheetId="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Input_external"/>
      <sheetName val="Table"/>
      <sheetName val="Table_SR"/>
      <sheetName val="Table_GEF"/>
      <sheetName val="A1_historical"/>
      <sheetName val="A2_alternative"/>
      <sheetName val="A3_market"/>
      <sheetName val="B1_irate"/>
      <sheetName val="B2_GDP"/>
      <sheetName val="B3_deflator"/>
      <sheetName val="B4_CAB"/>
      <sheetName val="B5_Combined"/>
      <sheetName val="B6_Depreciation"/>
      <sheetName val="Data_chart"/>
      <sheetName val="Figure"/>
      <sheetName val="External Sustainability-Arg"/>
      <sheetName val="ExtSust-Arg"/>
      <sheetName val="ControlSheet"/>
      <sheetName val="PanelChart"/>
      <sheetName val="Chartdata"/>
      <sheetName val="B3_CAB"/>
      <sheetName val="B4_Combined"/>
      <sheetName val="B5_Depreciation"/>
      <sheetName val="150dp"/>
      <sheetName val="RED47"/>
      <sheetName val="Rank"/>
      <sheetName val="Annual BiH summary data"/>
      <sheetName val="Commercial Banks"/>
      <sheetName val="T7"/>
      <sheetName val="Table 37"/>
      <sheetName val="Table3"/>
      <sheetName val="Q"/>
      <sheetName val="UCPI"/>
      <sheetName val="3.1.B"/>
      <sheetName val="т07(98)"/>
      <sheetName val="ExternalSustainTable_standard"/>
      <sheetName val="DSA"/>
      <sheetName val="External_Sustainability-Arg"/>
      <sheetName val="SR_Table_Baseline"/>
      <sheetName val="SR_Table_Stress"/>
      <sheetName val="Gin"/>
      <sheetName val="Oin"/>
      <sheetName val="A"/>
      <sheetName val="Table_26"/>
      <sheetName val="StRp_Tbl1"/>
      <sheetName val="#REF"/>
      <sheetName val="t15"/>
      <sheetName val="daily calculations"/>
      <sheetName val="XMBOP96"/>
      <sheetName val="Sweden_MCI CPI based"/>
      <sheetName val="огл"/>
      <sheetName val="Financial Indicators (daily)"/>
      <sheetName val="FOREX-DAILY"/>
      <sheetName val="Control"/>
      <sheetName val="nbk-t20"/>
      <sheetName val="govt revenue"/>
      <sheetName val="bop-weo"/>
      <sheetName val="real-weo"/>
      <sheetName val="Main"/>
      <sheetName val="Links"/>
      <sheetName val="ErrCheck"/>
      <sheetName val="FSUOUT"/>
      <sheetName val="tab5"/>
      <sheetName val="weo-real"/>
      <sheetName val="output fiscal table"/>
      <sheetName val="WEO"/>
      <sheetName val="input data 1996-2000"/>
    </sheetNames>
    <sheetDataSet>
      <sheetData sheetId="0"/>
      <sheetData sheetId="1"/>
      <sheetData sheetId="2" refreshError="1">
        <row r="3">
          <cell r="B3" t="str">
            <v>External Debt Sustainability Framework, 1999-2009</v>
          </cell>
        </row>
        <row r="4">
          <cell r="B4" t="str">
            <v>(In percent of GDP, unless otherwise indicated)</v>
          </cell>
        </row>
        <row r="7">
          <cell r="F7" t="str">
            <v xml:space="preserve">Actual </v>
          </cell>
          <cell r="S7" t="str">
            <v>Projections</v>
          </cell>
        </row>
        <row r="8">
          <cell r="C8">
            <v>1993</v>
          </cell>
          <cell r="D8">
            <v>1994</v>
          </cell>
          <cell r="E8">
            <v>1995</v>
          </cell>
          <cell r="F8">
            <v>1996</v>
          </cell>
          <cell r="G8">
            <v>1997</v>
          </cell>
          <cell r="H8">
            <v>1998</v>
          </cell>
          <cell r="I8">
            <v>1999</v>
          </cell>
          <cell r="J8">
            <v>2000</v>
          </cell>
          <cell r="K8">
            <v>2001</v>
          </cell>
          <cell r="L8">
            <v>2002</v>
          </cell>
          <cell r="M8">
            <v>2003</v>
          </cell>
          <cell r="S8">
            <v>2004</v>
          </cell>
          <cell r="T8">
            <v>2005</v>
          </cell>
          <cell r="U8">
            <v>2006</v>
          </cell>
          <cell r="V8">
            <v>2007</v>
          </cell>
          <cell r="W8">
            <v>2008</v>
          </cell>
          <cell r="X8">
            <v>2009</v>
          </cell>
        </row>
        <row r="9">
          <cell r="AA9" t="str">
            <v>Debt-stabilizing</v>
          </cell>
        </row>
        <row r="10">
          <cell r="S10" t="str">
            <v xml:space="preserve">I.  Baseline  Projections </v>
          </cell>
          <cell r="AA10" t="str">
            <v xml:space="preserve">non-interest </v>
          </cell>
        </row>
        <row r="11">
          <cell r="AA11" t="str">
            <v>current account 6/</v>
          </cell>
        </row>
        <row r="12">
          <cell r="A12">
            <v>1</v>
          </cell>
          <cell r="B12" t="str">
            <v>External debt</v>
          </cell>
          <cell r="C12">
            <v>31.340704666677361</v>
          </cell>
          <cell r="D12">
            <v>32.662319300879389</v>
          </cell>
          <cell r="E12">
            <v>33.794637100239534</v>
          </cell>
          <cell r="F12">
            <v>58.968961161927339</v>
          </cell>
          <cell r="G12">
            <v>49.653987388290879</v>
          </cell>
          <cell r="H12">
            <v>38.526718061664901</v>
          </cell>
          <cell r="I12">
            <v>39.389845348447629</v>
          </cell>
          <cell r="J12">
            <v>36.932704431049835</v>
          </cell>
          <cell r="K12">
            <v>28.377240510095753</v>
          </cell>
          <cell r="L12">
            <v>26.374189292239969</v>
          </cell>
          <cell r="M12">
            <v>26.506294623465958</v>
          </cell>
          <cell r="S12">
            <v>29.253363303090886</v>
          </cell>
          <cell r="T12">
            <v>29.133352418114235</v>
          </cell>
          <cell r="U12">
            <v>28.948315023972814</v>
          </cell>
          <cell r="V12">
            <v>28.884108648373026</v>
          </cell>
          <cell r="W12">
            <v>28.717607837977237</v>
          </cell>
          <cell r="X12">
            <v>27.408414314203611</v>
          </cell>
          <cell r="AA12">
            <v>-0.91617544321247113</v>
          </cell>
        </row>
        <row r="14">
          <cell r="A14">
            <v>2</v>
          </cell>
          <cell r="B14" t="str">
            <v>Change in external debt</v>
          </cell>
          <cell r="D14">
            <v>1.3216146342020281</v>
          </cell>
          <cell r="E14">
            <v>1.1323177993601448</v>
          </cell>
          <cell r="F14">
            <v>25.174324061687805</v>
          </cell>
          <cell r="G14">
            <v>-9.31497377363646</v>
          </cell>
          <cell r="H14">
            <v>-11.127269326625978</v>
          </cell>
          <cell r="I14">
            <v>0.86312728678272777</v>
          </cell>
          <cell r="J14">
            <v>-2.4571409173977941</v>
          </cell>
          <cell r="K14">
            <v>-8.5554639209540824</v>
          </cell>
          <cell r="L14">
            <v>-2.0030512178557842</v>
          </cell>
          <cell r="M14">
            <v>0.13210533122598989</v>
          </cell>
          <cell r="S14">
            <v>2.7470686796249275</v>
          </cell>
          <cell r="T14">
            <v>-0.1200108849766508</v>
          </cell>
          <cell r="U14">
            <v>-0.18503739414142117</v>
          </cell>
          <cell r="V14">
            <v>-6.4206375599788146E-2</v>
          </cell>
          <cell r="W14">
            <v>-0.16650081039578879</v>
          </cell>
          <cell r="X14">
            <v>-1.3091935237736259</v>
          </cell>
          <cell r="Y14">
            <v>0</v>
          </cell>
        </row>
        <row r="15">
          <cell r="A15">
            <v>3</v>
          </cell>
          <cell r="B15" t="str">
            <v>Identified external debt-creating flows (4+8+9)</v>
          </cell>
          <cell r="D15">
            <v>-1.0567449307229433</v>
          </cell>
          <cell r="E15">
            <v>2.5803363856952037</v>
          </cell>
          <cell r="F15">
            <v>10.933211205897058</v>
          </cell>
          <cell r="G15">
            <v>-11.491050832340868</v>
          </cell>
          <cell r="H15">
            <v>-10.425565626597214</v>
          </cell>
          <cell r="I15">
            <v>-0.32006549815371532</v>
          </cell>
          <cell r="J15">
            <v>-4.4121284142804775</v>
          </cell>
          <cell r="K15">
            <v>-5.0404163788465421</v>
          </cell>
          <cell r="L15">
            <v>-2.2813757587304222</v>
          </cell>
          <cell r="M15">
            <v>-7.6702642728973314E-2</v>
          </cell>
          <cell r="S15">
            <v>1.6341037203788824</v>
          </cell>
          <cell r="T15">
            <v>0.11756703849557903</v>
          </cell>
          <cell r="U15">
            <v>-3.4430735801422196E-2</v>
          </cell>
          <cell r="V15">
            <v>6.033213749066435E-2</v>
          </cell>
          <cell r="W15">
            <v>6.2416713289692227E-2</v>
          </cell>
          <cell r="X15">
            <v>-6.8565049627570818E-2</v>
          </cell>
          <cell r="Y15">
            <v>0</v>
          </cell>
        </row>
        <row r="16">
          <cell r="A16">
            <v>4</v>
          </cell>
          <cell r="B16" t="str">
            <v>Current account deficit, excluding interest payments</v>
          </cell>
          <cell r="D16">
            <v>3.0911403405228386</v>
          </cell>
          <cell r="E16">
            <v>4.2433900009100416</v>
          </cell>
          <cell r="F16">
            <v>-4.1925967455261368</v>
          </cell>
          <cell r="G16">
            <v>-3.319142366718844</v>
          </cell>
          <cell r="H16">
            <v>-1.244114132943114</v>
          </cell>
          <cell r="I16">
            <v>0.8531017839225522</v>
          </cell>
          <cell r="J16">
            <v>0.21794015361399607</v>
          </cell>
          <cell r="K16">
            <v>0.78657133100194698</v>
          </cell>
          <cell r="L16">
            <v>0.82781349110010505</v>
          </cell>
          <cell r="M16">
            <v>0.56915382870300568</v>
          </cell>
          <cell r="S16">
            <v>0.26758260073971502</v>
          </cell>
          <cell r="T16">
            <v>0.87109282685465672</v>
          </cell>
          <cell r="U16">
            <v>0.78304582404535927</v>
          </cell>
          <cell r="V16">
            <v>0.78826652733512448</v>
          </cell>
          <cell r="W16">
            <v>0.86394676288675132</v>
          </cell>
          <cell r="X16">
            <v>0.81438624000576743</v>
          </cell>
          <cell r="Y16">
            <v>0.91617544321247113</v>
          </cell>
        </row>
        <row r="17">
          <cell r="A17">
            <v>5</v>
          </cell>
          <cell r="B17" t="str">
            <v>Deficit in balance of goods and services</v>
          </cell>
          <cell r="D17">
            <v>3.8712429116613869</v>
          </cell>
          <cell r="E17">
            <v>4.855824299790557</v>
          </cell>
          <cell r="F17">
            <v>-2.7089379343370439</v>
          </cell>
          <cell r="G17">
            <v>-2.1299883524274925</v>
          </cell>
          <cell r="H17">
            <v>-2.3271113465511917E-2</v>
          </cell>
          <cell r="I17">
            <v>2.0952923493050264</v>
          </cell>
          <cell r="J17">
            <v>1.5344954075776656</v>
          </cell>
          <cell r="K17">
            <v>1.7761369791457433</v>
          </cell>
          <cell r="L17">
            <v>2.1649046954161051</v>
          </cell>
          <cell r="M17">
            <v>1.8794207904020794</v>
          </cell>
          <cell r="S17">
            <v>1.7442748243373174</v>
          </cell>
          <cell r="T17">
            <v>2.7038975020237288</v>
          </cell>
          <cell r="U17">
            <v>2.9393212535192745</v>
          </cell>
          <cell r="V17">
            <v>3.014477807572888</v>
          </cell>
          <cell r="W17">
            <v>3.1107570315603361</v>
          </cell>
          <cell r="X17">
            <v>3.0954775872624865</v>
          </cell>
        </row>
        <row r="18">
          <cell r="A18">
            <v>6</v>
          </cell>
          <cell r="B18" t="str">
            <v>Exports</v>
          </cell>
          <cell r="C18">
            <v>13.122053146898471</v>
          </cell>
          <cell r="D18">
            <v>11.125352493649149</v>
          </cell>
          <cell r="E18">
            <v>12.053370427838681</v>
          </cell>
          <cell r="F18">
            <v>22.023486842881145</v>
          </cell>
          <cell r="G18">
            <v>22.950755403710836</v>
          </cell>
          <cell r="H18">
            <v>21.29595728582208</v>
          </cell>
          <cell r="I18">
            <v>20.535082075780675</v>
          </cell>
          <cell r="J18">
            <v>20.302749966192845</v>
          </cell>
          <cell r="K18">
            <v>20.374771830224532</v>
          </cell>
          <cell r="L18">
            <v>18.186888584228008</v>
          </cell>
          <cell r="M18">
            <v>17.780339184669394</v>
          </cell>
          <cell r="S18">
            <v>19.769185125932268</v>
          </cell>
          <cell r="T18">
            <v>19.620018823937652</v>
          </cell>
          <cell r="U18">
            <v>19.979670421595848</v>
          </cell>
          <cell r="V18">
            <v>20.546608156393063</v>
          </cell>
          <cell r="W18">
            <v>21.091089050990988</v>
          </cell>
          <cell r="X18">
            <v>21.74571520901403</v>
          </cell>
        </row>
        <row r="19">
          <cell r="A19">
            <v>7</v>
          </cell>
          <cell r="B19" t="str">
            <v xml:space="preserve">Imports </v>
          </cell>
          <cell r="D19">
            <v>14.996595405310536</v>
          </cell>
          <cell r="E19">
            <v>16.909194727629238</v>
          </cell>
          <cell r="F19">
            <v>19.314548908544101</v>
          </cell>
          <cell r="G19">
            <v>20.820767051283344</v>
          </cell>
          <cell r="H19">
            <v>21.272686172356568</v>
          </cell>
          <cell r="I19">
            <v>22.630374425085702</v>
          </cell>
          <cell r="J19">
            <v>21.837245373770511</v>
          </cell>
          <cell r="K19">
            <v>22.150908809370275</v>
          </cell>
          <cell r="L19">
            <v>20.351793279644113</v>
          </cell>
          <cell r="M19">
            <v>19.659759975071474</v>
          </cell>
          <cell r="S19">
            <v>21.513459950269585</v>
          </cell>
          <cell r="T19">
            <v>22.323916325961381</v>
          </cell>
          <cell r="U19">
            <v>22.918991675115123</v>
          </cell>
          <cell r="V19">
            <v>23.561085963965951</v>
          </cell>
          <cell r="W19">
            <v>24.201846082551324</v>
          </cell>
          <cell r="X19">
            <v>24.841192796276516</v>
          </cell>
        </row>
        <row r="20">
          <cell r="A20">
            <v>8</v>
          </cell>
          <cell r="B20" t="str">
            <v>Net non-debt creating capital inflows (negative)</v>
          </cell>
          <cell r="D20">
            <v>-3.7587261409853001</v>
          </cell>
          <cell r="E20">
            <v>-2.8810277034106733</v>
          </cell>
          <cell r="F20">
            <v>-3.1201576139771774</v>
          </cell>
          <cell r="G20">
            <v>-3.2857756269976317</v>
          </cell>
          <cell r="H20">
            <v>-3.612389658732003</v>
          </cell>
          <cell r="I20">
            <v>-1.7478112652211142</v>
          </cell>
          <cell r="J20">
            <v>-2.2370170941375536</v>
          </cell>
          <cell r="K20">
            <v>-1.8175004527825667</v>
          </cell>
          <cell r="L20">
            <v>-3.2475449867511399</v>
          </cell>
          <cell r="M20">
            <v>-1.4628376604759876</v>
          </cell>
          <cell r="S20">
            <v>-1.4794794838447756</v>
          </cell>
          <cell r="T20">
            <v>-1.5791153331554699</v>
          </cell>
          <cell r="U20">
            <v>-1.6177970590720876</v>
          </cell>
          <cell r="V20">
            <v>-1.6160687581681108</v>
          </cell>
          <cell r="W20">
            <v>-1.6140124019239743</v>
          </cell>
          <cell r="X20">
            <v>-1.6117344648541607</v>
          </cell>
          <cell r="Y20">
            <v>-1.6117344648541607</v>
          </cell>
        </row>
        <row r="21">
          <cell r="A21" t="str">
            <v>hide</v>
          </cell>
          <cell r="B21" t="str">
            <v>Net foreign direct investment, equity</v>
          </cell>
          <cell r="D21">
            <v>1.1011226519583903</v>
          </cell>
          <cell r="E21">
            <v>1.9105054695319534</v>
          </cell>
          <cell r="F21">
            <v>2.9388059216289619</v>
          </cell>
          <cell r="G21">
            <v>2.44295627485472</v>
          </cell>
          <cell r="H21">
            <v>2.8103847728247184</v>
          </cell>
          <cell r="I21">
            <v>1.9060551889075283</v>
          </cell>
          <cell r="J21">
            <v>1.4535830272536621</v>
          </cell>
          <cell r="K21">
            <v>1.7406510404283986</v>
          </cell>
          <cell r="L21">
            <v>3.223350192553176</v>
          </cell>
          <cell r="M21">
            <v>1.3786169841157567</v>
          </cell>
          <cell r="S21">
            <v>1.3784146722124986</v>
          </cell>
          <cell r="T21">
            <v>1.3769857098909168</v>
          </cell>
          <cell r="U21">
            <v>1.3752415111546239</v>
          </cell>
          <cell r="V21">
            <v>1.3735132102506464</v>
          </cell>
          <cell r="W21">
            <v>1.3714568540065086</v>
          </cell>
          <cell r="X21">
            <v>1.369178916936697</v>
          </cell>
        </row>
        <row r="22">
          <cell r="A22" t="str">
            <v>hide</v>
          </cell>
          <cell r="B22" t="str">
            <v>Net portfolio investment,equity</v>
          </cell>
          <cell r="D22">
            <v>2.65760348902691</v>
          </cell>
          <cell r="E22">
            <v>0.97052223387871972</v>
          </cell>
          <cell r="F22">
            <v>0.18135169234821547</v>
          </cell>
          <cell r="G22">
            <v>0.8428193521429117</v>
          </cell>
          <cell r="H22">
            <v>0.80200488590728458</v>
          </cell>
          <cell r="I22">
            <v>-0.1582439236864141</v>
          </cell>
          <cell r="J22">
            <v>0.78343406688389139</v>
          </cell>
          <cell r="K22">
            <v>7.6849412354168117E-2</v>
          </cell>
          <cell r="L22">
            <v>2.4194794197963842E-2</v>
          </cell>
          <cell r="M22">
            <v>8.4220676360230839E-2</v>
          </cell>
          <cell r="S22">
            <v>0.10106481163227699</v>
          </cell>
          <cell r="T22">
            <v>0.20212962326455311</v>
          </cell>
          <cell r="U22">
            <v>0.24255554791746373</v>
          </cell>
          <cell r="V22">
            <v>0.24255554791746428</v>
          </cell>
          <cell r="W22">
            <v>0.24255554791746572</v>
          </cell>
          <cell r="X22">
            <v>0.2425555479174637</v>
          </cell>
        </row>
        <row r="23">
          <cell r="A23">
            <v>9</v>
          </cell>
          <cell r="B23" t="str">
            <v>Automatic debt dynamics 1/</v>
          </cell>
          <cell r="D23">
            <v>-0.38915913026048177</v>
          </cell>
          <cell r="E23">
            <v>1.2179740881958352</v>
          </cell>
          <cell r="F23">
            <v>18.245965565400372</v>
          </cell>
          <cell r="G23">
            <v>-4.8861328386243912</v>
          </cell>
          <cell r="H23">
            <v>-5.5690618349220973</v>
          </cell>
          <cell r="I23">
            <v>0.57464398314484666</v>
          </cell>
          <cell r="J23">
            <v>-2.3930514737569206</v>
          </cell>
          <cell r="K23">
            <v>-4.0094872570659223</v>
          </cell>
          <cell r="L23">
            <v>0.13835573692061276</v>
          </cell>
          <cell r="M23">
            <v>0.81698118904400863</v>
          </cell>
          <cell r="S23">
            <v>2.8460006034839429</v>
          </cell>
          <cell r="T23">
            <v>0.82558954479639224</v>
          </cell>
          <cell r="U23">
            <v>0.80032049922530613</v>
          </cell>
          <cell r="V23">
            <v>0.88813436832365067</v>
          </cell>
          <cell r="W23">
            <v>0.81248235232691524</v>
          </cell>
          <cell r="X23">
            <v>0.72878317522082248</v>
          </cell>
          <cell r="Y23">
            <v>0.69555902164168959</v>
          </cell>
        </row>
        <row r="24">
          <cell r="A24" t="str">
            <v>hide</v>
          </cell>
          <cell r="B24" t="str">
            <v>Denominator: 1+g+r+gr</v>
          </cell>
          <cell r="D24">
            <v>1.1090008476352009</v>
          </cell>
          <cell r="E24">
            <v>1.0434736949102459</v>
          </cell>
          <cell r="F24">
            <v>0.68013857038512504</v>
          </cell>
          <cell r="G24">
            <v>1.1612690855164858</v>
          </cell>
          <cell r="H24">
            <v>1.2062167455108586</v>
          </cell>
          <cell r="I24">
            <v>1.0498886075662297</v>
          </cell>
          <cell r="J24">
            <v>1.1430796642188585</v>
          </cell>
          <cell r="K24">
            <v>1.2085063273547045</v>
          </cell>
          <cell r="L24">
            <v>1.0734514363268328</v>
          </cell>
          <cell r="M24">
            <v>1.0279245246069721</v>
          </cell>
          <cell r="S24">
            <v>0.95609731868811043</v>
          </cell>
          <cell r="T24">
            <v>1.0492581884106229</v>
          </cell>
          <cell r="U24">
            <v>1.0578192085759333</v>
          </cell>
          <cell r="V24">
            <v>1.0552603556416997</v>
          </cell>
          <cell r="W24">
            <v>1.0562149319344867</v>
          </cell>
          <cell r="X24">
            <v>1.056881260658489</v>
          </cell>
          <cell r="Y24">
            <v>1.056881260658489</v>
          </cell>
        </row>
        <row r="25">
          <cell r="A25">
            <v>10</v>
          </cell>
          <cell r="B25" t="str">
            <v>Contribution from nominal interest rate</v>
          </cell>
          <cell r="D25">
            <v>2.7116155861388718</v>
          </cell>
          <cell r="E25">
            <v>2.8059992073812121</v>
          </cell>
          <cell r="F25">
            <v>4.7434474443680612</v>
          </cell>
          <cell r="G25">
            <v>4.0203175165945888</v>
          </cell>
          <cell r="H25">
            <v>3.1022496924239471</v>
          </cell>
          <cell r="I25">
            <v>2.9700436127329986</v>
          </cell>
          <cell r="J25">
            <v>2.6911968330978349</v>
          </cell>
          <cell r="K25">
            <v>2.3285303143480918</v>
          </cell>
          <cell r="L25">
            <v>2.0426724188745227</v>
          </cell>
          <cell r="M25">
            <v>1.6230384861969329</v>
          </cell>
          <cell r="S25">
            <v>1.9148050655380271</v>
          </cell>
          <cell r="T25">
            <v>2.2488808130056559</v>
          </cell>
          <cell r="U25">
            <v>2.4365974603964378</v>
          </cell>
          <cell r="V25">
            <v>2.4483834990106428</v>
          </cell>
          <cell r="W25">
            <v>2.3941659578164276</v>
          </cell>
          <cell r="X25">
            <v>2.3185109090593672</v>
          </cell>
          <cell r="Y25">
            <v>2.2128134051424526</v>
          </cell>
        </row>
        <row r="26">
          <cell r="A26">
            <v>11</v>
          </cell>
          <cell r="B26" t="str">
            <v xml:space="preserve">Contribution from real GDP growth </v>
          </cell>
          <cell r="D26">
            <v>-0.55121896166263407</v>
          </cell>
          <cell r="E26">
            <v>-1.382064371191583</v>
          </cell>
          <cell r="F26">
            <v>3.0642480462382928</v>
          </cell>
          <cell r="G26">
            <v>-2.6168408298249051</v>
          </cell>
          <cell r="H26">
            <v>-2.7876866530839228</v>
          </cell>
          <cell r="I26">
            <v>-1.8459472030033095</v>
          </cell>
          <cell r="J26">
            <v>-1.2381656016870823</v>
          </cell>
          <cell r="K26">
            <v>-2.0072546232961468</v>
          </cell>
          <cell r="L26">
            <v>8.2789218109836235E-2</v>
          </cell>
          <cell r="M26">
            <v>-0.23185649595264501</v>
          </cell>
          <cell r="S26">
            <v>-0.63183163279552357</v>
          </cell>
          <cell r="T26">
            <v>-1.0315615871951969</v>
          </cell>
          <cell r="U26">
            <v>-1.1704906355753957</v>
          </cell>
          <cell r="V26">
            <v>-1.0972956529337303</v>
          </cell>
          <cell r="W26">
            <v>-1.0938723843060105</v>
          </cell>
          <cell r="X26">
            <v>-1.0868811438699364</v>
          </cell>
          <cell r="Y26">
            <v>-1.0373318303374754</v>
          </cell>
        </row>
        <row r="27">
          <cell r="A27">
            <v>12</v>
          </cell>
          <cell r="B27" t="str">
            <v xml:space="preserve">Contribution from price and exchange rate changes 2/ </v>
          </cell>
          <cell r="D27">
            <v>-2.5495557547367196</v>
          </cell>
          <cell r="E27">
            <v>-0.20596074799379385</v>
          </cell>
          <cell r="F27">
            <v>10.438270074794017</v>
          </cell>
          <cell r="G27">
            <v>-6.2896095253940754</v>
          </cell>
          <cell r="H27">
            <v>-5.8836248742621216</v>
          </cell>
          <cell r="I27">
            <v>-0.54945242658484239</v>
          </cell>
          <cell r="J27">
            <v>-3.8460827051676731</v>
          </cell>
          <cell r="K27">
            <v>-4.3307629481178678</v>
          </cell>
          <cell r="L27">
            <v>-1.9871059000637463</v>
          </cell>
          <cell r="M27">
            <v>-0.57420080120027928</v>
          </cell>
          <cell r="S27">
            <v>1.5630271707414392</v>
          </cell>
          <cell r="T27">
            <v>-0.3917296810140668</v>
          </cell>
          <cell r="U27">
            <v>-0.46578632559573602</v>
          </cell>
          <cell r="V27">
            <v>-0.46295347775326173</v>
          </cell>
          <cell r="W27">
            <v>-0.48781122118350184</v>
          </cell>
          <cell r="X27">
            <v>-0.50284658996860832</v>
          </cell>
          <cell r="Y27">
            <v>-0.47992255316328764</v>
          </cell>
        </row>
        <row r="28">
          <cell r="A28">
            <v>13</v>
          </cell>
          <cell r="B28" t="str">
            <v>Residual, incl. change in gross foreign assets (2-3)</v>
          </cell>
          <cell r="D28">
            <v>2.3783595649249714</v>
          </cell>
          <cell r="E28">
            <v>-1.448018586335059</v>
          </cell>
          <cell r="F28">
            <v>14.241112855790748</v>
          </cell>
          <cell r="G28">
            <v>2.1760770587044078</v>
          </cell>
          <cell r="H28">
            <v>-0.70170370002876403</v>
          </cell>
          <cell r="I28">
            <v>1.183192784936443</v>
          </cell>
          <cell r="J28">
            <v>1.9549874968826835</v>
          </cell>
          <cell r="K28">
            <v>-3.5150475421075402</v>
          </cell>
          <cell r="L28">
            <v>0.27832454087463798</v>
          </cell>
          <cell r="M28">
            <v>0.2088079739549632</v>
          </cell>
          <cell r="S28">
            <v>1.1129649592460451</v>
          </cell>
          <cell r="T28">
            <v>-0.23757792347222983</v>
          </cell>
          <cell r="U28">
            <v>-0.15060665833999898</v>
          </cell>
          <cell r="V28">
            <v>-0.1245385130904525</v>
          </cell>
          <cell r="W28">
            <v>-0.22891752368548102</v>
          </cell>
          <cell r="X28">
            <v>-1.2406284741460549</v>
          </cell>
          <cell r="Y28">
            <v>0</v>
          </cell>
        </row>
        <row r="30">
          <cell r="B30" t="str">
            <v>External debt-to-exports ratio (in percent)</v>
          </cell>
          <cell r="C30">
            <v>238.83994612599975</v>
          </cell>
          <cell r="D30">
            <v>293.58457918096985</v>
          </cell>
          <cell r="E30">
            <v>280.37499803529499</v>
          </cell>
          <cell r="F30">
            <v>267.7548817887955</v>
          </cell>
          <cell r="G30">
            <v>216.35012231563618</v>
          </cell>
          <cell r="H30">
            <v>180.91094729662288</v>
          </cell>
          <cell r="I30">
            <v>191.81732609145251</v>
          </cell>
          <cell r="J30">
            <v>181.90986192780969</v>
          </cell>
          <cell r="K30">
            <v>139.27635973817448</v>
          </cell>
          <cell r="L30">
            <v>145.01759974002445</v>
          </cell>
          <cell r="M30">
            <v>149.07642845373994</v>
          </cell>
          <cell r="S30">
            <v>147.97455290515606</v>
          </cell>
          <cell r="T30">
            <v>148.48789228769607</v>
          </cell>
          <cell r="U30">
            <v>144.88885158327153</v>
          </cell>
          <cell r="V30">
            <v>140.57847615780688</v>
          </cell>
          <cell r="W30">
            <v>136.1599098488843</v>
          </cell>
          <cell r="X30">
            <v>126.0405282179097</v>
          </cell>
        </row>
        <row r="32">
          <cell r="B32" t="str">
            <v>Gross external financing need (in billions of US dollars) 3/</v>
          </cell>
          <cell r="D32">
            <v>49.809402258051044</v>
          </cell>
          <cell r="E32">
            <v>56.037830081692292</v>
          </cell>
          <cell r="F32">
            <v>36.7023598165907</v>
          </cell>
          <cell r="G32">
            <v>56.411010005177815</v>
          </cell>
          <cell r="H32">
            <v>66.614535826162111</v>
          </cell>
          <cell r="I32">
            <v>61.194110095710101</v>
          </cell>
          <cell r="J32">
            <v>59.862534310445099</v>
          </cell>
          <cell r="K32">
            <v>70.750282676462206</v>
          </cell>
          <cell r="L32">
            <v>68.878287470992504</v>
          </cell>
          <cell r="M32">
            <v>51.2728470236246</v>
          </cell>
          <cell r="S32">
            <v>50.321172660215296</v>
          </cell>
          <cell r="T32">
            <v>59.613123117101296</v>
          </cell>
          <cell r="U32">
            <v>58.859856831764588</v>
          </cell>
          <cell r="V32">
            <v>63.627538241590493</v>
          </cell>
          <cell r="W32">
            <v>69.432686897588894</v>
          </cell>
          <cell r="X32">
            <v>71.815156457356608</v>
          </cell>
        </row>
        <row r="33">
          <cell r="B33" t="str">
            <v>in percent of GDP</v>
          </cell>
          <cell r="D33">
            <v>12.352205104915861</v>
          </cell>
          <cell r="E33">
            <v>13.317814734823841</v>
          </cell>
          <cell r="F33">
            <v>12.824730377479504</v>
          </cell>
          <cell r="G33">
            <v>16.974041737340691</v>
          </cell>
          <cell r="H33">
            <v>16.617475335934021</v>
          </cell>
          <cell r="I33">
            <v>14.53993406613149</v>
          </cell>
          <cell r="J33">
            <v>12.44318087259445</v>
          </cell>
          <cell r="K33">
            <v>12.169018906842885</v>
          </cell>
          <cell r="L33">
            <v>11.036397285224206</v>
          </cell>
          <cell r="M33">
            <v>7.9922892008963773</v>
          </cell>
          <cell r="O33" t="str">
            <v>10-Year</v>
          </cell>
          <cell r="Q33" t="str">
            <v>10-Year</v>
          </cell>
          <cell r="S33">
            <v>8.2041276717685676</v>
          </cell>
          <cell r="T33">
            <v>9.2627760685273088</v>
          </cell>
          <cell r="U33">
            <v>8.6458369770439347</v>
          </cell>
          <cell r="V33">
            <v>8.8567286456715255</v>
          </cell>
          <cell r="W33">
            <v>9.1503959540788422</v>
          </cell>
          <cell r="X33">
            <v>8.9550049182362361</v>
          </cell>
        </row>
        <row r="34">
          <cell r="O34" t="str">
            <v>Historical</v>
          </cell>
          <cell r="Q34" t="str">
            <v xml:space="preserve">Standard </v>
          </cell>
          <cell r="Y34" t="str">
            <v>For debt</v>
          </cell>
          <cell r="AA34" t="str">
            <v>Projected</v>
          </cell>
        </row>
        <row r="35">
          <cell r="B35" t="str">
            <v>Key Macroeconomic Assumptions</v>
          </cell>
          <cell r="O35" t="str">
            <v>Average</v>
          </cell>
          <cell r="Q35" t="str">
            <v>Deviation</v>
          </cell>
          <cell r="Y35" t="str">
            <v>stabilization</v>
          </cell>
          <cell r="AA35" t="str">
            <v>Average</v>
          </cell>
        </row>
        <row r="37">
          <cell r="A37" t="str">
            <v>hide</v>
          </cell>
          <cell r="B37" t="str">
            <v xml:space="preserve">Nominal GDP (US dollars)  </v>
          </cell>
          <cell r="C37">
            <v>363.60927898113795</v>
          </cell>
          <cell r="D37">
            <v>403.24299859810606</v>
          </cell>
          <cell r="E37">
            <v>420.77346169385294</v>
          </cell>
          <cell r="F37">
            <v>286.18426069245726</v>
          </cell>
          <cell r="G37">
            <v>332.33693470354149</v>
          </cell>
          <cell r="H37">
            <v>400.87037579116048</v>
          </cell>
          <cell r="I37">
            <v>420.86924065393282</v>
          </cell>
          <cell r="J37">
            <v>481.0870702867436</v>
          </cell>
          <cell r="K37">
            <v>581.39676845006704</v>
          </cell>
          <cell r="L37">
            <v>624.10119616850341</v>
          </cell>
          <cell r="M37">
            <v>641.52892537815171</v>
          </cell>
          <cell r="S37">
            <v>613.36408541491573</v>
          </cell>
          <cell r="T37">
            <v>643.57728909859304</v>
          </cell>
          <cell r="U37">
            <v>680.78841861171827</v>
          </cell>
          <cell r="V37">
            <v>718.40902874095218</v>
          </cell>
          <cell r="W37">
            <v>758.79434339274542</v>
          </cell>
          <cell r="X37">
            <v>801.95552222545518</v>
          </cell>
          <cell r="Y37">
            <v>847.57176332167592</v>
          </cell>
        </row>
        <row r="38">
          <cell r="B38" t="str">
            <v>Real GDP growth (in percent)</v>
          </cell>
          <cell r="D38">
            <v>1.9505059066729169</v>
          </cell>
          <cell r="E38">
            <v>4.4153258154336239</v>
          </cell>
          <cell r="F38">
            <v>-6.1669941277728739</v>
          </cell>
          <cell r="G38">
            <v>5.1533150618820356</v>
          </cell>
          <cell r="H38">
            <v>6.7719724015153027</v>
          </cell>
          <cell r="I38">
            <v>5.0303764143624807</v>
          </cell>
          <cell r="J38">
            <v>3.5931136761357951</v>
          </cell>
          <cell r="K38">
            <v>6.5681079959744038</v>
          </cell>
          <cell r="L38">
            <v>-0.3131742322188158</v>
          </cell>
          <cell r="M38">
            <v>0.90365233880111973</v>
          </cell>
          <cell r="O38">
            <v>2.7906201250785987</v>
          </cell>
          <cell r="Q38">
            <v>3.917792922964717</v>
          </cell>
          <cell r="S38">
            <v>2.2790531025159932</v>
          </cell>
          <cell r="T38">
            <v>3.700000000000192</v>
          </cell>
          <cell r="U38">
            <v>4.2500000000001759</v>
          </cell>
          <cell r="V38">
            <v>4.0000000000000924</v>
          </cell>
          <cell r="W38">
            <v>3.9999999999995373</v>
          </cell>
          <cell r="X38">
            <v>4.000000000000381</v>
          </cell>
          <cell r="Y38">
            <v>4.000000000000381</v>
          </cell>
          <cell r="AA38">
            <v>3.7048421837527283</v>
          </cell>
        </row>
        <row r="39">
          <cell r="B39" t="str">
            <v>Exchange rate appreciation (US dollar value of local currency, change in percent)</v>
          </cell>
          <cell r="D39">
            <v>-0.65271003326620169</v>
          </cell>
          <cell r="E39">
            <v>-7.6999807414066641</v>
          </cell>
          <cell r="F39">
            <v>-47.419967518347114</v>
          </cell>
          <cell r="G39">
            <v>-15.533158686000048</v>
          </cell>
          <cell r="H39">
            <v>-4.0287724357118133</v>
          </cell>
          <cell r="I39">
            <v>-13.323615612449036</v>
          </cell>
          <cell r="J39">
            <v>-4.44405123842464</v>
          </cell>
          <cell r="K39">
            <v>1.1101044534612026</v>
          </cell>
          <cell r="L39">
            <v>1.2197784760976882</v>
          </cell>
          <cell r="M39">
            <v>-3.2759417558727022</v>
          </cell>
          <cell r="O39">
            <v>-9.4048315091919328</v>
          </cell>
          <cell r="Q39">
            <v>14.499390149632067</v>
          </cell>
          <cell r="S39">
            <v>-10.074391091011181</v>
          </cell>
          <cell r="T39">
            <v>-1.6949152542372503</v>
          </cell>
          <cell r="U39">
            <v>-1.4563106796113501</v>
          </cell>
          <cell r="V39">
            <v>-1.4563106796115832</v>
          </cell>
          <cell r="W39">
            <v>-1.4563106796123826</v>
          </cell>
          <cell r="X39">
            <v>-1.456310679611128</v>
          </cell>
          <cell r="Y39">
            <v>-1.456310679611128</v>
          </cell>
          <cell r="AA39">
            <v>-2.9324248439491463</v>
          </cell>
        </row>
        <row r="40">
          <cell r="A40" t="str">
            <v>hide</v>
          </cell>
          <cell r="B40" t="str">
            <v>GDP deflator (change in domestic currency)</v>
          </cell>
          <cell r="D40">
            <v>9.4930284775049287</v>
          </cell>
          <cell r="E40">
            <v>8.27182712642065</v>
          </cell>
          <cell r="F40">
            <v>37.854492984192412</v>
          </cell>
          <cell r="G40">
            <v>30.744564293556454</v>
          </cell>
          <cell r="H40">
            <v>17.713707368008347</v>
          </cell>
          <cell r="I40">
            <v>15.326075747008261</v>
          </cell>
          <cell r="J40">
            <v>15.474976599303968</v>
          </cell>
          <cell r="K40">
            <v>12.157188511137251</v>
          </cell>
          <cell r="L40">
            <v>6.3847191839087492</v>
          </cell>
          <cell r="M40">
            <v>5.3221779984464312</v>
          </cell>
          <cell r="O40">
            <v>15.874275828948743</v>
          </cell>
          <cell r="Q40">
            <v>10.655367103070978</v>
          </cell>
          <cell r="S40">
            <v>3.9518001174397632</v>
          </cell>
          <cell r="T40">
            <v>2.9266004659106448</v>
          </cell>
          <cell r="U40">
            <v>2.9690172433361584</v>
          </cell>
          <cell r="V40">
            <v>2.9668592564369822</v>
          </cell>
          <cell r="W40">
            <v>3.0600018844765264</v>
          </cell>
          <cell r="X40">
            <v>3.1250188024094294</v>
          </cell>
          <cell r="Y40">
            <v>3.1250188024094294</v>
          </cell>
          <cell r="AA40">
            <v>3.1665496283349177</v>
          </cell>
        </row>
        <row r="41">
          <cell r="B41" t="str">
            <v>GDP deflator in US dollars (change in percent)</v>
          </cell>
          <cell r="D41">
            <v>8.7783564949052373</v>
          </cell>
          <cell r="E41">
            <v>-6.5082710682862199E-2</v>
          </cell>
          <cell r="F41">
            <v>-27.516062811493736</v>
          </cell>
          <cell r="G41">
            <v>10.43580364851897</v>
          </cell>
          <cell r="H41">
            <v>12.971289972511556</v>
          </cell>
          <cell r="I41">
            <v>-3.9527286444929199E-2</v>
          </cell>
          <cell r="J41">
            <v>10.343209471672044</v>
          </cell>
          <cell r="K41">
            <v>13.402250455676267</v>
          </cell>
          <cell r="L41">
            <v>7.6823770903710287</v>
          </cell>
          <cell r="M41">
            <v>1.8718847912007508</v>
          </cell>
          <cell r="O41">
            <v>3.7864499116234329</v>
          </cell>
          <cell r="Q41">
            <v>12.097348448933181</v>
          </cell>
          <cell r="S41">
            <v>-6.5207107725373419</v>
          </cell>
          <cell r="T41">
            <v>1.1820818139461009</v>
          </cell>
          <cell r="U41">
            <v>1.4694684485305975</v>
          </cell>
          <cell r="V41">
            <v>1.4673418886248735</v>
          </cell>
          <cell r="W41">
            <v>1.5591280706241717</v>
          </cell>
          <cell r="X41">
            <v>1.6231981402389462</v>
          </cell>
          <cell r="Y41">
            <v>1.6231981402389462</v>
          </cell>
          <cell r="AA41">
            <v>0.13008459823789131</v>
          </cell>
        </row>
        <row r="42">
          <cell r="B42" t="str">
            <v>Nominal external interest rate (in percent)</v>
          </cell>
          <cell r="D42">
            <v>9.5951383846393998</v>
          </cell>
          <cell r="E42">
            <v>8.9644165616936533</v>
          </cell>
          <cell r="F42">
            <v>9.546489740191948</v>
          </cell>
          <cell r="G42">
            <v>7.9171658343474149</v>
          </cell>
          <cell r="H42">
            <v>7.536122927038261</v>
          </cell>
          <cell r="I42">
            <v>8.0936428272771259</v>
          </cell>
          <cell r="J42">
            <v>7.8097599650656289</v>
          </cell>
          <cell r="K42">
            <v>7.6193814173031509</v>
          </cell>
          <cell r="L42">
            <v>7.7270009436117055</v>
          </cell>
          <cell r="M42">
            <v>6.3257340191824616</v>
          </cell>
          <cell r="O42">
            <v>8.1134852620350735</v>
          </cell>
          <cell r="Q42">
            <v>1.0014975726804585</v>
          </cell>
          <cell r="S42">
            <v>6.9068121930198778</v>
          </cell>
          <cell r="T42">
            <v>8.0662745796357846</v>
          </cell>
          <cell r="U42">
            <v>8.8471781763505177</v>
          </cell>
          <cell r="V42">
            <v>8.9251551939158773</v>
          </cell>
          <cell r="W42">
            <v>8.754827316844974</v>
          </cell>
          <cell r="X42">
            <v>8.5327118687672705</v>
          </cell>
          <cell r="Y42">
            <v>8.5327118687672705</v>
          </cell>
          <cell r="AA42">
            <v>8.3388265547557179</v>
          </cell>
        </row>
        <row r="43">
          <cell r="B43" t="str">
            <v>Growth of exports (US dollar terms, in percent)</v>
          </cell>
          <cell r="D43">
            <v>-5.974886646351429</v>
          </cell>
          <cell r="E43">
            <v>13.051473952294579</v>
          </cell>
          <cell r="F43">
            <v>24.272484164404062</v>
          </cell>
          <cell r="G43">
            <v>21.01627199053091</v>
          </cell>
          <cell r="H43">
            <v>11.924596110196983</v>
          </cell>
          <cell r="I43">
            <v>1.2377534263417589</v>
          </cell>
          <cell r="J43">
            <v>13.014696159634841</v>
          </cell>
          <cell r="K43">
            <v>21.279337608135982</v>
          </cell>
          <cell r="L43">
            <v>-4.1817899325133574</v>
          </cell>
          <cell r="M43">
            <v>0.49463171837988984</v>
          </cell>
          <cell r="O43">
            <v>9.6134568551054222</v>
          </cell>
          <cell r="Q43">
            <v>11.037030952845093</v>
          </cell>
          <cell r="S43">
            <v>6.3042987832864661</v>
          </cell>
          <cell r="T43">
            <v>4.1341121378989154</v>
          </cell>
          <cell r="U43">
            <v>7.7209932499892719</v>
          </cell>
          <cell r="V43">
            <v>8.5204138648357741</v>
          </cell>
          <cell r="W43">
            <v>8.4204410618754721</v>
          </cell>
          <cell r="X43">
            <v>8.9684788132994075</v>
          </cell>
          <cell r="AA43">
            <v>7.3447896518642173</v>
          </cell>
        </row>
        <row r="44">
          <cell r="B44" t="str">
            <v>Growth of imports  (US dollar terms, in percent)</v>
          </cell>
          <cell r="D44">
            <v>-16.186702425684775</v>
          </cell>
          <cell r="E44">
            <v>17.655370592634668</v>
          </cell>
          <cell r="F44">
            <v>-22.311086400667534</v>
          </cell>
          <cell r="G44">
            <v>25.182903457299165</v>
          </cell>
          <cell r="H44">
            <v>23.239793326981161</v>
          </cell>
          <cell r="I44">
            <v>11.689572728856778</v>
          </cell>
          <cell r="J44">
            <v>10.301803410041877</v>
          </cell>
          <cell r="K44">
            <v>22.586493830100252</v>
          </cell>
          <cell r="L44">
            <v>-1.3735196335638356</v>
          </cell>
          <cell r="M44">
            <v>-0.70285626144138691</v>
          </cell>
          <cell r="O44">
            <v>7.0081772624556375</v>
          </cell>
          <cell r="Q44">
            <v>16.699736153228454</v>
          </cell>
          <cell r="S44">
            <v>4.6246820929563226</v>
          </cell>
          <cell r="T44">
            <v>8.8785906895234135</v>
          </cell>
          <cell r="U44">
            <v>8.6016865550341706</v>
          </cell>
          <cell r="V44">
            <v>8.4824337217028969</v>
          </cell>
          <cell r="W44">
            <v>8.4939431563792347</v>
          </cell>
          <cell r="X44">
            <v>8.4801178771137131</v>
          </cell>
          <cell r="AA44">
            <v>7.9269090154516251</v>
          </cell>
        </row>
        <row r="45">
          <cell r="B45" t="str">
            <v xml:space="preserve">Current account balance, excluding interest payments </v>
          </cell>
          <cell r="D45">
            <v>-3.0911403405228386</v>
          </cell>
          <cell r="E45">
            <v>-4.2433900009100416</v>
          </cell>
          <cell r="F45">
            <v>4.1925967455261368</v>
          </cell>
          <cell r="G45">
            <v>3.319142366718844</v>
          </cell>
          <cell r="H45">
            <v>1.244114132943114</v>
          </cell>
          <cell r="I45">
            <v>-0.8531017839225522</v>
          </cell>
          <cell r="J45">
            <v>-0.21794015361399607</v>
          </cell>
          <cell r="K45">
            <v>-0.78657133100194698</v>
          </cell>
          <cell r="L45">
            <v>-0.82781349110010505</v>
          </cell>
          <cell r="M45">
            <v>-0.56915382870300568</v>
          </cell>
          <cell r="O45">
            <v>-0.18332576845863913</v>
          </cell>
          <cell r="Q45">
            <v>2.5770569714646832</v>
          </cell>
          <cell r="S45">
            <v>-0.26758260073971502</v>
          </cell>
          <cell r="T45">
            <v>-0.87109282685465672</v>
          </cell>
          <cell r="U45">
            <v>-0.78304582404535927</v>
          </cell>
          <cell r="V45">
            <v>-0.78826652733512448</v>
          </cell>
          <cell r="W45">
            <v>-0.86394676288675132</v>
          </cell>
          <cell r="X45">
            <v>-0.81438624000576743</v>
          </cell>
          <cell r="AA45">
            <v>-0.73138679697789577</v>
          </cell>
        </row>
        <row r="46">
          <cell r="B46" t="str">
            <v xml:space="preserve">Net non-debt creating capital inflows </v>
          </cell>
          <cell r="D46">
            <v>3.7587261409853001</v>
          </cell>
          <cell r="E46">
            <v>2.8810277034106733</v>
          </cell>
          <cell r="F46">
            <v>3.1201576139771774</v>
          </cell>
          <cell r="G46">
            <v>3.2857756269976317</v>
          </cell>
          <cell r="H46">
            <v>3.612389658732003</v>
          </cell>
          <cell r="I46">
            <v>1.7478112652211142</v>
          </cell>
          <cell r="J46">
            <v>2.2370170941375536</v>
          </cell>
          <cell r="K46">
            <v>1.8175004527825667</v>
          </cell>
          <cell r="L46">
            <v>3.2475449867511399</v>
          </cell>
          <cell r="M46">
            <v>1.4628376604759876</v>
          </cell>
          <cell r="O46">
            <v>2.7170788203471146</v>
          </cell>
          <cell r="Q46">
            <v>0.83220415367493195</v>
          </cell>
          <cell r="S46">
            <v>1.4794794838447756</v>
          </cell>
          <cell r="T46">
            <v>1.5791153331554699</v>
          </cell>
          <cell r="U46">
            <v>1.6177970590720876</v>
          </cell>
          <cell r="V46">
            <v>1.6160687581681108</v>
          </cell>
          <cell r="W46">
            <v>1.6140124019239743</v>
          </cell>
          <cell r="X46">
            <v>1.6117344648541607</v>
          </cell>
          <cell r="AA46">
            <v>1.58636791683643</v>
          </cell>
        </row>
        <row r="48">
          <cell r="AA48" t="str">
            <v>Debt-stabilizing</v>
          </cell>
        </row>
        <row r="49">
          <cell r="S49" t="str">
            <v xml:space="preserve">II. Stress Tests for External Debt Ratio </v>
          </cell>
          <cell r="AA49" t="str">
            <v xml:space="preserve">non-interest </v>
          </cell>
        </row>
        <row r="50">
          <cell r="B50" t="str">
            <v>A. Alternative Scenarios</v>
          </cell>
          <cell r="AA50" t="str">
            <v>current account 6/</v>
          </cell>
        </row>
        <row r="52">
          <cell r="B52" t="str">
            <v>A1. Key variables are at their historical averages in 2005-09 4/</v>
          </cell>
          <cell r="S52">
            <v>29.253363303090886</v>
          </cell>
          <cell r="T52">
            <v>26.829099954567639</v>
          </cell>
          <cell r="U52">
            <v>24.468484589107014</v>
          </cell>
          <cell r="V52">
            <v>22.105964728381007</v>
          </cell>
          <cell r="W52">
            <v>19.616618533535686</v>
          </cell>
          <cell r="X52">
            <v>16.142364382922707</v>
          </cell>
          <cell r="AA52">
            <v>-2.5250792361965031</v>
          </cell>
        </row>
        <row r="53">
          <cell r="B53" t="str">
            <v>A2. Country-specific shock in 2005, with reduction in GDP growth (relative to baseline) of one standard deviation 5/</v>
          </cell>
          <cell r="S53">
            <v>29.253363303090886</v>
          </cell>
          <cell r="T53">
            <v>29.133352418114235</v>
          </cell>
          <cell r="U53">
            <v>28.948315023972814</v>
          </cell>
          <cell r="V53">
            <v>28.884108648373026</v>
          </cell>
          <cell r="W53">
            <v>28.717607837977237</v>
          </cell>
          <cell r="X53">
            <v>27.408414314203611</v>
          </cell>
          <cell r="AA53">
            <v>-0.91617544321247113</v>
          </cell>
        </row>
        <row r="54">
          <cell r="B54" t="str">
            <v>A3. Selected variables are consistent with market forecast in 2005-09</v>
          </cell>
          <cell r="S54">
            <v>29.253363303090886</v>
          </cell>
          <cell r="T54">
            <v>29.133352418114235</v>
          </cell>
          <cell r="U54">
            <v>28.948315023972814</v>
          </cell>
          <cell r="V54">
            <v>28.884108648373026</v>
          </cell>
          <cell r="W54">
            <v>28.717607837977237</v>
          </cell>
          <cell r="X54">
            <v>27.408414314203611</v>
          </cell>
          <cell r="AA54">
            <v>-0.91617544321247113</v>
          </cell>
        </row>
        <row r="56">
          <cell r="B56" t="str">
            <v>B. Bound Tests</v>
          </cell>
          <cell r="S56">
            <v>38.362436203717643</v>
          </cell>
          <cell r="T56">
            <v>38.527900116837472</v>
          </cell>
          <cell r="U56">
            <v>38.387419038301594</v>
          </cell>
          <cell r="V56">
            <v>37.16681898699688</v>
          </cell>
          <cell r="W56">
            <v>36.032126332955464</v>
          </cell>
          <cell r="X56">
            <v>35.114974340195531</v>
          </cell>
          <cell r="AA56">
            <v>-1.6813520341400905</v>
          </cell>
        </row>
        <row r="57">
          <cell r="B57" t="str">
            <v>B2. Real GDP growth is at baseline minus one-half standard deviations</v>
          </cell>
          <cell r="S57">
            <v>38.362436203717643</v>
          </cell>
          <cell r="T57">
            <v>38.883882918112946</v>
          </cell>
          <cell r="U57">
            <v>39.092278481420763</v>
          </cell>
          <cell r="V57">
            <v>38.185953657929879</v>
          </cell>
          <cell r="W57">
            <v>37.340634172405345</v>
          </cell>
          <cell r="X57">
            <v>36.698769476919189</v>
          </cell>
          <cell r="AA57">
            <v>-1.4406636974909182</v>
          </cell>
        </row>
        <row r="58">
          <cell r="B58" t="str">
            <v>B1. Nominal interest rate is at historical average plus two standard deviations in 2005 and 2006</v>
          </cell>
          <cell r="S58">
            <v>29.253363303090886</v>
          </cell>
          <cell r="T58">
            <v>29.704002647906499</v>
          </cell>
          <cell r="U58">
            <v>29.890545158038439</v>
          </cell>
          <cell r="V58">
            <v>29.855246405014988</v>
          </cell>
          <cell r="W58">
            <v>29.71606277094461</v>
          </cell>
          <cell r="X58">
            <v>28.432207609630289</v>
          </cell>
          <cell r="AA58">
            <v>-0.8901940546225714</v>
          </cell>
        </row>
        <row r="59">
          <cell r="B59" t="str">
            <v>B2. Real GDP growth is at historical average minus two standard deviations in 2005 and 2006</v>
          </cell>
          <cell r="S59">
            <v>29.253363303090886</v>
          </cell>
          <cell r="T59">
            <v>31.736189573570137</v>
          </cell>
          <cell r="U59">
            <v>34.462679576988535</v>
          </cell>
          <cell r="V59">
            <v>34.221274766587449</v>
          </cell>
          <cell r="W59">
            <v>33.838162074880437</v>
          </cell>
          <cell r="X59">
            <v>32.091298341321917</v>
          </cell>
          <cell r="AA59">
            <v>-1.118068802688537</v>
          </cell>
        </row>
        <row r="60">
          <cell r="B60" t="str">
            <v>B3. Change in US dollar GDP deflator is at historical average minus two standard deviations in 2005 and 2006</v>
          </cell>
          <cell r="S60">
            <v>29.253363303090886</v>
          </cell>
          <cell r="T60">
            <v>36.013663384280235</v>
          </cell>
          <cell r="U60">
            <v>44.082226176980647</v>
          </cell>
          <cell r="V60">
            <v>43.401931843078515</v>
          </cell>
          <cell r="W60">
            <v>42.499895372162698</v>
          </cell>
          <cell r="X60">
            <v>39.769998793420612</v>
          </cell>
          <cell r="AA60">
            <v>-1.6028733639031496</v>
          </cell>
        </row>
        <row r="61">
          <cell r="B61" t="str">
            <v xml:space="preserve">B4. Non-interest current account is at historical average minus two standard deviations in 2005 and 2006 </v>
          </cell>
          <cell r="S61">
            <v>29.253363303090886</v>
          </cell>
          <cell r="T61">
            <v>33.599699302647579</v>
          </cell>
          <cell r="U61">
            <v>38.091750531320457</v>
          </cell>
          <cell r="V61">
            <v>38.308064777107489</v>
          </cell>
          <cell r="W61">
            <v>38.406650839805536</v>
          </cell>
          <cell r="X61">
            <v>37.343341707362917</v>
          </cell>
          <cell r="AA61">
            <v>-0.66405110291139724</v>
          </cell>
        </row>
        <row r="62">
          <cell r="B62" t="str">
            <v>B5. Combination of 2-5 using one standard deviation shocks</v>
          </cell>
          <cell r="S62">
            <v>29.253363303090886</v>
          </cell>
          <cell r="T62">
            <v>35.809282808825124</v>
          </cell>
          <cell r="U62">
            <v>43.409809955313449</v>
          </cell>
          <cell r="V62">
            <v>43.455457560019831</v>
          </cell>
          <cell r="W62">
            <v>43.35567115596416</v>
          </cell>
          <cell r="X62">
            <v>41.703582643317446</v>
          </cell>
          <cell r="AA62">
            <v>-1.1183612642318437</v>
          </cell>
        </row>
        <row r="63">
          <cell r="B63" t="str">
            <v>B6. One time 30 percent nominal depreciation in 2005</v>
          </cell>
          <cell r="S63">
            <v>29.253363303090886</v>
          </cell>
          <cell r="T63">
            <v>39.3894773083166</v>
          </cell>
          <cell r="U63">
            <v>38.771116463025848</v>
          </cell>
          <cell r="V63">
            <v>38.304444566770002</v>
          </cell>
          <cell r="W63">
            <v>37.657724686058124</v>
          </cell>
          <cell r="X63">
            <v>35.422032844214542</v>
          </cell>
          <cell r="AA63">
            <v>-1.3645275524051657</v>
          </cell>
        </row>
        <row r="64">
          <cell r="B64" t="str">
            <v>g = real GDP growth rate, e = nominal appreciation (increase in dollar value of domestic currency), and a = share of domestic-currency denominated debt in total external debt.</v>
          </cell>
        </row>
        <row r="65">
          <cell r="B65" t="str">
            <v xml:space="preserve">2/ The contribution from price and exchange rate changes is defined as [-r(1+g) + ea(1+r)]/(1+g+r+gr) times previous period debt stock. r increases with an appreciating domestic currency (e &gt; 0) </v>
          </cell>
        </row>
        <row r="66">
          <cell r="B66" t="str">
            <v xml:space="preserve">1/ Derived as [r - g - r(1+g) + ea(1+r)]/(1+g+r+gr) times previous period debt stock, with r = nominal effective interest rate on external debt; r = change in domestic GDP deflator in US dollar terms, </v>
          </cell>
        </row>
        <row r="67">
          <cell r="B67" t="str">
            <v>g = real GDP growth rate, e = nominal appreciation (increase in dollar value of domestic currency), and a = share of domestic-currency denominated debt in total external debt.</v>
          </cell>
        </row>
        <row r="68">
          <cell r="B68" t="str">
            <v xml:space="preserve">2/ The contribution from price and exchange rate changes is defined as [-r(1+g) + ea(1+r)]/(1+g+r+gr) times previous period debt stock. r increases with an appreciating domestic currency (e &gt; 0) </v>
          </cell>
        </row>
        <row r="69">
          <cell r="B69" t="str">
            <v xml:space="preserve">and rising inflation (based on GDP deflator). </v>
          </cell>
        </row>
        <row r="70">
          <cell r="B70" t="str">
            <v xml:space="preserve">3/ Defined as current account deficit, plus amortization on medium- and long-term debt, plus short-term debt at end of previous period. </v>
          </cell>
        </row>
        <row r="71">
          <cell r="B71" t="str">
            <v>4/ The key variables include real GDP growth; nominal interest rate; dollar deflator growth; and both non-interest current account and non-debt inflows in percent of GDP.</v>
          </cell>
        </row>
        <row r="72">
          <cell r="B72" t="str">
            <v xml:space="preserve">5/ The implied change in other key variables under this scenario is discussed in the text. </v>
          </cell>
        </row>
        <row r="73">
          <cell r="B73" t="str">
            <v xml:space="preserve">6/ Long-run, constant balance that stabilizes the debt ratio assuming that key variables (real GDP growth, nominal interest rate, dollar deflator growth, and both non-interest current account and non-debt inflows in percent of GDP) remain </v>
          </cell>
        </row>
      </sheetData>
      <sheetData sheetId="3">
        <row r="3">
          <cell r="B3" t="str">
            <v>External Debt Sustainability Framework, 2000-2010</v>
          </cell>
        </row>
      </sheetData>
      <sheetData sheetId="4" refreshError="1">
        <row r="2">
          <cell r="B2" t="str">
            <v xml:space="preserve">Table --. Country: External Sustainability Framework--Gross External Financing Need, 1999-2009 </v>
          </cell>
        </row>
        <row r="7">
          <cell r="F7" t="str">
            <v xml:space="preserve">Actual </v>
          </cell>
          <cell r="O7" t="str">
            <v>Projections</v>
          </cell>
        </row>
        <row r="8">
          <cell r="C8">
            <v>1993</v>
          </cell>
          <cell r="D8">
            <v>1994</v>
          </cell>
          <cell r="E8">
            <v>1995</v>
          </cell>
          <cell r="F8">
            <v>1996</v>
          </cell>
          <cell r="G8">
            <v>1997</v>
          </cell>
          <cell r="H8">
            <v>1998</v>
          </cell>
          <cell r="I8">
            <v>1999</v>
          </cell>
          <cell r="J8">
            <v>2000</v>
          </cell>
          <cell r="K8">
            <v>2001</v>
          </cell>
          <cell r="L8">
            <v>2002</v>
          </cell>
          <cell r="M8">
            <v>2003</v>
          </cell>
          <cell r="O8">
            <v>2004</v>
          </cell>
          <cell r="P8">
            <v>2005</v>
          </cell>
          <cell r="Q8">
            <v>2006</v>
          </cell>
          <cell r="R8">
            <v>2007</v>
          </cell>
          <cell r="S8">
            <v>2008</v>
          </cell>
          <cell r="T8">
            <v>2009</v>
          </cell>
        </row>
        <row r="10">
          <cell r="C10" t="str">
            <v>I. Baseline Projections</v>
          </cell>
        </row>
        <row r="12">
          <cell r="B12" t="str">
            <v>Gross external financing need in billions of U.S. dollars 1/</v>
          </cell>
          <cell r="D12">
            <v>49.809402258051044</v>
          </cell>
          <cell r="E12">
            <v>56.037830081692292</v>
          </cell>
          <cell r="F12">
            <v>36.7023598165907</v>
          </cell>
          <cell r="G12">
            <v>56.411010005177815</v>
          </cell>
          <cell r="H12">
            <v>66.614535826162111</v>
          </cell>
          <cell r="I12">
            <v>61.194110095710101</v>
          </cell>
          <cell r="J12">
            <v>59.862534310445099</v>
          </cell>
          <cell r="K12">
            <v>70.750282676462206</v>
          </cell>
          <cell r="L12">
            <v>68.878287470992504</v>
          </cell>
          <cell r="M12">
            <v>51.2728470236246</v>
          </cell>
          <cell r="O12">
            <v>50.321172660215296</v>
          </cell>
          <cell r="P12">
            <v>59.613123117101296</v>
          </cell>
          <cell r="Q12">
            <v>58.859856831764588</v>
          </cell>
          <cell r="R12">
            <v>63.627538241590493</v>
          </cell>
          <cell r="S12">
            <v>69.432686897588894</v>
          </cell>
          <cell r="T12">
            <v>71.815156457356608</v>
          </cell>
        </row>
        <row r="13">
          <cell r="B13" t="str">
            <v>in percent of GDP</v>
          </cell>
          <cell r="D13">
            <v>12.352205104915861</v>
          </cell>
          <cell r="E13">
            <v>13.317814734823841</v>
          </cell>
          <cell r="F13">
            <v>12.824730377479504</v>
          </cell>
          <cell r="G13">
            <v>16.974041737340691</v>
          </cell>
          <cell r="H13">
            <v>16.617475335934021</v>
          </cell>
          <cell r="I13">
            <v>14.53993406613149</v>
          </cell>
          <cell r="J13">
            <v>12.44318087259445</v>
          </cell>
          <cell r="K13">
            <v>12.169018906842885</v>
          </cell>
          <cell r="L13">
            <v>11.036397285224206</v>
          </cell>
          <cell r="M13">
            <v>7.9922892008963773</v>
          </cell>
          <cell r="O13">
            <v>8.2041276717685676</v>
          </cell>
          <cell r="P13">
            <v>9.2627760685273088</v>
          </cell>
          <cell r="Q13">
            <v>8.6458369770439347</v>
          </cell>
          <cell r="R13">
            <v>8.8567286456715255</v>
          </cell>
          <cell r="S13">
            <v>9.1503959540788422</v>
          </cell>
          <cell r="T13">
            <v>8.9550049182362361</v>
          </cell>
        </row>
        <row r="15">
          <cell r="C15" t="str">
            <v>II. Stress Tests</v>
          </cell>
        </row>
        <row r="16">
          <cell r="B16" t="str">
            <v>Gross external financing need in billions of U.S. dollars 2/</v>
          </cell>
        </row>
        <row r="18">
          <cell r="B18" t="str">
            <v>A. Alternative Scenarios</v>
          </cell>
        </row>
        <row r="20">
          <cell r="B20" t="str">
            <v>A1. Key variables are at their historical averages in 2005-09 3/</v>
          </cell>
          <cell r="O20">
            <v>50.321172660215296</v>
          </cell>
          <cell r="P20">
            <v>53.614978975812178</v>
          </cell>
          <cell r="Q20">
            <v>48.519076320631683</v>
          </cell>
          <cell r="R20">
            <v>48.349226534054132</v>
          </cell>
          <cell r="S20">
            <v>48.022174333995778</v>
          </cell>
          <cell r="T20">
            <v>44.812138524650564</v>
          </cell>
        </row>
        <row r="21">
          <cell r="B21" t="str">
            <v>A2. Country-specific shock in 2005, with reduction in GDP growth (relative to baseline) of one standard deviation 4/</v>
          </cell>
          <cell r="O21">
            <v>50.321172660215296</v>
          </cell>
          <cell r="P21">
            <v>59.613123117101296</v>
          </cell>
          <cell r="Q21">
            <v>58.859856831764588</v>
          </cell>
          <cell r="R21">
            <v>63.627538241590493</v>
          </cell>
          <cell r="S21">
            <v>69.432686897588894</v>
          </cell>
          <cell r="T21">
            <v>71.815156457356608</v>
          </cell>
        </row>
        <row r="22">
          <cell r="B22" t="str">
            <v>A3. Selected variables are consistent with market forecast in 2005-09</v>
          </cell>
          <cell r="O22">
            <v>50.321172660215296</v>
          </cell>
          <cell r="P22">
            <v>59.613123117101296</v>
          </cell>
          <cell r="Q22">
            <v>58.859856831764596</v>
          </cell>
          <cell r="R22">
            <v>63.627538241590493</v>
          </cell>
          <cell r="S22">
            <v>69.432686897588894</v>
          </cell>
          <cell r="T22">
            <v>71.815156457356608</v>
          </cell>
        </row>
        <row r="24">
          <cell r="B24" t="str">
            <v>B. Bound Tests</v>
          </cell>
        </row>
        <row r="26">
          <cell r="B26" t="str">
            <v>B1. Nominal interest rate is at historical average plus two standard deviations in 2005 and 2006</v>
          </cell>
          <cell r="O26">
            <v>50.321172660215296</v>
          </cell>
          <cell r="P26">
            <v>63.807471476911402</v>
          </cell>
          <cell r="Q26">
            <v>62.631525868192668</v>
          </cell>
          <cell r="R26">
            <v>65.541551916763524</v>
          </cell>
          <cell r="S26">
            <v>71.579935642334249</v>
          </cell>
          <cell r="T26">
            <v>74.162484465421301</v>
          </cell>
        </row>
        <row r="27">
          <cell r="B27" t="str">
            <v>B2. Real GDP growth is at historical average minus two standard deviations in 2005 and 2006</v>
          </cell>
          <cell r="O27">
            <v>50.321172660215296</v>
          </cell>
          <cell r="P27">
            <v>59.073977492886215</v>
          </cell>
          <cell r="Q27">
            <v>57.735389559157248</v>
          </cell>
          <cell r="R27">
            <v>62.154922848749564</v>
          </cell>
          <cell r="S27">
            <v>67.442559681399828</v>
          </cell>
          <cell r="T27">
            <v>69.418177881679171</v>
          </cell>
        </row>
        <row r="28">
          <cell r="B28" t="str">
            <v>B3. Change in US dollar GDP deflator is at historical average minus two standard deviations in 2005 and 2006</v>
          </cell>
          <cell r="O28">
            <v>50.321172660215296</v>
          </cell>
          <cell r="P28">
            <v>57.690048490344658</v>
          </cell>
          <cell r="Q28">
            <v>54.589534705932031</v>
          </cell>
          <cell r="R28">
            <v>57.639904274965708</v>
          </cell>
          <cell r="S28">
            <v>61.935327759582286</v>
          </cell>
          <cell r="T28">
            <v>63.10828202814843</v>
          </cell>
        </row>
        <row r="29">
          <cell r="B29" t="str">
            <v xml:space="preserve">B4. Non-interest current account is at historical average minus two standard deviations in 2005 and 2006 </v>
          </cell>
          <cell r="O29">
            <v>50.321172660215296</v>
          </cell>
          <cell r="P29">
            <v>92.393560373466798</v>
          </cell>
          <cell r="Q29">
            <v>101.79251990416891</v>
          </cell>
          <cell r="R29">
            <v>82.201196593624346</v>
          </cell>
          <cell r="S29">
            <v>90.26966685183514</v>
          </cell>
          <cell r="T29">
            <v>94.59371286344529</v>
          </cell>
        </row>
        <row r="30">
          <cell r="B30" t="str">
            <v>B5. Combination of 2-5 using one standard deviation shocks</v>
          </cell>
          <cell r="O30">
            <v>50.321172660215296</v>
          </cell>
          <cell r="P30">
            <v>72.869531035305542</v>
          </cell>
          <cell r="Q30">
            <v>72.401973973458126</v>
          </cell>
          <cell r="R30">
            <v>70.116659522935862</v>
          </cell>
          <cell r="S30">
            <v>76.712549997109079</v>
          </cell>
          <cell r="T30">
            <v>79.77335253976112</v>
          </cell>
        </row>
        <row r="31">
          <cell r="B31" t="str">
            <v>B6. One time 30 percent nominal depreciation in 2005</v>
          </cell>
          <cell r="O31">
            <v>50.321172660215296</v>
          </cell>
          <cell r="P31">
            <v>57.018173262687512</v>
          </cell>
          <cell r="Q31">
            <v>55.123478143086658</v>
          </cell>
          <cell r="R31">
            <v>59.073526614583841</v>
          </cell>
          <cell r="S31">
            <v>63.737256369404172</v>
          </cell>
          <cell r="T31">
            <v>65.20491667427163</v>
          </cell>
        </row>
        <row r="32">
          <cell r="B32" t="str">
            <v>Gross external financing need in percent of GDP 2/</v>
          </cell>
        </row>
        <row r="33">
          <cell r="B33" t="str">
            <v>Gross external financing need in percent of GDP 2/</v>
          </cell>
        </row>
        <row r="34">
          <cell r="B34" t="str">
            <v>A. Alternative Scenarios</v>
          </cell>
        </row>
        <row r="35">
          <cell r="B35" t="str">
            <v>A. Alternative Scenarios</v>
          </cell>
        </row>
        <row r="36">
          <cell r="B36" t="str">
            <v>A1. Key variables are at their historical averages in 2006-10 3/</v>
          </cell>
          <cell r="O36">
            <v>14.920185054561713</v>
          </cell>
          <cell r="P36">
            <v>13.858381744658772</v>
          </cell>
          <cell r="Q36">
            <v>13.427138370155225</v>
          </cell>
          <cell r="R36">
            <v>13.867381056961539</v>
          </cell>
          <cell r="S36">
            <v>13.660136680554141</v>
          </cell>
          <cell r="T36">
            <v>13.806678880115783</v>
          </cell>
        </row>
        <row r="37">
          <cell r="B37" t="str">
            <v>A1. Key variables are at their historical averages in 2005-09 3/</v>
          </cell>
          <cell r="O37">
            <v>8.2041276717685676</v>
          </cell>
          <cell r="P37">
            <v>8.1935791640075006</v>
          </cell>
          <cell r="Q37">
            <v>6.9503375254535458</v>
          </cell>
          <cell r="R37">
            <v>6.4921531900926217</v>
          </cell>
          <cell r="S37">
            <v>6.0443124337491634</v>
          </cell>
          <cell r="T37">
            <v>5.2869671499192732</v>
          </cell>
        </row>
        <row r="38">
          <cell r="B38" t="str">
            <v>A2. Country-specific shock in 2005, with reduction in GDP growth (relative to baseline) of one standard deviation 4/</v>
          </cell>
          <cell r="O38">
            <v>8.2041276717685676</v>
          </cell>
          <cell r="P38">
            <v>9.2627760685273088</v>
          </cell>
          <cell r="Q38">
            <v>8.6458369770439347</v>
          </cell>
          <cell r="R38">
            <v>8.8567286456715255</v>
          </cell>
          <cell r="S38">
            <v>9.1503959540788422</v>
          </cell>
          <cell r="T38">
            <v>8.9550049182362361</v>
          </cell>
        </row>
        <row r="39">
          <cell r="B39" t="str">
            <v>A3. Selected variables are consistent with market forecast in 2005-09</v>
          </cell>
          <cell r="O39">
            <v>8.2041276717685676</v>
          </cell>
          <cell r="P39">
            <v>9.2627760685273088</v>
          </cell>
          <cell r="Q39">
            <v>8.6458369770439365</v>
          </cell>
          <cell r="R39">
            <v>8.8567286456715255</v>
          </cell>
          <cell r="S39">
            <v>9.1503959540788422</v>
          </cell>
          <cell r="T39">
            <v>8.9550049182362361</v>
          </cell>
        </row>
        <row r="40">
          <cell r="B40" t="str">
            <v>B. Bound Tests</v>
          </cell>
        </row>
        <row r="41">
          <cell r="B41" t="str">
            <v>B. Bound Tests</v>
          </cell>
        </row>
        <row r="42">
          <cell r="B42" t="str">
            <v>B1. Nominal interest rate is at baseline plus one-half standard deviations</v>
          </cell>
          <cell r="O42">
            <v>14.920185054561713</v>
          </cell>
          <cell r="P42">
            <v>14.986375647076567</v>
          </cell>
          <cell r="Q42">
            <v>15.040221906616303</v>
          </cell>
          <cell r="R42">
            <v>15.400738537142727</v>
          </cell>
          <cell r="S42">
            <v>15.271950704794987</v>
          </cell>
          <cell r="T42">
            <v>15.494868903376229</v>
          </cell>
        </row>
        <row r="43">
          <cell r="B43" t="str">
            <v>B1. Nominal interest rate is at historical average plus two standard deviations in 2005 and 2006</v>
          </cell>
          <cell r="O43">
            <v>8.2041276717685676</v>
          </cell>
          <cell r="P43">
            <v>9.9145001785692894</v>
          </cell>
          <cell r="Q43">
            <v>9.1998518417678916</v>
          </cell>
          <cell r="R43">
            <v>9.1231525906110029</v>
          </cell>
          <cell r="S43">
            <v>9.4333776029857788</v>
          </cell>
          <cell r="T43">
            <v>9.2477054412715756</v>
          </cell>
        </row>
        <row r="44">
          <cell r="B44" t="str">
            <v>B2. Real GDP growth is at historical average minus two standard deviations in 2005 and 2006</v>
          </cell>
          <cell r="O44">
            <v>8.2041276717685676</v>
          </cell>
          <cell r="P44">
            <v>10.024350992023594</v>
          </cell>
          <cell r="Q44">
            <v>10.168309851611522</v>
          </cell>
          <cell r="R44">
            <v>10.37343476568657</v>
          </cell>
          <cell r="S44">
            <v>10.656848467934763</v>
          </cell>
          <cell r="T44">
            <v>10.378671304018617</v>
          </cell>
        </row>
        <row r="45">
          <cell r="B45" t="str">
            <v>B3. Change in US dollar GDP deflator is at historical average minus two standard deviations in 2005 and 2006</v>
          </cell>
          <cell r="O45">
            <v>8.2041276717685676</v>
          </cell>
          <cell r="P45">
            <v>11.395561636504382</v>
          </cell>
          <cell r="Q45">
            <v>12.995712328255998</v>
          </cell>
          <cell r="R45">
            <v>13.003322232226216</v>
          </cell>
          <cell r="S45">
            <v>13.22870132760251</v>
          </cell>
          <cell r="T45">
            <v>12.753780291468731</v>
          </cell>
        </row>
        <row r="46">
          <cell r="B46" t="str">
            <v xml:space="preserve">B4. Non-interest current account is at historical average minus two standard deviations in 2005 and 2006 </v>
          </cell>
          <cell r="O46">
            <v>8.2041276717685676</v>
          </cell>
          <cell r="P46">
            <v>14.356249348524249</v>
          </cell>
          <cell r="Q46">
            <v>14.952152110893266</v>
          </cell>
          <cell r="R46">
            <v>11.442116302141422</v>
          </cell>
          <cell r="S46">
            <v>11.896460172359554</v>
          </cell>
          <cell r="T46">
            <v>11.795381444714586</v>
          </cell>
        </row>
        <row r="47">
          <cell r="B47" t="str">
            <v>B5. Combination of 2-5 using one standard deviation shocks</v>
          </cell>
          <cell r="O47">
            <v>8.2041276717685676</v>
          </cell>
          <cell r="P47">
            <v>13.10487739471159</v>
          </cell>
          <cell r="Q47">
            <v>14.362919460234016</v>
          </cell>
          <cell r="R47">
            <v>13.181168530884982</v>
          </cell>
          <cell r="S47">
            <v>13.653588569147518</v>
          </cell>
          <cell r="T47">
            <v>13.434207097844322</v>
          </cell>
        </row>
        <row r="48">
          <cell r="B48" t="str">
            <v>B6. One time 30 percent nominal depreciation in 2005</v>
          </cell>
          <cell r="O48">
            <v>8.2041276717685676</v>
          </cell>
          <cell r="P48">
            <v>12.442009573634891</v>
          </cell>
          <cell r="Q48">
            <v>11.371097816658212</v>
          </cell>
          <cell r="R48">
            <v>11.547794815153054</v>
          </cell>
          <cell r="S48">
            <v>11.796338387555528</v>
          </cell>
          <cell r="T48">
            <v>11.418472332154074</v>
          </cell>
        </row>
        <row r="49">
          <cell r="B49" t="str">
            <v xml:space="preserve">1/ Defined as non-interest current account deficit, plus interest and amortization on medium- and long-term debt, plus short-term debt at end of previous period. </v>
          </cell>
        </row>
        <row r="50">
          <cell r="B50" t="str">
            <v>2/ Gross external financing under the stress-test scenarios is derived by assuming the same ratio of short-term to total debt as in the baseline scenario and the same average maturity on medium- and long term</v>
          </cell>
        </row>
        <row r="51">
          <cell r="B51" t="str">
            <v xml:space="preserve">1/ Defined as non-interest current account deficit, plus interest and amortization on medium- and long-term debt, plus short-term debt at end of previous period. </v>
          </cell>
        </row>
        <row r="52">
          <cell r="B52" t="str">
            <v>2/ Gross external financing under the stress-test scenarios is derived by assuming the same ratio of short-term to total debt as in the baseline scenario and the same average maturity on medium- and long term</v>
          </cell>
        </row>
        <row r="53">
          <cell r="B53" t="str">
            <v>debt. Interest expenditures are derived by applying the respective interest rate to the previous period debt stock under each alternative scenario.</v>
          </cell>
        </row>
      </sheetData>
      <sheetData sheetId="5" refreshError="1"/>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1old"/>
      <sheetName val="Contents"/>
      <sheetName val="Basic Data"/>
      <sheetName val="Tab1"/>
      <sheetName val="tab2"/>
      <sheetName val="Tab3old "/>
      <sheetName val="Tab3"/>
      <sheetName val="Tab5old"/>
      <sheetName val="tab4"/>
      <sheetName val="tab4 (1)"/>
      <sheetName val="Tab5"/>
      <sheetName val="Tab6"/>
      <sheetName val="Tab6(1)"/>
      <sheetName val="tab7"/>
      <sheetName val="Tab7(1)"/>
      <sheetName val="tab8"/>
      <sheetName val="tab9"/>
      <sheetName val="Tab10"/>
      <sheetName val="Tab11"/>
      <sheetName val="tab12"/>
      <sheetName val="tab13"/>
      <sheetName val="tab14"/>
      <sheetName val="tab15"/>
      <sheetName val="Tab26(1997)"/>
      <sheetName val="Tab16_1998"/>
      <sheetName val="Tab16_1999"/>
      <sheetName val="Tab16_2000"/>
      <sheetName val="Tab16_2001 "/>
      <sheetName val="Tab17"/>
      <sheetName val="tab18"/>
      <sheetName val="tab19"/>
      <sheetName val="Tab20"/>
      <sheetName val="Tab21"/>
      <sheetName val="Tab22"/>
      <sheetName val="Tab23"/>
      <sheetName val="Tab24"/>
      <sheetName val="Tab25"/>
      <sheetName val="Tab26"/>
      <sheetName val="Tab27"/>
      <sheetName val="Tab28"/>
      <sheetName val="Tab29"/>
      <sheetName val="Tab30"/>
      <sheetName val="Tab31"/>
      <sheetName val="Tab32"/>
      <sheetName val="Tab33"/>
      <sheetName val="Tab34"/>
      <sheetName val="Tab35"/>
      <sheetName val="Tab36"/>
      <sheetName val="Tab37"/>
      <sheetName val="Tab38"/>
      <sheetName val="Tab39"/>
      <sheetName val="Tab40"/>
      <sheetName val="Tab41"/>
      <sheetName val="Tab42"/>
      <sheetName val="Tab43"/>
      <sheetName val="Tab44"/>
      <sheetName val="Tab44 (1)"/>
      <sheetName val="Tab44 (2)"/>
      <sheetName val="tab20 "/>
      <sheetName val="tab67"/>
      <sheetName val="tabY"/>
      <sheetName val="Table19 (1995)"/>
      <sheetName val="DO NOT PRINT"/>
      <sheetName val="DONOT PRINT"/>
      <sheetName val="tabZ"/>
      <sheetName val="інв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1old"/>
      <sheetName val="Contents"/>
      <sheetName val="Basic Data"/>
      <sheetName val="Tab1"/>
      <sheetName val="tab2"/>
      <sheetName val="Tab3old "/>
      <sheetName val="Tab3"/>
      <sheetName val="tab4"/>
      <sheetName val="Tab5old"/>
      <sheetName val="Tab5"/>
      <sheetName val="Tab6"/>
      <sheetName val="tab7"/>
      <sheetName val="tab8"/>
      <sheetName val="tab9"/>
      <sheetName val="Tab10"/>
      <sheetName val="Tab11"/>
      <sheetName val="tab12"/>
      <sheetName val="tab13"/>
      <sheetName val="tab14"/>
      <sheetName val="tab15"/>
      <sheetName val="Tab26(1997)"/>
      <sheetName val="Tab16_1998"/>
      <sheetName val="Tab16_1999"/>
      <sheetName val="Tab16_2000"/>
      <sheetName val="Tab16_2001 "/>
      <sheetName val="tab17"/>
      <sheetName val="tab18"/>
      <sheetName val="tab19"/>
      <sheetName val="Tab20"/>
      <sheetName val="Tab21"/>
      <sheetName val="Tab22"/>
      <sheetName val="Tab23"/>
      <sheetName val="Tab24"/>
      <sheetName val="Tab25"/>
      <sheetName val="Tab26"/>
      <sheetName val="Tab27"/>
      <sheetName val="Tab28"/>
      <sheetName val="Tab29"/>
      <sheetName val="Tab30"/>
      <sheetName val="Tab31"/>
      <sheetName val="Tab32"/>
      <sheetName val="Tab33"/>
      <sheetName val="Tab34"/>
      <sheetName val="Tab35"/>
      <sheetName val="Tab36"/>
      <sheetName val="Tab37"/>
      <sheetName val="Tab38"/>
      <sheetName val="Tab39"/>
      <sheetName val="Tab40"/>
      <sheetName val="Tab41"/>
      <sheetName val="Tab42"/>
      <sheetName val="Tab43"/>
      <sheetName val="Tab44"/>
      <sheetName val="tab20 "/>
      <sheetName val="tab67"/>
      <sheetName val="tabY"/>
      <sheetName val="Table19 (1995)"/>
      <sheetName val="DO NOT PRINT"/>
      <sheetName val="DONOT PRINT"/>
      <sheetName val="tab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1">
          <cell r="A1" t="str">
            <v>Tаблиця 29. Україна:  Структура кредитних вкладень в економіку, 1998–2001 1/</v>
          </cell>
        </row>
      </sheetData>
      <sheetData sheetId="38">
        <row r="1">
          <cell r="A1" t="str">
            <v>Tаблиця 30. Україна: Рахунки Національного банку України, 1997 – 2001</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7(2000)"/>
      <sheetName val="6.7(2001)"/>
      <sheetName val="6.7(%)"/>
      <sheetName val="6.7%(за валютами)"/>
      <sheetName val="6.7%(за видами)"/>
      <sheetName val="6.7"/>
      <sheetName val="6.7 (групи)"/>
      <sheetName val="146024"/>
      <sheetName val="14602E"/>
      <sheetName val="14602F"/>
      <sheetName val="14602G"/>
      <sheetName val="Пром.вир-во"/>
      <sheetName val="ІЦВ"/>
      <sheetName val="Cont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C1" t="str">
            <v>V00</v>
          </cell>
          <cell r="D1" t="str">
            <v>V01</v>
          </cell>
          <cell r="E1" t="str">
            <v>V02+V03</v>
          </cell>
          <cell r="F1" t="str">
            <v>V08</v>
          </cell>
          <cell r="G1" t="str">
            <v>V12</v>
          </cell>
          <cell r="H1" t="str">
            <v>V09</v>
          </cell>
          <cell r="I1" t="str">
            <v>V13</v>
          </cell>
          <cell r="J1" t="str">
            <v>V10+V11</v>
          </cell>
          <cell r="K1" t="str">
            <v>V14+V15</v>
          </cell>
        </row>
        <row r="8">
          <cell r="A8" t="str">
            <v xml:space="preserve"> Усього</v>
          </cell>
          <cell r="B8">
            <v>37384.217799999999</v>
          </cell>
          <cell r="C8">
            <v>17870.764800000001</v>
          </cell>
          <cell r="D8">
            <v>13842.7415</v>
          </cell>
          <cell r="E8">
            <v>4028.0233000000003</v>
          </cell>
          <cell r="F8">
            <v>19513.453000000001</v>
          </cell>
          <cell r="G8">
            <v>9034.2363000000005</v>
          </cell>
          <cell r="H8">
            <v>11565.780200000001</v>
          </cell>
          <cell r="I8">
            <v>5321.7</v>
          </cell>
          <cell r="J8">
            <v>7947.6727999999994</v>
          </cell>
          <cell r="K8">
            <v>3712.5363000000002</v>
          </cell>
        </row>
        <row r="10">
          <cell r="A10" t="str">
            <v>1. Кошти суб'єктів господарювання</v>
          </cell>
          <cell r="B10">
            <v>18381.924800000001</v>
          </cell>
          <cell r="C10">
            <v>12909.1414</v>
          </cell>
          <cell r="D10">
            <v>10351.246999999999</v>
          </cell>
          <cell r="E10">
            <v>2557.8944000000001</v>
          </cell>
          <cell r="F10">
            <v>5472.7834000000003</v>
          </cell>
          <cell r="G10">
            <v>1974.4153999999994</v>
          </cell>
          <cell r="H10">
            <v>3656.9413</v>
          </cell>
          <cell r="I10">
            <v>1303.6792999999996</v>
          </cell>
          <cell r="J10">
            <v>1815.8420999999998</v>
          </cell>
          <cell r="K10">
            <v>670.73609999999996</v>
          </cell>
        </row>
        <row r="11">
          <cell r="A11" t="str">
            <v>01*</v>
          </cell>
          <cell r="B11">
            <v>471.24650000000003</v>
          </cell>
          <cell r="C11">
            <v>365.44570000000004</v>
          </cell>
          <cell r="D11">
            <v>343.49440000000004</v>
          </cell>
          <cell r="E11">
            <v>21.9513</v>
          </cell>
          <cell r="F11">
            <v>105.8008</v>
          </cell>
          <cell r="G11">
            <v>28.432300000000001</v>
          </cell>
          <cell r="H11">
            <v>101.0972</v>
          </cell>
          <cell r="I11">
            <v>27.008500000000002</v>
          </cell>
          <cell r="J11">
            <v>4.7036000000000007</v>
          </cell>
          <cell r="K11">
            <v>1.4238</v>
          </cell>
        </row>
        <row r="12">
          <cell r="A12" t="str">
            <v>02*</v>
          </cell>
          <cell r="B12">
            <v>15.856800000000002</v>
          </cell>
          <cell r="C12">
            <v>15.686300000000001</v>
          </cell>
          <cell r="D12">
            <v>13.0989</v>
          </cell>
          <cell r="E12">
            <v>2.5874000000000006</v>
          </cell>
          <cell r="F12">
            <v>0.17050000000000001</v>
          </cell>
          <cell r="G12">
            <v>0</v>
          </cell>
          <cell r="H12">
            <v>0.17050000000000001</v>
          </cell>
          <cell r="I12">
            <v>0</v>
          </cell>
          <cell r="J12">
            <v>0</v>
          </cell>
          <cell r="K12">
            <v>0</v>
          </cell>
        </row>
        <row r="13">
          <cell r="A13" t="str">
            <v>Сільське господарство, мисливство та лісове господарство</v>
          </cell>
          <cell r="B13">
            <v>487.10330000000005</v>
          </cell>
          <cell r="C13">
            <v>381.13200000000006</v>
          </cell>
          <cell r="D13">
            <v>356.59330000000006</v>
          </cell>
          <cell r="E13">
            <v>24.538699999999999</v>
          </cell>
          <cell r="F13">
            <v>105.9713</v>
          </cell>
          <cell r="G13">
            <v>28.432300000000001</v>
          </cell>
          <cell r="H13">
            <v>101.2677</v>
          </cell>
          <cell r="I13">
            <v>27.008500000000002</v>
          </cell>
          <cell r="J13">
            <v>4.7036000000000007</v>
          </cell>
          <cell r="K13">
            <v>1.4238</v>
          </cell>
        </row>
        <row r="14">
          <cell r="A14" t="str">
            <v>05*</v>
          </cell>
          <cell r="B14">
            <v>8.7887000000000004</v>
          </cell>
          <cell r="C14">
            <v>6.8928000000000003</v>
          </cell>
          <cell r="D14">
            <v>5.8215000000000003</v>
          </cell>
          <cell r="E14">
            <v>1.0712999999999999</v>
          </cell>
          <cell r="F14">
            <v>1.8959000000000001</v>
          </cell>
          <cell r="G14">
            <v>5.79E-2</v>
          </cell>
          <cell r="H14">
            <v>1.8959000000000001</v>
          </cell>
          <cell r="I14">
            <v>5.79E-2</v>
          </cell>
          <cell r="J14">
            <v>0</v>
          </cell>
          <cell r="K14">
            <v>0</v>
          </cell>
        </row>
        <row r="15">
          <cell r="A15" t="str">
            <v>Рибне господарство</v>
          </cell>
          <cell r="B15">
            <v>8.7887000000000004</v>
          </cell>
          <cell r="C15">
            <v>6.8928000000000003</v>
          </cell>
          <cell r="D15">
            <v>5.8215000000000003</v>
          </cell>
          <cell r="E15">
            <v>1.0712999999999999</v>
          </cell>
          <cell r="F15">
            <v>1.8959000000000001</v>
          </cell>
          <cell r="G15">
            <v>5.79E-2</v>
          </cell>
          <cell r="H15">
            <v>1.8959000000000001</v>
          </cell>
          <cell r="I15">
            <v>5.79E-2</v>
          </cell>
          <cell r="J15">
            <v>0</v>
          </cell>
          <cell r="K15">
            <v>0</v>
          </cell>
        </row>
        <row r="16">
          <cell r="A16" t="str">
            <v>10*</v>
          </cell>
          <cell r="B16">
            <v>92.301999999999992</v>
          </cell>
          <cell r="C16">
            <v>33.828800000000001</v>
          </cell>
          <cell r="D16">
            <v>30.609200000000001</v>
          </cell>
          <cell r="E16">
            <v>3.2196000000000002</v>
          </cell>
          <cell r="F16">
            <v>58.473199999999999</v>
          </cell>
          <cell r="G16">
            <v>57.251100000000001</v>
          </cell>
          <cell r="H16">
            <v>3.9596</v>
          </cell>
          <cell r="I16">
            <v>3.9270999999999998</v>
          </cell>
          <cell r="J16">
            <v>54.513599999999997</v>
          </cell>
          <cell r="K16">
            <v>53.323999999999998</v>
          </cell>
        </row>
        <row r="17">
          <cell r="A17" t="str">
            <v>11*</v>
          </cell>
          <cell r="B17">
            <v>87.993700000000018</v>
          </cell>
          <cell r="C17">
            <v>38.512700000000002</v>
          </cell>
          <cell r="D17">
            <v>31.207900000000002</v>
          </cell>
          <cell r="E17">
            <v>7.3048000000000002</v>
          </cell>
          <cell r="F17">
            <v>49.481000000000009</v>
          </cell>
          <cell r="G17">
            <v>8.3765000000000001</v>
          </cell>
          <cell r="H17">
            <v>38.020300000000006</v>
          </cell>
          <cell r="I17">
            <v>6.5223000000000004</v>
          </cell>
          <cell r="J17">
            <v>11.460700000000001</v>
          </cell>
          <cell r="K17">
            <v>1.8542000000000001</v>
          </cell>
        </row>
        <row r="18">
          <cell r="A18" t="str">
            <v>12*</v>
          </cell>
          <cell r="B18">
            <v>0.23550000000000001</v>
          </cell>
          <cell r="C18">
            <v>0.23550000000000001</v>
          </cell>
          <cell r="D18">
            <v>0.23</v>
          </cell>
          <cell r="E18">
            <v>5.4999999999999997E-3</v>
          </cell>
          <cell r="F18">
            <v>0</v>
          </cell>
          <cell r="G18">
            <v>0</v>
          </cell>
          <cell r="H18">
            <v>0</v>
          </cell>
          <cell r="I18">
            <v>0</v>
          </cell>
          <cell r="J18">
            <v>0</v>
          </cell>
          <cell r="K18">
            <v>0</v>
          </cell>
        </row>
        <row r="19">
          <cell r="A19" t="str">
            <v>13*</v>
          </cell>
          <cell r="B19">
            <v>23.623100000000001</v>
          </cell>
          <cell r="C19">
            <v>16.119900000000001</v>
          </cell>
          <cell r="D19">
            <v>5.9142000000000001</v>
          </cell>
          <cell r="E19">
            <v>10.2057</v>
          </cell>
          <cell r="F19">
            <v>7.5032000000000005</v>
          </cell>
          <cell r="G19">
            <v>0.61</v>
          </cell>
          <cell r="H19">
            <v>1.4455</v>
          </cell>
          <cell r="I19">
            <v>0.61</v>
          </cell>
          <cell r="J19">
            <v>6.0577000000000005</v>
          </cell>
          <cell r="K19">
            <v>0</v>
          </cell>
        </row>
        <row r="20">
          <cell r="A20" t="str">
            <v>14*</v>
          </cell>
          <cell r="B20">
            <v>69.039900000000003</v>
          </cell>
          <cell r="C20">
            <v>36.8626</v>
          </cell>
          <cell r="D20">
            <v>22.271699999999999</v>
          </cell>
          <cell r="E20">
            <v>14.5909</v>
          </cell>
          <cell r="F20">
            <v>32.177300000000002</v>
          </cell>
          <cell r="G20">
            <v>3.9039000000000001</v>
          </cell>
          <cell r="H20">
            <v>12.8971</v>
          </cell>
          <cell r="I20">
            <v>1.2205999999999999</v>
          </cell>
          <cell r="J20">
            <v>19.280200000000001</v>
          </cell>
          <cell r="K20">
            <v>2.6833</v>
          </cell>
        </row>
        <row r="21">
          <cell r="A21" t="str">
            <v>Добувна промисловість</v>
          </cell>
          <cell r="B21">
            <v>273.19420000000002</v>
          </cell>
          <cell r="C21">
            <v>125.5595</v>
          </cell>
          <cell r="D21">
            <v>90.23299999999999</v>
          </cell>
          <cell r="E21">
            <v>35.326499999999996</v>
          </cell>
          <cell r="F21">
            <v>147.63470000000001</v>
          </cell>
          <cell r="G21">
            <v>70.141500000000008</v>
          </cell>
          <cell r="H21">
            <v>56.322500000000012</v>
          </cell>
          <cell r="I21">
            <v>12.28</v>
          </cell>
          <cell r="J21">
            <v>91.31219999999999</v>
          </cell>
          <cell r="K21">
            <v>57.861499999999999</v>
          </cell>
        </row>
        <row r="22">
          <cell r="A22" t="str">
            <v>15*</v>
          </cell>
          <cell r="B22">
            <v>538.13609999999994</v>
          </cell>
          <cell r="C22">
            <v>350.93520000000001</v>
          </cell>
          <cell r="D22">
            <v>260.24099999999999</v>
          </cell>
          <cell r="E22">
            <v>90.694200000000009</v>
          </cell>
          <cell r="F22">
            <v>187.20089999999999</v>
          </cell>
          <cell r="G22">
            <v>39.383499999999998</v>
          </cell>
          <cell r="H22">
            <v>149.98579999999998</v>
          </cell>
          <cell r="I22">
            <v>37.531099999999995</v>
          </cell>
          <cell r="J22">
            <v>37.215100000000007</v>
          </cell>
          <cell r="K22">
            <v>1.8524</v>
          </cell>
        </row>
        <row r="23">
          <cell r="A23" t="str">
            <v>16*</v>
          </cell>
          <cell r="B23">
            <v>23.3886</v>
          </cell>
          <cell r="C23">
            <v>11.3407</v>
          </cell>
          <cell r="D23">
            <v>9.8801000000000005</v>
          </cell>
          <cell r="E23">
            <v>1.4605999999999999</v>
          </cell>
          <cell r="F23">
            <v>12.0479</v>
          </cell>
          <cell r="G23">
            <v>0</v>
          </cell>
          <cell r="H23">
            <v>12.0479</v>
          </cell>
          <cell r="I23">
            <v>0</v>
          </cell>
          <cell r="J23">
            <v>0</v>
          </cell>
          <cell r="K23">
            <v>0</v>
          </cell>
        </row>
        <row r="24">
          <cell r="A24" t="str">
            <v>17*</v>
          </cell>
          <cell r="B24">
            <v>31.197600000000001</v>
          </cell>
          <cell r="C24">
            <v>23.571400000000001</v>
          </cell>
          <cell r="D24">
            <v>18.0061</v>
          </cell>
          <cell r="E24">
            <v>5.5652999999999997</v>
          </cell>
          <cell r="F24">
            <v>7.6261999999999999</v>
          </cell>
          <cell r="G24">
            <v>2.9685999999999999</v>
          </cell>
          <cell r="H24">
            <v>6.9744999999999999</v>
          </cell>
          <cell r="I24">
            <v>2.9120999999999997</v>
          </cell>
          <cell r="J24">
            <v>0.65170000000000006</v>
          </cell>
          <cell r="K24">
            <v>5.6500000000000002E-2</v>
          </cell>
        </row>
        <row r="25">
          <cell r="A25" t="str">
            <v>18*</v>
          </cell>
          <cell r="B25">
            <v>35.1008</v>
          </cell>
          <cell r="C25">
            <v>29.735600000000002</v>
          </cell>
          <cell r="D25">
            <v>19.564700000000002</v>
          </cell>
          <cell r="E25">
            <v>10.1709</v>
          </cell>
          <cell r="F25">
            <v>5.3651999999999997</v>
          </cell>
          <cell r="G25">
            <v>2.1890999999999998</v>
          </cell>
          <cell r="H25">
            <v>4.5758999999999999</v>
          </cell>
          <cell r="I25">
            <v>2.1890999999999998</v>
          </cell>
          <cell r="J25">
            <v>0.7893</v>
          </cell>
          <cell r="K25">
            <v>0</v>
          </cell>
        </row>
        <row r="26">
          <cell r="A26" t="str">
            <v>19*</v>
          </cell>
          <cell r="B26">
            <v>8.9374000000000002</v>
          </cell>
          <cell r="C26">
            <v>7.7007000000000003</v>
          </cell>
          <cell r="D26">
            <v>6.2587000000000002</v>
          </cell>
          <cell r="E26">
            <v>1.4419999999999999</v>
          </cell>
          <cell r="F26">
            <v>1.2367000000000001</v>
          </cell>
          <cell r="G26">
            <v>0.59550000000000003</v>
          </cell>
          <cell r="H26">
            <v>1.2314000000000001</v>
          </cell>
          <cell r="I26">
            <v>0.59550000000000003</v>
          </cell>
          <cell r="J26">
            <v>5.3E-3</v>
          </cell>
          <cell r="K26">
            <v>0</v>
          </cell>
        </row>
        <row r="27">
          <cell r="A27" t="str">
            <v>20*</v>
          </cell>
          <cell r="B27">
            <v>65.872900000000001</v>
          </cell>
          <cell r="C27">
            <v>49.623899999999999</v>
          </cell>
          <cell r="D27">
            <v>30.0029</v>
          </cell>
          <cell r="E27">
            <v>19.620999999999999</v>
          </cell>
          <cell r="F27">
            <v>16.248999999999999</v>
          </cell>
          <cell r="G27">
            <v>1.5082</v>
          </cell>
          <cell r="H27">
            <v>6.6511000000000005</v>
          </cell>
          <cell r="I27">
            <v>0.36860000000000004</v>
          </cell>
          <cell r="J27">
            <v>9.5978999999999992</v>
          </cell>
          <cell r="K27">
            <v>1.1395999999999999</v>
          </cell>
        </row>
        <row r="28">
          <cell r="A28" t="str">
            <v>21*</v>
          </cell>
          <cell r="B28">
            <v>74.192299999999989</v>
          </cell>
          <cell r="C28">
            <v>25.854500000000002</v>
          </cell>
          <cell r="D28">
            <v>20.9131</v>
          </cell>
          <cell r="E28">
            <v>4.9414000000000007</v>
          </cell>
          <cell r="F28">
            <v>48.337799999999994</v>
          </cell>
          <cell r="G28">
            <v>1.7605</v>
          </cell>
          <cell r="H28">
            <v>13.403799999999999</v>
          </cell>
          <cell r="I28">
            <v>1.7605</v>
          </cell>
          <cell r="J28">
            <v>34.933999999999997</v>
          </cell>
          <cell r="K28">
            <v>0</v>
          </cell>
        </row>
        <row r="29">
          <cell r="A29" t="str">
            <v>22*</v>
          </cell>
          <cell r="B29">
            <v>182.3511</v>
          </cell>
          <cell r="C29">
            <v>137.0958</v>
          </cell>
          <cell r="D29">
            <v>119.4464</v>
          </cell>
          <cell r="E29">
            <v>17.6494</v>
          </cell>
          <cell r="F29">
            <v>45.255299999999998</v>
          </cell>
          <cell r="G29">
            <v>20.497699999999998</v>
          </cell>
          <cell r="H29">
            <v>35.3367</v>
          </cell>
          <cell r="I29">
            <v>16.091799999999999</v>
          </cell>
          <cell r="J29">
            <v>9.9185999999999996</v>
          </cell>
          <cell r="K29">
            <v>4.4058999999999999</v>
          </cell>
        </row>
        <row r="30">
          <cell r="A30" t="str">
            <v>23*</v>
          </cell>
          <cell r="B30">
            <v>359.13469999999995</v>
          </cell>
          <cell r="C30">
            <v>232.24749999999997</v>
          </cell>
          <cell r="D30">
            <v>216.64339999999999</v>
          </cell>
          <cell r="E30">
            <v>15.604100000000001</v>
          </cell>
          <cell r="F30">
            <v>126.88720000000001</v>
          </cell>
          <cell r="G30">
            <v>38.500700000000002</v>
          </cell>
          <cell r="H30">
            <v>12.088200000000001</v>
          </cell>
          <cell r="I30">
            <v>2.4605000000000001</v>
          </cell>
          <cell r="J30">
            <v>114.79900000000001</v>
          </cell>
          <cell r="K30">
            <v>36.040199999999999</v>
          </cell>
        </row>
        <row r="31">
          <cell r="A31" t="str">
            <v>24*</v>
          </cell>
          <cell r="B31">
            <v>240.9554</v>
          </cell>
          <cell r="C31">
            <v>129.7825</v>
          </cell>
          <cell r="D31">
            <v>74.418399999999991</v>
          </cell>
          <cell r="E31">
            <v>55.364100000000001</v>
          </cell>
          <cell r="F31">
            <v>111.1729</v>
          </cell>
          <cell r="G31">
            <v>15.550999999999998</v>
          </cell>
          <cell r="H31">
            <v>80.555399999999992</v>
          </cell>
          <cell r="I31">
            <v>12.8104</v>
          </cell>
          <cell r="J31">
            <v>30.6175</v>
          </cell>
          <cell r="K31">
            <v>2.7405999999999997</v>
          </cell>
        </row>
        <row r="32">
          <cell r="A32" t="str">
            <v>25*</v>
          </cell>
          <cell r="B32">
            <v>40.492399999999996</v>
          </cell>
          <cell r="C32">
            <v>27.571299999999997</v>
          </cell>
          <cell r="D32">
            <v>22.548299999999998</v>
          </cell>
          <cell r="E32">
            <v>5.0230000000000006</v>
          </cell>
          <cell r="F32">
            <v>12.921100000000001</v>
          </cell>
          <cell r="G32">
            <v>3.8939999999999997</v>
          </cell>
          <cell r="H32">
            <v>8.2415000000000003</v>
          </cell>
          <cell r="I32">
            <v>0.3</v>
          </cell>
          <cell r="J32">
            <v>4.6796000000000006</v>
          </cell>
          <cell r="K32">
            <v>3.5939999999999999</v>
          </cell>
        </row>
        <row r="33">
          <cell r="A33" t="str">
            <v>26*</v>
          </cell>
          <cell r="B33">
            <v>188.39769999999999</v>
          </cell>
          <cell r="C33">
            <v>94.589299999999994</v>
          </cell>
          <cell r="D33">
            <v>76.709999999999994</v>
          </cell>
          <cell r="E33">
            <v>17.879300000000001</v>
          </cell>
          <cell r="F33">
            <v>93.808400000000006</v>
          </cell>
          <cell r="G33">
            <v>44.751999999999995</v>
          </cell>
          <cell r="H33">
            <v>78.746300000000005</v>
          </cell>
          <cell r="I33">
            <v>43.593199999999996</v>
          </cell>
          <cell r="J33">
            <v>15.062099999999999</v>
          </cell>
          <cell r="K33">
            <v>1.1588000000000001</v>
          </cell>
        </row>
        <row r="34">
          <cell r="A34" t="str">
            <v>27*</v>
          </cell>
          <cell r="B34">
            <v>241.10130000000001</v>
          </cell>
          <cell r="C34">
            <v>184.35920000000002</v>
          </cell>
          <cell r="D34">
            <v>31.8796</v>
          </cell>
          <cell r="E34">
            <v>152.4796</v>
          </cell>
          <cell r="F34">
            <v>56.742100000000001</v>
          </cell>
          <cell r="G34">
            <v>9.7070000000000007</v>
          </cell>
          <cell r="H34">
            <v>7.0841000000000003</v>
          </cell>
          <cell r="I34">
            <v>3.6243000000000003</v>
          </cell>
          <cell r="J34">
            <v>49.658000000000001</v>
          </cell>
          <cell r="K34">
            <v>6.0827</v>
          </cell>
        </row>
        <row r="35">
          <cell r="A35" t="str">
            <v>28*</v>
          </cell>
          <cell r="B35">
            <v>71.840500000000006</v>
          </cell>
          <cell r="C35">
            <v>51.762600000000006</v>
          </cell>
          <cell r="D35">
            <v>42.900400000000005</v>
          </cell>
          <cell r="E35">
            <v>8.8621999999999996</v>
          </cell>
          <cell r="F35">
            <v>20.0779</v>
          </cell>
          <cell r="G35">
            <v>12.2845</v>
          </cell>
          <cell r="H35">
            <v>16.8612</v>
          </cell>
          <cell r="I35">
            <v>10.757299999999999</v>
          </cell>
          <cell r="J35">
            <v>3.2166999999999999</v>
          </cell>
          <cell r="K35">
            <v>1.5272000000000001</v>
          </cell>
        </row>
        <row r="36">
          <cell r="A36" t="str">
            <v>29*</v>
          </cell>
          <cell r="B36">
            <v>591.80330000000004</v>
          </cell>
          <cell r="C36">
            <v>289.76489999999995</v>
          </cell>
          <cell r="D36">
            <v>171.18929999999997</v>
          </cell>
          <cell r="E36">
            <v>118.57559999999999</v>
          </cell>
          <cell r="F36">
            <v>302.03840000000002</v>
          </cell>
          <cell r="G36">
            <v>140.36290000000002</v>
          </cell>
          <cell r="H36">
            <v>108.88210000000001</v>
          </cell>
          <cell r="I36">
            <v>49.766599999999997</v>
          </cell>
          <cell r="J36">
            <v>193.15630000000002</v>
          </cell>
          <cell r="K36">
            <v>90.596300000000014</v>
          </cell>
        </row>
        <row r="37">
          <cell r="A37" t="str">
            <v>30*</v>
          </cell>
          <cell r="B37">
            <v>28.416600000000003</v>
          </cell>
          <cell r="C37">
            <v>22.578300000000002</v>
          </cell>
          <cell r="D37">
            <v>21.137900000000002</v>
          </cell>
          <cell r="E37">
            <v>1.4404000000000001</v>
          </cell>
          <cell r="F37">
            <v>5.8382999999999994</v>
          </cell>
          <cell r="G37">
            <v>1.1519999999999999</v>
          </cell>
          <cell r="H37">
            <v>5.3796999999999997</v>
          </cell>
          <cell r="I37">
            <v>1.1519999999999999</v>
          </cell>
          <cell r="J37">
            <v>0.45860000000000001</v>
          </cell>
          <cell r="K37">
            <v>0</v>
          </cell>
        </row>
        <row r="38">
          <cell r="A38" t="str">
            <v>31*</v>
          </cell>
          <cell r="B38">
            <v>87.926700000000011</v>
          </cell>
          <cell r="C38">
            <v>66.377800000000008</v>
          </cell>
          <cell r="D38">
            <v>45.242800000000003</v>
          </cell>
          <cell r="E38">
            <v>21.135000000000002</v>
          </cell>
          <cell r="F38">
            <v>21.548900000000003</v>
          </cell>
          <cell r="G38">
            <v>4.1635</v>
          </cell>
          <cell r="H38">
            <v>15.264700000000001</v>
          </cell>
          <cell r="I38">
            <v>4.1635</v>
          </cell>
          <cell r="J38">
            <v>6.2842000000000002</v>
          </cell>
          <cell r="K38">
            <v>0</v>
          </cell>
        </row>
        <row r="39">
          <cell r="A39" t="str">
            <v>32*</v>
          </cell>
          <cell r="B39">
            <v>265.74900000000002</v>
          </cell>
          <cell r="C39">
            <v>109.9975</v>
          </cell>
          <cell r="D39">
            <v>26.513500000000001</v>
          </cell>
          <cell r="E39">
            <v>83.484000000000009</v>
          </cell>
          <cell r="F39">
            <v>155.75150000000002</v>
          </cell>
          <cell r="G39">
            <v>46.8215</v>
          </cell>
          <cell r="H39">
            <v>36.573800000000006</v>
          </cell>
          <cell r="I39">
            <v>16.164000000000001</v>
          </cell>
          <cell r="J39">
            <v>119.1777</v>
          </cell>
          <cell r="K39">
            <v>30.657499999999999</v>
          </cell>
        </row>
        <row r="40">
          <cell r="A40" t="str">
            <v>33*</v>
          </cell>
          <cell r="B40">
            <v>35.468599999999995</v>
          </cell>
          <cell r="C40">
            <v>28.995499999999996</v>
          </cell>
          <cell r="D40">
            <v>26.493299999999998</v>
          </cell>
          <cell r="E40">
            <v>2.5021999999999998</v>
          </cell>
          <cell r="F40">
            <v>6.4731000000000005</v>
          </cell>
          <cell r="G40">
            <v>0.89349999999999996</v>
          </cell>
          <cell r="H40">
            <v>5.8908000000000005</v>
          </cell>
          <cell r="I40">
            <v>0.89349999999999996</v>
          </cell>
          <cell r="J40">
            <v>0.58229999999999993</v>
          </cell>
          <cell r="K40">
            <v>0</v>
          </cell>
        </row>
        <row r="41">
          <cell r="A41" t="str">
            <v>34*</v>
          </cell>
          <cell r="B41">
            <v>146.0847</v>
          </cell>
          <cell r="C41">
            <v>97.85799999999999</v>
          </cell>
          <cell r="D41">
            <v>68.718399999999988</v>
          </cell>
          <cell r="E41">
            <v>29.139599999999998</v>
          </cell>
          <cell r="F41">
            <v>48.226699999999994</v>
          </cell>
          <cell r="G41">
            <v>11.696</v>
          </cell>
          <cell r="H41">
            <v>36.138199999999998</v>
          </cell>
          <cell r="I41">
            <v>11.696</v>
          </cell>
          <cell r="J41">
            <v>12.0885</v>
          </cell>
          <cell r="K41">
            <v>0</v>
          </cell>
        </row>
        <row r="42">
          <cell r="A42" t="str">
            <v>35*</v>
          </cell>
          <cell r="B42">
            <v>135.49619999999999</v>
          </cell>
          <cell r="C42">
            <v>75.490600000000001</v>
          </cell>
          <cell r="D42">
            <v>41.893000000000001</v>
          </cell>
          <cell r="E42">
            <v>33.5976</v>
          </cell>
          <cell r="F42">
            <v>60.005600000000001</v>
          </cell>
          <cell r="G42">
            <v>16.484200000000001</v>
          </cell>
          <cell r="H42">
            <v>28.162500000000001</v>
          </cell>
          <cell r="I42">
            <v>12.176</v>
          </cell>
          <cell r="J42">
            <v>31.8431</v>
          </cell>
          <cell r="K42">
            <v>4.3082000000000003</v>
          </cell>
        </row>
        <row r="43">
          <cell r="A43" t="str">
            <v>36*</v>
          </cell>
          <cell r="B43">
            <v>51.955500000000001</v>
          </cell>
          <cell r="C43">
            <v>44.481900000000003</v>
          </cell>
          <cell r="D43">
            <v>36.633900000000004</v>
          </cell>
          <cell r="E43">
            <v>7.8480000000000008</v>
          </cell>
          <cell r="F43">
            <v>7.4735999999999994</v>
          </cell>
          <cell r="G43">
            <v>0.42180000000000001</v>
          </cell>
          <cell r="H43">
            <v>3.3102</v>
          </cell>
          <cell r="I43">
            <v>0.39510000000000001</v>
          </cell>
          <cell r="J43">
            <v>4.1633999999999993</v>
          </cell>
          <cell r="K43">
            <v>2.6699999999999998E-2</v>
          </cell>
        </row>
        <row r="44">
          <cell r="A44" t="str">
            <v>37*</v>
          </cell>
          <cell r="B44">
            <v>70.926500000000004</v>
          </cell>
          <cell r="C44">
            <v>53.5334</v>
          </cell>
          <cell r="D44">
            <v>36.665199999999999</v>
          </cell>
          <cell r="E44">
            <v>16.868199999999998</v>
          </cell>
          <cell r="F44">
            <v>17.3931</v>
          </cell>
          <cell r="G44">
            <v>4.8620000000000001</v>
          </cell>
          <cell r="H44">
            <v>11.837299999999999</v>
          </cell>
          <cell r="I44">
            <v>3.6021000000000001</v>
          </cell>
          <cell r="J44">
            <v>5.5558000000000005</v>
          </cell>
          <cell r="K44">
            <v>1.2599</v>
          </cell>
        </row>
        <row r="45">
          <cell r="A45" t="str">
            <v xml:space="preserve">Обробна промисловість </v>
          </cell>
          <cell r="B45">
            <v>3514.9258999999997</v>
          </cell>
          <cell r="C45">
            <v>2145.2480999999998</v>
          </cell>
          <cell r="D45">
            <v>1423.9004</v>
          </cell>
          <cell r="E45">
            <v>721.34769999999992</v>
          </cell>
          <cell r="F45">
            <v>1369.6777999999999</v>
          </cell>
          <cell r="G45">
            <v>420.44970000000012</v>
          </cell>
          <cell r="H45">
            <v>685.22309999999993</v>
          </cell>
          <cell r="I45">
            <v>235.00319999999994</v>
          </cell>
          <cell r="J45">
            <v>684.4547</v>
          </cell>
          <cell r="K45">
            <v>185.44650000000001</v>
          </cell>
        </row>
        <row r="46">
          <cell r="A46" t="str">
            <v>40*</v>
          </cell>
          <cell r="B46">
            <v>615.73230000000001</v>
          </cell>
          <cell r="C46">
            <v>494.34629999999999</v>
          </cell>
          <cell r="D46">
            <v>479.13779999999997</v>
          </cell>
          <cell r="E46">
            <v>15.208500000000001</v>
          </cell>
          <cell r="F46">
            <v>121.386</v>
          </cell>
          <cell r="G46">
            <v>17.174300000000002</v>
          </cell>
          <cell r="H46">
            <v>110.3901</v>
          </cell>
          <cell r="I46">
            <v>11.010200000000001</v>
          </cell>
          <cell r="J46">
            <v>10.995899999999999</v>
          </cell>
          <cell r="K46">
            <v>6.1641000000000004</v>
          </cell>
        </row>
        <row r="47">
          <cell r="A47" t="str">
            <v>41*</v>
          </cell>
          <cell r="B47">
            <v>22.824899999999996</v>
          </cell>
          <cell r="C47">
            <v>20.755899999999997</v>
          </cell>
          <cell r="D47">
            <v>17.108799999999999</v>
          </cell>
          <cell r="E47">
            <v>3.6471</v>
          </cell>
          <cell r="F47">
            <v>2.069</v>
          </cell>
          <cell r="G47">
            <v>0</v>
          </cell>
          <cell r="H47">
            <v>1.3265</v>
          </cell>
          <cell r="I47">
            <v>0</v>
          </cell>
          <cell r="J47">
            <v>0.74250000000000005</v>
          </cell>
          <cell r="K47">
            <v>0</v>
          </cell>
        </row>
        <row r="48">
          <cell r="A48" t="str">
            <v>Виробництво електроенергії, газу та води</v>
          </cell>
          <cell r="B48">
            <v>638.55719999999997</v>
          </cell>
          <cell r="C48">
            <v>515.10220000000004</v>
          </cell>
          <cell r="D48">
            <v>496.24659999999994</v>
          </cell>
          <cell r="E48">
            <v>18.855600000000003</v>
          </cell>
          <cell r="F48">
            <v>123.455</v>
          </cell>
          <cell r="G48">
            <v>17.174300000000002</v>
          </cell>
          <cell r="H48">
            <v>111.7166</v>
          </cell>
          <cell r="I48">
            <v>11.010200000000001</v>
          </cell>
          <cell r="J48">
            <v>11.738399999999999</v>
          </cell>
          <cell r="K48">
            <v>6.1641000000000004</v>
          </cell>
        </row>
        <row r="49">
          <cell r="A49" t="str">
            <v>45*</v>
          </cell>
          <cell r="B49">
            <v>860.14299999999992</v>
          </cell>
          <cell r="C49">
            <v>706.68099999999993</v>
          </cell>
          <cell r="D49">
            <v>659.67049999999995</v>
          </cell>
          <cell r="E49">
            <v>47.0105</v>
          </cell>
          <cell r="F49">
            <v>153.46199999999999</v>
          </cell>
          <cell r="G49">
            <v>45.215800000000002</v>
          </cell>
          <cell r="H49">
            <v>134.08589999999998</v>
          </cell>
          <cell r="I49">
            <v>42.365600000000001</v>
          </cell>
          <cell r="J49">
            <v>19.376099999999997</v>
          </cell>
          <cell r="K49">
            <v>2.8501999999999996</v>
          </cell>
        </row>
        <row r="50">
          <cell r="A50" t="str">
            <v>Будівництво</v>
          </cell>
          <cell r="B50">
            <v>860.14299999999992</v>
          </cell>
          <cell r="C50">
            <v>706.68099999999993</v>
          </cell>
          <cell r="D50">
            <v>659.67049999999995</v>
          </cell>
          <cell r="E50">
            <v>47.0105</v>
          </cell>
          <cell r="F50">
            <v>153.46199999999999</v>
          </cell>
          <cell r="G50">
            <v>45.215800000000002</v>
          </cell>
          <cell r="H50">
            <v>134.08589999999998</v>
          </cell>
          <cell r="I50">
            <v>42.365600000000001</v>
          </cell>
          <cell r="J50">
            <v>19.376099999999997</v>
          </cell>
          <cell r="K50">
            <v>2.8501999999999996</v>
          </cell>
        </row>
        <row r="51">
          <cell r="A51" t="str">
            <v>50*</v>
          </cell>
          <cell r="B51">
            <v>252.37569999999999</v>
          </cell>
          <cell r="C51">
            <v>218.3261</v>
          </cell>
          <cell r="D51">
            <v>197.40960000000001</v>
          </cell>
          <cell r="E51">
            <v>20.916499999999999</v>
          </cell>
          <cell r="F51">
            <v>34.049599999999998</v>
          </cell>
          <cell r="G51">
            <v>7.0783000000000005</v>
          </cell>
          <cell r="H51">
            <v>27.116</v>
          </cell>
          <cell r="I51">
            <v>6.9450000000000003</v>
          </cell>
          <cell r="J51">
            <v>6.9336000000000002</v>
          </cell>
          <cell r="K51">
            <v>0.1333</v>
          </cell>
        </row>
        <row r="52">
          <cell r="A52" t="str">
            <v>51*</v>
          </cell>
          <cell r="B52">
            <v>4008.9106000000002</v>
          </cell>
          <cell r="C52">
            <v>2894.7381</v>
          </cell>
          <cell r="D52">
            <v>2526.8973999999998</v>
          </cell>
          <cell r="E52">
            <v>367.84070000000003</v>
          </cell>
          <cell r="F52">
            <v>1114.1725000000001</v>
          </cell>
          <cell r="G52">
            <v>370.4117</v>
          </cell>
          <cell r="H52">
            <v>852.69560000000001</v>
          </cell>
          <cell r="I52">
            <v>269.53870000000001</v>
          </cell>
          <cell r="J52">
            <v>261.4769</v>
          </cell>
          <cell r="K52">
            <v>100.873</v>
          </cell>
        </row>
        <row r="53">
          <cell r="A53" t="str">
            <v>52*</v>
          </cell>
          <cell r="B53">
            <v>391.82489999999996</v>
          </cell>
          <cell r="C53">
            <v>341.85969999999998</v>
          </cell>
          <cell r="D53">
            <v>326.62979999999999</v>
          </cell>
          <cell r="E53">
            <v>15.229900000000001</v>
          </cell>
          <cell r="F53">
            <v>49.965199999999996</v>
          </cell>
          <cell r="G53">
            <v>12.313599999999999</v>
          </cell>
          <cell r="H53">
            <v>43.353099999999998</v>
          </cell>
          <cell r="I53">
            <v>6.7688999999999995</v>
          </cell>
          <cell r="J53">
            <v>6.6121000000000008</v>
          </cell>
          <cell r="K53">
            <v>5.5446999999999997</v>
          </cell>
        </row>
        <row r="54">
          <cell r="A54" t="str">
            <v>Оптова і роздрібна торгівля; торгівля транспортними засобами, послуги з ремонту</v>
          </cell>
          <cell r="B54">
            <v>4653.1111999999994</v>
          </cell>
          <cell r="C54">
            <v>3454.9238999999998</v>
          </cell>
          <cell r="D54">
            <v>3050.9367999999999</v>
          </cell>
          <cell r="E54">
            <v>403.9871</v>
          </cell>
          <cell r="F54">
            <v>1198.1873000000003</v>
          </cell>
          <cell r="G54">
            <v>389.80360000000002</v>
          </cell>
          <cell r="H54">
            <v>923.16470000000004</v>
          </cell>
          <cell r="I54">
            <v>283.25259999999997</v>
          </cell>
          <cell r="J54">
            <v>275.02260000000001</v>
          </cell>
          <cell r="K54">
            <v>106.55100000000002</v>
          </cell>
        </row>
        <row r="55">
          <cell r="A55" t="str">
            <v>55*</v>
          </cell>
          <cell r="B55">
            <v>74.522599999999997</v>
          </cell>
          <cell r="C55">
            <v>62.821899999999999</v>
          </cell>
          <cell r="D55">
            <v>48.552900000000001</v>
          </cell>
          <cell r="E55">
            <v>14.268999999999998</v>
          </cell>
          <cell r="F55">
            <v>11.700699999999999</v>
          </cell>
          <cell r="G55">
            <v>2.3813</v>
          </cell>
          <cell r="H55">
            <v>7.9573999999999998</v>
          </cell>
          <cell r="I55">
            <v>2.3813</v>
          </cell>
          <cell r="J55">
            <v>3.7433000000000001</v>
          </cell>
          <cell r="K55">
            <v>0</v>
          </cell>
        </row>
        <row r="56">
          <cell r="A56" t="str">
            <v>Готелі та ресторани</v>
          </cell>
          <cell r="B56">
            <v>74.522599999999997</v>
          </cell>
          <cell r="C56">
            <v>62.821899999999999</v>
          </cell>
          <cell r="D56">
            <v>48.552900000000001</v>
          </cell>
          <cell r="E56">
            <v>14.268999999999998</v>
          </cell>
          <cell r="F56">
            <v>11.700699999999999</v>
          </cell>
          <cell r="G56">
            <v>2.3813</v>
          </cell>
          <cell r="H56">
            <v>7.9573999999999998</v>
          </cell>
          <cell r="I56">
            <v>2.3813</v>
          </cell>
          <cell r="J56">
            <v>3.7433000000000001</v>
          </cell>
          <cell r="K56">
            <v>0</v>
          </cell>
        </row>
        <row r="57">
          <cell r="A57" t="str">
            <v>60*</v>
          </cell>
          <cell r="B57">
            <v>438.34739999999999</v>
          </cell>
          <cell r="C57">
            <v>372.928</v>
          </cell>
          <cell r="D57">
            <v>177.738</v>
          </cell>
          <cell r="E57">
            <v>195.19</v>
          </cell>
          <cell r="F57">
            <v>65.419399999999996</v>
          </cell>
          <cell r="G57">
            <v>47.499199999999995</v>
          </cell>
          <cell r="H57">
            <v>21.920300000000001</v>
          </cell>
          <cell r="I57">
            <v>7.4509999999999996</v>
          </cell>
          <cell r="J57">
            <v>43.499099999999999</v>
          </cell>
          <cell r="K57">
            <v>40.048199999999994</v>
          </cell>
        </row>
        <row r="58">
          <cell r="A58" t="str">
            <v>61*</v>
          </cell>
          <cell r="B58">
            <v>185.15299999999999</v>
          </cell>
          <cell r="C58">
            <v>119.3993</v>
          </cell>
          <cell r="D58">
            <v>17.384900000000002</v>
          </cell>
          <cell r="E58">
            <v>102.01439999999999</v>
          </cell>
          <cell r="F58">
            <v>65.753699999999995</v>
          </cell>
          <cell r="G58">
            <v>14.3111</v>
          </cell>
          <cell r="H58">
            <v>18.491</v>
          </cell>
          <cell r="I58">
            <v>1.7</v>
          </cell>
          <cell r="J58">
            <v>47.262699999999995</v>
          </cell>
          <cell r="K58">
            <v>12.6111</v>
          </cell>
        </row>
        <row r="59">
          <cell r="A59" t="str">
            <v>62*</v>
          </cell>
          <cell r="B59">
            <v>64.892600000000002</v>
          </cell>
          <cell r="C59">
            <v>50.388399999999997</v>
          </cell>
          <cell r="D59">
            <v>12.8469</v>
          </cell>
          <cell r="E59">
            <v>37.541499999999999</v>
          </cell>
          <cell r="F59">
            <v>14.504199999999999</v>
          </cell>
          <cell r="G59">
            <v>6.4824000000000002</v>
          </cell>
          <cell r="H59">
            <v>3.6321999999999997</v>
          </cell>
          <cell r="I59">
            <v>1.1499999999999999</v>
          </cell>
          <cell r="J59">
            <v>10.872</v>
          </cell>
          <cell r="K59">
            <v>5.3323999999999998</v>
          </cell>
        </row>
        <row r="60">
          <cell r="A60" t="str">
            <v>63*</v>
          </cell>
          <cell r="B60">
            <v>466.21710000000002</v>
          </cell>
          <cell r="C60">
            <v>323.77530000000002</v>
          </cell>
          <cell r="D60">
            <v>149.5196</v>
          </cell>
          <cell r="E60">
            <v>174.25569999999999</v>
          </cell>
          <cell r="F60">
            <v>142.4418</v>
          </cell>
          <cell r="G60">
            <v>64.036000000000001</v>
          </cell>
          <cell r="H60">
            <v>68.12339999999999</v>
          </cell>
          <cell r="I60">
            <v>34.282899999999998</v>
          </cell>
          <cell r="J60">
            <v>74.318400000000011</v>
          </cell>
          <cell r="K60">
            <v>29.7531</v>
          </cell>
        </row>
        <row r="61">
          <cell r="A61" t="str">
            <v>64*</v>
          </cell>
          <cell r="B61">
            <v>1200.9296999999999</v>
          </cell>
          <cell r="C61">
            <v>1105.8326</v>
          </cell>
          <cell r="D61">
            <v>984.75540000000001</v>
          </cell>
          <cell r="E61">
            <v>121.0772</v>
          </cell>
          <cell r="F61">
            <v>95.097099999999998</v>
          </cell>
          <cell r="G61">
            <v>41.787700000000001</v>
          </cell>
          <cell r="H61">
            <v>27.5639</v>
          </cell>
          <cell r="I61">
            <v>2.3527</v>
          </cell>
          <cell r="J61">
            <v>67.533199999999994</v>
          </cell>
          <cell r="K61">
            <v>39.435000000000002</v>
          </cell>
        </row>
        <row r="62">
          <cell r="A62" t="str">
            <v>Транспорт</v>
          </cell>
          <cell r="B62">
            <v>2355.5398</v>
          </cell>
          <cell r="C62">
            <v>1972.3235999999999</v>
          </cell>
          <cell r="D62">
            <v>1342.2447999999999</v>
          </cell>
          <cell r="E62">
            <v>630.0788</v>
          </cell>
          <cell r="F62">
            <v>383.21620000000001</v>
          </cell>
          <cell r="G62">
            <v>174.1164</v>
          </cell>
          <cell r="H62">
            <v>139.73079999999999</v>
          </cell>
          <cell r="I62">
            <v>46.936599999999999</v>
          </cell>
          <cell r="J62">
            <v>243.4854</v>
          </cell>
          <cell r="K62">
            <v>127.1798</v>
          </cell>
        </row>
        <row r="63">
          <cell r="A63" t="str">
            <v>65*</v>
          </cell>
          <cell r="B63">
            <v>265.80449999999996</v>
          </cell>
          <cell r="C63">
            <v>89.26339999999999</v>
          </cell>
          <cell r="D63">
            <v>52.3538</v>
          </cell>
          <cell r="E63">
            <v>36.909599999999998</v>
          </cell>
          <cell r="F63">
            <v>176.5411</v>
          </cell>
          <cell r="G63">
            <v>64.114699999999999</v>
          </cell>
          <cell r="H63">
            <v>100.5642</v>
          </cell>
          <cell r="I63">
            <v>57.962199999999996</v>
          </cell>
          <cell r="J63">
            <v>75.976900000000001</v>
          </cell>
          <cell r="K63">
            <v>6.1524999999999999</v>
          </cell>
        </row>
        <row r="64">
          <cell r="A64" t="str">
            <v>66*</v>
          </cell>
          <cell r="B64">
            <v>1433.1277</v>
          </cell>
          <cell r="C64">
            <v>911.18089999999995</v>
          </cell>
          <cell r="D64">
            <v>789.38559999999995</v>
          </cell>
          <cell r="E64">
            <v>121.7953</v>
          </cell>
          <cell r="F64">
            <v>521.94679999999994</v>
          </cell>
          <cell r="G64">
            <v>216.69299999999998</v>
          </cell>
          <cell r="H64">
            <v>449.10899999999998</v>
          </cell>
          <cell r="I64">
            <v>176.0453</v>
          </cell>
          <cell r="J64">
            <v>72.837800000000001</v>
          </cell>
          <cell r="K64">
            <v>40.6477</v>
          </cell>
        </row>
        <row r="65">
          <cell r="A65" t="str">
            <v>67*</v>
          </cell>
          <cell r="B65">
            <v>346.75390000000004</v>
          </cell>
          <cell r="C65">
            <v>119.1568</v>
          </cell>
          <cell r="D65">
            <v>103.1322</v>
          </cell>
          <cell r="E65">
            <v>16.0246</v>
          </cell>
          <cell r="F65">
            <v>227.59710000000001</v>
          </cell>
          <cell r="G65">
            <v>95.867700000000013</v>
          </cell>
          <cell r="H65">
            <v>210.49950000000001</v>
          </cell>
          <cell r="I65">
            <v>86.715500000000006</v>
          </cell>
          <cell r="J65">
            <v>17.0976</v>
          </cell>
          <cell r="K65">
            <v>9.1522000000000006</v>
          </cell>
        </row>
        <row r="66">
          <cell r="A66" t="str">
            <v>Фінансова діяльність</v>
          </cell>
          <cell r="B66">
            <v>2045.6860999999999</v>
          </cell>
          <cell r="C66">
            <v>1119.6010999999999</v>
          </cell>
          <cell r="D66">
            <v>944.87159999999994</v>
          </cell>
          <cell r="E66">
            <v>174.7295</v>
          </cell>
          <cell r="F66">
            <v>926.08500000000004</v>
          </cell>
          <cell r="G66">
            <v>376.67539999999997</v>
          </cell>
          <cell r="H66">
            <v>760.17269999999996</v>
          </cell>
          <cell r="I66">
            <v>320.72300000000001</v>
          </cell>
          <cell r="J66">
            <v>165.91230000000002</v>
          </cell>
          <cell r="K66">
            <v>55.952400000000004</v>
          </cell>
        </row>
        <row r="67">
          <cell r="A67" t="str">
            <v>70*</v>
          </cell>
          <cell r="B67">
            <v>192.41539999999998</v>
          </cell>
          <cell r="C67">
            <v>114.08709999999999</v>
          </cell>
          <cell r="D67">
            <v>103.8266</v>
          </cell>
          <cell r="E67">
            <v>10.260499999999999</v>
          </cell>
          <cell r="F67">
            <v>78.328299999999984</v>
          </cell>
          <cell r="G67">
            <v>39.416600000000003</v>
          </cell>
          <cell r="H67">
            <v>39.096199999999996</v>
          </cell>
          <cell r="I67">
            <v>14.8626</v>
          </cell>
          <cell r="J67">
            <v>39.232099999999996</v>
          </cell>
          <cell r="K67">
            <v>24.553999999999998</v>
          </cell>
        </row>
        <row r="68">
          <cell r="A68" t="str">
            <v>71*</v>
          </cell>
          <cell r="B68">
            <v>18.578699999999998</v>
          </cell>
          <cell r="C68">
            <v>12.482099999999999</v>
          </cell>
          <cell r="D68">
            <v>11.4269</v>
          </cell>
          <cell r="E68">
            <v>1.0551999999999999</v>
          </cell>
          <cell r="F68">
            <v>6.0966000000000005</v>
          </cell>
          <cell r="G68">
            <v>2.3744000000000001</v>
          </cell>
          <cell r="H68">
            <v>5.7898000000000005</v>
          </cell>
          <cell r="I68">
            <v>2.3744000000000001</v>
          </cell>
          <cell r="J68">
            <v>0.30680000000000002</v>
          </cell>
          <cell r="K68">
            <v>0</v>
          </cell>
        </row>
        <row r="69">
          <cell r="A69" t="str">
            <v>72*</v>
          </cell>
          <cell r="B69">
            <v>121.3733</v>
          </cell>
          <cell r="C69">
            <v>86.045500000000004</v>
          </cell>
          <cell r="D69">
            <v>70.302000000000007</v>
          </cell>
          <cell r="E69">
            <v>15.743499999999999</v>
          </cell>
          <cell r="F69">
            <v>35.327800000000003</v>
          </cell>
          <cell r="G69">
            <v>13.0351</v>
          </cell>
          <cell r="H69">
            <v>32.242400000000004</v>
          </cell>
          <cell r="I69">
            <v>11.4969</v>
          </cell>
          <cell r="J69">
            <v>3.0853999999999999</v>
          </cell>
          <cell r="K69">
            <v>1.5382</v>
          </cell>
        </row>
        <row r="70">
          <cell r="A70" t="str">
            <v>73*</v>
          </cell>
          <cell r="B70">
            <v>671.2</v>
          </cell>
          <cell r="C70">
            <v>457.47590000000002</v>
          </cell>
          <cell r="D70">
            <v>199.7363</v>
          </cell>
          <cell r="E70">
            <v>257.7396</v>
          </cell>
          <cell r="F70">
            <v>213.72409999999999</v>
          </cell>
          <cell r="G70">
            <v>77.527699999999996</v>
          </cell>
          <cell r="H70">
            <v>86.089199999999991</v>
          </cell>
          <cell r="I70">
            <v>45.197699999999998</v>
          </cell>
          <cell r="J70">
            <v>127.6349</v>
          </cell>
          <cell r="K70">
            <v>32.33</v>
          </cell>
        </row>
        <row r="71">
          <cell r="A71" t="str">
            <v>74*</v>
          </cell>
          <cell r="B71">
            <v>772.50689999999997</v>
          </cell>
          <cell r="C71">
            <v>495.00689999999997</v>
          </cell>
          <cell r="D71">
            <v>420.87329999999997</v>
          </cell>
          <cell r="E71">
            <v>74.133600000000001</v>
          </cell>
          <cell r="F71">
            <v>277.5</v>
          </cell>
          <cell r="G71">
            <v>129.94890000000001</v>
          </cell>
          <cell r="H71">
            <v>174.994</v>
          </cell>
          <cell r="I71">
            <v>69.459800000000001</v>
          </cell>
          <cell r="J71">
            <v>102.506</v>
          </cell>
          <cell r="K71">
            <v>60.489100000000001</v>
          </cell>
        </row>
        <row r="72">
          <cell r="A72" t="str">
            <v>Операції з нерухомістю, здавання під найм та послуги юридичним особам</v>
          </cell>
          <cell r="B72">
            <v>1776.0743</v>
          </cell>
          <cell r="C72">
            <v>1165.0974999999999</v>
          </cell>
          <cell r="D72">
            <v>806.16509999999994</v>
          </cell>
          <cell r="E72">
            <v>358.93239999999997</v>
          </cell>
          <cell r="F72">
            <v>610.97679999999991</v>
          </cell>
          <cell r="G72">
            <v>262.30270000000002</v>
          </cell>
          <cell r="H72">
            <v>338.21159999999998</v>
          </cell>
          <cell r="I72">
            <v>143.3914</v>
          </cell>
          <cell r="J72">
            <v>272.76519999999999</v>
          </cell>
          <cell r="K72">
            <v>118.9113</v>
          </cell>
        </row>
        <row r="73">
          <cell r="A73" t="str">
            <v>75*</v>
          </cell>
          <cell r="B73">
            <v>409.26400000000007</v>
          </cell>
          <cell r="C73">
            <v>352.50570000000005</v>
          </cell>
          <cell r="D73">
            <v>312.46800000000002</v>
          </cell>
          <cell r="E73">
            <v>40.037700000000001</v>
          </cell>
          <cell r="F73">
            <v>56.758299999999998</v>
          </cell>
          <cell r="G73">
            <v>16.093700000000002</v>
          </cell>
          <cell r="H73">
            <v>53.518000000000001</v>
          </cell>
          <cell r="I73">
            <v>15.752700000000001</v>
          </cell>
          <cell r="J73">
            <v>3.2403000000000004</v>
          </cell>
          <cell r="K73">
            <v>0.34100000000000003</v>
          </cell>
        </row>
        <row r="74">
          <cell r="A74" t="str">
            <v>Державне управління</v>
          </cell>
          <cell r="B74">
            <v>409.26400000000007</v>
          </cell>
          <cell r="C74">
            <v>352.50570000000005</v>
          </cell>
          <cell r="D74">
            <v>312.46800000000002</v>
          </cell>
          <cell r="E74">
            <v>40.037700000000001</v>
          </cell>
          <cell r="F74">
            <v>56.758299999999998</v>
          </cell>
          <cell r="G74">
            <v>16.093700000000002</v>
          </cell>
          <cell r="H74">
            <v>53.518000000000001</v>
          </cell>
          <cell r="I74">
            <v>15.752700000000001</v>
          </cell>
          <cell r="J74">
            <v>3.2403000000000004</v>
          </cell>
          <cell r="K74">
            <v>0.34100000000000003</v>
          </cell>
        </row>
        <row r="75">
          <cell r="A75" t="str">
            <v>80*</v>
          </cell>
          <cell r="B75">
            <v>167.30190000000002</v>
          </cell>
          <cell r="C75">
            <v>92.155200000000008</v>
          </cell>
          <cell r="D75">
            <v>79.064600000000013</v>
          </cell>
          <cell r="E75">
            <v>13.0906</v>
          </cell>
          <cell r="F75">
            <v>75.14670000000001</v>
          </cell>
          <cell r="G75">
            <v>38.7697</v>
          </cell>
          <cell r="H75">
            <v>71.896500000000003</v>
          </cell>
          <cell r="I75">
            <v>38.658000000000001</v>
          </cell>
          <cell r="J75">
            <v>3.2502</v>
          </cell>
          <cell r="K75">
            <v>0.11170000000000001</v>
          </cell>
        </row>
        <row r="76">
          <cell r="A76" t="str">
            <v>Освіта</v>
          </cell>
          <cell r="B76">
            <v>167.30190000000002</v>
          </cell>
          <cell r="C76">
            <v>92.155200000000008</v>
          </cell>
          <cell r="D76">
            <v>79.064600000000013</v>
          </cell>
          <cell r="E76">
            <v>13.0906</v>
          </cell>
          <cell r="F76">
            <v>75.14670000000001</v>
          </cell>
          <cell r="G76">
            <v>38.7697</v>
          </cell>
          <cell r="H76">
            <v>71.896500000000003</v>
          </cell>
          <cell r="I76">
            <v>38.658000000000001</v>
          </cell>
          <cell r="J76">
            <v>3.2502</v>
          </cell>
          <cell r="K76">
            <v>0.11170000000000001</v>
          </cell>
        </row>
        <row r="77">
          <cell r="A77" t="str">
            <v>85*</v>
          </cell>
          <cell r="B77">
            <v>197.67140000000001</v>
          </cell>
          <cell r="C77">
            <v>127.79320000000001</v>
          </cell>
          <cell r="D77">
            <v>105.47930000000001</v>
          </cell>
          <cell r="E77">
            <v>22.3139</v>
          </cell>
          <cell r="F77">
            <v>69.878199999999993</v>
          </cell>
          <cell r="G77">
            <v>32.258699999999997</v>
          </cell>
          <cell r="H77">
            <v>67.187399999999997</v>
          </cell>
          <cell r="I77">
            <v>32.118099999999998</v>
          </cell>
          <cell r="J77">
            <v>2.6908000000000003</v>
          </cell>
          <cell r="K77">
            <v>0.1406</v>
          </cell>
        </row>
        <row r="78">
          <cell r="A78" t="str">
            <v>Охорона здоров’я та соціальна допомога</v>
          </cell>
          <cell r="B78">
            <v>197.67140000000001</v>
          </cell>
          <cell r="C78">
            <v>127.79320000000001</v>
          </cell>
          <cell r="D78">
            <v>105.47930000000001</v>
          </cell>
          <cell r="E78">
            <v>22.3139</v>
          </cell>
          <cell r="F78">
            <v>69.878199999999993</v>
          </cell>
          <cell r="G78">
            <v>32.258699999999997</v>
          </cell>
          <cell r="H78">
            <v>67.187399999999997</v>
          </cell>
          <cell r="I78">
            <v>32.118099999999998</v>
          </cell>
          <cell r="J78">
            <v>2.6908000000000003</v>
          </cell>
          <cell r="K78">
            <v>0.1406</v>
          </cell>
        </row>
        <row r="79">
          <cell r="A79" t="str">
            <v>90*</v>
          </cell>
          <cell r="B79">
            <v>16.791</v>
          </cell>
          <cell r="C79">
            <v>16.067</v>
          </cell>
          <cell r="D79">
            <v>15.6799</v>
          </cell>
          <cell r="E79">
            <v>0.3871</v>
          </cell>
          <cell r="F79">
            <v>0.72399999999999998</v>
          </cell>
          <cell r="G79">
            <v>0.28939999999999999</v>
          </cell>
          <cell r="H79">
            <v>0.72289999999999999</v>
          </cell>
          <cell r="I79">
            <v>0.2883</v>
          </cell>
          <cell r="J79">
            <v>1.1000000000000001E-3</v>
          </cell>
          <cell r="K79">
            <v>1.1000000000000001E-3</v>
          </cell>
        </row>
        <row r="80">
          <cell r="A80" t="str">
            <v>91*</v>
          </cell>
          <cell r="B80">
            <v>403.2038</v>
          </cell>
          <cell r="C80">
            <v>257.95600000000002</v>
          </cell>
          <cell r="D80">
            <v>238.577</v>
          </cell>
          <cell r="E80">
            <v>19.378999999999998</v>
          </cell>
          <cell r="F80">
            <v>145.24780000000001</v>
          </cell>
          <cell r="G80">
            <v>68.576799999999992</v>
          </cell>
          <cell r="H80">
            <v>135.7997</v>
          </cell>
          <cell r="I80">
            <v>68.319199999999995</v>
          </cell>
          <cell r="J80">
            <v>9.4481000000000002</v>
          </cell>
          <cell r="K80">
            <v>0.2576</v>
          </cell>
        </row>
        <row r="81">
          <cell r="A81" t="str">
            <v>92*</v>
          </cell>
          <cell r="B81">
            <v>150.53980000000001</v>
          </cell>
          <cell r="C81">
            <v>122.3661</v>
          </cell>
          <cell r="D81">
            <v>110.85810000000001</v>
          </cell>
          <cell r="E81">
            <v>11.508000000000001</v>
          </cell>
          <cell r="F81">
            <v>28.173700000000004</v>
          </cell>
          <cell r="G81">
            <v>11.2324</v>
          </cell>
          <cell r="H81">
            <v>17.4739</v>
          </cell>
          <cell r="I81">
            <v>5.1835000000000004</v>
          </cell>
          <cell r="J81">
            <v>10.699800000000002</v>
          </cell>
          <cell r="K81">
            <v>6.0488999999999997</v>
          </cell>
        </row>
        <row r="82">
          <cell r="A82" t="str">
            <v>93*</v>
          </cell>
          <cell r="B82">
            <v>314.50200000000001</v>
          </cell>
          <cell r="C82">
            <v>253.27190000000002</v>
          </cell>
          <cell r="D82">
            <v>234.06820000000002</v>
          </cell>
          <cell r="E82">
            <v>19.203699999999998</v>
          </cell>
          <cell r="F82">
            <v>61.230099999999993</v>
          </cell>
          <cell r="G82">
            <v>19.430500000000002</v>
          </cell>
          <cell r="H82">
            <v>47.658699999999996</v>
          </cell>
          <cell r="I82">
            <v>18.1492</v>
          </cell>
          <cell r="J82">
            <v>13.571399999999999</v>
          </cell>
          <cell r="K82">
            <v>1.2812999999999999</v>
          </cell>
        </row>
        <row r="83">
          <cell r="A83" t="str">
            <v>Колективні, 
громадські та особисті послуги</v>
          </cell>
          <cell r="B83">
            <v>885.03659999999991</v>
          </cell>
          <cell r="C83">
            <v>649.66100000000006</v>
          </cell>
          <cell r="D83">
            <v>599.18320000000006</v>
          </cell>
          <cell r="E83">
            <v>50.477799999999995</v>
          </cell>
          <cell r="F83">
            <v>235.37559999999999</v>
          </cell>
          <cell r="G83">
            <v>99.5291</v>
          </cell>
          <cell r="H83">
            <v>201.65520000000004</v>
          </cell>
          <cell r="I83">
            <v>91.940200000000004</v>
          </cell>
          <cell r="J83">
            <v>33.720399999999998</v>
          </cell>
          <cell r="K83">
            <v>7.5888999999999998</v>
          </cell>
        </row>
        <row r="84">
          <cell r="A84" t="str">
            <v>95*</v>
          </cell>
          <cell r="B84">
            <v>0.90620000000000001</v>
          </cell>
          <cell r="C84">
            <v>0.1062</v>
          </cell>
          <cell r="D84">
            <v>0.1057</v>
          </cell>
          <cell r="E84">
            <v>5.0000000000000001E-4</v>
          </cell>
          <cell r="F84">
            <v>0.8</v>
          </cell>
          <cell r="G84">
            <v>0.8</v>
          </cell>
          <cell r="H84">
            <v>0.8</v>
          </cell>
          <cell r="I84">
            <v>0.8</v>
          </cell>
          <cell r="J84">
            <v>0</v>
          </cell>
          <cell r="K84">
            <v>0</v>
          </cell>
        </row>
        <row r="85">
          <cell r="A85" t="str">
            <v>Послуги домашньої прислуги</v>
          </cell>
          <cell r="B85">
            <v>0.90620000000000001</v>
          </cell>
          <cell r="C85">
            <v>0.1062</v>
          </cell>
          <cell r="D85">
            <v>0.1057</v>
          </cell>
          <cell r="E85">
            <v>5.0000000000000001E-4</v>
          </cell>
          <cell r="F85">
            <v>0.8</v>
          </cell>
          <cell r="G85">
            <v>0.8</v>
          </cell>
          <cell r="H85">
            <v>0.8</v>
          </cell>
          <cell r="I85">
            <v>0.8</v>
          </cell>
          <cell r="J85">
            <v>0</v>
          </cell>
          <cell r="K85">
            <v>0</v>
          </cell>
        </row>
        <row r="86">
          <cell r="A86" t="str">
            <v>99*</v>
          </cell>
          <cell r="B86">
            <v>34.098399999999998</v>
          </cell>
          <cell r="C86">
            <v>31.5365</v>
          </cell>
          <cell r="D86">
            <v>29.709700000000002</v>
          </cell>
          <cell r="E86">
            <v>1.8268</v>
          </cell>
          <cell r="F86">
            <v>2.5619000000000001</v>
          </cell>
          <cell r="G86">
            <v>0.21330000000000002</v>
          </cell>
          <cell r="H86">
            <v>2.1353</v>
          </cell>
          <cell r="I86">
            <v>0</v>
          </cell>
          <cell r="J86">
            <v>0.42660000000000003</v>
          </cell>
          <cell r="K86">
            <v>0.21330000000000002</v>
          </cell>
        </row>
        <row r="87">
          <cell r="A87" t="str">
            <v>Екстериторіальна діяльність</v>
          </cell>
          <cell r="B87">
            <v>34.098399999999998</v>
          </cell>
          <cell r="C87">
            <v>31.5365</v>
          </cell>
          <cell r="D87">
            <v>29.709700000000002</v>
          </cell>
          <cell r="E87">
            <v>1.8268</v>
          </cell>
          <cell r="F87">
            <v>2.5619000000000001</v>
          </cell>
          <cell r="G87">
            <v>0.21330000000000002</v>
          </cell>
          <cell r="H87">
            <v>2.1353</v>
          </cell>
          <cell r="I87">
            <v>0</v>
          </cell>
          <cell r="J87">
            <v>0.42660000000000003</v>
          </cell>
          <cell r="K87">
            <v>0.21330000000000002</v>
          </cell>
        </row>
        <row r="88">
          <cell r="A88" t="str">
            <v>2. Кошти фiзичних осiб</v>
          </cell>
          <cell r="B88">
            <v>19002.293000000001</v>
          </cell>
          <cell r="C88">
            <v>4961.6234000000004</v>
          </cell>
          <cell r="D88">
            <v>3491.4944999999998</v>
          </cell>
          <cell r="E88">
            <v>1470.1289000000002</v>
          </cell>
          <cell r="F88">
            <v>14040.669600000001</v>
          </cell>
          <cell r="G88">
            <v>7059.8209000000006</v>
          </cell>
          <cell r="H88">
            <v>7908.8389000000006</v>
          </cell>
          <cell r="I88">
            <v>4018.0207</v>
          </cell>
          <cell r="J88">
            <v>6131.8306999999995</v>
          </cell>
          <cell r="K88">
            <v>3041.8002000000001</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
      <sheetName val="CoverPage"/>
      <sheetName val="FASurvey"/>
      <sheetName val="Instructions"/>
      <sheetName val="FASurvey-DL"/>
      <sheetName val="NOTES"/>
      <sheetName val="BUControlSheet"/>
      <sheetName val="Control"/>
      <sheetName val="Report Form"/>
      <sheetName val="ValidationSheet"/>
      <sheetName val="146024"/>
    </sheetNames>
    <sheetDataSet>
      <sheetData sheetId="0"/>
      <sheetData sheetId="1"/>
      <sheetData sheetId="2"/>
      <sheetData sheetId="3"/>
      <sheetData sheetId="4"/>
      <sheetData sheetId="5"/>
      <sheetData sheetId="6"/>
      <sheetData sheetId="7">
        <row r="13">
          <cell r="B13" t="str">
            <v>Country Name</v>
          </cell>
        </row>
      </sheetData>
      <sheetData sheetId="8"/>
      <sheetData sheetId="9"/>
      <sheetData sheetId="1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in_Cap"/>
      <sheetName val="in_othsectors"/>
      <sheetName val="ass"/>
      <sheetName val="exp"/>
      <sheetName val="imp"/>
      <sheetName val="nfs"/>
      <sheetName val="oth"/>
      <sheetName val="debt"/>
      <sheetName val="IMFpurch"/>
      <sheetName val="imfrepay"/>
      <sheetName val="gas"/>
      <sheetName val="mtbop"/>
      <sheetName val="cashbop"/>
      <sheetName val="needs"/>
      <sheetName val="Pclubneeds"/>
      <sheetName val="ind"/>
      <sheetName val="cashflow"/>
      <sheetName val="HistCflow"/>
      <sheetName val="WEONEW"/>
      <sheetName val="експ_посл_кв"/>
      <sheetName val="c"/>
      <sheetName val="Мульт-ор М2, швидкість"/>
      <sheetName val="instructions"/>
      <sheetName val="links"/>
      <sheetName val="labels"/>
    </sheetNames>
    <sheetDataSet>
      <sheetData sheetId="0">
        <row r="7">
          <cell r="A7" t="str">
            <v>zDollarGDP</v>
          </cell>
        </row>
      </sheetData>
      <sheetData sheetId="1">
        <row r="17">
          <cell r="A17" t="str">
            <v>zReserves</v>
          </cell>
        </row>
      </sheetData>
      <sheetData sheetId="2">
        <row r="7">
          <cell r="A7" t="str">
            <v>zDollarGDP</v>
          </cell>
        </row>
      </sheetData>
      <sheetData sheetId="3" refreshError="1">
        <row r="7">
          <cell r="A7" t="str">
            <v>zDollarGDP</v>
          </cell>
          <cell r="B7" t="str">
            <v xml:space="preserve">  In billions of U.S. dollars</v>
          </cell>
          <cell r="C7">
            <v>103</v>
          </cell>
          <cell r="D7">
            <v>169.77011494252872</v>
          </cell>
          <cell r="E7">
            <v>18.768726984303285</v>
          </cell>
          <cell r="F7">
            <v>32.722850720418613</v>
          </cell>
          <cell r="G7">
            <v>25.868557052030997</v>
          </cell>
          <cell r="H7">
            <v>34.445670628183365</v>
          </cell>
          <cell r="I7">
            <v>43.328231871689347</v>
          </cell>
          <cell r="J7">
            <v>49.675842621189744</v>
          </cell>
          <cell r="K7">
            <v>41.827558092132087</v>
          </cell>
          <cell r="L7">
            <v>30.766214908034854</v>
          </cell>
          <cell r="M7">
            <v>30.350950987564008</v>
          </cell>
          <cell r="N7">
            <v>32.070984625449789</v>
          </cell>
          <cell r="O7">
            <v>35.766139550363611</v>
          </cell>
          <cell r="P7">
            <v>38.480886498511843</v>
          </cell>
          <cell r="Q7">
            <v>41.268041668434648</v>
          </cell>
          <cell r="R7">
            <v>44.193801680762952</v>
          </cell>
          <cell r="S7">
            <v>46.403491764801103</v>
          </cell>
          <cell r="T7">
            <v>49.698139680101988</v>
          </cell>
          <cell r="U7">
            <v>53.226707597389236</v>
          </cell>
          <cell r="V7">
            <v>57.005803836803871</v>
          </cell>
          <cell r="W7">
            <v>61.053215909216938</v>
          </cell>
          <cell r="X7">
            <v>2.3639774859287055</v>
          </cell>
          <cell r="Y7">
            <v>5.25</v>
          </cell>
          <cell r="Z7">
            <v>6.1338289962825279</v>
          </cell>
          <cell r="AA7">
            <v>5.0209205020920509</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10068.38987614432</v>
          </cell>
          <cell r="AS7">
            <v>11372.432432432432</v>
          </cell>
          <cell r="AT7">
            <v>13437.56727664155</v>
          </cell>
          <cell r="AU7">
            <v>14761.424017003188</v>
          </cell>
          <cell r="AV7">
            <v>10667.51398068124</v>
          </cell>
          <cell r="AW7">
            <v>11434.146341463416</v>
          </cell>
          <cell r="AX7">
            <v>12432</v>
          </cell>
          <cell r="AY7">
            <v>8383.265067290813</v>
          </cell>
          <cell r="AZ7">
            <v>7064.5885987082283</v>
          </cell>
          <cell r="BA7">
            <v>7644.0720995176443</v>
          </cell>
          <cell r="BB7">
            <v>8359.8026020637062</v>
          </cell>
          <cell r="BC7">
            <v>7268.5438117251515</v>
          </cell>
          <cell r="BD7">
            <v>5956.9912152269399</v>
          </cell>
          <cell r="BE7">
            <v>7243.8664453052943</v>
          </cell>
          <cell r="BF7">
            <v>9221.5480786909357</v>
          </cell>
          <cell r="BG7">
            <v>7928.0821917808216</v>
          </cell>
        </row>
        <row r="24">
          <cell r="A24" t="str">
            <v>zSDReRate</v>
          </cell>
          <cell r="B24" t="str">
            <v xml:space="preserve">  SDR/US$ [IFS, for 2000 const. from Sept.]</v>
          </cell>
          <cell r="C24">
            <v>1.3574999999999999</v>
          </cell>
          <cell r="D24">
            <v>1.3687499999999999</v>
          </cell>
          <cell r="E24">
            <v>1.4085000000000001</v>
          </cell>
          <cell r="F24">
            <v>1.39625</v>
          </cell>
          <cell r="G24">
            <v>1.4285000000000001</v>
          </cell>
          <cell r="H24">
            <v>1.51725</v>
          </cell>
          <cell r="I24">
            <v>1.4518500000000001</v>
          </cell>
          <cell r="J24">
            <v>1.3761133333333333</v>
          </cell>
          <cell r="K24">
            <v>1.3568091666666666</v>
          </cell>
          <cell r="L24">
            <v>1.3674483333333336</v>
          </cell>
          <cell r="M24">
            <v>1.3205983333333335</v>
          </cell>
          <cell r="N24">
            <v>1.3</v>
          </cell>
          <cell r="O24">
            <v>1.3</v>
          </cell>
          <cell r="P24">
            <v>1.3</v>
          </cell>
          <cell r="Q24">
            <v>1.3</v>
          </cell>
          <cell r="R24">
            <v>1.3</v>
          </cell>
          <cell r="S24">
            <v>1.3</v>
          </cell>
          <cell r="T24">
            <v>1.3</v>
          </cell>
          <cell r="U24">
            <v>1.3</v>
          </cell>
          <cell r="V24">
            <v>1.3</v>
          </cell>
          <cell r="W24">
            <v>1.3</v>
          </cell>
          <cell r="X24">
            <v>1.3879999999999999</v>
          </cell>
          <cell r="Y24">
            <v>1.39</v>
          </cell>
          <cell r="Z24">
            <v>1.4530000000000001</v>
          </cell>
          <cell r="AA24">
            <v>1.403</v>
          </cell>
          <cell r="AB24">
            <v>1.3759999999999999</v>
          </cell>
          <cell r="AC24">
            <v>1.413</v>
          </cell>
          <cell r="AD24">
            <v>1.403</v>
          </cell>
          <cell r="AE24">
            <v>1.393</v>
          </cell>
          <cell r="AF24">
            <v>1.3879999999999999</v>
          </cell>
          <cell r="AG24">
            <v>1.4159999999999999</v>
          </cell>
          <cell r="AH24">
            <v>1.4550000000000001</v>
          </cell>
          <cell r="AI24">
            <v>1.4550000000000001</v>
          </cell>
          <cell r="AJ24">
            <v>1.4931000000000001</v>
          </cell>
          <cell r="AK24">
            <v>1.5660000000000001</v>
          </cell>
          <cell r="AL24">
            <v>1.5170999999999999</v>
          </cell>
          <cell r="AM24">
            <v>1.4927999999999999</v>
          </cell>
          <cell r="AN24">
            <v>1.4653</v>
          </cell>
          <cell r="AO24">
            <v>1.4460999999999999</v>
          </cell>
          <cell r="AP24">
            <v>1.452</v>
          </cell>
          <cell r="AQ24">
            <v>1.444</v>
          </cell>
          <cell r="AR24">
            <v>1.3919999999999999</v>
          </cell>
          <cell r="AS24">
            <v>1.3759999999999999</v>
          </cell>
          <cell r="AT24">
            <v>1.3759999999999999</v>
          </cell>
          <cell r="AU24">
            <v>1.3759999999999999</v>
          </cell>
          <cell r="AV24">
            <v>1.3740000000000001</v>
          </cell>
          <cell r="AW24">
            <v>1.3740000000000001</v>
          </cell>
          <cell r="AX24">
            <v>1.3740000000000001</v>
          </cell>
          <cell r="AY24">
            <v>1.4067700000000001</v>
          </cell>
          <cell r="AZ24">
            <v>1.3819999999999999</v>
          </cell>
          <cell r="BA24">
            <v>1.3480000000000001</v>
          </cell>
          <cell r="BB24">
            <v>1.359</v>
          </cell>
          <cell r="BC24">
            <v>1.383</v>
          </cell>
        </row>
      </sheetData>
      <sheetData sheetId="4"/>
      <sheetData sheetId="5"/>
      <sheetData sheetId="6"/>
      <sheetData sheetId="7" refreshError="1">
        <row r="17">
          <cell r="A17" t="str">
            <v>zReserves</v>
          </cell>
          <cell r="B17" t="str">
            <v xml:space="preserve">    Gross usable reserves from 1998 on</v>
          </cell>
          <cell r="C17">
            <v>0</v>
          </cell>
          <cell r="D17">
            <v>0</v>
          </cell>
          <cell r="E17">
            <v>9.6000000000000002E-2</v>
          </cell>
          <cell r="F17">
            <v>0.13300000000000001</v>
          </cell>
          <cell r="G17">
            <v>0.64600000000000002</v>
          </cell>
          <cell r="H17">
            <v>1.1339999999999999</v>
          </cell>
          <cell r="I17">
            <v>1.994</v>
          </cell>
          <cell r="J17">
            <v>2.375</v>
          </cell>
          <cell r="K17">
            <v>0.78200000000000003</v>
          </cell>
          <cell r="L17">
            <v>1.0900000000000001</v>
          </cell>
          <cell r="M17">
            <v>1.016</v>
          </cell>
          <cell r="N17">
            <v>1.56</v>
          </cell>
          <cell r="O17">
            <v>2.5430000000000001</v>
          </cell>
          <cell r="P17">
            <v>3.0957930000000005</v>
          </cell>
          <cell r="Q17">
            <v>3.7418343030000005</v>
          </cell>
          <cell r="R17">
            <v>4.5037445385130006</v>
          </cell>
          <cell r="S17">
            <v>5.3197504007474237</v>
          </cell>
          <cell r="T17">
            <v>6.1936926792004909</v>
          </cell>
          <cell r="U17">
            <v>7.1296848594237261</v>
          </cell>
          <cell r="V17">
            <v>8.1321324844428116</v>
          </cell>
          <cell r="W17">
            <v>9.2057538908382526</v>
          </cell>
          <cell r="AZ17">
            <v>0.68700000000000006</v>
          </cell>
          <cell r="BA17">
            <v>0.98699999999999999</v>
          </cell>
          <cell r="BB17">
            <v>1.35</v>
          </cell>
          <cell r="BC17">
            <v>1.0900000000000001</v>
          </cell>
          <cell r="BD17">
            <v>1.0740000000000001</v>
          </cell>
          <cell r="BE17">
            <v>0.93899999999999995</v>
          </cell>
          <cell r="BF17">
            <v>0.98599999999999999</v>
          </cell>
          <cell r="BG17">
            <v>1.016</v>
          </cell>
          <cell r="BH17">
            <v>1.028</v>
          </cell>
          <cell r="BI17">
            <v>1.159</v>
          </cell>
          <cell r="BJ17">
            <v>1.2010000000000001</v>
          </cell>
          <cell r="BK17">
            <v>1.56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д16-17"/>
      <sheetName val="д17-1"/>
      <sheetName val="т07(98)"/>
    </sheetNames>
    <sheetDataSet>
      <sheetData sheetId="0" refreshError="1"/>
      <sheetData sheetId="1" refreshError="1"/>
      <sheetData sheetId="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заг табл (2019)"/>
      <sheetName val="заг табл (3)"/>
      <sheetName val="Sheet4 (2)"/>
      <sheetName val="видатки (2)"/>
      <sheetName val="заг табл (2)"/>
      <sheetName val="доходи (4)"/>
      <sheetName val="Аркуш5"/>
      <sheetName val="дефіцит (2)"/>
      <sheetName val="доходи (3)"/>
      <sheetName val="видатки"/>
      <sheetName val="дефіцит"/>
      <sheetName val="доходи"/>
      <sheetName val="доходи (2)"/>
      <sheetName val="заг табл"/>
      <sheetName val="Sheet4"/>
      <sheetName val="Аркуш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т09(98) по сек-рам ек-ки"/>
      <sheetName val="т07(98)"/>
      <sheetName val="c"/>
    </sheetNames>
    <sheetDataSet>
      <sheetData sheetId="0" refreshError="1">
        <row r="1">
          <cell r="A1" t="str">
            <v>ЗВЕДЕНИЙ БАЛАНС БАНКІВСЬКОЇ СИСТЕМИ УКРАЇНИ
(резиденти)
на 01.01.99 року</v>
          </cell>
        </row>
      </sheetData>
      <sheetData sheetId="1" refreshError="1"/>
      <sheetData sheetId="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т15"/>
      <sheetName val="Contents"/>
    </sheetNames>
    <sheetDataSet>
      <sheetData sheetId="0" refreshError="1">
        <row r="1">
          <cell r="A1" t="str">
            <v>НАЯВНА  ГРОШОВА  МАСА  В  ОБІГУ  УКРАЇНИ  
ТА ЇЇ РОЗМІЩЕННЯ В 1998–2000 РОКАХ</v>
          </cell>
        </row>
      </sheetData>
      <sheetData sheetId="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т17-1(шаблон)"/>
      <sheetName val="report form"/>
      <sheetName val="Contents"/>
      <sheetName val="ass"/>
      <sheetName val="oth"/>
    </sheetNames>
    <sheetDataSet>
      <sheetData sheetId="0" refreshError="1">
        <row r="1">
          <cell r="A1" t="str">
            <v>КОШТИ НА РАХУНКАХ ПІДПРИЄМСТВ, ОРГАНІЗАЦІЙ ТА НАСЕЛЕННЯ В КОМЕРЦІЙНИХ БАНКАХ УКРАЇНИ (за видами валют та строками)</v>
          </cell>
        </row>
      </sheetData>
      <sheetData sheetId="1" refreshError="1"/>
      <sheetData sheetId="2" refreshError="1"/>
      <sheetData sheetId="3" refreshError="1"/>
      <sheetData sheetId="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т17-6"/>
      <sheetName val="т17-4-99"/>
      <sheetName val="т15-0"/>
      <sheetName val="т18"/>
      <sheetName val="т17-3"/>
      <sheetName val="т17-1 "/>
      <sheetName val="т17мб"/>
      <sheetName val="т17-2 "/>
      <sheetName val="т17-5"/>
      <sheetName val="т17-4"/>
      <sheetName val="т18обл"/>
      <sheetName val="т17-4-2000"/>
      <sheetName val="т15"/>
      <sheetName val="т15-0-2000"/>
      <sheetName val="т17-1обл"/>
      <sheetName val="т17-5(на 2001)"/>
      <sheetName val="т18обл(на2001)"/>
      <sheetName val="т17-1 (на 2001)"/>
      <sheetName val="c"/>
      <sheetName val="ass"/>
      <sheetName val="oth"/>
      <sheetName val="д17-1"/>
    </sheetNames>
    <sheetDataSet>
      <sheetData sheetId="0" refreshError="1"/>
      <sheetData sheetId="1" refreshError="1"/>
      <sheetData sheetId="2" refreshError="1"/>
      <sheetData sheetId="3" refreshError="1"/>
      <sheetData sheetId="4" refreshError="1">
        <row r="1">
          <cell r="A1" t="str">
            <v>КОШТИ НА РАХУНКАХ ПІДПРИЄМСТВ, ОРГАНІЗАЦІЙ ТА НАСЕЛЕННЯ В КОМЕРЦІЙНИХ БАНКАХ УКРАЇНИ (за формами власності)</v>
          </cell>
          <cell r="G1" t="str">
            <v>Продовження</v>
          </cell>
        </row>
        <row r="2">
          <cell r="A2" t="str">
            <v>(на кінець періоду, млн. грн.)</v>
          </cell>
        </row>
      </sheetData>
      <sheetData sheetId="5" refreshError="1"/>
      <sheetData sheetId="6" refreshError="1"/>
      <sheetData sheetId="7" refreshError="1">
        <row r="1">
          <cell r="A1" t="str">
            <v>КОШТИ НА РАХУНКАХ ПІДПРИЄМСТВ, ОРГАНІЗАЦІЙ ТА НАСЕЛЕННЯ В КОМЕРЦІЙНИХ БАНКАХ УКРАЇНИ (за секторами економіки)</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т17мб(шаблон)"/>
      <sheetName val="CPI+core"/>
      <sheetName val="доходи"/>
      <sheetName val="д17-1"/>
      <sheetName val="довідники"/>
    </sheetNames>
    <sheetDataSet>
      <sheetData sheetId="0" refreshError="1">
        <row r="1">
          <cell r="A1" t="str">
            <v>ЗАЛУЧЕНІ КОШТИ КОМЕРЦІЙНИХ БАНКІВ НА МІЖБАНКІВСЬКОМУ РИНКУ УКРАЇНИв 1998–2000 роках</v>
          </cell>
        </row>
      </sheetData>
      <sheetData sheetId="1" refreshError="1"/>
      <sheetData sheetId="2" refreshError="1"/>
      <sheetData sheetId="3" refreshError="1"/>
      <sheetData sheetId="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Чарти 5-7"/>
      <sheetName val="Таблиці 2-3"/>
      <sheetName val="Прогноз Зарплати 2023"/>
      <sheetName val="Ворк юа (зп)"/>
      <sheetName val="Ворк юа (вакансії)"/>
      <sheetName val="Беробіття "/>
      <sheetName val="Очікування по безробіттю"/>
      <sheetName val="Статус тих хто мав роботу"/>
      <sheetName val="REER"/>
      <sheetName val="ЗВР-інт 2022-2023"/>
      <sheetName val="Місячна сезонність"/>
      <sheetName val="Повернення до таргету 2023"/>
      <sheetName val="ІСЦ (Стрим Інфл) (всяке)"/>
      <sheetName val="ІЦВ (Стрим Інфл)+"/>
      <sheetName val="ІСЦ (Стрим Інфл)"/>
      <sheetName val="Дефлятор модель (CPI-PPI) (С-1)"/>
      <sheetName val="Дефлятор модель (CPI-PPI) (С-2)"/>
      <sheetName val="Області"/>
      <sheetName val="Прогноз Зарплати 2021"/>
      <sheetName val="Прогноз Зарплати 2022"/>
      <sheetName val="структура"/>
      <sheetName val="Дефлятор модель (CPI-PPI) Інфл"/>
      <sheetName val="К-сть штатних прац"/>
      <sheetName val="Штатые сотрудники"/>
      <sheetName val="Others"/>
      <sheetName val="Дефлятор (UACPI)"/>
      <sheetName val="Прогноз курса"/>
      <sheetName val="ІЦВ (Obs-102)"/>
    </sheetNames>
    <sheetDataSet>
      <sheetData sheetId="0"/>
      <sheetData sheetId="1"/>
      <sheetData sheetId="2">
        <row r="110">
          <cell r="AN110">
            <v>15747.333333333334</v>
          </cell>
        </row>
        <row r="133">
          <cell r="BJ133">
            <v>18829.106578095776</v>
          </cell>
        </row>
      </sheetData>
      <sheetData sheetId="3"/>
      <sheetData sheetId="4"/>
      <sheetData sheetId="5"/>
      <sheetData sheetId="6"/>
      <sheetData sheetId="7"/>
      <sheetData sheetId="8"/>
      <sheetData sheetId="9"/>
      <sheetData sheetId="10"/>
      <sheetData sheetId="11"/>
      <sheetData sheetId="12"/>
      <sheetData sheetId="13">
        <row r="172">
          <cell r="AE172">
            <v>109.34920390790697</v>
          </cell>
        </row>
        <row r="173">
          <cell r="AE173">
            <v>113.40856661423261</v>
          </cell>
        </row>
        <row r="174">
          <cell r="AE174">
            <v>106.44910105541832</v>
          </cell>
        </row>
        <row r="175">
          <cell r="AE175">
            <v>110.45739275820789</v>
          </cell>
        </row>
        <row r="176">
          <cell r="AE176">
            <v>114.13882793114254</v>
          </cell>
        </row>
        <row r="180">
          <cell r="AE180">
            <v>115.48096397464066</v>
          </cell>
        </row>
        <row r="181">
          <cell r="AE181">
            <v>115.71212840338681</v>
          </cell>
        </row>
        <row r="182">
          <cell r="AE182">
            <v>115.31594291520999</v>
          </cell>
        </row>
        <row r="183">
          <cell r="AE183">
            <v>114.52451698725591</v>
          </cell>
        </row>
        <row r="184">
          <cell r="AE184">
            <v>114.02809192546249</v>
          </cell>
        </row>
        <row r="185">
          <cell r="AE185">
            <v>114.26358443095589</v>
          </cell>
        </row>
        <row r="186">
          <cell r="AE186">
            <v>114.75190606181346</v>
          </cell>
        </row>
        <row r="187">
          <cell r="AE187">
            <v>114.55003330010287</v>
          </cell>
        </row>
        <row r="188">
          <cell r="AE188">
            <v>114.9875605823776</v>
          </cell>
        </row>
        <row r="189">
          <cell r="AE189">
            <v>115.48113863422346</v>
          </cell>
        </row>
        <row r="190">
          <cell r="AE190">
            <v>117.46432477668819</v>
          </cell>
        </row>
        <row r="191">
          <cell r="AE191">
            <v>118.74395352004647</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0.1"/>
      <sheetName val="0.2"/>
      <sheetName val="1.1"/>
      <sheetName val="1.2"/>
      <sheetName val="1.3"/>
      <sheetName val="1.4"/>
      <sheetName val="1.5"/>
      <sheetName val="1.6"/>
      <sheetName val="1.7"/>
      <sheetName val="1.8"/>
      <sheetName val="1.9"/>
      <sheetName val="1.10"/>
      <sheetName val="1.11"/>
      <sheetName val="1.12"/>
      <sheetName val="B.1.1"/>
      <sheetName val="B.1.2"/>
      <sheetName val="B.1.3"/>
      <sheetName val="B.1.4"/>
      <sheetName val="B.1.5"/>
      <sheetName val="B.1.6"/>
      <sheetName val="B.1.7"/>
      <sheetName val="2.1.1"/>
      <sheetName val="2.1.2"/>
      <sheetName val="2.1.3"/>
      <sheetName val="2.1.4"/>
      <sheetName val="2.1.5"/>
      <sheetName val="2.1.6"/>
      <sheetName val="2.1.7"/>
      <sheetName val="2.1.8"/>
      <sheetName val="2.1.9"/>
      <sheetName val="2.1.10"/>
      <sheetName val="2.1.11"/>
      <sheetName val="B.2.1"/>
      <sheetName val="B.2.2"/>
      <sheetName val="B.2.3"/>
      <sheetName val="2.2.1"/>
      <sheetName val="2.2.2"/>
      <sheetName val="2.2.3"/>
      <sheetName val="2.2.4"/>
      <sheetName val="2.2.5"/>
      <sheetName val="2.2.6"/>
      <sheetName val="2.2.7"/>
      <sheetName val="2.2.8"/>
      <sheetName val="2.2.9"/>
      <sheetName val="2.2.10"/>
      <sheetName val="2.2.11"/>
      <sheetName val="2.2.12"/>
      <sheetName val="2.2.13"/>
      <sheetName val="2.2.14"/>
      <sheetName val="B.3.1 "/>
      <sheetName val="В.3.2"/>
      <sheetName val="В.3.3"/>
      <sheetName val="B.3.4"/>
      <sheetName val="В.3.5"/>
      <sheetName val="B.3.6"/>
      <sheetName val="B.3.7"/>
      <sheetName val="B.3.8"/>
      <sheetName val="B.3.9"/>
      <sheetName val="B.3.10"/>
      <sheetName val="2.3.1"/>
      <sheetName val="2.3.2"/>
      <sheetName val="2.3.3"/>
      <sheetName val="2.3.4"/>
      <sheetName val="2.3.5"/>
      <sheetName val="2.3.6"/>
      <sheetName val="2.3.7"/>
      <sheetName val="B.4.1"/>
      <sheetName val="B.4.2"/>
      <sheetName val="B.4.3"/>
      <sheetName val="B.4.4"/>
      <sheetName val="B.4.T.1"/>
      <sheetName val="2.4.1 "/>
      <sheetName val="2.4.2"/>
      <sheetName val="2.4.3"/>
      <sheetName val="2.4.4"/>
      <sheetName val="2.4.5"/>
      <sheetName val="2.4.6"/>
      <sheetName val="2.4.7"/>
      <sheetName val="2.4.8"/>
      <sheetName val="2.5.1"/>
      <sheetName val="2.5.2"/>
      <sheetName val="2.5.3"/>
      <sheetName val="2.5.4"/>
      <sheetName val="2.5.5"/>
      <sheetName val="2.5.6"/>
      <sheetName val="2.5.7"/>
      <sheetName val="2.5.8"/>
      <sheetName val="2.5.9"/>
      <sheetName val="В.5.1"/>
      <sheetName val="В.5.2"/>
      <sheetName val="2.6.1"/>
      <sheetName val="2.6.2"/>
      <sheetName val="2.6.3"/>
      <sheetName val="2.6.4"/>
      <sheetName val="2.6.5"/>
      <sheetName val="2.6.6"/>
      <sheetName val="2.6.7"/>
      <sheetName val="2.6.8"/>
      <sheetName val="2.6.9"/>
      <sheetName val="2.6.10"/>
      <sheetName val="3.1"/>
      <sheetName val="3.2"/>
    </sheetNames>
    <sheetDataSet>
      <sheetData sheetId="0">
        <row r="1">
          <cell r="E1">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Чарти 6-19"/>
      <sheetName val="Таблиця 1"/>
      <sheetName val="Таблиця 2"/>
      <sheetName val="ПБ - стандартный формат чарта"/>
      <sheetName val="Чарт ПБ 2020"/>
      <sheetName val="Чарт 2021"/>
      <sheetName val="Чарт 2022"/>
      <sheetName val="Чарт 2023 V-1"/>
      <sheetName val="Чарт 2023 V-2"/>
      <sheetName val="Чарт ПБ 2022-2023 V-1"/>
      <sheetName val="табл сравнение"/>
      <sheetName val="Чарт ПБ 2022-2023 V-2"/>
      <sheetName val="Сравнительная таблица (липень)"/>
      <sheetName val="ПБ V-1 (fin min)"/>
      <sheetName val="Интервенции (V-1)"/>
      <sheetName val="ПБ V-2 (fin plan)"/>
      <sheetName val="Интервенции (V-2)"/>
      <sheetName val="Курсовые сценарии"/>
      <sheetName val="макет прогноза на месяц"/>
      <sheetName val="ТБ 2022"/>
      <sheetName val="ТБ 2023 v1"/>
      <sheetName val="ТБ 2023 v2"/>
      <sheetName val="ЗВР-інт 2022-2023"/>
      <sheetName val="курс 2022-2023 v1"/>
      <sheetName val="курс 2022-2023 v2"/>
    </sheetNames>
    <sheetDataSet>
      <sheetData sheetId="0">
        <row r="1">
          <cell r="B1" t="str">
            <v>RU</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
          <cell r="AL3">
            <v>-1336</v>
          </cell>
        </row>
      </sheetData>
      <sheetData sheetId="14" refreshError="1"/>
      <sheetData sheetId="15">
        <row r="3">
          <cell r="AX3">
            <v>-3707.2666929061588</v>
          </cell>
        </row>
      </sheetData>
      <sheetData sheetId="16" refreshError="1"/>
      <sheetData sheetId="17" refreshError="1"/>
      <sheetData sheetId="18" refreshError="1"/>
      <sheetData sheetId="19" refreshError="1"/>
      <sheetData sheetId="20" refreshError="1"/>
      <sheetData sheetId="21" refreshError="1"/>
      <sheetData sheetId="22">
        <row r="2">
          <cell r="B2">
            <v>1</v>
          </cell>
        </row>
      </sheetData>
      <sheetData sheetId="23" refreshError="1"/>
      <sheetData sheetId="2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ron ore"/>
      <sheetName val="Металопродукция"/>
      <sheetName val="Wheat"/>
      <sheetName val="Corn"/>
      <sheetName val="Soybeans"/>
      <sheetName val="Рапс"/>
      <sheetName val="Sunflower oil"/>
      <sheetName val="UREA"/>
      <sheetName val="Brent"/>
      <sheetName val="Вугілля Newcastle"/>
      <sheetName val="Natural gas "/>
      <sheetName val="Gold"/>
      <sheetName val="Алюминий Никель Медь"/>
      <sheetName val="Sugar"/>
      <sheetName val="Индекс Сх"/>
      <sheetName val="Комодіді фючерси ціни"/>
      <sheetName val="IMF World CPI - index"/>
      <sheetName val="WCPI"/>
      <sheetName val="Вугілля ПАР"/>
      <sheetName val="Urals-Brent"/>
      <sheetName val="Аркуш3"/>
      <sheetName val="USDT-RUB чарт"/>
      <sheetName val="USDT-RUB"/>
      <sheetName val="UKRAINE CPI ex+im=100"/>
      <sheetName val="TTF"/>
      <sheetName val="Henty Hub"/>
      <sheetName val="LNG Japan-Korea"/>
      <sheetName val="Silver"/>
      <sheetName val="Work cheet --&gt;"/>
      <sheetName val="Структура World CPI - IMF"/>
      <sheetName val="World Bank - index structur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60">
          <cell r="AX160">
            <v>93.18</v>
          </cell>
        </row>
        <row r="161">
          <cell r="AX161">
            <v>94.175000000000011</v>
          </cell>
        </row>
        <row r="162">
          <cell r="AX162">
            <v>95.17</v>
          </cell>
        </row>
        <row r="163">
          <cell r="AX163">
            <v>93.75</v>
          </cell>
        </row>
      </sheetData>
      <sheetData sheetId="16"/>
      <sheetData sheetId="17" refreshError="1"/>
      <sheetData sheetId="18" refreshError="1"/>
      <sheetData sheetId="19"/>
      <sheetData sheetId="20"/>
      <sheetData sheetId="21" refreshError="1"/>
      <sheetData sheetId="22"/>
      <sheetData sheetId="23"/>
      <sheetData sheetId="24" refreshError="1"/>
      <sheetData sheetId="25" refreshError="1"/>
      <sheetData sheetId="26" refreshError="1"/>
      <sheetData sheetId="27" refreshError="1"/>
      <sheetData sheetId="28"/>
      <sheetData sheetId="29"/>
      <sheetData sheetId="3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ron ore"/>
      <sheetName val="Металопродукция"/>
      <sheetName val="Wheat"/>
      <sheetName val="Corn"/>
      <sheetName val="Soybeans"/>
      <sheetName val="Рапс"/>
      <sheetName val="Sunflower oil"/>
      <sheetName val="UREA"/>
      <sheetName val="Brent"/>
      <sheetName val="Вугілля Newcastle"/>
      <sheetName val="Natural gas "/>
      <sheetName val="Gold"/>
      <sheetName val="Алюминий Никель Медь"/>
      <sheetName val="Sugar"/>
      <sheetName val="Индекс Сх"/>
      <sheetName val="Комодіді фючерси ціни"/>
      <sheetName val="IMF World CPI - index"/>
      <sheetName val="WCPI"/>
      <sheetName val="Вугілля ПАР"/>
      <sheetName val="Urals-Brent"/>
      <sheetName val="Аркуш3"/>
      <sheetName val="USDT-RUB чарт"/>
      <sheetName val="USDT-RUB"/>
      <sheetName val="UKRAINE CPI ex+im=100"/>
      <sheetName val="TTF"/>
      <sheetName val="Henty Hub"/>
      <sheetName val="LNG Japan-Korea"/>
      <sheetName val="Silver"/>
      <sheetName val="Work cheet --&gt;"/>
      <sheetName val="Структура World CPI - IMF"/>
      <sheetName val="World Bank - index structur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60">
          <cell r="AZ160">
            <v>86.62</v>
          </cell>
        </row>
        <row r="161">
          <cell r="AZ161">
            <v>91.36</v>
          </cell>
        </row>
        <row r="162">
          <cell r="AZ162">
            <v>91.495000000000005</v>
          </cell>
        </row>
        <row r="163">
          <cell r="AZ163">
            <v>91.63</v>
          </cell>
        </row>
      </sheetData>
      <sheetData sheetId="16"/>
      <sheetData sheetId="17" refreshError="1"/>
      <sheetData sheetId="18" refreshError="1"/>
      <sheetData sheetId="19"/>
      <sheetData sheetId="20"/>
      <sheetData sheetId="21" refreshError="1"/>
      <sheetData sheetId="22"/>
      <sheetData sheetId="23"/>
      <sheetData sheetId="24" refreshError="1"/>
      <sheetData sheetId="25" refreshError="1"/>
      <sheetData sheetId="26" refreshError="1"/>
      <sheetData sheetId="27" refreshError="1"/>
      <sheetData sheetId="28"/>
      <sheetData sheetId="29"/>
      <sheetData sheetId="3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Чарти 5-7"/>
      <sheetName val="charts_data_all"/>
      <sheetName val="Таблиці 2-3"/>
      <sheetName val="Прогноз Зарплати 2023"/>
      <sheetName val="Ворк юа (зп)"/>
      <sheetName val="Ворк юа (вакансії)"/>
      <sheetName val="Беробіття "/>
      <sheetName val="Очікування по безробіттю"/>
      <sheetName val="Статус тих хто мав роботу"/>
      <sheetName val="REER"/>
      <sheetName val="ЗВР-інт 2022-2023"/>
      <sheetName val="Місячна сезонність"/>
      <sheetName val="Повернення до таргету 2023"/>
      <sheetName val="ІСЦ (Стрим Інфл) (всяке)"/>
      <sheetName val="ІЦВ (Стрим Інфл)+"/>
      <sheetName val="ІСЦ (Стрим Інфл)"/>
      <sheetName val="Дефлятор модель (CPI-PPI) (С-1)"/>
      <sheetName val="Дефлятор модель (CPI-PPI) (С-2)"/>
      <sheetName val="Області"/>
      <sheetName val="Прогноз Зарплати 2021"/>
      <sheetName val="Прогноз Зарплати 2022"/>
      <sheetName val="структура"/>
      <sheetName val="Дефлятор модель (CPI-PPI) Інфл"/>
      <sheetName val="К-сть штатних прац"/>
      <sheetName val="Штатые сотрудники"/>
      <sheetName val="Others"/>
      <sheetName val="Дефлятор (UACPI)"/>
      <sheetName val="Прогноз курса"/>
      <sheetName val="ІЦВ (Obs-102)"/>
    </sheetNames>
    <sheetDataSet>
      <sheetData sheetId="0"/>
      <sheetData sheetId="1"/>
      <sheetData sheetId="2"/>
      <sheetData sheetId="3">
        <row r="133">
          <cell r="AX133">
            <v>20757.000000000025</v>
          </cell>
        </row>
      </sheetData>
      <sheetData sheetId="4"/>
      <sheetData sheetId="5"/>
      <sheetData sheetId="6"/>
      <sheetData sheetId="7"/>
      <sheetData sheetId="8"/>
      <sheetData sheetId="9"/>
      <sheetData sheetId="10"/>
      <sheetData sheetId="11"/>
      <sheetData sheetId="12"/>
      <sheetData sheetId="13"/>
      <sheetData sheetId="14">
        <row r="180">
          <cell r="U180">
            <v>0.158</v>
          </cell>
        </row>
        <row r="181">
          <cell r="U181">
            <v>0.14499999999999999</v>
          </cell>
        </row>
        <row r="182">
          <cell r="U182">
            <v>0.13200000000000001</v>
          </cell>
        </row>
        <row r="183">
          <cell r="U183">
            <v>0.1038033503962697</v>
          </cell>
        </row>
        <row r="184">
          <cell r="U184">
            <v>9.960898547971471E-2</v>
          </cell>
        </row>
        <row r="185">
          <cell r="U185">
            <v>8.9409343753632978E-2</v>
          </cell>
        </row>
        <row r="186">
          <cell r="U186">
            <v>8.6198001547253947E-2</v>
          </cell>
        </row>
        <row r="187">
          <cell r="U187">
            <v>8.8424732489184615E-2</v>
          </cell>
        </row>
        <row r="188">
          <cell r="U188">
            <v>9.5576807644487602E-2</v>
          </cell>
        </row>
        <row r="189">
          <cell r="U189">
            <v>0.1001188125380381</v>
          </cell>
        </row>
        <row r="190">
          <cell r="U190">
            <v>0.11560358518354336</v>
          </cell>
        </row>
        <row r="191">
          <cell r="U191">
            <v>0.12875457781842775</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ГБ (база стат)"/>
      <sheetName val="ІСЦ"/>
      <sheetName val="ІЦВ"/>
      <sheetName val="Курс"/>
      <sheetName val="Salary"/>
      <sheetName val="Файли сезонності"/>
      <sheetName val="Канали емісії"/>
      <sheetName val="ГБ новий"/>
      <sheetName val="2.6.5"/>
      <sheetName val="ГБ"/>
      <sheetName val="ГБ (чарт базовий)"/>
      <sheetName val="Робочі файли"/>
      <sheetName val="2020 рік (ДС)"/>
      <sheetName val="2020 рік (Інтервенц)"/>
      <sheetName val="Готівка"/>
      <sheetName val="2020 - Баланс"/>
      <sheetName val="Резерви Баланс"/>
      <sheetName val="2019 рік"/>
      <sheetName val="2018 рік"/>
    </sheetNames>
    <sheetDataSet>
      <sheetData sheetId="0"/>
      <sheetData sheetId="1"/>
      <sheetData sheetId="2"/>
      <sheetData sheetId="3"/>
      <sheetData sheetId="4"/>
      <sheetData sheetId="5"/>
      <sheetData sheetId="6"/>
      <sheetData sheetId="7"/>
      <sheetData sheetId="8"/>
      <sheetData sheetId="9">
        <row r="280">
          <cell r="G280">
            <v>-25.306439999999998</v>
          </cell>
        </row>
      </sheetData>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Тема Office">
  <a:themeElements>
    <a:clrScheme name="Ukraine Economic Outlook">
      <a:dk1>
        <a:sysClr val="windowText" lastClr="000000"/>
      </a:dk1>
      <a:lt1>
        <a:sysClr val="window" lastClr="FFFFFF"/>
      </a:lt1>
      <a:dk2>
        <a:srgbClr val="113442"/>
      </a:dk2>
      <a:lt2>
        <a:srgbClr val="4D656D"/>
      </a:lt2>
      <a:accent1>
        <a:srgbClr val="4CA2C1"/>
      </a:accent1>
      <a:accent2>
        <a:srgbClr val="F37021"/>
      </a:accent2>
      <a:accent3>
        <a:srgbClr val="991C1F"/>
      </a:accent3>
      <a:accent4>
        <a:srgbClr val="43555B"/>
      </a:accent4>
      <a:accent5>
        <a:srgbClr val="1D5E76"/>
      </a:accent5>
      <a:accent6>
        <a:srgbClr val="70AD47"/>
      </a:accent6>
      <a:hlink>
        <a:srgbClr val="0563C1"/>
      </a:hlink>
      <a:folHlink>
        <a:srgbClr val="954F72"/>
      </a:folHlink>
    </a:clrScheme>
    <a:fontScheme name="Ukraine Economic Outlook">
      <a:majorFont>
        <a:latin typeface="Montserrat ExtraBold"/>
        <a:ea typeface=""/>
        <a:cs typeface=""/>
      </a:majorFont>
      <a:minorFont>
        <a:latin typeface="Montserrat"/>
        <a:ea typeface=""/>
        <a:cs typeface=""/>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Ukraine Economic Outlook">
    <a:dk1>
      <a:sysClr val="windowText" lastClr="000000"/>
    </a:dk1>
    <a:lt1>
      <a:sysClr val="window" lastClr="FFFFFF"/>
    </a:lt1>
    <a:dk2>
      <a:srgbClr val="113442"/>
    </a:dk2>
    <a:lt2>
      <a:srgbClr val="4D656D"/>
    </a:lt2>
    <a:accent1>
      <a:srgbClr val="4CA2C1"/>
    </a:accent1>
    <a:accent2>
      <a:srgbClr val="F37021"/>
    </a:accent2>
    <a:accent3>
      <a:srgbClr val="991C1F"/>
    </a:accent3>
    <a:accent4>
      <a:srgbClr val="43555B"/>
    </a:accent4>
    <a:accent5>
      <a:srgbClr val="1D5E76"/>
    </a:accent5>
    <a:accent6>
      <a:srgbClr val="70AD47"/>
    </a:accent6>
    <a:hlink>
      <a:srgbClr val="0563C1"/>
    </a:hlink>
    <a:folHlink>
      <a:srgbClr val="954F72"/>
    </a:folHlink>
  </a:clrScheme>
  <a:fontScheme name="Ukraine Economic Outlook">
    <a:majorFont>
      <a:latin typeface="Montserrat ExtraBold"/>
      <a:ea typeface=""/>
      <a:cs typeface=""/>
    </a:majorFont>
    <a:minorFont>
      <a:latin typeface="Montserrat"/>
      <a:ea typeface=""/>
      <a:cs typeface=""/>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hyperlink" Target="https://www.work.ua/stat/salary/?time=year" TargetMode="External"/><Relationship Id="rId1" Type="http://schemas.openxmlformats.org/officeDocument/2006/relationships/hyperlink" Target="javascript:;"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3.bin"/><Relationship Id="rId1" Type="http://schemas.openxmlformats.org/officeDocument/2006/relationships/hyperlink" Target="https://www.work.ua/stat/count/"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19.xml.rels><?xml version="1.0" encoding="UTF-8" standalone="yes"?>
<Relationships xmlns="http://schemas.openxmlformats.org/package/2006/relationships"><Relationship Id="rId1" Type="http://schemas.openxmlformats.org/officeDocument/2006/relationships/hyperlink" Target="https://index.minfin.com.ua/ua/economy/index/inflation/"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http://www.ukrstat.gov.ua/operativ/operativ2018/gdn/Sok_ed/Arch_sok_ed_u.htm"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E210"/>
  <sheetViews>
    <sheetView zoomScale="130" zoomScaleNormal="130" workbookViewId="0">
      <pane ySplit="1" topLeftCell="A173" activePane="bottomLeft" state="frozen"/>
      <selection pane="bottomLeft" activeCell="H177" sqref="H177"/>
    </sheetView>
  </sheetViews>
  <sheetFormatPr defaultRowHeight="18"/>
  <cols>
    <col min="7" max="7" width="11" customWidth="1"/>
    <col min="8" max="8" width="34.09765625" customWidth="1"/>
    <col min="12" max="12" width="28.8984375" customWidth="1"/>
    <col min="13" max="13" width="12.19921875" customWidth="1"/>
    <col min="17" max="17" width="12.09765625" customWidth="1"/>
    <col min="19" max="19" width="11.19921875" bestFit="1" customWidth="1"/>
  </cols>
  <sheetData>
    <row r="1" spans="1:18">
      <c r="A1" s="617" t="s">
        <v>498</v>
      </c>
      <c r="B1" s="617" t="s">
        <v>502</v>
      </c>
    </row>
    <row r="2" spans="1:18" ht="51.75" customHeight="1">
      <c r="A2" s="920" t="s">
        <v>1933</v>
      </c>
      <c r="B2" s="920"/>
      <c r="C2" s="920"/>
      <c r="D2" s="920"/>
      <c r="E2" s="920"/>
      <c r="F2" s="920"/>
      <c r="G2" s="919" t="s">
        <v>499</v>
      </c>
      <c r="H2" s="919"/>
      <c r="L2" s="921" t="s">
        <v>1792</v>
      </c>
      <c r="M2" s="921"/>
      <c r="N2" s="919"/>
      <c r="O2" s="919"/>
      <c r="P2" s="780"/>
      <c r="Q2" s="919" t="s">
        <v>499</v>
      </c>
      <c r="R2" s="919"/>
    </row>
    <row r="3" spans="1:18" ht="18.75">
      <c r="G3" s="6" t="s">
        <v>500</v>
      </c>
      <c r="H3" s="618" t="s">
        <v>1934</v>
      </c>
      <c r="M3" s="6"/>
      <c r="N3" s="618"/>
      <c r="P3" s="6" t="s">
        <v>500</v>
      </c>
      <c r="Q3" s="618" t="s">
        <v>1793</v>
      </c>
    </row>
    <row r="4" spans="1:18" ht="18.75">
      <c r="G4" s="6" t="s">
        <v>501</v>
      </c>
      <c r="H4" s="618" t="s">
        <v>1935</v>
      </c>
      <c r="M4" s="6"/>
      <c r="N4" s="618"/>
      <c r="P4" s="6" t="s">
        <v>501</v>
      </c>
      <c r="Q4" s="618" t="s">
        <v>1801</v>
      </c>
    </row>
    <row r="5" spans="1:18" ht="18.75">
      <c r="G5" s="6" t="s">
        <v>502</v>
      </c>
      <c r="H5" s="618" t="s">
        <v>1936</v>
      </c>
      <c r="M5" s="6"/>
      <c r="N5" s="618"/>
      <c r="P5" s="6" t="s">
        <v>502</v>
      </c>
      <c r="Q5" s="618" t="s">
        <v>1792</v>
      </c>
    </row>
    <row r="7" spans="1:18">
      <c r="G7" s="6">
        <v>1</v>
      </c>
      <c r="H7" s="693" t="str">
        <f>IF($B$1="ENG",SUBSTITUTE(INDEX(M$8:O$8,1,MATCH('Чарти 5-7'!$B$1,$M$7:$O$7,0))&amp;" "&amp;J7&amp;" "&amp;K7,",","."),INDEX(M$8:O$8,1,MATCH('Чарти 5-7'!$B$1,$M$7:$O$7,0))&amp;" "&amp;J7&amp;" "&amp;K7)</f>
        <v>Дефлятор ВВП в 2021 25,1%</v>
      </c>
      <c r="I7" s="693"/>
      <c r="J7" s="693">
        <v>2021</v>
      </c>
      <c r="K7" s="694" t="s">
        <v>1560</v>
      </c>
      <c r="L7" s="693"/>
      <c r="M7" t="s">
        <v>500</v>
      </c>
      <c r="N7" s="6" t="s">
        <v>501</v>
      </c>
      <c r="O7" t="s">
        <v>502</v>
      </c>
      <c r="P7" s="619"/>
    </row>
    <row r="8" spans="1:18">
      <c r="G8" s="6">
        <v>2</v>
      </c>
      <c r="H8" s="693" t="str">
        <f>IF($B$1="ENG",SUBSTITUTE(INDEX(M$8:O$8,1,MATCH('Чарти 5-7'!$B$1,$M$7:$O$7,0))&amp;" "&amp;J8&amp;" "&amp;K8,",","."),INDEX(M$8:O$8,1,MATCH('Чарти 5-7'!$B$1,$M$7:$O$7,0))&amp;" "&amp;J8&amp;" "&amp;K8)</f>
        <v>Дефлятор ВВП в 2022 34,6%</v>
      </c>
      <c r="I8" s="693"/>
      <c r="J8" s="693">
        <v>2022</v>
      </c>
      <c r="K8" s="693" t="str">
        <f>TEXT('Дефлятор модель (CPI-PPI) (С-1)'!D74,"0,0%")</f>
        <v>34,6%</v>
      </c>
      <c r="L8" s="693"/>
      <c r="M8" t="s">
        <v>1558</v>
      </c>
      <c r="N8" s="6" t="s">
        <v>1559</v>
      </c>
      <c r="O8" t="s">
        <v>1558</v>
      </c>
      <c r="P8" s="619"/>
    </row>
    <row r="9" spans="1:18">
      <c r="G9" s="6">
        <v>3</v>
      </c>
      <c r="H9" s="693" t="str">
        <f>IF($B$1="ENG",SUBSTITUTE(INDEX(M$8:O$8,1,MATCH('Чарти 5-7'!$B$1,$M$7:$O$7,0))&amp;" "&amp;J9&amp;" "&amp;K9,",","."),INDEX(M$8:O$8,1,MATCH('Чарти 5-7'!$B$1,$M$7:$O$7,0))&amp;" "&amp;J9&amp;" "&amp;K9)</f>
        <v>Дефлятор ВВП в 2023 20,8%</v>
      </c>
      <c r="I9" s="693"/>
      <c r="J9" s="693">
        <v>2023</v>
      </c>
      <c r="K9" s="693" t="str">
        <f>TEXT('Дефлятор модель (CPI-PPI) (С-1)'!D75,"0,0%")</f>
        <v>20,8%</v>
      </c>
      <c r="L9" s="693"/>
      <c r="N9" s="6"/>
      <c r="O9" s="693"/>
      <c r="P9" s="619"/>
    </row>
    <row r="10" spans="1:18">
      <c r="G10" s="6">
        <v>4</v>
      </c>
      <c r="H10" s="693" t="str">
        <f>IF($B$1="ENG",SUBSTITUTE(INDEX(M$8:O$8,1,MATCH('Чарти 5-7'!$B$1,$M$7:$O$7,0))&amp;" "&amp;J10&amp;" "&amp;K10,",","."),INDEX(M$8:O$8,1,MATCH('Чарти 5-7'!$B$1,$M$7:$O$7,0))&amp;" "&amp;J10&amp;" "&amp;K10)</f>
        <v>Дефлятор ВВП в 2024 10,6%</v>
      </c>
      <c r="J10" s="693">
        <v>2024</v>
      </c>
      <c r="K10" s="693" t="str">
        <f>TEXT('Дефлятор модель (CPI-PPI) (С-1)'!D76,"0,0%")</f>
        <v>10,6%</v>
      </c>
    </row>
    <row r="12" spans="1:18">
      <c r="G12" s="919" t="s">
        <v>503</v>
      </c>
      <c r="H12" s="919"/>
    </row>
    <row r="13" spans="1:18">
      <c r="G13" s="6" t="s">
        <v>500</v>
      </c>
      <c r="H13" s="695" t="s">
        <v>1562</v>
      </c>
    </row>
    <row r="14" spans="1:18">
      <c r="G14" s="6" t="s">
        <v>501</v>
      </c>
      <c r="H14" s="695" t="s">
        <v>1561</v>
      </c>
    </row>
    <row r="15" spans="1:18">
      <c r="G15" s="6" t="s">
        <v>502</v>
      </c>
      <c r="H15" s="695" t="s">
        <v>1563</v>
      </c>
      <c r="M15" s="6"/>
      <c r="N15" s="620"/>
    </row>
    <row r="18" spans="1:14" ht="47.25" customHeight="1">
      <c r="A18" s="920" t="s">
        <v>1924</v>
      </c>
      <c r="B18" s="920"/>
      <c r="C18" s="920"/>
      <c r="D18" s="920"/>
      <c r="E18" s="920"/>
      <c r="F18" s="920"/>
      <c r="G18" s="919" t="s">
        <v>499</v>
      </c>
      <c r="H18" s="919"/>
    </row>
    <row r="19" spans="1:14" ht="18.75">
      <c r="G19" s="6" t="s">
        <v>500</v>
      </c>
      <c r="H19" s="618" t="s">
        <v>1830</v>
      </c>
      <c r="M19" s="6"/>
      <c r="N19" s="618"/>
    </row>
    <row r="20" spans="1:14" ht="18.75">
      <c r="G20" s="6" t="s">
        <v>501</v>
      </c>
      <c r="H20" s="618" t="s">
        <v>1831</v>
      </c>
      <c r="M20" s="6"/>
      <c r="N20" s="618"/>
    </row>
    <row r="21" spans="1:14" ht="18.75">
      <c r="G21" s="6" t="s">
        <v>502</v>
      </c>
      <c r="H21" s="618" t="s">
        <v>1829</v>
      </c>
      <c r="M21" s="6"/>
      <c r="N21" s="618"/>
    </row>
    <row r="23" spans="1:14">
      <c r="G23" s="6">
        <v>1</v>
      </c>
      <c r="H23" t="str">
        <f>IF($B$1="ENG",SUBSTITUTE(INDEX(M$8:O$8,1,MATCH('Чарти 5-7'!$B$1,$M$7:$O$7,0))&amp;" "&amp;J23&amp;" "&amp;K23,",","."),INDEX(M$8:O$8,1,MATCH('Чарти 5-7'!$B$1,$M$7:$O$7,0))&amp;" "&amp;J23&amp;" "&amp;K23)</f>
        <v>Дефлятор ВВП в 2021 25,1%</v>
      </c>
      <c r="I23" s="693"/>
      <c r="J23" s="693">
        <v>2021</v>
      </c>
      <c r="K23" s="694" t="s">
        <v>1560</v>
      </c>
      <c r="M23" s="6"/>
      <c r="N23" s="619"/>
    </row>
    <row r="24" spans="1:14">
      <c r="G24" s="6">
        <v>2</v>
      </c>
      <c r="H24" t="str">
        <f>IF($B$1="ENG",SUBSTITUTE(INDEX(M$8:O$8,1,MATCH('Чарти 5-7'!$B$1,$M$7:$O$7,0))&amp;" "&amp;J24&amp;" "&amp;K24,",","."),INDEX(M$8:O$8,1,MATCH('Чарти 5-7'!$B$1,$M$7:$O$7,0))&amp;" "&amp;J24&amp;" "&amp;K24)</f>
        <v>Дефлятор ВВП в 2022 34,6%</v>
      </c>
      <c r="I24" s="693"/>
      <c r="J24" s="693">
        <v>2022</v>
      </c>
      <c r="K24" s="693" t="str">
        <f>TEXT('Дефлятор модель (CPI-PPI) (С-1)'!D74,"0,0%")</f>
        <v>34,6%</v>
      </c>
      <c r="M24" s="6"/>
      <c r="N24" s="619"/>
    </row>
    <row r="25" spans="1:14">
      <c r="G25" s="6">
        <v>3</v>
      </c>
      <c r="H25" t="e">
        <f>IF($B$1="ENG",SUBSTITUTE(INDEX(M$8:O$8,1,MATCH('Чарти 5-7'!$B$1,$M$7:$O$7,0))&amp;" "&amp;J25&amp;" "&amp;K25,",","."),INDEX(M$8:O$8,1,MATCH('Чарти 5-7'!$B$1,$M$7:$O$7,0))&amp;" "&amp;J25&amp;" "&amp;K25)</f>
        <v>#REF!</v>
      </c>
      <c r="I25" s="693"/>
      <c r="J25" s="693">
        <v>2023</v>
      </c>
      <c r="K25" s="693" t="e">
        <f>TEXT('Дефлятор модель (CPI-PPI) (С-1)'!#REF!,"0,0%")</f>
        <v>#REF!</v>
      </c>
      <c r="M25" s="6"/>
      <c r="N25" s="619"/>
    </row>
    <row r="26" spans="1:14">
      <c r="K26" s="693"/>
    </row>
    <row r="27" spans="1:14">
      <c r="G27" s="919" t="s">
        <v>503</v>
      </c>
      <c r="H27" s="919"/>
    </row>
    <row r="28" spans="1:14">
      <c r="G28" s="6" t="s">
        <v>500</v>
      </c>
      <c r="H28" s="695" t="s">
        <v>1562</v>
      </c>
    </row>
    <row r="29" spans="1:14">
      <c r="G29" s="6" t="s">
        <v>501</v>
      </c>
      <c r="H29" s="695" t="s">
        <v>1561</v>
      </c>
    </row>
    <row r="30" spans="1:14">
      <c r="G30" s="6" t="s">
        <v>502</v>
      </c>
      <c r="H30" s="695" t="s">
        <v>1563</v>
      </c>
      <c r="M30" s="6"/>
      <c r="N30" s="620"/>
    </row>
    <row r="31" spans="1:14">
      <c r="M31" s="6"/>
      <c r="N31" s="620"/>
    </row>
    <row r="33" spans="1:14">
      <c r="A33" s="920" t="s">
        <v>1674</v>
      </c>
      <c r="B33" s="920"/>
      <c r="C33" s="920"/>
      <c r="D33" s="920"/>
      <c r="E33" s="920"/>
      <c r="F33" s="920"/>
      <c r="G33" s="919" t="s">
        <v>499</v>
      </c>
      <c r="H33" s="919"/>
    </row>
    <row r="34" spans="1:14" ht="18.75">
      <c r="G34" s="6" t="s">
        <v>500</v>
      </c>
      <c r="H34" s="618" t="s">
        <v>1644</v>
      </c>
    </row>
    <row r="35" spans="1:14" ht="18.75">
      <c r="G35" s="6" t="s">
        <v>501</v>
      </c>
      <c r="H35" s="618" t="s">
        <v>1645</v>
      </c>
      <c r="M35" s="6"/>
      <c r="N35" s="618"/>
    </row>
    <row r="36" spans="1:14" ht="18.75">
      <c r="G36" s="6" t="s">
        <v>502</v>
      </c>
      <c r="H36" s="618" t="s">
        <v>1646</v>
      </c>
      <c r="M36" s="6"/>
      <c r="N36" s="618"/>
    </row>
    <row r="37" spans="1:14" ht="18.75">
      <c r="M37" s="6"/>
      <c r="N37" s="618"/>
    </row>
    <row r="38" spans="1:14">
      <c r="G38" s="6"/>
      <c r="H38" s="693"/>
    </row>
    <row r="39" spans="1:14">
      <c r="G39" s="6"/>
      <c r="H39" s="693"/>
      <c r="M39" s="6"/>
      <c r="N39" s="619"/>
    </row>
    <row r="40" spans="1:14">
      <c r="G40" s="6"/>
      <c r="H40" s="693"/>
      <c r="M40" s="6"/>
      <c r="N40" s="619"/>
    </row>
    <row r="41" spans="1:14">
      <c r="M41" s="6"/>
      <c r="N41" s="619"/>
    </row>
    <row r="43" spans="1:14">
      <c r="G43" s="919" t="s">
        <v>503</v>
      </c>
      <c r="H43" s="919"/>
    </row>
    <row r="44" spans="1:14">
      <c r="G44" s="6" t="s">
        <v>500</v>
      </c>
      <c r="H44" s="695" t="s">
        <v>1562</v>
      </c>
    </row>
    <row r="45" spans="1:14">
      <c r="G45" s="6" t="s">
        <v>501</v>
      </c>
      <c r="H45" s="695" t="s">
        <v>1561</v>
      </c>
    </row>
    <row r="46" spans="1:14">
      <c r="G46" s="6" t="s">
        <v>502</v>
      </c>
      <c r="H46" s="695" t="s">
        <v>1563</v>
      </c>
    </row>
    <row r="47" spans="1:14">
      <c r="M47" s="6"/>
      <c r="N47" s="620"/>
    </row>
    <row r="48" spans="1:14">
      <c r="A48" s="920" t="s">
        <v>1675</v>
      </c>
      <c r="B48" s="920"/>
      <c r="C48" s="920"/>
      <c r="D48" s="920"/>
      <c r="E48" s="920"/>
      <c r="F48" s="920"/>
      <c r="G48" s="919" t="s">
        <v>499</v>
      </c>
      <c r="H48" s="919"/>
    </row>
    <row r="49" spans="1:8" ht="18.75">
      <c r="G49" s="6" t="s">
        <v>500</v>
      </c>
      <c r="H49" s="618" t="s">
        <v>1671</v>
      </c>
    </row>
    <row r="50" spans="1:8" ht="18.75">
      <c r="G50" s="6" t="s">
        <v>501</v>
      </c>
      <c r="H50" s="618" t="s">
        <v>1672</v>
      </c>
    </row>
    <row r="51" spans="1:8" ht="18.75">
      <c r="G51" s="6" t="s">
        <v>502</v>
      </c>
      <c r="H51" s="618" t="s">
        <v>1673</v>
      </c>
    </row>
    <row r="53" spans="1:8">
      <c r="G53" s="6"/>
      <c r="H53" s="693"/>
    </row>
    <row r="54" spans="1:8">
      <c r="G54" s="6"/>
      <c r="H54" s="693"/>
    </row>
    <row r="55" spans="1:8">
      <c r="G55" s="6"/>
      <c r="H55" s="693"/>
    </row>
    <row r="58" spans="1:8">
      <c r="G58" s="919" t="s">
        <v>503</v>
      </c>
      <c r="H58" s="919"/>
    </row>
    <row r="59" spans="1:8">
      <c r="G59" s="6" t="s">
        <v>500</v>
      </c>
      <c r="H59" s="695" t="s">
        <v>1662</v>
      </c>
    </row>
    <row r="60" spans="1:8">
      <c r="G60" s="6" t="s">
        <v>501</v>
      </c>
      <c r="H60" s="695" t="s">
        <v>1663</v>
      </c>
    </row>
    <row r="61" spans="1:8">
      <c r="G61" s="6" t="s">
        <v>502</v>
      </c>
      <c r="H61" s="695" t="s">
        <v>1664</v>
      </c>
    </row>
    <row r="64" spans="1:8">
      <c r="A64" s="920" t="s">
        <v>1797</v>
      </c>
      <c r="B64" s="920"/>
      <c r="C64" s="920"/>
      <c r="D64" s="920"/>
      <c r="E64" s="920"/>
      <c r="F64" s="920"/>
      <c r="G64" s="919" t="s">
        <v>499</v>
      </c>
      <c r="H64" s="919"/>
    </row>
    <row r="65" spans="7:31" ht="18.75">
      <c r="G65" s="6" t="s">
        <v>500</v>
      </c>
      <c r="H65" s="618" t="s">
        <v>1794</v>
      </c>
    </row>
    <row r="66" spans="7:31" ht="18.75">
      <c r="G66" s="6" t="s">
        <v>501</v>
      </c>
      <c r="H66" s="618" t="s">
        <v>1795</v>
      </c>
    </row>
    <row r="67" spans="7:31" ht="18.75">
      <c r="G67" s="6" t="s">
        <v>502</v>
      </c>
      <c r="H67" s="618" t="s">
        <v>1796</v>
      </c>
    </row>
    <row r="70" spans="7:31">
      <c r="J70" t="s">
        <v>500</v>
      </c>
      <c r="K70" s="6" t="s">
        <v>501</v>
      </c>
      <c r="L70" t="s">
        <v>502</v>
      </c>
      <c r="O70" t="s">
        <v>500</v>
      </c>
      <c r="P70" s="6" t="s">
        <v>501</v>
      </c>
      <c r="Q70" t="s">
        <v>502</v>
      </c>
      <c r="U70" t="s">
        <v>500</v>
      </c>
      <c r="V70" s="6" t="s">
        <v>501</v>
      </c>
      <c r="W70" t="s">
        <v>502</v>
      </c>
      <c r="AC70" t="s">
        <v>500</v>
      </c>
      <c r="AD70" s="6" t="s">
        <v>501</v>
      </c>
      <c r="AE70" t="s">
        <v>502</v>
      </c>
    </row>
    <row r="71" spans="7:31">
      <c r="H71" t="str">
        <f>INDEX($J$71:$L$71,1,MATCH($B$1,$J$70:$L$70,0))</f>
        <v>В середньому за 2021 рік:</v>
      </c>
      <c r="I71">
        <v>2021</v>
      </c>
      <c r="J71" s="750" t="s">
        <v>1702</v>
      </c>
      <c r="K71" s="750" t="s">
        <v>1705</v>
      </c>
      <c r="L71" s="750" t="s">
        <v>1701</v>
      </c>
      <c r="M71" t="str">
        <f>INDEX($O71:$Q71,1,MATCH($B$1,$O$70:$Q$70,0))</f>
        <v>14 тис. грн / $514</v>
      </c>
      <c r="N71">
        <v>2021</v>
      </c>
      <c r="O71" s="750" t="str">
        <f>$J77&amp;" тыс. грн / $"&amp;$K77&amp;""</f>
        <v>14 тыс. грн / $514</v>
      </c>
      <c r="P71" s="750" t="str">
        <f>$J77&amp;" thsd UAH / $"&amp;$K77&amp;""</f>
        <v>14 thsd UAH / $514</v>
      </c>
      <c r="Q71" s="750" t="str">
        <f>$J77&amp;" тис. грн / $"&amp;$K77&amp;""</f>
        <v>14 тис. грн / $514</v>
      </c>
      <c r="S71" t="str">
        <f>INDEX($U71:$W71,1,MATCH($B$1,$U$70:$W$70,0))</f>
        <v>в грн +20,9%</v>
      </c>
      <c r="T71">
        <v>2021</v>
      </c>
      <c r="U71" s="750" t="str">
        <f>"в грн +"&amp;O77</f>
        <v>в грн +20,9%</v>
      </c>
      <c r="V71" s="750" t="str">
        <f>"UAH +"&amp;O77</f>
        <v>UAH +20,9%</v>
      </c>
      <c r="W71" s="750" t="str">
        <f>"в грн +"&amp;O77</f>
        <v>в грн +20,9%</v>
      </c>
      <c r="Y71" s="693"/>
      <c r="AA71" t="str">
        <f>INDEX($AC71:$AE71,1,MATCH($B$1,$AC$70:$AE$70,0))</f>
        <v>в дол. екв.  19,4%</v>
      </c>
      <c r="AB71">
        <v>2021</v>
      </c>
      <c r="AC71" s="750" t="str">
        <f>"в дол. экв.  "&amp;N77</f>
        <v>в дол. экв.  19,4%</v>
      </c>
      <c r="AD71" s="750" t="str">
        <f>"USD  "&amp;N77</f>
        <v>USD  19,4%</v>
      </c>
      <c r="AE71" s="750" t="str">
        <f>"в дол. екв.  "&amp;N77</f>
        <v>в дол. екв.  19,4%</v>
      </c>
    </row>
    <row r="72" spans="7:31">
      <c r="H72" t="str">
        <f>INDEX($J$72:$L$72,1,MATCH($B$1,$J$70:$L$70,0))</f>
        <v>В середньому за 2022 рік:</v>
      </c>
      <c r="I72">
        <v>2022</v>
      </c>
      <c r="J72" s="750" t="s">
        <v>1703</v>
      </c>
      <c r="K72" s="750" t="s">
        <v>1706</v>
      </c>
      <c r="L72" s="750" t="s">
        <v>1700</v>
      </c>
      <c r="M72" t="str">
        <f>INDEX($O72:$Q72,1,MATCH($B$1,$O$70:$Q$70,0))</f>
        <v>14,9 тис. грн / $458</v>
      </c>
      <c r="N72">
        <v>2022</v>
      </c>
      <c r="O72" s="750" t="str">
        <f>$J78&amp;" тыс. грн / $"&amp;$K78&amp;""</f>
        <v>14,9 тыс. грн / $458</v>
      </c>
      <c r="P72" s="750" t="str">
        <f>$J78&amp;" thsd UAH / $"&amp;$K78&amp;""</f>
        <v>14,9 thsd UAH / $458</v>
      </c>
      <c r="Q72" s="750" t="str">
        <f>$J78&amp;" тис. грн / $"&amp;$K78&amp;""</f>
        <v>14,9 тис. грн / $458</v>
      </c>
      <c r="S72" t="str">
        <f>INDEX($U72:$W72,1,MATCH($B$1,$U$70:$W$70,0))</f>
        <v>в грн +6,0%</v>
      </c>
      <c r="T72">
        <v>2022</v>
      </c>
      <c r="U72" s="750" t="str">
        <f>"в грн +"&amp;O78</f>
        <v>в грн +6,0%</v>
      </c>
      <c r="V72" s="750" t="str">
        <f>"UAH +"&amp;O78</f>
        <v>UAH +6,0%</v>
      </c>
      <c r="W72" s="750" t="str">
        <f>"в грн +"&amp;O78</f>
        <v>в грн +6,0%</v>
      </c>
      <c r="Y72" s="693"/>
      <c r="AA72" t="str">
        <f>INDEX($AC72:$AE72,1,MATCH($B$1,$AC$70:$AE$70,0))</f>
        <v>в дол. екв.  -11,0%</v>
      </c>
      <c r="AB72">
        <v>2022</v>
      </c>
      <c r="AC72" s="750" t="str">
        <f>"в дол. экв.  "&amp;N78</f>
        <v>в дол. экв.  -11,0%</v>
      </c>
      <c r="AD72" s="750" t="str">
        <f>"USD  "&amp;N78</f>
        <v>USD  -11,0%</v>
      </c>
      <c r="AE72" s="750" t="str">
        <f>"в дол. екв.  "&amp;N78</f>
        <v>в дол. екв.  -11,0%</v>
      </c>
    </row>
    <row r="73" spans="7:31">
      <c r="H73" t="str">
        <f>INDEX($J$73:$L$73,1,MATCH($B$1,$J$70:$L$70,0))</f>
        <v>В середньому за 2023 рік:</v>
      </c>
      <c r="I73">
        <v>2023</v>
      </c>
      <c r="J73" s="750" t="s">
        <v>1704</v>
      </c>
      <c r="K73" s="750" t="s">
        <v>1707</v>
      </c>
      <c r="L73" s="750" t="s">
        <v>1708</v>
      </c>
      <c r="M73" t="str">
        <f>INDEX($O73:$Q73,1,MATCH($B$1,$O$70:$Q$70,0))</f>
        <v>17,2 тис. грн / $469</v>
      </c>
      <c r="N73">
        <v>2023</v>
      </c>
      <c r="O73" s="750" t="str">
        <f>$J79&amp;" тыс. грн / $"&amp;$K79&amp;""</f>
        <v>17,2 тыс. грн / $469</v>
      </c>
      <c r="P73" s="750" t="str">
        <f>$J79&amp;" thsd UAH / $"&amp;$K79&amp;""</f>
        <v>17,2 thsd UAH / $469</v>
      </c>
      <c r="Q73" s="750" t="str">
        <f>$J79&amp;" тис. грн / $"&amp;$K79&amp;""</f>
        <v>17,2 тис. грн / $469</v>
      </c>
      <c r="S73" t="str">
        <f>INDEX($U73:$W73,1,MATCH($B$1,$U$70:$W$70,0))</f>
        <v>в грн +15,5%</v>
      </c>
      <c r="T73">
        <v>2023</v>
      </c>
      <c r="U73" s="750" t="str">
        <f>"в грн +"&amp;O79</f>
        <v>в грн +15,5%</v>
      </c>
      <c r="V73" s="750" t="str">
        <f>"UAH +"&amp;O79</f>
        <v>UAH +15,5%</v>
      </c>
      <c r="W73" s="750" t="str">
        <f>"в грн +"&amp;O79</f>
        <v>в грн +15,5%</v>
      </c>
      <c r="Y73" s="693"/>
      <c r="AA73" t="str">
        <f>INDEX($AC73:$AE73,1,MATCH($B$1,$AC$70:$AE$70,0))</f>
        <v>в дол. екв.  2,5%</v>
      </c>
      <c r="AB73">
        <v>2023</v>
      </c>
      <c r="AC73" s="750" t="str">
        <f>"в дол. экв.  "&amp;N79</f>
        <v>в дол. экв.  2,5%</v>
      </c>
      <c r="AD73" s="750" t="str">
        <f>"USD  "&amp;N79</f>
        <v>USD  2,5%</v>
      </c>
      <c r="AE73" s="750" t="str">
        <f>"в дол. екв.  "&amp;N79</f>
        <v>в дол. екв.  2,5%</v>
      </c>
    </row>
    <row r="74" spans="7:31">
      <c r="H74" t="str">
        <f>INDEX($J$74:$L$74,1,MATCH($B$1,$J$70:$L$70,0))</f>
        <v>В середньому за 2024 рік:</v>
      </c>
      <c r="I74">
        <v>2024</v>
      </c>
      <c r="J74" s="750" t="s">
        <v>1943</v>
      </c>
      <c r="K74" s="750" t="s">
        <v>1944</v>
      </c>
      <c r="L74" s="750" t="s">
        <v>1945</v>
      </c>
      <c r="M74" t="str">
        <f>INDEX($O74:$Q74,1,MATCH($B$1,$O$70:$Q$70,0))</f>
        <v>20,8 тис. грн / $519</v>
      </c>
      <c r="N74">
        <v>2024</v>
      </c>
      <c r="O74" s="750" t="str">
        <f>$J80&amp;" тыс. грн / $"&amp;$K80&amp;""</f>
        <v>20,8 тыс. грн / $519</v>
      </c>
      <c r="P74" s="750" t="str">
        <f>$J80&amp;" thsd UAH / $"&amp;$K80&amp;""</f>
        <v>20,8 thsd UAH / $519</v>
      </c>
      <c r="Q74" s="750" t="str">
        <f>$J80&amp;" тис. грн / $"&amp;$K80&amp;""</f>
        <v>20,8 тис. грн / $519</v>
      </c>
      <c r="S74" t="str">
        <f>INDEX($U74:$W74,1,MATCH($B$1,$U$70:$W$70,0))</f>
        <v>в грн +20,9%</v>
      </c>
      <c r="T74">
        <v>2024</v>
      </c>
      <c r="U74" s="750" t="str">
        <f>"в грн +"&amp;O80</f>
        <v>в грн +20,9%</v>
      </c>
      <c r="V74" s="750" t="str">
        <f>"UAH +"&amp;O80</f>
        <v>UAH +20,9%</v>
      </c>
      <c r="W74" s="750" t="str">
        <f>"в грн +"&amp;O80</f>
        <v>в грн +20,9%</v>
      </c>
      <c r="AA74" t="str">
        <f>INDEX($AC74:$AE74,1,MATCH($B$1,$AC$70:$AE$70,0))</f>
        <v>в дол. екв.  +10,6%</v>
      </c>
      <c r="AB74">
        <v>2024</v>
      </c>
      <c r="AC74" s="750" t="str">
        <f>"в дол. экв.  +"&amp;N80</f>
        <v>в дол. экв.  +10,6%</v>
      </c>
      <c r="AD74" s="750" t="str">
        <f>"USD  +"&amp;N80</f>
        <v>USD  +10,6%</v>
      </c>
      <c r="AE74" s="750" t="str">
        <f>"в дол. екв.  +"&amp;N80</f>
        <v>в дол. екв.  +10,6%</v>
      </c>
    </row>
    <row r="76" spans="7:31">
      <c r="G76" s="919" t="s">
        <v>503</v>
      </c>
      <c r="H76" s="919"/>
      <c r="I76" s="752"/>
      <c r="J76" s="752" t="s">
        <v>1696</v>
      </c>
      <c r="K76" s="752" t="s">
        <v>1697</v>
      </c>
      <c r="L76" s="752" t="s">
        <v>1698</v>
      </c>
      <c r="M76" s="752" t="s">
        <v>1699</v>
      </c>
      <c r="N76" s="752"/>
      <c r="O76" s="752"/>
    </row>
    <row r="77" spans="7:31">
      <c r="G77" s="6" t="s">
        <v>500</v>
      </c>
      <c r="H77" s="695" t="s">
        <v>1798</v>
      </c>
      <c r="I77" s="754">
        <v>2021</v>
      </c>
      <c r="J77" s="755" t="str">
        <f>TEXT('Прогноз Зарплати 2023'!BL$129/1000,"0")</f>
        <v>14</v>
      </c>
      <c r="K77" s="755" t="str">
        <f t="array" ref="K77:K79">TEXT(TRANSPOSE('Прогноз Зарплати 2023'!$BL$131:$BN$131),"0")</f>
        <v>514</v>
      </c>
      <c r="L77" s="756" t="str">
        <f t="array" ref="L77:L79">TEXT(TRANSPOSE('Прогноз Зарплати 2023'!$BP$129:$BR$129),"0,0%")</f>
        <v>20,9%</v>
      </c>
      <c r="M77" s="757">
        <f t="array" ref="M77:M79">TRANSPOSE('Прогноз Зарплати 2023'!$BP$131:$BR$131)</f>
        <v>0.19442561024304328</v>
      </c>
      <c r="N77" s="758" t="str">
        <f>TEXT(M77,"0,0%")</f>
        <v>19,4%</v>
      </c>
      <c r="O77" s="758" t="str">
        <f>TEXT(L77,"0,0%")</f>
        <v>20,9%</v>
      </c>
    </row>
    <row r="78" spans="7:31">
      <c r="G78" s="6" t="s">
        <v>501</v>
      </c>
      <c r="H78" s="695" t="s">
        <v>1799</v>
      </c>
      <c r="I78" s="754">
        <v>2022</v>
      </c>
      <c r="J78" s="755" t="str">
        <f>TEXT('Прогноз Зарплати 2023'!BM$129/1000,"0,0")</f>
        <v>14,9</v>
      </c>
      <c r="K78" s="755" t="str">
        <v>458</v>
      </c>
      <c r="L78" s="757" t="str">
        <v>6,0%</v>
      </c>
      <c r="M78" s="756">
        <v>-0.11006984538784714</v>
      </c>
      <c r="N78" s="758" t="str">
        <f>TEXT(M78,"0,0%")</f>
        <v>-11,0%</v>
      </c>
      <c r="O78" s="758" t="str">
        <f>TEXT(L78,"0,0%")</f>
        <v>6,0%</v>
      </c>
    </row>
    <row r="79" spans="7:31">
      <c r="G79" s="6" t="s">
        <v>502</v>
      </c>
      <c r="H79" s="695" t="s">
        <v>1800</v>
      </c>
      <c r="I79" s="754">
        <v>2023</v>
      </c>
      <c r="J79" s="755" t="str">
        <f>TEXT('Прогноз Зарплати 2023'!BN$129/1000,"0,0")</f>
        <v>17,2</v>
      </c>
      <c r="K79" s="755" t="str">
        <v>469</v>
      </c>
      <c r="L79" s="757" t="str">
        <v>15,5%</v>
      </c>
      <c r="M79" s="757">
        <v>2.5388493423235792E-2</v>
      </c>
      <c r="N79" s="758" t="str">
        <f>TEXT(M79,"0,0%")</f>
        <v>2,5%</v>
      </c>
      <c r="O79" s="758" t="str">
        <f>TEXT(L79,"0,0%")</f>
        <v>15,5%</v>
      </c>
      <c r="S79" t="s">
        <v>1709</v>
      </c>
    </row>
    <row r="80" spans="7:31">
      <c r="I80" s="754">
        <v>2024</v>
      </c>
      <c r="J80" s="755" t="str">
        <f>TEXT('Прогноз Зарплати 2023'!$AX$133/1000,"0,0")</f>
        <v>20,8</v>
      </c>
      <c r="K80" s="755" t="str">
        <f>TEXT('Прогноз Зарплати 2023'!$AX$136,"0")</f>
        <v>519</v>
      </c>
      <c r="L80" s="757" t="str">
        <f>TEXT('Прогноз Зарплати 2023'!$AY$133,"0,0%")</f>
        <v>20,9%</v>
      </c>
      <c r="M80" s="757" t="str">
        <f>TEXT('Прогноз Зарплати 2023'!$AY$136,"0,0%")</f>
        <v>10,6%</v>
      </c>
      <c r="N80" s="758" t="str">
        <f>M80</f>
        <v>10,6%</v>
      </c>
      <c r="O80" s="758" t="str">
        <f>L80</f>
        <v>20,9%</v>
      </c>
    </row>
    <row r="82" spans="1:17">
      <c r="A82" s="920" t="s">
        <v>1942</v>
      </c>
      <c r="B82" s="920"/>
      <c r="C82" s="920"/>
      <c r="D82" s="920"/>
      <c r="E82" s="920"/>
      <c r="F82" s="920"/>
      <c r="G82" s="919" t="s">
        <v>499</v>
      </c>
      <c r="H82" s="919"/>
    </row>
    <row r="83" spans="1:17" ht="18.75">
      <c r="G83" s="6" t="s">
        <v>500</v>
      </c>
      <c r="H83" s="618" t="s">
        <v>1978</v>
      </c>
    </row>
    <row r="84" spans="1:17" ht="18.75">
      <c r="G84" s="6" t="s">
        <v>501</v>
      </c>
      <c r="H84" s="618" t="s">
        <v>1937</v>
      </c>
    </row>
    <row r="85" spans="1:17" ht="18.75">
      <c r="G85" s="6" t="s">
        <v>502</v>
      </c>
      <c r="H85" s="618" t="s">
        <v>1695</v>
      </c>
    </row>
    <row r="88" spans="1:17">
      <c r="L88" s="752"/>
      <c r="M88" s="752" t="s">
        <v>1714</v>
      </c>
      <c r="P88" s="752" t="s">
        <v>1941</v>
      </c>
    </row>
    <row r="89" spans="1:17">
      <c r="H89" t="s">
        <v>500</v>
      </c>
      <c r="I89" s="6" t="s">
        <v>501</v>
      </c>
      <c r="J89" t="s">
        <v>502</v>
      </c>
      <c r="L89" s="753" t="s">
        <v>254</v>
      </c>
      <c r="M89" s="752" t="str">
        <f>TEXT(N89,"0,0%")</f>
        <v>17,7%</v>
      </c>
      <c r="N89" s="33">
        <f>'Прогноз Зарплати 2023'!BU129</f>
        <v>0.17701151439178786</v>
      </c>
      <c r="O89" s="752" t="str">
        <f>TEXT(P89,"0,0%")</f>
        <v>24,5%</v>
      </c>
      <c r="P89" s="33">
        <f>'Прогноз Зарплати 2023'!BI133</f>
        <v>0.24494776934773688</v>
      </c>
      <c r="Q89" s="33"/>
    </row>
    <row r="90" spans="1:17">
      <c r="G90" t="s">
        <v>253</v>
      </c>
      <c r="H90" s="750" t="s">
        <v>1710</v>
      </c>
      <c r="I90" s="750" t="s">
        <v>1712</v>
      </c>
      <c r="J90" s="750" t="s">
        <v>1689</v>
      </c>
      <c r="K90" s="750"/>
      <c r="L90" s="753" t="s">
        <v>1715</v>
      </c>
      <c r="M90" s="752" t="str">
        <f>TEXT(N90,"0,0%")</f>
        <v>17,2%</v>
      </c>
      <c r="N90" s="33">
        <f>'Прогноз Зарплати 2023'!BU131</f>
        <v>0.1721555654780611</v>
      </c>
      <c r="O90" s="752" t="str">
        <f>TEXT(P90,"0,0%")</f>
        <v>10,4%</v>
      </c>
      <c r="P90" s="33">
        <f>'Прогноз Зарплати 2023'!BI134</f>
        <v>0.10418992176356934</v>
      </c>
      <c r="Q90" s="33"/>
    </row>
    <row r="91" spans="1:17">
      <c r="G91" t="str">
        <f>INDEX($H91:$J91,1,MATCH($B$1,$H$89:$J$89,0))</f>
        <v>USD (сценарій 2)</v>
      </c>
      <c r="H91" s="750" t="s">
        <v>1711</v>
      </c>
      <c r="I91" s="750" t="s">
        <v>1713</v>
      </c>
      <c r="J91" s="750" t="s">
        <v>1690</v>
      </c>
      <c r="K91" s="750"/>
      <c r="L91" s="753" t="s">
        <v>1716</v>
      </c>
      <c r="M91" s="752" t="str">
        <f>TEXT(N91,"0,0%")</f>
        <v>5,7%</v>
      </c>
      <c r="N91" s="33">
        <f>'Прогноз Зарплати 2023'!BU132</f>
        <v>5.6889106386921462E-2</v>
      </c>
    </row>
    <row r="92" spans="1:17">
      <c r="I92" s="750"/>
      <c r="J92" s="750"/>
      <c r="K92" s="750"/>
      <c r="L92" s="751"/>
    </row>
    <row r="94" spans="1:17">
      <c r="H94" t="s">
        <v>500</v>
      </c>
      <c r="I94" s="6" t="s">
        <v>501</v>
      </c>
      <c r="J94" t="s">
        <v>502</v>
      </c>
    </row>
    <row r="95" spans="1:17">
      <c r="G95" t="str">
        <f>INDEX($H95:$J95,1,MATCH($B$1,$H$89:$J$89,0))</f>
        <v xml:space="preserve">Грудень 2024 до грудня 2023: </v>
      </c>
      <c r="H95" s="750" t="s">
        <v>1938</v>
      </c>
      <c r="I95" s="750" t="s">
        <v>1939</v>
      </c>
      <c r="J95" s="750" t="s">
        <v>1940</v>
      </c>
    </row>
    <row r="96" spans="1:17">
      <c r="G96" t="str">
        <f>INDEX($H96:$J96,1,MATCH($B$1,$H$89:$J$89,0))</f>
        <v>в грн +24,5%</v>
      </c>
      <c r="H96" s="750" t="str">
        <f>"в грн +"&amp;O89</f>
        <v>в грн +24,5%</v>
      </c>
      <c r="I96" s="750" t="str">
        <f>"UAH +"&amp;O89</f>
        <v>UAH +24,5%</v>
      </c>
      <c r="J96" s="750" t="str">
        <f>"в грн +"&amp;O89</f>
        <v>в грн +24,5%</v>
      </c>
    </row>
    <row r="97" spans="1:11">
      <c r="G97" t="str">
        <f>INDEX($H97:$J97,1,MATCH($B$1,$H$89:$J$89,0))</f>
        <v>у дол. еквіваленті +10,4%</v>
      </c>
      <c r="H97" s="750" t="str">
        <f>"в USD +"&amp;O90</f>
        <v>в USD +10,4%</v>
      </c>
      <c r="I97" s="750" t="str">
        <f>"USD +"&amp;O90</f>
        <v>USD +10,4%</v>
      </c>
      <c r="J97" s="750" t="str">
        <f>"у дол. еквіваленті +"&amp;O90</f>
        <v>у дол. еквіваленті +10,4%</v>
      </c>
    </row>
    <row r="98" spans="1:11">
      <c r="G98" t="str">
        <f>INDEX($H98:$J98,1,MATCH($B$1,$H$89:$J$89,0))</f>
        <v>у дол. еквіваленті В-2 +5,7%</v>
      </c>
      <c r="H98" s="750" t="str">
        <f>"в USD В-1 +"&amp;M91</f>
        <v>в USD В-1 +5,7%</v>
      </c>
      <c r="I98" s="750" t="str">
        <f>"USD +"&amp;M91</f>
        <v>USD +5,7%</v>
      </c>
      <c r="J98" s="750" t="str">
        <f>"у дол. еквіваленті В-2 +"&amp;M91</f>
        <v>у дол. еквіваленті В-2 +5,7%</v>
      </c>
    </row>
    <row r="101" spans="1:11">
      <c r="J101" s="919" t="s">
        <v>503</v>
      </c>
      <c r="K101" s="919"/>
    </row>
    <row r="102" spans="1:11">
      <c r="H102" s="748"/>
      <c r="J102" s="6" t="s">
        <v>500</v>
      </c>
      <c r="K102" s="695" t="s">
        <v>1798</v>
      </c>
    </row>
    <row r="103" spans="1:11">
      <c r="H103" s="749"/>
      <c r="J103" s="6" t="s">
        <v>501</v>
      </c>
      <c r="K103" s="695" t="s">
        <v>1799</v>
      </c>
    </row>
    <row r="104" spans="1:11">
      <c r="H104" s="749"/>
      <c r="J104" s="6" t="s">
        <v>502</v>
      </c>
      <c r="K104" s="695" t="s">
        <v>1800</v>
      </c>
    </row>
    <row r="107" spans="1:11">
      <c r="A107" s="920" t="s">
        <v>1789</v>
      </c>
      <c r="B107" s="920"/>
      <c r="C107" s="920"/>
      <c r="D107" s="920"/>
      <c r="E107" s="920"/>
      <c r="F107" s="920"/>
      <c r="G107" s="919" t="s">
        <v>499</v>
      </c>
      <c r="H107" s="919"/>
    </row>
    <row r="108" spans="1:11" ht="18.75">
      <c r="G108" s="6" t="s">
        <v>500</v>
      </c>
      <c r="H108" s="618" t="s">
        <v>1828</v>
      </c>
    </row>
    <row r="109" spans="1:11" ht="18.75">
      <c r="G109" s="6" t="s">
        <v>501</v>
      </c>
      <c r="H109" s="618" t="s">
        <v>1983</v>
      </c>
    </row>
    <row r="110" spans="1:11" ht="18.75">
      <c r="G110" s="6" t="s">
        <v>502</v>
      </c>
      <c r="H110" s="618" t="s">
        <v>2001</v>
      </c>
    </row>
    <row r="118" spans="1:9">
      <c r="H118" s="919" t="s">
        <v>503</v>
      </c>
      <c r="I118" s="919"/>
    </row>
    <row r="119" spans="1:9">
      <c r="H119" s="6" t="s">
        <v>500</v>
      </c>
      <c r="I119" s="695" t="s">
        <v>1798</v>
      </c>
    </row>
    <row r="120" spans="1:9">
      <c r="H120" s="6" t="s">
        <v>501</v>
      </c>
      <c r="I120" s="695" t="s">
        <v>1799</v>
      </c>
    </row>
    <row r="121" spans="1:9">
      <c r="H121" s="6" t="s">
        <v>502</v>
      </c>
      <c r="I121" s="695" t="s">
        <v>1800</v>
      </c>
    </row>
    <row r="125" spans="1:9">
      <c r="A125" s="920" t="s">
        <v>1864</v>
      </c>
      <c r="B125" s="920"/>
      <c r="C125" s="920"/>
      <c r="D125" s="920"/>
      <c r="E125" s="920"/>
      <c r="F125" s="920"/>
      <c r="G125" s="919" t="s">
        <v>499</v>
      </c>
      <c r="H125" s="919"/>
    </row>
    <row r="126" spans="1:9" ht="18.75">
      <c r="G126" s="6" t="s">
        <v>500</v>
      </c>
      <c r="H126" s="618" t="s">
        <v>1866</v>
      </c>
    </row>
    <row r="127" spans="1:9" ht="18.75">
      <c r="G127" s="6" t="s">
        <v>501</v>
      </c>
      <c r="H127" s="618" t="s">
        <v>1867</v>
      </c>
    </row>
    <row r="128" spans="1:9" ht="18.75">
      <c r="G128" s="6" t="s">
        <v>502</v>
      </c>
      <c r="H128" s="618" t="s">
        <v>1865</v>
      </c>
    </row>
    <row r="136" spans="1:9">
      <c r="H136" s="919" t="s">
        <v>503</v>
      </c>
      <c r="I136" s="919"/>
    </row>
    <row r="137" spans="1:9">
      <c r="H137" s="6" t="s">
        <v>500</v>
      </c>
      <c r="I137" s="695" t="s">
        <v>1662</v>
      </c>
    </row>
    <row r="138" spans="1:9">
      <c r="H138" s="6" t="s">
        <v>501</v>
      </c>
      <c r="I138" s="695" t="s">
        <v>1663</v>
      </c>
    </row>
    <row r="139" spans="1:9">
      <c r="H139" s="6" t="s">
        <v>502</v>
      </c>
      <c r="I139" s="695" t="s">
        <v>1664</v>
      </c>
    </row>
    <row r="142" spans="1:9">
      <c r="A142" s="920" t="s">
        <v>1897</v>
      </c>
      <c r="B142" s="920"/>
      <c r="C142" s="920"/>
      <c r="D142" s="920"/>
      <c r="E142" s="920"/>
      <c r="F142" s="920"/>
      <c r="G142" s="919" t="s">
        <v>499</v>
      </c>
      <c r="H142" s="919"/>
    </row>
    <row r="143" spans="1:9" ht="18.75">
      <c r="G143" s="6" t="s">
        <v>500</v>
      </c>
      <c r="H143" s="618" t="s">
        <v>1901</v>
      </c>
    </row>
    <row r="144" spans="1:9" ht="18.75">
      <c r="G144" s="6" t="s">
        <v>501</v>
      </c>
      <c r="H144" s="618" t="s">
        <v>1881</v>
      </c>
    </row>
    <row r="145" spans="1:9" ht="18.75">
      <c r="G145" s="6" t="s">
        <v>502</v>
      </c>
      <c r="H145" s="618" t="s">
        <v>1875</v>
      </c>
    </row>
    <row r="153" spans="1:9">
      <c r="H153" s="919" t="s">
        <v>503</v>
      </c>
      <c r="I153" s="919"/>
    </row>
    <row r="154" spans="1:9">
      <c r="H154" s="6" t="s">
        <v>500</v>
      </c>
      <c r="I154" s="695" t="s">
        <v>1899</v>
      </c>
    </row>
    <row r="155" spans="1:9">
      <c r="H155" s="6" t="s">
        <v>501</v>
      </c>
      <c r="I155" s="695" t="s">
        <v>1900</v>
      </c>
    </row>
    <row r="156" spans="1:9">
      <c r="H156" s="6" t="s">
        <v>502</v>
      </c>
      <c r="I156" s="695" t="s">
        <v>1898</v>
      </c>
    </row>
    <row r="158" spans="1:9">
      <c r="A158" s="920" t="s">
        <v>1949</v>
      </c>
      <c r="B158" s="920"/>
      <c r="C158" s="920"/>
      <c r="D158" s="920"/>
      <c r="E158" s="920"/>
      <c r="F158" s="920"/>
      <c r="G158" s="919" t="s">
        <v>499</v>
      </c>
      <c r="H158" s="919"/>
    </row>
    <row r="159" spans="1:9" ht="18.75">
      <c r="G159" s="6" t="s">
        <v>500</v>
      </c>
      <c r="H159" s="618" t="s">
        <v>1950</v>
      </c>
    </row>
    <row r="160" spans="1:9" ht="18.75">
      <c r="G160" s="6" t="s">
        <v>501</v>
      </c>
      <c r="H160" s="618" t="s">
        <v>1951</v>
      </c>
    </row>
    <row r="161" spans="1:9" ht="18.75">
      <c r="G161" s="6" t="s">
        <v>502</v>
      </c>
      <c r="H161" s="618" t="s">
        <v>1949</v>
      </c>
    </row>
    <row r="169" spans="1:9">
      <c r="H169" s="919" t="s">
        <v>503</v>
      </c>
      <c r="I169" s="919"/>
    </row>
    <row r="170" spans="1:9">
      <c r="H170" s="6" t="s">
        <v>500</v>
      </c>
      <c r="I170" s="695" t="s">
        <v>1952</v>
      </c>
    </row>
    <row r="171" spans="1:9">
      <c r="H171" s="6" t="s">
        <v>501</v>
      </c>
      <c r="I171" s="695" t="s">
        <v>1953</v>
      </c>
    </row>
    <row r="172" spans="1:9">
      <c r="H172" s="6" t="s">
        <v>502</v>
      </c>
      <c r="I172" s="695" t="s">
        <v>1954</v>
      </c>
    </row>
    <row r="175" spans="1:9">
      <c r="A175" s="920" t="s">
        <v>1964</v>
      </c>
      <c r="B175" s="920"/>
      <c r="C175" s="920"/>
      <c r="D175" s="920"/>
      <c r="E175" s="920"/>
      <c r="F175" s="920"/>
      <c r="G175" s="919" t="s">
        <v>499</v>
      </c>
      <c r="H175" s="919"/>
    </row>
    <row r="176" spans="1:9" ht="18.75">
      <c r="G176" s="6" t="s">
        <v>500</v>
      </c>
      <c r="H176" s="618" t="s">
        <v>2000</v>
      </c>
    </row>
    <row r="177" spans="7:9" ht="18.75">
      <c r="G177" s="6" t="s">
        <v>501</v>
      </c>
      <c r="H177" s="618" t="s">
        <v>2002</v>
      </c>
    </row>
    <row r="178" spans="7:9" ht="18.75">
      <c r="G178" s="6" t="s">
        <v>502</v>
      </c>
      <c r="H178" s="618" t="s">
        <v>1999</v>
      </c>
    </row>
    <row r="186" spans="7:9">
      <c r="H186" s="919" t="s">
        <v>503</v>
      </c>
      <c r="I186" s="919"/>
    </row>
    <row r="187" spans="7:9">
      <c r="H187" s="6" t="s">
        <v>500</v>
      </c>
      <c r="I187" s="695" t="s">
        <v>1965</v>
      </c>
    </row>
    <row r="188" spans="7:9">
      <c r="H188" s="6" t="s">
        <v>501</v>
      </c>
      <c r="I188" s="695" t="s">
        <v>1966</v>
      </c>
    </row>
    <row r="189" spans="7:9">
      <c r="H189" s="6" t="s">
        <v>502</v>
      </c>
      <c r="I189" s="695" t="s">
        <v>1967</v>
      </c>
    </row>
    <row r="195" spans="1:9">
      <c r="A195" s="920" t="s">
        <v>1979</v>
      </c>
      <c r="B195" s="920"/>
      <c r="C195" s="920"/>
      <c r="D195" s="920"/>
      <c r="E195" s="920"/>
      <c r="F195" s="920"/>
      <c r="G195" s="919" t="s">
        <v>499</v>
      </c>
      <c r="H195" s="919"/>
    </row>
    <row r="196" spans="1:9" ht="18.75">
      <c r="H196" s="6" t="s">
        <v>500</v>
      </c>
      <c r="I196" s="618" t="s">
        <v>1980</v>
      </c>
    </row>
    <row r="197" spans="1:9" ht="18.75">
      <c r="H197" s="6" t="s">
        <v>501</v>
      </c>
      <c r="I197" s="618" t="s">
        <v>1981</v>
      </c>
    </row>
    <row r="198" spans="1:9" ht="18.75">
      <c r="H198" s="6" t="s">
        <v>502</v>
      </c>
      <c r="I198" s="618" t="s">
        <v>1982</v>
      </c>
    </row>
    <row r="207" spans="1:9">
      <c r="H207" s="919" t="s">
        <v>503</v>
      </c>
      <c r="I207" s="919"/>
    </row>
    <row r="208" spans="1:9">
      <c r="H208" s="6" t="s">
        <v>500</v>
      </c>
      <c r="I208" s="695" t="s">
        <v>1798</v>
      </c>
    </row>
    <row r="209" spans="8:9">
      <c r="H209" s="6" t="s">
        <v>501</v>
      </c>
      <c r="I209" s="695" t="s">
        <v>1799</v>
      </c>
    </row>
    <row r="210" spans="8:9">
      <c r="H210" s="6" t="s">
        <v>502</v>
      </c>
      <c r="I210" s="695" t="s">
        <v>1800</v>
      </c>
    </row>
  </sheetData>
  <mergeCells count="39">
    <mergeCell ref="A195:F195"/>
    <mergeCell ref="G195:H195"/>
    <mergeCell ref="H207:I207"/>
    <mergeCell ref="A175:F175"/>
    <mergeCell ref="G175:H175"/>
    <mergeCell ref="H186:I186"/>
    <mergeCell ref="A158:F158"/>
    <mergeCell ref="G158:H158"/>
    <mergeCell ref="H169:I169"/>
    <mergeCell ref="A107:F107"/>
    <mergeCell ref="G107:H107"/>
    <mergeCell ref="H153:I153"/>
    <mergeCell ref="A125:F125"/>
    <mergeCell ref="G125:H125"/>
    <mergeCell ref="H136:I136"/>
    <mergeCell ref="A142:F142"/>
    <mergeCell ref="G142:H142"/>
    <mergeCell ref="Q2:R2"/>
    <mergeCell ref="L2:M2"/>
    <mergeCell ref="N2:O2"/>
    <mergeCell ref="G27:H27"/>
    <mergeCell ref="A33:F33"/>
    <mergeCell ref="G33:H33"/>
    <mergeCell ref="J101:K101"/>
    <mergeCell ref="H118:I118"/>
    <mergeCell ref="G18:H18"/>
    <mergeCell ref="G12:H12"/>
    <mergeCell ref="A2:F2"/>
    <mergeCell ref="G2:H2"/>
    <mergeCell ref="G48:H48"/>
    <mergeCell ref="G58:H58"/>
    <mergeCell ref="G76:H76"/>
    <mergeCell ref="A18:F18"/>
    <mergeCell ref="A82:F82"/>
    <mergeCell ref="G82:H82"/>
    <mergeCell ref="G43:H43"/>
    <mergeCell ref="A48:F48"/>
    <mergeCell ref="A64:F64"/>
    <mergeCell ref="G64:H64"/>
  </mergeCells>
  <dataValidations count="1">
    <dataValidation type="list" allowBlank="1" showInputMessage="1" showErrorMessage="1" sqref="B1" xr:uid="{00000000-0002-0000-0000-000000000000}">
      <formula1>$G$3:$G$5</formula1>
    </dataValidation>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99DA5-B3ED-4115-BA74-DBF3131C0A1D}">
  <dimension ref="A2:BF118"/>
  <sheetViews>
    <sheetView tabSelected="1" zoomScale="85" zoomScaleNormal="85" workbookViewId="0">
      <selection activeCell="A2" sqref="A2"/>
    </sheetView>
  </sheetViews>
  <sheetFormatPr defaultRowHeight="18"/>
  <cols>
    <col min="11" max="11" width="14.59765625" bestFit="1" customWidth="1"/>
  </cols>
  <sheetData>
    <row r="2" spans="1:22">
      <c r="A2" s="914"/>
      <c r="B2" s="914"/>
      <c r="C2" s="914"/>
      <c r="D2" s="914"/>
      <c r="E2" s="914"/>
      <c r="F2" s="914"/>
      <c r="G2" s="914"/>
    </row>
    <row r="3" spans="1:22">
      <c r="A3" t="str">
        <f>"{"&amp;CHAR(34)&amp;H3&amp;CHAR(34)&amp;": "&amp;B3&amp;"}"</f>
        <v>{"Chart1": {"name": {"UKR": "Прогноз рівня інфляції у 2021 – 2024 роках, р-р % ", "RU": "Прогноз уровня инфляции в 2021 – 2024 годах, г-г %", "ENG": "Inflation forecast for 2021-24, yoy %  "},"indexes": {"index_0": [2022, 2022, 2022, 2022, 2023, 2023, 2023, 2023, 2024, 2024, 2024, 2024], "index_1": ["1Q", "2Q", "3Q", "4Q", "1Q", "2Q", "3Q", "4Q", "1Q", "2Q", "3Q", "4Q"]},"labels": {"label_1": [0.255, 0.377, 0.381, 0.365, 0.323528979785871, 0.24452071690528, 0.159868626826739, 0.138823347691671, 0.122785522002619, 0.0965956006406108, 0.0961037275432755, 0.110546854676338], "label_2": [0.114666666666667, 0.186333333333333, 0.235333333333333, 0.265666666666667, 0.240666666666667, 0.153333333333333, 0.09, 0.0516666666666667, 0.0753448062997508, 0.0583492860137248, 0.0614242626476329, 0.0781946316437141], "label_3": [0.598730462053457, 0.619715996699895, 0.701404571556765, 0.526285899451785, 0.366238798643482, 0.288423519422291, 0.164939655708101, 0.153005993896188, 0.142666666666667, 0.0909814521586129, 0.0870118696012619, 0.108978860314191]},"label_names": {"UKR": {"label_1": "Дефлятор", "label_2": "CPI", "label_3": "PPI"}, "RU": {"label_1": "Дефлятор", "label_2": "CPI", "label_3": "PPI"}, "ENG": {"label_1": "Deflator", "label_2": "CPI", "label_3": "PPI"}},"source": {"UKR": "Джерело: НБУ, розрахунки UEO", "RU": "Источник: НБУ, расчеты UEO", "ENG": "Source: NBU, UEO calculations"}}}</v>
      </c>
      <c r="B3" t="str">
        <f>"{"&amp;_xlfn.TEXTJOIN(",",TRUE,B4:B27)&amp;"}"</f>
        <v>{"name": {"UKR": "Прогноз рівня інфляції у 2021 – 2024 роках, р-р % ", "RU": "Прогноз уровня инфляции в 2021 – 2024 годах, г-г %", "ENG": "Inflation forecast for 2021-24, yoy %  "},"indexes": {"index_0": [2022, 2022, 2022, 2022, 2023, 2023, 2023, 2023, 2024, 2024, 2024, 2024], "index_1": ["1Q", "2Q", "3Q", "4Q", "1Q", "2Q", "3Q", "4Q", "1Q", "2Q", "3Q", "4Q"]},"labels": {"label_1": [0.255, 0.377, 0.381, 0.365, 0.323528979785871, 0.24452071690528, 0.159868626826739, 0.138823347691671, 0.122785522002619, 0.0965956006406108, 0.0961037275432755, 0.110546854676338], "label_2": [0.114666666666667, 0.186333333333333, 0.235333333333333, 0.265666666666667, 0.240666666666667, 0.153333333333333, 0.09, 0.0516666666666667, 0.0753448062997508, 0.0583492860137248, 0.0614242626476329, 0.0781946316437141], "label_3": [0.598730462053457, 0.619715996699895, 0.701404571556765, 0.526285899451785, 0.366238798643482, 0.288423519422291, 0.164939655708101, 0.153005993896188, 0.142666666666667, 0.0909814521586129, 0.0870118696012619, 0.108978860314191]},"label_names": {"UKR": {"label_1": "Дефлятор", "label_2": "CPI", "label_3": "PPI"}, "RU": {"label_1": "Дефлятор", "label_2": "CPI", "label_3": "PPI"}, "ENG": {"label_1": "Deflator", "label_2": "CPI", "label_3": "PPI"}},"source": {"UKR": "Джерело: НБУ, розрахунки UEO", "RU": "Источник: НБУ, расчеты UEO", "ENG": "Source: NBU, UEO calculations"}}</v>
      </c>
      <c r="H3" t="s">
        <v>1996</v>
      </c>
    </row>
    <row r="4" spans="1:22">
      <c r="B4" t="str">
        <f>CHAR(34)&amp;I4&amp;CHAR(34)&amp;": "&amp;C4</f>
        <v>"name": {"UKR": "Прогноз рівня інфляції у 2021 – 2024 роках, р-р % ", "RU": "Прогноз уровня инфляции в 2021 – 2024 годах, г-г %", "ENG": "Inflation forecast for 2021-24, yoy %  "}</v>
      </c>
      <c r="C4" t="str">
        <f>"{"&amp;_xlfn.TEXTJOIN(", ",TRUE,F4:F6)&amp;"}"</f>
        <v>{"UKR": "Прогноз рівня інфляції у 2021 – 2024 роках, р-р % ", "RU": "Прогноз уровня инфляции в 2021 – 2024 годах, г-г %", "ENG": "Inflation forecast for 2021-24, yoy %  "}</v>
      </c>
      <c r="F4" t="str">
        <f>CHAR(34)&amp;J4&amp;CHAR(34)&amp;": "&amp;CHAR(34)&amp;K4&amp;CHAR(34)</f>
        <v>"UKR": "Прогноз рівня інфляції у 2021 – 2024 роках, р-р % "</v>
      </c>
      <c r="H4" t="s">
        <v>1996</v>
      </c>
      <c r="I4" t="s">
        <v>1986</v>
      </c>
      <c r="J4" t="s">
        <v>502</v>
      </c>
      <c r="K4" t="str">
        <f>'Чарти 5-7'!H5</f>
        <v xml:space="preserve">Прогноз рівня інфляції у 2021 – 2024 роках, р-р % </v>
      </c>
    </row>
    <row r="5" spans="1:22">
      <c r="F5" t="str">
        <f>CHAR(34)&amp;J5&amp;CHAR(34)&amp;": "&amp;CHAR(34)&amp;K5&amp;CHAR(34)</f>
        <v>"RU": "Прогноз уровня инфляции в 2021 – 2024 годах, г-г %"</v>
      </c>
      <c r="H5" t="s">
        <v>1996</v>
      </c>
      <c r="I5" t="s">
        <v>1986</v>
      </c>
      <c r="J5" t="s">
        <v>500</v>
      </c>
      <c r="K5" t="str">
        <f>'Чарти 5-7'!H3</f>
        <v>Прогноз уровня инфляции в 2021 – 2024 годах, г-г %</v>
      </c>
    </row>
    <row r="6" spans="1:22">
      <c r="F6" t="str">
        <f>CHAR(34)&amp;J6&amp;CHAR(34)&amp;": "&amp;CHAR(34)&amp;K6&amp;CHAR(34)</f>
        <v>"ENG": "Inflation forecast for 2021-24, yoy %  "</v>
      </c>
      <c r="H6" t="s">
        <v>1996</v>
      </c>
      <c r="I6" t="s">
        <v>1986</v>
      </c>
      <c r="J6" t="s">
        <v>501</v>
      </c>
      <c r="K6" t="str">
        <f>'Чарти 5-7'!H4</f>
        <v xml:space="preserve">Inflation forecast for 2021-24, yoy %  </v>
      </c>
    </row>
    <row r="8" spans="1:22">
      <c r="B8" t="str">
        <f>CHAR(34)&amp;I8&amp;CHAR(34)&amp;": "&amp;C8</f>
        <v>"indexes": {"index_0": [2022, 2022, 2022, 2022, 2023, 2023, 2023, 2023, 2024, 2024, 2024, 2024], "index_1": ["1Q", "2Q", "3Q", "4Q", "1Q", "2Q", "3Q", "4Q", "1Q", "2Q", "3Q", "4Q"]}</v>
      </c>
      <c r="C8" t="str">
        <f>"{"&amp;_xlfn.TEXTJOIN(", ",TRUE,E8:E9)&amp;"}"</f>
        <v>{"index_0": [2022, 2022, 2022, 2022, 2023, 2023, 2023, 2023, 2024, 2024, 2024, 2024], "index_1": ["1Q", "2Q", "3Q", "4Q", "1Q", "2Q", "3Q", "4Q", "1Q", "2Q", "3Q", "4Q"]}</v>
      </c>
      <c r="E8" t="str">
        <f>CHAR(34)&amp;J8&amp;CHAR(34)&amp;": "&amp;F8</f>
        <v>"index_0": [2022, 2022, 2022, 2022, 2023, 2023, 2023, 2023, 2024, 2024, 2024, 2024]</v>
      </c>
      <c r="F8" s="158" t="str" cm="1">
        <f t="array" ref="F8">"["&amp;_xlfn.TEXTJOIN(", ",FALSE,SUBSTITUTE(K8:V8,",","."))&amp;"]"</f>
        <v>[2022, 2022, 2022, 2022, 2023, 2023, 2023, 2023, 2024, 2024, 2024, 2024]</v>
      </c>
      <c r="H8" t="s">
        <v>1996</v>
      </c>
      <c r="I8" t="s">
        <v>1987</v>
      </c>
      <c r="J8" t="s">
        <v>1988</v>
      </c>
      <c r="K8" cm="1">
        <f t="array" ref="K8">TRANSPOSE('Дефлятор модель (CPI-PPI) (С-1)'!A106)</f>
        <v>2022</v>
      </c>
      <c r="L8">
        <f>K8</f>
        <v>2022</v>
      </c>
      <c r="M8">
        <f t="shared" ref="M8:N8" si="0">L8</f>
        <v>2022</v>
      </c>
      <c r="N8">
        <f t="shared" si="0"/>
        <v>2022</v>
      </c>
      <c r="O8" cm="1">
        <f t="array" ref="O8">TRANSPOSE('Дефлятор модель (CPI-PPI) (С-1)'!A110)</f>
        <v>2023</v>
      </c>
      <c r="P8">
        <f>O8</f>
        <v>2023</v>
      </c>
      <c r="Q8">
        <f t="shared" ref="Q8:R8" si="1">P8</f>
        <v>2023</v>
      </c>
      <c r="R8">
        <f t="shared" si="1"/>
        <v>2023</v>
      </c>
      <c r="S8" cm="1">
        <f t="array" ref="S8">TRANSPOSE('Дефлятор модель (CPI-PPI) (С-1)'!A114)</f>
        <v>2024</v>
      </c>
      <c r="T8">
        <f>S8</f>
        <v>2024</v>
      </c>
      <c r="U8">
        <f t="shared" ref="U8:V8" si="2">T8</f>
        <v>2024</v>
      </c>
      <c r="V8">
        <f t="shared" si="2"/>
        <v>2024</v>
      </c>
    </row>
    <row r="9" spans="1:22">
      <c r="E9" t="str">
        <f>CHAR(34)&amp;J9&amp;CHAR(34)&amp;": "&amp;F9</f>
        <v>"index_1": ["1Q", "2Q", "3Q", "4Q", "1Q", "2Q", "3Q", "4Q", "1Q", "2Q", "3Q", "4Q"]</v>
      </c>
      <c r="F9" s="158" t="str" cm="1">
        <f t="array" ref="F9">"["&amp;_xlfn.TEXTJOIN(", ",FALSE,SUBSTITUTE(K9:V9,",","."))&amp;"]"</f>
        <v>["1Q", "2Q", "3Q", "4Q", "1Q", "2Q", "3Q", "4Q", "1Q", "2Q", "3Q", "4Q"]</v>
      </c>
      <c r="H9" t="s">
        <v>1996</v>
      </c>
      <c r="I9" t="s">
        <v>1987</v>
      </c>
      <c r="J9" t="s">
        <v>1989</v>
      </c>
      <c r="K9" t="str" cm="1">
        <f t="array" ref="K9:V9">CHAR(34)&amp;TRANSPOSE('Дефлятор модель (CPI-PPI) (С-1)'!B106:B117)&amp;CHAR(34)</f>
        <v>"1Q"</v>
      </c>
      <c r="L9" t="str">
        <v>"2Q"</v>
      </c>
      <c r="M9" t="str">
        <v>"3Q"</v>
      </c>
      <c r="N9" t="str">
        <v>"4Q"</v>
      </c>
      <c r="O9" t="str">
        <v>"1Q"</v>
      </c>
      <c r="P9" t="str">
        <v>"2Q"</v>
      </c>
      <c r="Q9" t="str">
        <v>"3Q"</v>
      </c>
      <c r="R9" t="str">
        <v>"4Q"</v>
      </c>
      <c r="S9" t="str">
        <v>"1Q"</v>
      </c>
      <c r="T9" t="str">
        <v>"2Q"</v>
      </c>
      <c r="U9" t="str">
        <v>"3Q"</v>
      </c>
      <c r="V9" t="str">
        <v>"4Q"</v>
      </c>
    </row>
    <row r="11" spans="1:22">
      <c r="B11" t="str">
        <f>CHAR(34)&amp;I11&amp;CHAR(34)&amp;": "&amp;C11</f>
        <v>"labels": {"label_1": [0.255, 0.377, 0.381, 0.365, 0.323528979785871, 0.24452071690528, 0.159868626826739, 0.138823347691671, 0.122785522002619, 0.0965956006406108, 0.0961037275432755, 0.110546854676338], "label_2": [0.114666666666667, 0.186333333333333, 0.235333333333333, 0.265666666666667, 0.240666666666667, 0.153333333333333, 0.09, 0.0516666666666667, 0.0753448062997508, 0.0583492860137248, 0.0614242626476329, 0.0781946316437141], "label_3": [0.598730462053457, 0.619715996699895, 0.701404571556765, 0.526285899451785, 0.366238798643482, 0.288423519422291, 0.164939655708101, 0.153005993896188, 0.142666666666667, 0.0909814521586129, 0.0870118696012619, 0.108978860314191]}</v>
      </c>
      <c r="C11" t="str">
        <f>"{"&amp;_xlfn.TEXTJOIN(", ",TRUE,E11:E13)&amp;"}"</f>
        <v>{"label_1": [0.255, 0.377, 0.381, 0.365, 0.323528979785871, 0.24452071690528, 0.159868626826739, 0.138823347691671, 0.122785522002619, 0.0965956006406108, 0.0961037275432755, 0.110546854676338], "label_2": [0.114666666666667, 0.186333333333333, 0.235333333333333, 0.265666666666667, 0.240666666666667, 0.153333333333333, 0.09, 0.0516666666666667, 0.0753448062997508, 0.0583492860137248, 0.0614242626476329, 0.0781946316437141], "label_3": [0.598730462053457, 0.619715996699895, 0.701404571556765, 0.526285899451785, 0.366238798643482, 0.288423519422291, 0.164939655708101, 0.153005993896188, 0.142666666666667, 0.0909814521586129, 0.0870118696012619, 0.108978860314191]}</v>
      </c>
      <c r="E11" t="str">
        <f>CHAR(34)&amp;J11&amp;CHAR(34)&amp;": "&amp;F11</f>
        <v>"label_1": [0.255, 0.377, 0.381, 0.365, 0.323528979785871, 0.24452071690528, 0.159868626826739, 0.138823347691671, 0.122785522002619, 0.0965956006406108, 0.0961037275432755, 0.110546854676338]</v>
      </c>
      <c r="F11" s="158" t="str" cm="1">
        <f t="array" ref="F11">"["&amp;_xlfn.TEXTJOIN(", ",FALSE,SUBSTITUTE(_xlfn.ANCHORARRAY(K11),",","."))&amp;"]"</f>
        <v>[0.255, 0.377, 0.381, 0.365, 0.323528979785871, 0.24452071690528, 0.159868626826739, 0.138823347691671, 0.122785522002619, 0.0965956006406108, 0.0961037275432755, 0.110546854676338]</v>
      </c>
      <c r="H11" t="s">
        <v>1996</v>
      </c>
      <c r="I11" t="s">
        <v>1990</v>
      </c>
      <c r="J11" t="s">
        <v>1991</v>
      </c>
      <c r="K11" s="915" cm="1">
        <f t="array" ref="K11:V11">TRANSPOSE('Дефлятор модель (CPI-PPI) (С-1)'!G50:G61)</f>
        <v>0.255</v>
      </c>
      <c r="L11" s="915">
        <v>0.377</v>
      </c>
      <c r="M11" s="915">
        <v>0.38100000000000001</v>
      </c>
      <c r="N11" s="915">
        <v>0.36499999999999999</v>
      </c>
      <c r="O11" s="915">
        <v>0.32352897978587086</v>
      </c>
      <c r="P11" s="915">
        <v>0.24452071690527979</v>
      </c>
      <c r="Q11" s="915">
        <v>0.15986862682673927</v>
      </c>
      <c r="R11" s="915">
        <v>0.13882334769167104</v>
      </c>
      <c r="S11" s="915">
        <v>0.12278552200261865</v>
      </c>
      <c r="T11" s="915">
        <v>9.659560064061079E-2</v>
      </c>
      <c r="U11" s="915">
        <v>9.6103727543275508E-2</v>
      </c>
      <c r="V11" s="915">
        <v>0.11054685467633842</v>
      </c>
    </row>
    <row r="12" spans="1:22">
      <c r="E12" t="str">
        <f t="shared" ref="E12:E13" si="3">CHAR(34)&amp;J12&amp;CHAR(34)&amp;": "&amp;F12</f>
        <v>"label_2": [0.114666666666667, 0.186333333333333, 0.235333333333333, 0.265666666666667, 0.240666666666667, 0.153333333333333, 0.09, 0.0516666666666667, 0.0753448062997508, 0.0583492860137248, 0.0614242626476329, 0.0781946316437141]</v>
      </c>
      <c r="F12" s="158" t="str" cm="1">
        <f t="array" ref="F12">"["&amp;_xlfn.TEXTJOIN(", ",FALSE,SUBSTITUTE(_xlfn.ANCHORARRAY(K12),",","."))&amp;"]"</f>
        <v>[0.114666666666667, 0.186333333333333, 0.235333333333333, 0.265666666666667, 0.240666666666667, 0.153333333333333, 0.09, 0.0516666666666667, 0.0753448062997508, 0.0583492860137248, 0.0614242626476329, 0.0781946316437141]</v>
      </c>
      <c r="H12" t="s">
        <v>1996</v>
      </c>
      <c r="I12" t="s">
        <v>1990</v>
      </c>
      <c r="J12" t="s">
        <v>1992</v>
      </c>
      <c r="K12" s="33" cm="1">
        <f t="array" ref="K12:V12">TRANSPOSE('Дефлятор модель (CPI-PPI) (С-1)'!E50:E61)</f>
        <v>0.11466666666666669</v>
      </c>
      <c r="L12" s="33">
        <v>0.18633333333333335</v>
      </c>
      <c r="M12" s="33">
        <v>0.23533333333333331</v>
      </c>
      <c r="N12" s="33">
        <v>0.26566666666666666</v>
      </c>
      <c r="O12" s="33">
        <v>0.24066666666666667</v>
      </c>
      <c r="P12" s="33">
        <v>0.15333333333333332</v>
      </c>
      <c r="Q12" s="33">
        <v>9.0000000000000011E-2</v>
      </c>
      <c r="R12" s="33">
        <v>5.1666666666666666E-2</v>
      </c>
      <c r="S12" s="33">
        <v>7.5344806299750808E-2</v>
      </c>
      <c r="T12" s="33">
        <v>5.8349286013724827E-2</v>
      </c>
      <c r="U12" s="33">
        <v>6.1424262647632934E-2</v>
      </c>
      <c r="V12" s="33">
        <v>7.8194631643714083E-2</v>
      </c>
    </row>
    <row r="13" spans="1:22">
      <c r="E13" t="str">
        <f t="shared" si="3"/>
        <v>"label_3": [0.598730462053457, 0.619715996699895, 0.701404571556765, 0.526285899451785, 0.366238798643482, 0.288423519422291, 0.164939655708101, 0.153005993896188, 0.142666666666667, 0.0909814521586129, 0.0870118696012619, 0.108978860314191]</v>
      </c>
      <c r="F13" s="158" t="str" cm="1">
        <f t="array" ref="F13">"["&amp;_xlfn.TEXTJOIN(", ",FALSE,SUBSTITUTE(_xlfn.ANCHORARRAY(K13),",","."))&amp;"]"</f>
        <v>[0.598730462053457, 0.619715996699895, 0.701404571556765, 0.526285899451785, 0.366238798643482, 0.288423519422291, 0.164939655708101, 0.153005993896188, 0.142666666666667, 0.0909814521586129, 0.0870118696012619, 0.108978860314191]</v>
      </c>
      <c r="H13" t="s">
        <v>1996</v>
      </c>
      <c r="I13" t="s">
        <v>1990</v>
      </c>
      <c r="J13" t="s">
        <v>1993</v>
      </c>
      <c r="K13" s="33" cm="1">
        <f t="array" ref="K13:V13">TRANSPOSE('Дефлятор модель (CPI-PPI) (С-1)'!F50:F61)</f>
        <v>0.5987304620534567</v>
      </c>
      <c r="L13" s="33">
        <v>0.61971599669989452</v>
      </c>
      <c r="M13" s="33">
        <v>0.70140457155676506</v>
      </c>
      <c r="N13" s="33">
        <v>0.52628589945178506</v>
      </c>
      <c r="O13" s="33">
        <v>0.36623879864348213</v>
      </c>
      <c r="P13" s="33">
        <v>0.28842351942229133</v>
      </c>
      <c r="Q13" s="33">
        <v>0.16493965570810051</v>
      </c>
      <c r="R13" s="33">
        <v>0.15300599389618763</v>
      </c>
      <c r="S13" s="33">
        <v>0.14266666666666666</v>
      </c>
      <c r="T13" s="33">
        <v>9.0981452158612905E-2</v>
      </c>
      <c r="U13" s="33">
        <v>8.7011869601261935E-2</v>
      </c>
      <c r="V13" s="33">
        <v>0.10897886031419056</v>
      </c>
    </row>
    <row r="15" spans="1:22">
      <c r="B15" t="str">
        <f>CHAR(34)&amp;I15&amp;CHAR(34)&amp;": "&amp;C15</f>
        <v>"label_names": {"UKR": {"label_1": "Дефлятор", "label_2": "CPI", "label_3": "PPI"}, "RU": {"label_1": "Дефлятор", "label_2": "CPI", "label_3": "PPI"}, "ENG": {"label_1": "Deflator", "label_2": "CPI", "label_3": "PPI"}}</v>
      </c>
      <c r="C15" t="str">
        <f>"{"&amp;_xlfn.TEXTJOIN(", ",TRUE,D15:D23)&amp;"}"</f>
        <v>{"UKR": {"label_1": "Дефлятор", "label_2": "CPI", "label_3": "PPI"}, "RU": {"label_1": "Дефлятор", "label_2": "CPI", "label_3": "PPI"}, "ENG": {"label_1": "Deflator", "label_2": "CPI", "label_3": "PPI"}}</v>
      </c>
      <c r="D15" t="str">
        <f>CHAR(34)&amp;J15&amp;CHAR(34)&amp;": "&amp;E15</f>
        <v>"UKR": {"label_1": "Дефлятор", "label_2": "CPI", "label_3": "PPI"}</v>
      </c>
      <c r="E15" t="str">
        <f>"{"&amp;_xlfn.TEXTJOIN(", ",TRUE,F15:F17)&amp;"}"</f>
        <v>{"label_1": "Дефлятор", "label_2": "CPI", "label_3": "PPI"}</v>
      </c>
      <c r="F15" t="str">
        <f t="shared" ref="F15:F23" si="4">CHAR(34)&amp;K15&amp;CHAR(34)&amp;": "&amp;CHAR(34)&amp;L15&amp;CHAR(34)</f>
        <v>"label_1": "Дефлятор"</v>
      </c>
      <c r="H15" t="s">
        <v>1996</v>
      </c>
      <c r="I15" t="s">
        <v>1994</v>
      </c>
      <c r="J15" t="s">
        <v>502</v>
      </c>
      <c r="K15" t="s">
        <v>1991</v>
      </c>
      <c r="L15" t="str">
        <f>'Дефлятор модель (CPI-PPI) (С-1)'!BR4</f>
        <v>Дефлятор</v>
      </c>
    </row>
    <row r="16" spans="1:22">
      <c r="F16" t="str">
        <f t="shared" si="4"/>
        <v>"label_2": "CPI"</v>
      </c>
      <c r="H16" t="s">
        <v>1996</v>
      </c>
      <c r="I16" t="s">
        <v>1994</v>
      </c>
      <c r="J16" t="s">
        <v>502</v>
      </c>
      <c r="K16" t="s">
        <v>1992</v>
      </c>
      <c r="L16" t="str">
        <f>'Дефлятор модель (CPI-PPI) (С-1)'!E1</f>
        <v>CPI</v>
      </c>
    </row>
    <row r="17" spans="1:12">
      <c r="F17" t="str">
        <f t="shared" si="4"/>
        <v>"label_3": "PPI"</v>
      </c>
      <c r="H17" t="s">
        <v>1996</v>
      </c>
      <c r="I17" t="s">
        <v>1994</v>
      </c>
      <c r="J17" t="s">
        <v>502</v>
      </c>
      <c r="K17" t="s">
        <v>1993</v>
      </c>
      <c r="L17" t="str">
        <f>'Дефлятор модель (CPI-PPI) (С-1)'!F1</f>
        <v>PPI</v>
      </c>
    </row>
    <row r="18" spans="1:12">
      <c r="D18" t="str">
        <f>CHAR(34)&amp;J18&amp;CHAR(34)&amp;": "&amp;E18</f>
        <v>"RU": {"label_1": "Дефлятор", "label_2": "CPI", "label_3": "PPI"}</v>
      </c>
      <c r="E18" t="str">
        <f>"{"&amp;_xlfn.TEXTJOIN(", ",TRUE,F18:F20)&amp;"}"</f>
        <v>{"label_1": "Дефлятор", "label_2": "CPI", "label_3": "PPI"}</v>
      </c>
      <c r="F18" t="str">
        <f t="shared" si="4"/>
        <v>"label_1": "Дефлятор"</v>
      </c>
      <c r="H18" t="s">
        <v>1996</v>
      </c>
      <c r="I18" t="s">
        <v>1994</v>
      </c>
      <c r="J18" t="s">
        <v>500</v>
      </c>
      <c r="K18" t="s">
        <v>1991</v>
      </c>
      <c r="L18" t="str">
        <f>'Дефлятор модель (CPI-PPI) (С-1)'!BR2</f>
        <v>Дефлятор</v>
      </c>
    </row>
    <row r="19" spans="1:12">
      <c r="F19" t="str">
        <f t="shared" si="4"/>
        <v>"label_2": "CPI"</v>
      </c>
      <c r="H19" t="s">
        <v>1996</v>
      </c>
      <c r="I19" t="s">
        <v>1994</v>
      </c>
      <c r="J19" t="s">
        <v>500</v>
      </c>
      <c r="K19" t="s">
        <v>1992</v>
      </c>
      <c r="L19" t="str">
        <f>'Дефлятор модель (CPI-PPI) (С-1)'!E1</f>
        <v>CPI</v>
      </c>
    </row>
    <row r="20" spans="1:12">
      <c r="F20" t="str">
        <f t="shared" si="4"/>
        <v>"label_3": "PPI"</v>
      </c>
      <c r="H20" t="s">
        <v>1996</v>
      </c>
      <c r="I20" t="s">
        <v>1994</v>
      </c>
      <c r="J20" t="s">
        <v>500</v>
      </c>
      <c r="K20" t="s">
        <v>1993</v>
      </c>
      <c r="L20" t="str">
        <f>'Дефлятор модель (CPI-PPI) (С-1)'!F1</f>
        <v>PPI</v>
      </c>
    </row>
    <row r="21" spans="1:12">
      <c r="D21" t="str">
        <f>CHAR(34)&amp;J21&amp;CHAR(34)&amp;": "&amp;E21</f>
        <v>"ENG": {"label_1": "Deflator", "label_2": "CPI", "label_3": "PPI"}</v>
      </c>
      <c r="E21" t="str">
        <f>"{"&amp;_xlfn.TEXTJOIN(", ",TRUE,F21:F23)&amp;"}"</f>
        <v>{"label_1": "Deflator", "label_2": "CPI", "label_3": "PPI"}</v>
      </c>
      <c r="F21" t="str">
        <f t="shared" si="4"/>
        <v>"label_1": "Deflator"</v>
      </c>
      <c r="H21" t="s">
        <v>1996</v>
      </c>
      <c r="I21" t="s">
        <v>1994</v>
      </c>
      <c r="J21" t="s">
        <v>501</v>
      </c>
      <c r="K21" t="s">
        <v>1991</v>
      </c>
      <c r="L21" t="str">
        <f>'Дефлятор модель (CPI-PPI) (С-1)'!BR3</f>
        <v>Deflator</v>
      </c>
    </row>
    <row r="22" spans="1:12">
      <c r="F22" t="str">
        <f t="shared" si="4"/>
        <v>"label_2": "CPI"</v>
      </c>
      <c r="H22" t="s">
        <v>1996</v>
      </c>
      <c r="I22" t="s">
        <v>1994</v>
      </c>
      <c r="J22" t="s">
        <v>501</v>
      </c>
      <c r="K22" t="s">
        <v>1992</v>
      </c>
      <c r="L22" t="str">
        <f>'Дефлятор модель (CPI-PPI) (С-1)'!E1</f>
        <v>CPI</v>
      </c>
    </row>
    <row r="23" spans="1:12">
      <c r="F23" t="str">
        <f t="shared" si="4"/>
        <v>"label_3": "PPI"</v>
      </c>
      <c r="H23" t="s">
        <v>1996</v>
      </c>
      <c r="I23" t="s">
        <v>1994</v>
      </c>
      <c r="J23" t="s">
        <v>501</v>
      </c>
      <c r="K23" t="s">
        <v>1993</v>
      </c>
      <c r="L23" t="str">
        <f>'Дефлятор модель (CPI-PPI) (С-1)'!F1</f>
        <v>PPI</v>
      </c>
    </row>
    <row r="25" spans="1:12">
      <c r="B25" t="str">
        <f>CHAR(34)&amp;I25&amp;CHAR(34)&amp;": "&amp;C25</f>
        <v>"source": {"UKR": "Джерело: НБУ, розрахунки UEO", "RU": "Источник: НБУ, расчеты UEO", "ENG": "Source: NBU, UEO calculations"}</v>
      </c>
      <c r="C25" t="str">
        <f>"{"&amp;_xlfn.TEXTJOIN(", ",TRUE,F25:F27)&amp;"}"</f>
        <v>{"UKR": "Джерело: НБУ, розрахунки UEO", "RU": "Источник: НБУ, расчеты UEO", "ENG": "Source: NBU, UEO calculations"}</v>
      </c>
      <c r="F25" t="str">
        <f t="shared" ref="F25:F27" si="5">CHAR(34)&amp;J25&amp;CHAR(34)&amp;": "&amp;CHAR(34)&amp;K25&amp;CHAR(34)</f>
        <v>"UKR": "Джерело: НБУ, розрахунки UEO"</v>
      </c>
      <c r="H25" t="s">
        <v>1996</v>
      </c>
      <c r="I25" t="s">
        <v>1995</v>
      </c>
      <c r="J25" t="s">
        <v>502</v>
      </c>
      <c r="K25" t="str">
        <f>'Чарти 5-7'!H15</f>
        <v>Джерело: НБУ, розрахунки UEO</v>
      </c>
    </row>
    <row r="26" spans="1:12">
      <c r="F26" t="str">
        <f t="shared" si="5"/>
        <v>"RU": "Источник: НБУ, расчеты UEO"</v>
      </c>
      <c r="H26" t="s">
        <v>1996</v>
      </c>
      <c r="I26" t="s">
        <v>1995</v>
      </c>
      <c r="J26" t="s">
        <v>500</v>
      </c>
      <c r="K26" t="str">
        <f>'Чарти 5-7'!H13</f>
        <v>Источник: НБУ, расчеты UEO</v>
      </c>
    </row>
    <row r="27" spans="1:12">
      <c r="F27" t="str">
        <f t="shared" si="5"/>
        <v>"ENG": "Source: NBU, UEO calculations"</v>
      </c>
      <c r="H27" t="s">
        <v>1996</v>
      </c>
      <c r="I27" t="s">
        <v>1995</v>
      </c>
      <c r="J27" t="s">
        <v>501</v>
      </c>
      <c r="K27" t="str">
        <f>'Чарти 5-7'!H14</f>
        <v>Source: NBU, UEO calculations</v>
      </c>
    </row>
    <row r="30" spans="1:12">
      <c r="A30" s="914"/>
      <c r="B30" s="914"/>
      <c r="C30" s="914"/>
      <c r="D30" s="914"/>
      <c r="E30" s="914"/>
      <c r="F30" s="914"/>
      <c r="G30" s="914"/>
    </row>
    <row r="31" spans="1:12">
      <c r="A31" t="str">
        <f>"{"&amp;CHAR(34)&amp;H31&amp;CHAR(34)&amp;": "&amp;B31&amp;"}"</f>
        <v>{"Chart1": {"name": {"UKR": "Кількість нових вакансій і резюме в Україні в 2022-23 роках, тис. шт., % р-р", "RU": "Количество новых вакансий и резюме в Украине в 2022-23 годах, тыс. шт., % г-г", "ENG": "Number of new vacancies and resumes in Ukraine in 2022-23, thousand units, % yoy"},"indexes": {"index_0": [2022, 2022, 2022, 2022, 2022, 2022, 2022, 2022, 2022, 2022, 2022, 2022, 2023, 2023, 2023, 2023, 2023, 2023, 2023, 2023, 2023, 2023, 2023, 2023], "index_1": [1, 2, 3, 4, 5, 6, 7, 8, 9, 10, 11, 12, 1, 2, 3, 4, 5, 6, 7, 8, 9, 10, 11, 12]},"labels": {"label_1": [40.381, 58.487, 43.033, 8.669, 10.782, 15.028, 19.501, 21.386, 28.579, 30.204, 27.495, 29.017, 23.999, 37.073, 41.246, 44.971, 47.929, 54.925, 52.889, 51.746, 60.483, 58.685, 58.534, 53.444], "label_2": [79.98, 124.209, 54.927, 99.315, 131.221, 152.328, 152.8, 141.558, 136.579, 125.685, 113.485, 104.942, 84.114, 114.647, 114.043, 104.616, 93.132, 91.554, 97.444, 89.996, 89.702, 88.165, 88.247, 83.915]},"label_names": {"UKR": {"label_1": "Вакансії", "label_2": "Резюме"}, "RU": {"label_1": "Вакансии", "label_2": "Резюме"}, "ENG": {"label_1": "Vacancies", "label_2": "Resumes"}},"source": {"UKR": "Джерело: НБУ, Work.ua, розрахунки UEO", "RU": "Источник: НБУ, Work.ua, расчеты UEO", "ENG": "Source: NBU, Work.ua, UEO calculations"}}}</v>
      </c>
      <c r="B31" t="str">
        <f>"{"&amp;_xlfn.TEXTJOIN(",",TRUE,B32:B51)&amp;"}"</f>
        <v>{"name": {"UKR": "Кількість нових вакансій і резюме в Україні в 2022-23 роках, тис. шт., % р-р", "RU": "Количество новых вакансий и резюме в Украине в 2022-23 годах, тыс. шт., % г-г", "ENG": "Number of new vacancies and resumes in Ukraine in 2022-23, thousand units, % yoy"},"indexes": {"index_0": [2022, 2022, 2022, 2022, 2022, 2022, 2022, 2022, 2022, 2022, 2022, 2022, 2023, 2023, 2023, 2023, 2023, 2023, 2023, 2023, 2023, 2023, 2023, 2023], "index_1": [1, 2, 3, 4, 5, 6, 7, 8, 9, 10, 11, 12, 1, 2, 3, 4, 5, 6, 7, 8, 9, 10, 11, 12]},"labels": {"label_1": [40.381, 58.487, 43.033, 8.669, 10.782, 15.028, 19.501, 21.386, 28.579, 30.204, 27.495, 29.017, 23.999, 37.073, 41.246, 44.971, 47.929, 54.925, 52.889, 51.746, 60.483, 58.685, 58.534, 53.444], "label_2": [79.98, 124.209, 54.927, 99.315, 131.221, 152.328, 152.8, 141.558, 136.579, 125.685, 113.485, 104.942, 84.114, 114.647, 114.043, 104.616, 93.132, 91.554, 97.444, 89.996, 89.702, 88.165, 88.247, 83.915]},"label_names": {"UKR": {"label_1": "Вакансії", "label_2": "Резюме"}, "RU": {"label_1": "Вакансии", "label_2": "Резюме"}, "ENG": {"label_1": "Vacancies", "label_2": "Resumes"}},"source": {"UKR": "Джерело: НБУ, Work.ua, розрахунки UEO", "RU": "Источник: НБУ, Work.ua, расчеты UEO", "ENG": "Source: NBU, Work.ua, UEO calculations"}}</v>
      </c>
      <c r="H31" t="s">
        <v>1996</v>
      </c>
    </row>
    <row r="32" spans="1:12">
      <c r="B32" t="str">
        <f>CHAR(34)&amp;I32&amp;CHAR(34)&amp;": "&amp;C32</f>
        <v>"name": {"UKR": "Кількість нових вакансій і резюме в Україні в 2022-23 роках, тис. шт., % р-р", "RU": "Количество новых вакансий и резюме в Украине в 2022-23 годах, тыс. шт., % г-г", "ENG": "Number of new vacancies and resumes in Ukraine in 2022-23, thousand units, % yoy"}</v>
      </c>
      <c r="C32" t="str">
        <f>"{"&amp;_xlfn.TEXTJOIN(", ",TRUE,F32:F34)&amp;"}"</f>
        <v>{"UKR": "Кількість нових вакансій і резюме в Україні в 2022-23 роках, тис. шт., % р-р", "RU": "Количество новых вакансий и резюме в Украине в 2022-23 годах, тыс. шт., % г-г", "ENG": "Number of new vacancies and resumes in Ukraine in 2022-23, thousand units, % yoy"}</v>
      </c>
      <c r="F32" t="str">
        <f>CHAR(34)&amp;J32&amp;CHAR(34)&amp;": "&amp;CHAR(34)&amp;K32&amp;CHAR(34)</f>
        <v>"UKR": "Кількість нових вакансій і резюме в Україні в 2022-23 роках, тис. шт., % р-р"</v>
      </c>
      <c r="H32" t="s">
        <v>1996</v>
      </c>
      <c r="I32" t="s">
        <v>1986</v>
      </c>
      <c r="J32" t="s">
        <v>502</v>
      </c>
      <c r="K32" t="str">
        <f>'Чарти 5-7'!H110</f>
        <v>Кількість нових вакансій і резюме в Україні в 2022-23 роках, тис. шт., % р-р</v>
      </c>
    </row>
    <row r="33" spans="2:34">
      <c r="F33" t="str">
        <f>CHAR(34)&amp;J33&amp;CHAR(34)&amp;": "&amp;CHAR(34)&amp;K33&amp;CHAR(34)</f>
        <v>"RU": "Количество новых вакансий и резюме в Украине в 2022-23 годах, тыс. шт., % г-г"</v>
      </c>
      <c r="H33" t="s">
        <v>1996</v>
      </c>
      <c r="I33" t="s">
        <v>1986</v>
      </c>
      <c r="J33" t="s">
        <v>500</v>
      </c>
      <c r="K33" t="str">
        <f>'Чарти 5-7'!H108</f>
        <v>Количество новых вакансий и резюме в Украине в 2022-23 годах, тыс. шт., % г-г</v>
      </c>
    </row>
    <row r="34" spans="2:34">
      <c r="F34" t="str">
        <f>CHAR(34)&amp;J34&amp;CHAR(34)&amp;": "&amp;CHAR(34)&amp;K34&amp;CHAR(34)</f>
        <v>"ENG": "Number of new vacancies and resumes in Ukraine in 2022-23, thousand units, % yoy"</v>
      </c>
      <c r="H34" t="s">
        <v>1996</v>
      </c>
      <c r="I34" t="s">
        <v>1986</v>
      </c>
      <c r="J34" t="s">
        <v>501</v>
      </c>
      <c r="K34" t="str">
        <f>'Чарти 5-7'!H109</f>
        <v>Number of new vacancies and resumes in Ukraine in 2022-23, thousand units, % yoy</v>
      </c>
    </row>
    <row r="36" spans="2:34">
      <c r="B36" t="str">
        <f>CHAR(34)&amp;I36&amp;CHAR(34)&amp;": "&amp;C36</f>
        <v>"indexes": {"index_0": [2022, 2022, 2022, 2022, 2022, 2022, 2022, 2022, 2022, 2022, 2022, 2022, 2023, 2023, 2023, 2023, 2023, 2023, 2023, 2023, 2023, 2023, 2023, 2023], "index_1": [1, 2, 3, 4, 5, 6, 7, 8, 9, 10, 11, 12, 1, 2, 3, 4, 5, 6, 7, 8, 9, 10, 11, 12]}</v>
      </c>
      <c r="C36" t="str">
        <f>"{"&amp;_xlfn.TEXTJOIN(", ",TRUE,E36:E37)&amp;"}"</f>
        <v>{"index_0": [2022, 2022, 2022, 2022, 2022, 2022, 2022, 2022, 2022, 2022, 2022, 2022, 2023, 2023, 2023, 2023, 2023, 2023, 2023, 2023, 2023, 2023, 2023, 2023], "index_1": [1, 2, 3, 4, 5, 6, 7, 8, 9, 10, 11, 12, 1, 2, 3, 4, 5, 6, 7, 8, 9, 10, 11, 12]}</v>
      </c>
      <c r="E36" t="str">
        <f>CHAR(34)&amp;J36&amp;CHAR(34)&amp;": "&amp;F36</f>
        <v>"index_0": [2022, 2022, 2022, 2022, 2022, 2022, 2022, 2022, 2022, 2022, 2022, 2022, 2023, 2023, 2023, 2023, 2023, 2023, 2023, 2023, 2023, 2023, 2023, 2023]</v>
      </c>
      <c r="F36" s="158" t="str" cm="1">
        <f t="array" ref="F36">"["&amp;_xlfn.TEXTJOIN(", ",FALSE,SUBSTITUTE(K36:AH36,",","."))&amp;"]"</f>
        <v>[2022, 2022, 2022, 2022, 2022, 2022, 2022, 2022, 2022, 2022, 2022, 2022, 2023, 2023, 2023, 2023, 2023, 2023, 2023, 2023, 2023, 2023, 2023, 2023]</v>
      </c>
      <c r="H36" t="s">
        <v>1996</v>
      </c>
      <c r="I36" t="s">
        <v>1987</v>
      </c>
      <c r="J36" t="s">
        <v>1988</v>
      </c>
      <c r="K36">
        <f>IF('Ворк юа (вакансії)'!L4=0,J36,'Ворк юа (вакансії)'!L4)</f>
        <v>2022</v>
      </c>
      <c r="L36">
        <f>IF('Ворк юа (вакансії)'!M4=0,K36,'Ворк юа (вакансії)'!M4)</f>
        <v>2022</v>
      </c>
      <c r="M36">
        <f>IF('Ворк юа (вакансії)'!N4=0,L36,'Ворк юа (вакансії)'!N4)</f>
        <v>2022</v>
      </c>
      <c r="N36">
        <f>IF('Ворк юа (вакансії)'!O4=0,M36,'Ворк юа (вакансії)'!O4)</f>
        <v>2022</v>
      </c>
      <c r="O36">
        <f>IF('Ворк юа (вакансії)'!P4=0,N36,'Ворк юа (вакансії)'!P4)</f>
        <v>2022</v>
      </c>
      <c r="P36">
        <f>IF('Ворк юа (вакансії)'!Q4=0,O36,'Ворк юа (вакансії)'!Q4)</f>
        <v>2022</v>
      </c>
      <c r="Q36">
        <f>IF('Ворк юа (вакансії)'!R4=0,P36,'Ворк юа (вакансії)'!R4)</f>
        <v>2022</v>
      </c>
      <c r="R36">
        <f>IF('Ворк юа (вакансії)'!S4=0,Q36,'Ворк юа (вакансії)'!S4)</f>
        <v>2022</v>
      </c>
      <c r="S36">
        <f>IF('Ворк юа (вакансії)'!T4=0,R36,'Ворк юа (вакансії)'!T4)</f>
        <v>2022</v>
      </c>
      <c r="T36">
        <f>IF('Ворк юа (вакансії)'!U4=0,S36,'Ворк юа (вакансії)'!U4)</f>
        <v>2022</v>
      </c>
      <c r="U36">
        <f>IF('Ворк юа (вакансії)'!V4=0,T36,'Ворк юа (вакансії)'!V4)</f>
        <v>2022</v>
      </c>
      <c r="V36">
        <f>IF('Ворк юа (вакансії)'!W4=0,U36,'Ворк юа (вакансії)'!W4)</f>
        <v>2022</v>
      </c>
      <c r="W36">
        <f>IF('Ворк юа (вакансії)'!X4=0,V36,'Ворк юа (вакансії)'!X4)</f>
        <v>2023</v>
      </c>
      <c r="X36">
        <f>IF('Ворк юа (вакансії)'!Y4=0,W36,'Ворк юа (вакансії)'!Y4)</f>
        <v>2023</v>
      </c>
      <c r="Y36">
        <f>IF('Ворк юа (вакансії)'!Z4=0,X36,'Ворк юа (вакансії)'!Z4)</f>
        <v>2023</v>
      </c>
      <c r="Z36">
        <f>IF('Ворк юа (вакансії)'!AA4=0,Y36,'Ворк юа (вакансії)'!AA4)</f>
        <v>2023</v>
      </c>
      <c r="AA36">
        <f>IF('Ворк юа (вакансії)'!AB4=0,Z36,'Ворк юа (вакансії)'!AB4)</f>
        <v>2023</v>
      </c>
      <c r="AB36">
        <f>IF('Ворк юа (вакансії)'!AC4=0,AA36,'Ворк юа (вакансії)'!AC4)</f>
        <v>2023</v>
      </c>
      <c r="AC36">
        <f>IF('Ворк юа (вакансії)'!AD4=0,AB36,'Ворк юа (вакансії)'!AD4)</f>
        <v>2023</v>
      </c>
      <c r="AD36">
        <f>IF('Ворк юа (вакансії)'!AE4=0,AC36,'Ворк юа (вакансії)'!AE4)</f>
        <v>2023</v>
      </c>
      <c r="AE36">
        <f>IF('Ворк юа (вакансії)'!AF4=0,AD36,'Ворк юа (вакансії)'!AF4)</f>
        <v>2023</v>
      </c>
      <c r="AF36">
        <f>IF('Ворк юа (вакансії)'!AG4=0,AE36,'Ворк юа (вакансії)'!AG4)</f>
        <v>2023</v>
      </c>
      <c r="AG36">
        <f>IF('Ворк юа (вакансії)'!AH4=0,AF36,'Ворк юа (вакансії)'!AH4)</f>
        <v>2023</v>
      </c>
      <c r="AH36">
        <f>IF('Ворк юа (вакансії)'!AI4=0,AG36,'Ворк юа (вакансії)'!AI4)</f>
        <v>2023</v>
      </c>
    </row>
    <row r="37" spans="2:34">
      <c r="E37" t="str">
        <f>CHAR(34)&amp;J37&amp;CHAR(34)&amp;": "&amp;F37</f>
        <v>"index_1": [1, 2, 3, 4, 5, 6, 7, 8, 9, 10, 11, 12, 1, 2, 3, 4, 5, 6, 7, 8, 9, 10, 11, 12]</v>
      </c>
      <c r="F37" s="158" t="str" cm="1">
        <f t="array" ref="F37">"["&amp;_xlfn.TEXTJOIN(", ",FALSE,SUBSTITUTE(K37:AH37,",","."))&amp;"]"</f>
        <v>[1, 2, 3, 4, 5, 6, 7, 8, 9, 10, 11, 12, 1, 2, 3, 4, 5, 6, 7, 8, 9, 10, 11, 12]</v>
      </c>
      <c r="H37" t="s">
        <v>1996</v>
      </c>
      <c r="I37" t="s">
        <v>1987</v>
      </c>
      <c r="J37" t="s">
        <v>1989</v>
      </c>
      <c r="K37" cm="1">
        <f t="array" ref="K37:AH37">'Ворк юа (вакансії)'!L5:AI5</f>
        <v>1</v>
      </c>
      <c r="L37">
        <v>2</v>
      </c>
      <c r="M37">
        <v>3</v>
      </c>
      <c r="N37">
        <v>4</v>
      </c>
      <c r="O37">
        <v>5</v>
      </c>
      <c r="P37">
        <v>6</v>
      </c>
      <c r="Q37">
        <v>7</v>
      </c>
      <c r="R37">
        <v>8</v>
      </c>
      <c r="S37">
        <v>9</v>
      </c>
      <c r="T37">
        <v>10</v>
      </c>
      <c r="U37">
        <v>11</v>
      </c>
      <c r="V37">
        <v>12</v>
      </c>
      <c r="W37">
        <v>1</v>
      </c>
      <c r="X37">
        <v>2</v>
      </c>
      <c r="Y37">
        <v>3</v>
      </c>
      <c r="Z37">
        <v>4</v>
      </c>
      <c r="AA37">
        <v>5</v>
      </c>
      <c r="AB37">
        <v>6</v>
      </c>
      <c r="AC37">
        <v>7</v>
      </c>
      <c r="AD37">
        <v>8</v>
      </c>
      <c r="AE37">
        <v>9</v>
      </c>
      <c r="AF37">
        <v>10</v>
      </c>
      <c r="AG37">
        <v>11</v>
      </c>
      <c r="AH37">
        <v>12</v>
      </c>
    </row>
    <row r="39" spans="2:34">
      <c r="B39" t="str">
        <f>CHAR(34)&amp;I39&amp;CHAR(34)&amp;": "&amp;C39</f>
        <v>"labels": {"label_1": [40.381, 58.487, 43.033, 8.669, 10.782, 15.028, 19.501, 21.386, 28.579, 30.204, 27.495, 29.017, 23.999, 37.073, 41.246, 44.971, 47.929, 54.925, 52.889, 51.746, 60.483, 58.685, 58.534, 53.444], "label_2": [79.98, 124.209, 54.927, 99.315, 131.221, 152.328, 152.8, 141.558, 136.579, 125.685, 113.485, 104.942, 84.114, 114.647, 114.043, 104.616, 93.132, 91.554, 97.444, 89.996, 89.702, 88.165, 88.247, 83.915]}</v>
      </c>
      <c r="C39" t="str">
        <f>"{"&amp;_xlfn.TEXTJOIN(", ",TRUE,E39:E40)&amp;"}"</f>
        <v>{"label_1": [40.381, 58.487, 43.033, 8.669, 10.782, 15.028, 19.501, 21.386, 28.579, 30.204, 27.495, 29.017, 23.999, 37.073, 41.246, 44.971, 47.929, 54.925, 52.889, 51.746, 60.483, 58.685, 58.534, 53.444], "label_2": [79.98, 124.209, 54.927, 99.315, 131.221, 152.328, 152.8, 141.558, 136.579, 125.685, 113.485, 104.942, 84.114, 114.647, 114.043, 104.616, 93.132, 91.554, 97.444, 89.996, 89.702, 88.165, 88.247, 83.915]}</v>
      </c>
      <c r="E39" t="str">
        <f>CHAR(34)&amp;J39&amp;CHAR(34)&amp;": "&amp;F39</f>
        <v>"label_1": [40.381, 58.487, 43.033, 8.669, 10.782, 15.028, 19.501, 21.386, 28.579, 30.204, 27.495, 29.017, 23.999, 37.073, 41.246, 44.971, 47.929, 54.925, 52.889, 51.746, 60.483, 58.685, 58.534, 53.444]</v>
      </c>
      <c r="F39" s="158" t="str" cm="1">
        <f t="array" ref="F39">"["&amp;_xlfn.TEXTJOIN(", ",FALSE,SUBSTITUTE(_xlfn.ANCHORARRAY(K39),",","."))&amp;"]"</f>
        <v>[40.381, 58.487, 43.033, 8.669, 10.782, 15.028, 19.501, 21.386, 28.579, 30.204, 27.495, 29.017, 23.999, 37.073, 41.246, 44.971, 47.929, 54.925, 52.889, 51.746, 60.483, 58.685, 58.534, 53.444]</v>
      </c>
      <c r="H39" t="s">
        <v>1996</v>
      </c>
      <c r="I39" t="s">
        <v>1990</v>
      </c>
      <c r="J39" t="s">
        <v>1991</v>
      </c>
      <c r="K39" s="916" cm="1">
        <f t="array" ref="K39:AH39">'Ворк юа (вакансії)'!L6:AI6</f>
        <v>40.381</v>
      </c>
      <c r="L39" s="158">
        <v>58.487000000000002</v>
      </c>
      <c r="M39" s="158">
        <v>43.033000000000001</v>
      </c>
      <c r="N39" s="158">
        <v>8.6690000000000005</v>
      </c>
      <c r="O39" s="158">
        <v>10.782</v>
      </c>
      <c r="P39" s="158">
        <v>15.028</v>
      </c>
      <c r="Q39" s="158">
        <v>19.501000000000001</v>
      </c>
      <c r="R39" s="158">
        <v>21.385999999999999</v>
      </c>
      <c r="S39" s="158">
        <v>28.579000000000001</v>
      </c>
      <c r="T39" s="158">
        <v>30.204000000000001</v>
      </c>
      <c r="U39" s="158">
        <v>27.495000000000001</v>
      </c>
      <c r="V39" s="158">
        <v>29.016999999999999</v>
      </c>
      <c r="W39" s="158">
        <v>23.998999999999999</v>
      </c>
      <c r="X39" s="158">
        <v>37.073</v>
      </c>
      <c r="Y39" s="158">
        <v>41.246000000000002</v>
      </c>
      <c r="Z39" s="158">
        <v>44.970999999999997</v>
      </c>
      <c r="AA39" s="158">
        <v>47.929000000000002</v>
      </c>
      <c r="AB39" s="158">
        <v>54.924999999999997</v>
      </c>
      <c r="AC39" s="158">
        <v>52.889000000000003</v>
      </c>
      <c r="AD39" s="158">
        <v>51.746000000000002</v>
      </c>
      <c r="AE39" s="158">
        <v>60.482999999999997</v>
      </c>
      <c r="AF39" s="158">
        <v>58.685000000000002</v>
      </c>
      <c r="AG39" s="158">
        <v>58.533999999999999</v>
      </c>
      <c r="AH39" s="158">
        <v>53.444000000000003</v>
      </c>
    </row>
    <row r="40" spans="2:34">
      <c r="E40" t="str">
        <f t="shared" ref="E40" si="6">CHAR(34)&amp;J40&amp;CHAR(34)&amp;": "&amp;F40</f>
        <v>"label_2": [79.98, 124.209, 54.927, 99.315, 131.221, 152.328, 152.8, 141.558, 136.579, 125.685, 113.485, 104.942, 84.114, 114.647, 114.043, 104.616, 93.132, 91.554, 97.444, 89.996, 89.702, 88.165, 88.247, 83.915]</v>
      </c>
      <c r="F40" s="158" t="str" cm="1">
        <f t="array" ref="F40">"["&amp;_xlfn.TEXTJOIN(", ",FALSE,SUBSTITUTE(_xlfn.ANCHORARRAY(K40),",","."))&amp;"]"</f>
        <v>[79.98, 124.209, 54.927, 99.315, 131.221, 152.328, 152.8, 141.558, 136.579, 125.685, 113.485, 104.942, 84.114, 114.647, 114.043, 104.616, 93.132, 91.554, 97.444, 89.996, 89.702, 88.165, 88.247, 83.915]</v>
      </c>
      <c r="H40" t="s">
        <v>1996</v>
      </c>
      <c r="I40" t="s">
        <v>1990</v>
      </c>
      <c r="J40" t="s">
        <v>1992</v>
      </c>
      <c r="K40" s="916" cm="1">
        <f t="array" ref="K40:AH40">'Ворк юа (вакансії)'!L7:AI7</f>
        <v>79.98</v>
      </c>
      <c r="L40" s="158">
        <v>124.209</v>
      </c>
      <c r="M40" s="158">
        <v>54.927</v>
      </c>
      <c r="N40" s="158">
        <v>99.314999999999998</v>
      </c>
      <c r="O40" s="158">
        <v>131.221</v>
      </c>
      <c r="P40" s="158">
        <v>152.328</v>
      </c>
      <c r="Q40" s="158">
        <v>152.80000000000001</v>
      </c>
      <c r="R40" s="158">
        <v>141.55799999999999</v>
      </c>
      <c r="S40" s="158">
        <v>136.57900000000001</v>
      </c>
      <c r="T40" s="158">
        <v>125.685</v>
      </c>
      <c r="U40" s="158">
        <v>113.485</v>
      </c>
      <c r="V40" s="158">
        <v>104.94199999999999</v>
      </c>
      <c r="W40" s="158">
        <v>84.114000000000004</v>
      </c>
      <c r="X40" s="158">
        <v>114.64700000000001</v>
      </c>
      <c r="Y40" s="158">
        <v>114.04300000000001</v>
      </c>
      <c r="Z40" s="158">
        <v>104.616</v>
      </c>
      <c r="AA40" s="158">
        <v>93.132000000000005</v>
      </c>
      <c r="AB40" s="158">
        <v>91.554000000000002</v>
      </c>
      <c r="AC40" s="158">
        <v>97.444000000000003</v>
      </c>
      <c r="AD40" s="158">
        <v>89.995999999999995</v>
      </c>
      <c r="AE40" s="158">
        <v>89.701999999999998</v>
      </c>
      <c r="AF40" s="158">
        <v>88.165000000000006</v>
      </c>
      <c r="AG40" s="158">
        <v>88.247</v>
      </c>
      <c r="AH40" s="158">
        <v>83.915000000000006</v>
      </c>
    </row>
    <row r="42" spans="2:34">
      <c r="B42" t="str">
        <f>CHAR(34)&amp;I42&amp;CHAR(34)&amp;": "&amp;C42</f>
        <v>"label_names": {"UKR": {"label_1": "Вакансії", "label_2": "Резюме"}, "RU": {"label_1": "Вакансии", "label_2": "Резюме"}, "ENG": {"label_1": "Vacancies", "label_2": "Resumes"}}</v>
      </c>
      <c r="C42" t="str">
        <f>"{"&amp;_xlfn.TEXTJOIN(", ",TRUE,D42:D47)&amp;"}"</f>
        <v>{"UKR": {"label_1": "Вакансії", "label_2": "Резюме"}, "RU": {"label_1": "Вакансии", "label_2": "Резюме"}, "ENG": {"label_1": "Vacancies", "label_2": "Resumes"}}</v>
      </c>
      <c r="D42" t="str">
        <f>CHAR(34)&amp;J42&amp;CHAR(34)&amp;": "&amp;E42</f>
        <v>"UKR": {"label_1": "Вакансії", "label_2": "Резюме"}</v>
      </c>
      <c r="E42" t="str">
        <f>"{"&amp;_xlfn.TEXTJOIN(", ",TRUE,F42:F43)&amp;"}"</f>
        <v>{"label_1": "Вакансії", "label_2": "Резюме"}</v>
      </c>
      <c r="F42" t="str">
        <f t="shared" ref="F42:F47" si="7">CHAR(34)&amp;K42&amp;CHAR(34)&amp;": "&amp;CHAR(34)&amp;L42&amp;CHAR(34)</f>
        <v>"label_1": "Вакансії"</v>
      </c>
      <c r="H42" t="s">
        <v>1996</v>
      </c>
      <c r="I42" t="s">
        <v>1994</v>
      </c>
      <c r="J42" t="s">
        <v>502</v>
      </c>
      <c r="K42" t="s">
        <v>1991</v>
      </c>
      <c r="L42" t="str">
        <f>'Ворк юа (вакансії)'!K17</f>
        <v>Вакансії</v>
      </c>
    </row>
    <row r="43" spans="2:34">
      <c r="F43" t="str">
        <f t="shared" si="7"/>
        <v>"label_2": "Резюме"</v>
      </c>
      <c r="H43" t="s">
        <v>1996</v>
      </c>
      <c r="I43" t="s">
        <v>1994</v>
      </c>
      <c r="J43" t="s">
        <v>502</v>
      </c>
      <c r="K43" t="s">
        <v>1992</v>
      </c>
      <c r="L43" t="str">
        <f>'Ворк юа (вакансії)'!K18</f>
        <v>Резюме</v>
      </c>
    </row>
    <row r="44" spans="2:34">
      <c r="D44" t="str">
        <f>CHAR(34)&amp;J44&amp;CHAR(34)&amp;": "&amp;E44</f>
        <v>"RU": {"label_1": "Вакансии", "label_2": "Резюме"}</v>
      </c>
      <c r="E44" t="str">
        <f>"{"&amp;_xlfn.TEXTJOIN(", ",TRUE,F44:F45)&amp;"}"</f>
        <v>{"label_1": "Вакансии", "label_2": "Резюме"}</v>
      </c>
      <c r="F44" t="str">
        <f t="shared" si="7"/>
        <v>"label_1": "Вакансии"</v>
      </c>
      <c r="H44" t="s">
        <v>1996</v>
      </c>
      <c r="I44" t="s">
        <v>1994</v>
      </c>
      <c r="J44" t="s">
        <v>500</v>
      </c>
      <c r="K44" t="s">
        <v>1991</v>
      </c>
      <c r="L44" t="str">
        <f>'Ворк юа (вакансії)'!M17</f>
        <v>Вакансии</v>
      </c>
    </row>
    <row r="45" spans="2:34">
      <c r="F45" t="str">
        <f t="shared" si="7"/>
        <v>"label_2": "Резюме"</v>
      </c>
      <c r="H45" t="s">
        <v>1996</v>
      </c>
      <c r="I45" t="s">
        <v>1994</v>
      </c>
      <c r="J45" t="s">
        <v>500</v>
      </c>
      <c r="K45" t="s">
        <v>1992</v>
      </c>
      <c r="L45" t="str">
        <f>'Ворк юа (вакансії)'!M18</f>
        <v>Резюме</v>
      </c>
    </row>
    <row r="46" spans="2:34">
      <c r="D46" t="str">
        <f>CHAR(34)&amp;J46&amp;CHAR(34)&amp;": "&amp;E46</f>
        <v>"ENG": {"label_1": "Vacancies", "label_2": "Resumes"}</v>
      </c>
      <c r="E46" t="str">
        <f>"{"&amp;_xlfn.TEXTJOIN(", ",TRUE,F46:F47)&amp;"}"</f>
        <v>{"label_1": "Vacancies", "label_2": "Resumes"}</v>
      </c>
      <c r="F46" t="str">
        <f t="shared" si="7"/>
        <v>"label_1": "Vacancies"</v>
      </c>
      <c r="H46" t="s">
        <v>1996</v>
      </c>
      <c r="I46" t="s">
        <v>1994</v>
      </c>
      <c r="J46" t="s">
        <v>501</v>
      </c>
      <c r="K46" t="s">
        <v>1991</v>
      </c>
      <c r="L46" t="str">
        <f>'Ворк юа (вакансії)'!L17</f>
        <v>Vacancies</v>
      </c>
    </row>
    <row r="47" spans="2:34">
      <c r="F47" t="str">
        <f t="shared" si="7"/>
        <v>"label_2": "Resumes"</v>
      </c>
      <c r="H47" t="s">
        <v>1996</v>
      </c>
      <c r="I47" t="s">
        <v>1994</v>
      </c>
      <c r="J47" t="s">
        <v>501</v>
      </c>
      <c r="K47" t="s">
        <v>1992</v>
      </c>
      <c r="L47" t="str">
        <f>'Ворк юа (вакансії)'!L18</f>
        <v>Resumes</v>
      </c>
    </row>
    <row r="49" spans="1:34">
      <c r="B49" t="str">
        <f>CHAR(34)&amp;I49&amp;CHAR(34)&amp;": "&amp;C49</f>
        <v>"source": {"UKR": "Джерело: НБУ, Work.ua, розрахунки UEO", "RU": "Источник: НБУ, Work.ua, расчеты UEO", "ENG": "Source: NBU, Work.ua, UEO calculations"}</v>
      </c>
      <c r="C49" t="str">
        <f>"{"&amp;_xlfn.TEXTJOIN(", ",TRUE,F49:F51)&amp;"}"</f>
        <v>{"UKR": "Джерело: НБУ, Work.ua, розрахунки UEO", "RU": "Источник: НБУ, Work.ua, расчеты UEO", "ENG": "Source: NBU, Work.ua, UEO calculations"}</v>
      </c>
      <c r="F49" t="str">
        <f t="shared" ref="F49:F51" si="8">CHAR(34)&amp;J49&amp;CHAR(34)&amp;": "&amp;CHAR(34)&amp;K49&amp;CHAR(34)</f>
        <v>"UKR": "Джерело: НБУ, Work.ua, розрахунки UEO"</v>
      </c>
      <c r="H49" t="s">
        <v>1996</v>
      </c>
      <c r="I49" t="s">
        <v>1995</v>
      </c>
      <c r="J49" t="s">
        <v>502</v>
      </c>
      <c r="K49" t="str">
        <f>'Чарти 5-7'!I121</f>
        <v>Джерело: НБУ, Work.ua, розрахунки UEO</v>
      </c>
    </row>
    <row r="50" spans="1:34">
      <c r="F50" t="str">
        <f t="shared" si="8"/>
        <v>"RU": "Источник: НБУ, Work.ua, расчеты UEO"</v>
      </c>
      <c r="H50" t="s">
        <v>1996</v>
      </c>
      <c r="I50" t="s">
        <v>1995</v>
      </c>
      <c r="J50" t="s">
        <v>500</v>
      </c>
      <c r="K50" t="str">
        <f>'Чарти 5-7'!I119</f>
        <v>Источник: НБУ, Work.ua, расчеты UEO</v>
      </c>
    </row>
    <row r="51" spans="1:34">
      <c r="F51" t="str">
        <f t="shared" si="8"/>
        <v>"ENG": "Source: NBU, Work.ua, UEO calculations"</v>
      </c>
      <c r="H51" t="s">
        <v>1996</v>
      </c>
      <c r="I51" t="s">
        <v>1995</v>
      </c>
      <c r="J51" t="s">
        <v>501</v>
      </c>
      <c r="K51" t="str">
        <f>'Чарти 5-7'!I120</f>
        <v>Source: NBU, Work.ua, UEO calculations</v>
      </c>
    </row>
    <row r="54" spans="1:34">
      <c r="A54" s="914"/>
      <c r="B54" s="914"/>
      <c r="C54" s="914"/>
      <c r="D54" s="914"/>
      <c r="E54" s="914"/>
      <c r="F54" s="914"/>
      <c r="G54" s="914"/>
    </row>
    <row r="55" spans="1:34">
      <c r="A55" t="str">
        <f>"{"&amp;CHAR(34)&amp;H55&amp;CHAR(34)&amp;": "&amp;B55&amp;"}"</f>
        <v>{"Chart1": {"name": {"UKR": "Рівень безробіття в Україні в 2022-23 роках, %", "RU": "Уровень безработицы в Украине в 2022-23 годах, %", "ENG": "Unemployment rate in Ukraine in 2022-23, %"},"indexes": {"index_0": [2022, 2022, 2022, 2022, 2022, 2022, 2022, 2022, 2022, 2022, 2022, 2022, 2023], "index_1": [1, 2, 3, 4, 5, 6, 7, 8, 9, 10, 11, 12, 1]},"labels": {"label_1": [0.105, 0.086, 0.295, 0.272, 0.307, 0.26, 0.282, 0.26, 0.215, 0.229, 0.197, 0.223, 0.216, 0.242, 0.205, 0.208, 0.177, 0.214, 0.166, 0.151, 0.159, 0.184, 0.2, 0.161]},"source": {"UKR": "Джерело: Info Sapiens ", "RU": "Источник: Info Sapiens ", "ENG": "Source: Info Sapiens "}}}</v>
      </c>
      <c r="B55" t="str">
        <f>"{"&amp;_xlfn.TEXTJOIN(",",TRUE,B56:B68)&amp;"}"</f>
        <v>{"name": {"UKR": "Рівень безробіття в Україні в 2022-23 роках, %", "RU": "Уровень безработицы в Украине в 2022-23 годах, %", "ENG": "Unemployment rate in Ukraine in 2022-23, %"},"indexes": {"index_0": [2022, 2022, 2022, 2022, 2022, 2022, 2022, 2022, 2022, 2022, 2022, 2022, 2023], "index_1": [1, 2, 3, 4, 5, 6, 7, 8, 9, 10, 11, 12, 1]},"labels": {"label_1": [0.105, 0.086, 0.295, 0.272, 0.307, 0.26, 0.282, 0.26, 0.215, 0.229, 0.197, 0.223, 0.216, 0.242, 0.205, 0.208, 0.177, 0.214, 0.166, 0.151, 0.159, 0.184, 0.2, 0.161]},"source": {"UKR": "Джерело: Info Sapiens ", "RU": "Источник: Info Sapiens ", "ENG": "Source: Info Sapiens "}}</v>
      </c>
      <c r="H55" t="s">
        <v>1996</v>
      </c>
    </row>
    <row r="56" spans="1:34">
      <c r="B56" t="str">
        <f>CHAR(34)&amp;I56&amp;CHAR(34)&amp;": "&amp;C56</f>
        <v>"name": {"UKR": "Рівень безробіття в Україні в 2022-23 роках, %", "RU": "Уровень безработицы в Украине в 2022-23 годах, %", "ENG": "Unemployment rate in Ukraine in 2022-23, %"}</v>
      </c>
      <c r="C56" t="str">
        <f>"{"&amp;_xlfn.TEXTJOIN(", ",TRUE,F56:F58)&amp;"}"</f>
        <v>{"UKR": "Рівень безробіття в Україні в 2022-23 роках, %", "RU": "Уровень безработицы в Украине в 2022-23 годах, %", "ENG": "Unemployment rate in Ukraine in 2022-23, %"}</v>
      </c>
      <c r="F56" t="str">
        <f>CHAR(34)&amp;J56&amp;CHAR(34)&amp;": "&amp;CHAR(34)&amp;K56&amp;CHAR(34)</f>
        <v>"UKR": "Рівень безробіття в Україні в 2022-23 роках, %"</v>
      </c>
      <c r="H56" t="s">
        <v>1996</v>
      </c>
      <c r="I56" t="s">
        <v>1986</v>
      </c>
      <c r="J56" t="s">
        <v>502</v>
      </c>
      <c r="K56" t="str">
        <f>'Чарти 5-7'!H161</f>
        <v>Рівень безробіття в Україні в 2022-23 роках, %</v>
      </c>
    </row>
    <row r="57" spans="1:34">
      <c r="F57" t="str">
        <f>CHAR(34)&amp;J57&amp;CHAR(34)&amp;": "&amp;CHAR(34)&amp;K57&amp;CHAR(34)</f>
        <v>"RU": "Уровень безработицы в Украине в 2022-23 годах, %"</v>
      </c>
      <c r="H57" t="s">
        <v>1996</v>
      </c>
      <c r="I57" t="s">
        <v>1986</v>
      </c>
      <c r="J57" t="s">
        <v>500</v>
      </c>
      <c r="K57" t="str">
        <f>'Чарти 5-7'!H159</f>
        <v>Уровень безработицы в Украине в 2022-23 годах, %</v>
      </c>
    </row>
    <row r="58" spans="1:34">
      <c r="F58" t="str">
        <f>CHAR(34)&amp;J58&amp;CHAR(34)&amp;": "&amp;CHAR(34)&amp;K58&amp;CHAR(34)</f>
        <v>"ENG": "Unemployment rate in Ukraine in 2022-23, %"</v>
      </c>
      <c r="H58" t="s">
        <v>1996</v>
      </c>
      <c r="I58" t="s">
        <v>1986</v>
      </c>
      <c r="J58" t="s">
        <v>501</v>
      </c>
      <c r="K58" t="str">
        <f>'Чарти 5-7'!H160</f>
        <v>Unemployment rate in Ukraine in 2022-23, %</v>
      </c>
    </row>
    <row r="59" spans="1:34">
      <c r="K59" cm="1">
        <f t="array" ref="K59:AH59">TRANSPOSE('Беробіття '!$A$6:$A$29)</f>
        <v>2022</v>
      </c>
      <c r="L59">
        <v>0</v>
      </c>
      <c r="M59">
        <v>0</v>
      </c>
      <c r="N59">
        <v>0</v>
      </c>
      <c r="O59">
        <v>0</v>
      </c>
      <c r="P59">
        <v>0</v>
      </c>
      <c r="Q59">
        <v>0</v>
      </c>
      <c r="R59">
        <v>0</v>
      </c>
      <c r="S59">
        <v>0</v>
      </c>
      <c r="T59">
        <v>0</v>
      </c>
      <c r="U59">
        <v>0</v>
      </c>
      <c r="V59">
        <v>0</v>
      </c>
      <c r="W59">
        <v>2023</v>
      </c>
      <c r="X59">
        <v>0</v>
      </c>
      <c r="Y59">
        <v>0</v>
      </c>
      <c r="Z59">
        <v>0</v>
      </c>
      <c r="AA59">
        <v>0</v>
      </c>
      <c r="AB59">
        <v>0</v>
      </c>
      <c r="AC59">
        <v>0</v>
      </c>
      <c r="AD59">
        <v>0</v>
      </c>
      <c r="AE59">
        <v>0</v>
      </c>
      <c r="AF59">
        <v>0</v>
      </c>
      <c r="AG59">
        <v>0</v>
      </c>
      <c r="AH59">
        <v>0</v>
      </c>
    </row>
    <row r="60" spans="1:34">
      <c r="B60" t="str">
        <f>CHAR(34)&amp;I60&amp;CHAR(34)&amp;": "&amp;C60</f>
        <v>"indexes": {"index_0": [2022, 2022, 2022, 2022, 2022, 2022, 2022, 2022, 2022, 2022, 2022, 2022, 2023], "index_1": [1, 2, 3, 4, 5, 6, 7, 8, 9, 10, 11, 12, 1]}</v>
      </c>
      <c r="C60" t="str">
        <f>"{"&amp;_xlfn.TEXTJOIN(", ",TRUE,E60:E61)&amp;"}"</f>
        <v>{"index_0": [2022, 2022, 2022, 2022, 2022, 2022, 2022, 2022, 2022, 2022, 2022, 2022, 2023], "index_1": [1, 2, 3, 4, 5, 6, 7, 8, 9, 10, 11, 12, 1]}</v>
      </c>
      <c r="E60" t="str">
        <f>CHAR(34)&amp;J60&amp;CHAR(34)&amp;": "&amp;F60</f>
        <v>"index_0": [2022, 2022, 2022, 2022, 2022, 2022, 2022, 2022, 2022, 2022, 2022, 2022, 2023]</v>
      </c>
      <c r="F60" s="158" t="str" cm="1">
        <f t="array" ref="F60">"["&amp;_xlfn.TEXTJOIN(", ",FALSE,SUBSTITUTE(K60:W60,",","."))&amp;"]"</f>
        <v>[2022, 2022, 2022, 2022, 2022, 2022, 2022, 2022, 2022, 2022, 2022, 2022, 2023]</v>
      </c>
      <c r="H60" t="s">
        <v>1996</v>
      </c>
      <c r="I60" t="s">
        <v>1987</v>
      </c>
      <c r="J60" t="s">
        <v>1988</v>
      </c>
      <c r="K60">
        <f>IF(K59=0,J60,K59)</f>
        <v>2022</v>
      </c>
      <c r="L60">
        <f t="shared" ref="L60:AH60" si="9">IF(L59=0,K60,L59)</f>
        <v>2022</v>
      </c>
      <c r="M60">
        <f t="shared" si="9"/>
        <v>2022</v>
      </c>
      <c r="N60">
        <f t="shared" si="9"/>
        <v>2022</v>
      </c>
      <c r="O60">
        <f t="shared" si="9"/>
        <v>2022</v>
      </c>
      <c r="P60">
        <f t="shared" si="9"/>
        <v>2022</v>
      </c>
      <c r="Q60">
        <f t="shared" si="9"/>
        <v>2022</v>
      </c>
      <c r="R60">
        <f t="shared" si="9"/>
        <v>2022</v>
      </c>
      <c r="S60">
        <f t="shared" si="9"/>
        <v>2022</v>
      </c>
      <c r="T60">
        <f t="shared" si="9"/>
        <v>2022</v>
      </c>
      <c r="U60">
        <f t="shared" si="9"/>
        <v>2022</v>
      </c>
      <c r="V60">
        <f t="shared" si="9"/>
        <v>2022</v>
      </c>
      <c r="W60">
        <f t="shared" si="9"/>
        <v>2023</v>
      </c>
      <c r="X60">
        <f t="shared" si="9"/>
        <v>2023</v>
      </c>
      <c r="Y60">
        <f t="shared" si="9"/>
        <v>2023</v>
      </c>
      <c r="Z60">
        <f t="shared" si="9"/>
        <v>2023</v>
      </c>
      <c r="AA60">
        <f t="shared" si="9"/>
        <v>2023</v>
      </c>
      <c r="AB60">
        <f t="shared" si="9"/>
        <v>2023</v>
      </c>
      <c r="AC60">
        <f t="shared" si="9"/>
        <v>2023</v>
      </c>
      <c r="AD60">
        <f t="shared" si="9"/>
        <v>2023</v>
      </c>
      <c r="AE60">
        <f t="shared" si="9"/>
        <v>2023</v>
      </c>
      <c r="AF60">
        <f t="shared" si="9"/>
        <v>2023</v>
      </c>
      <c r="AG60">
        <f t="shared" si="9"/>
        <v>2023</v>
      </c>
      <c r="AH60">
        <f t="shared" si="9"/>
        <v>2023</v>
      </c>
    </row>
    <row r="61" spans="1:34">
      <c r="E61" t="str">
        <f>CHAR(34)&amp;J61&amp;CHAR(34)&amp;": "&amp;F61</f>
        <v>"index_1": [1, 2, 3, 4, 5, 6, 7, 8, 9, 10, 11, 12, 1]</v>
      </c>
      <c r="F61" s="158" t="str" cm="1">
        <f t="array" ref="F61">"["&amp;_xlfn.TEXTJOIN(", ",FALSE,SUBSTITUTE(K61:W61,",","."))&amp;"]"</f>
        <v>[1, 2, 3, 4, 5, 6, 7, 8, 9, 10, 11, 12, 1]</v>
      </c>
      <c r="H61" t="s">
        <v>1996</v>
      </c>
      <c r="I61" t="s">
        <v>1987</v>
      </c>
      <c r="J61" t="s">
        <v>1989</v>
      </c>
      <c r="K61" cm="1">
        <f t="array" ref="K61:AH61">TRANSPOSE('Беробіття '!$B$6:$B$29)</f>
        <v>1</v>
      </c>
      <c r="L61">
        <v>2</v>
      </c>
      <c r="M61">
        <v>3</v>
      </c>
      <c r="N61">
        <v>4</v>
      </c>
      <c r="O61">
        <v>5</v>
      </c>
      <c r="P61">
        <v>6</v>
      </c>
      <c r="Q61">
        <v>7</v>
      </c>
      <c r="R61">
        <v>8</v>
      </c>
      <c r="S61">
        <v>9</v>
      </c>
      <c r="T61">
        <v>10</v>
      </c>
      <c r="U61">
        <v>11</v>
      </c>
      <c r="V61">
        <v>12</v>
      </c>
      <c r="W61">
        <v>1</v>
      </c>
      <c r="X61">
        <v>2</v>
      </c>
      <c r="Y61">
        <v>3</v>
      </c>
      <c r="Z61">
        <v>4</v>
      </c>
      <c r="AA61">
        <v>5</v>
      </c>
      <c r="AB61">
        <v>6</v>
      </c>
      <c r="AC61">
        <v>7</v>
      </c>
      <c r="AD61">
        <v>8</v>
      </c>
      <c r="AE61">
        <v>9</v>
      </c>
      <c r="AF61">
        <v>10</v>
      </c>
      <c r="AG61">
        <v>11</v>
      </c>
      <c r="AH61">
        <v>12</v>
      </c>
    </row>
    <row r="63" spans="1:34">
      <c r="B63" t="str">
        <f>CHAR(34)&amp;I63&amp;CHAR(34)&amp;": "&amp;C63</f>
        <v>"labels": {"label_1": [0.105, 0.086, 0.295, 0.272, 0.307, 0.26, 0.282, 0.26, 0.215, 0.229, 0.197, 0.223, 0.216, 0.242, 0.205, 0.208, 0.177, 0.214, 0.166, 0.151, 0.159, 0.184, 0.2, 0.161]}</v>
      </c>
      <c r="C63" t="str">
        <f>"{"&amp;_xlfn.TEXTJOIN(", ",TRUE,E63:E63)&amp;"}"</f>
        <v>{"label_1": [0.105, 0.086, 0.295, 0.272, 0.307, 0.26, 0.282, 0.26, 0.215, 0.229, 0.197, 0.223, 0.216, 0.242, 0.205, 0.208, 0.177, 0.214, 0.166, 0.151, 0.159, 0.184, 0.2, 0.161]}</v>
      </c>
      <c r="E63" t="str">
        <f>CHAR(34)&amp;J63&amp;CHAR(34)&amp;": "&amp;F63</f>
        <v>"label_1": [0.105, 0.086, 0.295, 0.272, 0.307, 0.26, 0.282, 0.26, 0.215, 0.229, 0.197, 0.223, 0.216, 0.242, 0.205, 0.208, 0.177, 0.214, 0.166, 0.151, 0.159, 0.184, 0.2, 0.161]</v>
      </c>
      <c r="F63" s="158" t="str" cm="1">
        <f t="array" ref="F63">"["&amp;_xlfn.TEXTJOIN(", ",FALSE,SUBSTITUTE(_xlfn.ANCHORARRAY(K63),",","."))&amp;"]"</f>
        <v>[0.105, 0.086, 0.295, 0.272, 0.307, 0.26, 0.282, 0.26, 0.215, 0.229, 0.197, 0.223, 0.216, 0.242, 0.205, 0.208, 0.177, 0.214, 0.166, 0.151, 0.159, 0.184, 0.2, 0.161]</v>
      </c>
      <c r="H63" t="s">
        <v>1996</v>
      </c>
      <c r="I63" t="s">
        <v>1990</v>
      </c>
      <c r="J63" t="s">
        <v>1991</v>
      </c>
      <c r="K63" s="33" cm="1">
        <f t="array" ref="K63:AH63">TRANSPOSE('Беробіття '!$C$6:$C$29)</f>
        <v>0.105</v>
      </c>
      <c r="L63" s="33">
        <v>8.5999999999999993E-2</v>
      </c>
      <c r="M63" s="33">
        <v>0.29499999999999998</v>
      </c>
      <c r="N63" s="33">
        <v>0.27200000000000002</v>
      </c>
      <c r="O63" s="33">
        <v>0.307</v>
      </c>
      <c r="P63" s="33">
        <v>0.26</v>
      </c>
      <c r="Q63" s="33">
        <v>0.28199999999999997</v>
      </c>
      <c r="R63" s="33">
        <v>0.26</v>
      </c>
      <c r="S63" s="33">
        <v>0.215</v>
      </c>
      <c r="T63" s="33">
        <v>0.22900000000000001</v>
      </c>
      <c r="U63" s="33">
        <v>0.19700000000000001</v>
      </c>
      <c r="V63" s="33">
        <v>0.223</v>
      </c>
      <c r="W63" s="33">
        <v>0.216</v>
      </c>
      <c r="X63" s="33">
        <v>0.24199999999999999</v>
      </c>
      <c r="Y63" s="33">
        <v>0.20499999999999999</v>
      </c>
      <c r="Z63" s="33">
        <v>0.20799999999999999</v>
      </c>
      <c r="AA63" s="33">
        <v>0.17699999999999999</v>
      </c>
      <c r="AB63" s="33">
        <v>0.214</v>
      </c>
      <c r="AC63" s="33">
        <v>0.16600000000000001</v>
      </c>
      <c r="AD63" s="33">
        <v>0.151</v>
      </c>
      <c r="AE63" s="33">
        <v>0.159</v>
      </c>
      <c r="AF63" s="33">
        <v>0.184</v>
      </c>
      <c r="AG63" s="33">
        <v>0.2</v>
      </c>
      <c r="AH63" s="33">
        <v>0.161</v>
      </c>
    </row>
    <row r="66" spans="1:58">
      <c r="B66" t="str">
        <f>CHAR(34)&amp;I66&amp;CHAR(34)&amp;": "&amp;C66</f>
        <v>"source": {"UKR": "Джерело: Info Sapiens ", "RU": "Источник: Info Sapiens ", "ENG": "Source: Info Sapiens "}</v>
      </c>
      <c r="C66" t="str">
        <f>"{"&amp;_xlfn.TEXTJOIN(", ",TRUE,F66:F68)&amp;"}"</f>
        <v>{"UKR": "Джерело: Info Sapiens ", "RU": "Источник: Info Sapiens ", "ENG": "Source: Info Sapiens "}</v>
      </c>
      <c r="F66" t="str">
        <f t="shared" ref="F66:F68" si="10">CHAR(34)&amp;J66&amp;CHAR(34)&amp;": "&amp;CHAR(34)&amp;K66&amp;CHAR(34)</f>
        <v>"UKR": "Джерело: Info Sapiens "</v>
      </c>
      <c r="H66" t="s">
        <v>1996</v>
      </c>
      <c r="I66" t="s">
        <v>1995</v>
      </c>
      <c r="J66" t="s">
        <v>502</v>
      </c>
      <c r="K66" t="str">
        <f>'Чарти 5-7'!I172</f>
        <v xml:space="preserve">Джерело: Info Sapiens </v>
      </c>
    </row>
    <row r="67" spans="1:58">
      <c r="F67" t="str">
        <f t="shared" si="10"/>
        <v>"RU": "Источник: Info Sapiens "</v>
      </c>
      <c r="H67" t="s">
        <v>1996</v>
      </c>
      <c r="I67" t="s">
        <v>1995</v>
      </c>
      <c r="J67" t="s">
        <v>500</v>
      </c>
      <c r="K67" t="str">
        <f>'Чарти 5-7'!I170</f>
        <v xml:space="preserve">Источник: Info Sapiens </v>
      </c>
    </row>
    <row r="68" spans="1:58">
      <c r="F68" t="str">
        <f t="shared" si="10"/>
        <v>"ENG": "Source: Info Sapiens "</v>
      </c>
      <c r="H68" t="s">
        <v>1996</v>
      </c>
      <c r="I68" t="s">
        <v>1995</v>
      </c>
      <c r="J68" t="s">
        <v>501</v>
      </c>
      <c r="K68" t="str">
        <f>'Чарти 5-7'!I171</f>
        <v xml:space="preserve">Source: Info Sapiens </v>
      </c>
    </row>
    <row r="71" spans="1:58">
      <c r="A71" s="914"/>
      <c r="B71" s="914"/>
      <c r="C71" s="914"/>
      <c r="D71" s="914"/>
      <c r="E71" s="914"/>
      <c r="F71" s="914"/>
      <c r="G71" s="914"/>
    </row>
    <row r="72" spans="1:58" ht="17.25" customHeight="1">
      <c r="A72" t="str">
        <f>"{"&amp;CHAR(34)&amp;H72&amp;CHAR(34)&amp;": "&amp;B72&amp;"}"</f>
        <v>{"Chart1": {"name": {"UKR": "Динаміка PPI та UA-CPI в 2021-24 роках", "RU": "Динамика PPI и UA-CPI в 2021-24 годах", "ENG": "Trend of the РPI and UA-CPI in 2021-24"},"indexes": {"index_0": [2021, 2021, 2021, 2021, 2021, 2021, 2021, 2021, 2021, 2021, 2021, 2021, 2022, 2022, 2022, 2022, 2022, 2022, 2022, 2022, 2022, 2022, 2022, 2022, 2023, 2023, 2023, 2023, 2023, 2023, 2023, 2023, 2023, 2023, 2023, 2023, 2024, 2024, 2024, 2024, 2024, 2024, 2024, 2024, 2024, 2024, 2024, 2024], "index_1": [1, 2, 3, 4, 5, 6, 7, 8, 9, 10, 11, 12, 1, 2, 3, 4, 5, 6, 7, 8, 9, 10, 11, 12, 1, 2, 3, 4, 5, 6, 7, 8, 9, 10, 11, 12, 1, 2, 3, 4, 5, 6, 7, 8, 9, 10, 11, 12]},"labels": {"label_1": [0.176, 0.266, 0.263, 0.278, 0.331, 0.391, 0.422, 0.465, 0.451, 0.572, 0.607, 0.622, 0.691, 0.535, 0, 0, 0, 0, 0, 0, 0, 0, 0, 0, 0, 0, 0, 0, 0, 0, 0, 0, 0, 0, 0, 0, 0, 0, 0, 0, 0, 0, 0, 0, 0, 0, 0, 0], "label_2": [107.394231860776, 107.276894096776, 109.381170397909, 114.886895479687, 127.363034462132, 130.646150817461, 130.689522997017, 121.37686063335, 117.442865449205, 129.937864366655, 123.506172062611, 139.125918961292, 155.109965001779, 160.755646399995, 209.508255725437, 190.610414582011, 183.009364103558, 186.758083758861, 205.138484032257, 230.606654705448, 210.548683779559, 178.690199609615, 164.504450036315, 161.900789354759, 146.685776226355, 138.743598249961, 126.902573019846, 126.903313856104, 111.526487506726, 111.552273218473, 109.385680700136, 109.349203907907, 114.502133101226, 121.492793049726, 110.31591659567, 0, 0, 0, 0, 0, 0, 0, 0, 0, 0, 0, 0, 0]},"label_names": {"UKR": {"label_1": "ІЦВ", "label_2": "UA-CPI"}, "RU": {"label_1": "ИЦП", "label_2": "UA-CPI"}, "ENG": {"label_1": "PPI", "label_2": "UA-CPI"}},"source": {"UKR": "Джерело: НБУ, Worldbank,  розрахунки UEO", "RU": "Источник: НБУ, Worldbank, расчеты UEO", "ENG": "Source: NBU, Worldbank, UEO calculations"}}}</v>
      </c>
      <c r="B72" t="str">
        <f>"{"&amp;_xlfn.TEXTJOIN(",",TRUE,B73:B94)&amp;"}"</f>
        <v>{"name": {"UKR": "Динаміка PPI та UA-CPI в 2021-24 роках", "RU": "Динамика PPI и UA-CPI в 2021-24 годах", "ENG": "Trend of the РPI and UA-CPI in 2021-24"},"indexes": {"index_0": [2021, 2021, 2021, 2021, 2021, 2021, 2021, 2021, 2021, 2021, 2021, 2021, 2022, 2022, 2022, 2022, 2022, 2022, 2022, 2022, 2022, 2022, 2022, 2022, 2023, 2023, 2023, 2023, 2023, 2023, 2023, 2023, 2023, 2023, 2023, 2023, 2024, 2024, 2024, 2024, 2024, 2024, 2024, 2024, 2024, 2024, 2024, 2024], "index_1": [1, 2, 3, 4, 5, 6, 7, 8, 9, 10, 11, 12, 1, 2, 3, 4, 5, 6, 7, 8, 9, 10, 11, 12, 1, 2, 3, 4, 5, 6, 7, 8, 9, 10, 11, 12, 1, 2, 3, 4, 5, 6, 7, 8, 9, 10, 11, 12]},"labels": {"label_1": [0.176, 0.266, 0.263, 0.278, 0.331, 0.391, 0.422, 0.465, 0.451, 0.572, 0.607, 0.622, 0.691, 0.535, 0, 0, 0, 0, 0, 0, 0, 0, 0, 0, 0, 0, 0, 0, 0, 0, 0, 0, 0, 0, 0, 0, 0, 0, 0, 0, 0, 0, 0, 0, 0, 0, 0, 0], "label_2": [107.394231860776, 107.276894096776, 109.381170397909, 114.886895479687, 127.363034462132, 130.646150817461, 130.689522997017, 121.37686063335, 117.442865449205, 129.937864366655, 123.506172062611, 139.125918961292, 155.109965001779, 160.755646399995, 209.508255725437, 190.610414582011, 183.009364103558, 186.758083758861, 205.138484032257, 230.606654705448, 210.548683779559, 178.690199609615, 164.504450036315, 161.900789354759, 146.685776226355, 138.743598249961, 126.902573019846, 126.903313856104, 111.526487506726, 111.552273218473, 109.385680700136, 109.349203907907, 114.502133101226, 121.492793049726, 110.31591659567, 0, 0, 0, 0, 0, 0, 0, 0, 0, 0, 0, 0, 0]},"label_names": {"UKR": {"label_1": "ІЦВ", "label_2": "UA-CPI"}, "RU": {"label_1": "ИЦП", "label_2": "UA-CPI"}, "ENG": {"label_1": "PPI", "label_2": "UA-CPI"}},"source": {"UKR": "Джерело: НБУ, Worldbank,  розрахунки UEO", "RU": "Источник: НБУ, Worldbank, расчеты UEO", "ENG": "Source: NBU, Worldbank, UEO calculations"}}</v>
      </c>
      <c r="H72" t="s">
        <v>1996</v>
      </c>
    </row>
    <row r="73" spans="1:58">
      <c r="B73" t="str">
        <f>CHAR(34)&amp;I73&amp;CHAR(34)&amp;": "&amp;C73</f>
        <v>"name": {"UKR": "Динаміка PPI та UA-CPI в 2021-24 роках", "RU": "Динамика PPI и UA-CPI в 2021-24 годах", "ENG": "Trend of the РPI and UA-CPI in 2021-24"}</v>
      </c>
      <c r="C73" t="str">
        <f>"{"&amp;_xlfn.TEXTJOIN(", ",TRUE,F73:F75)&amp;"}"</f>
        <v>{"UKR": "Динаміка PPI та UA-CPI в 2021-24 роках", "RU": "Динамика PPI и UA-CPI в 2021-24 годах", "ENG": "Trend of the РPI and UA-CPI in 2021-24"}</v>
      </c>
      <c r="F73" t="str">
        <f>CHAR(34)&amp;J73&amp;CHAR(34)&amp;": "&amp;CHAR(34)&amp;K73&amp;CHAR(34)</f>
        <v>"UKR": "Динаміка PPI та UA-CPI в 2021-24 роках"</v>
      </c>
      <c r="H73" t="s">
        <v>1996</v>
      </c>
      <c r="I73" t="s">
        <v>1986</v>
      </c>
      <c r="J73" t="s">
        <v>502</v>
      </c>
      <c r="K73" t="str">
        <f>'Чарти 5-7'!H178</f>
        <v>Динаміка PPI та UA-CPI в 2021-24 роках</v>
      </c>
    </row>
    <row r="74" spans="1:58">
      <c r="F74" t="str">
        <f>CHAR(34)&amp;J74&amp;CHAR(34)&amp;": "&amp;CHAR(34)&amp;K74&amp;CHAR(34)</f>
        <v>"RU": "Динамика PPI и UA-CPI в 2021-24 годах"</v>
      </c>
      <c r="H74" t="s">
        <v>1996</v>
      </c>
      <c r="I74" t="s">
        <v>1986</v>
      </c>
      <c r="J74" t="s">
        <v>500</v>
      </c>
      <c r="K74" t="str">
        <f>'Чарти 5-7'!H176</f>
        <v>Динамика PPI и UA-CPI в 2021-24 годах</v>
      </c>
    </row>
    <row r="75" spans="1:58">
      <c r="F75" t="str">
        <f>CHAR(34)&amp;J75&amp;CHAR(34)&amp;": "&amp;CHAR(34)&amp;K75&amp;CHAR(34)</f>
        <v>"ENG": "Trend of the РPI and UA-CPI in 2021-24"</v>
      </c>
      <c r="H75" t="s">
        <v>1996</v>
      </c>
      <c r="I75" t="s">
        <v>1986</v>
      </c>
      <c r="J75" t="s">
        <v>501</v>
      </c>
      <c r="K75" t="str">
        <f>'Чарти 5-7'!H177</f>
        <v>Trend of the РPI and UA-CPI in 2021-24</v>
      </c>
    </row>
    <row r="76" spans="1:58">
      <c r="K76" cm="1">
        <f t="array" ref="K76:BF76">TRANSPOSE('ІЦВ (Стрим Інфл)+'!$B$272:$B$319)</f>
        <v>2021</v>
      </c>
      <c r="L76">
        <v>0</v>
      </c>
      <c r="M76">
        <v>0</v>
      </c>
      <c r="N76">
        <v>0</v>
      </c>
      <c r="O76">
        <v>0</v>
      </c>
      <c r="P76">
        <v>0</v>
      </c>
      <c r="Q76">
        <v>0</v>
      </c>
      <c r="R76">
        <v>0</v>
      </c>
      <c r="S76">
        <v>0</v>
      </c>
      <c r="T76">
        <v>0</v>
      </c>
      <c r="U76">
        <v>0</v>
      </c>
      <c r="V76">
        <v>0</v>
      </c>
      <c r="W76">
        <v>2022</v>
      </c>
      <c r="X76">
        <v>0</v>
      </c>
      <c r="Y76">
        <v>0</v>
      </c>
      <c r="Z76">
        <v>0</v>
      </c>
      <c r="AA76">
        <v>0</v>
      </c>
      <c r="AB76">
        <v>0</v>
      </c>
      <c r="AC76">
        <v>0</v>
      </c>
      <c r="AD76">
        <v>0</v>
      </c>
      <c r="AE76">
        <v>0</v>
      </c>
      <c r="AF76">
        <v>0</v>
      </c>
      <c r="AG76">
        <v>0</v>
      </c>
      <c r="AH76">
        <v>0</v>
      </c>
      <c r="AI76">
        <v>2023</v>
      </c>
      <c r="AJ76">
        <v>0</v>
      </c>
      <c r="AK76">
        <v>0</v>
      </c>
      <c r="AL76">
        <v>0</v>
      </c>
      <c r="AM76">
        <v>0</v>
      </c>
      <c r="AN76">
        <v>0</v>
      </c>
      <c r="AO76">
        <v>0</v>
      </c>
      <c r="AP76">
        <v>0</v>
      </c>
      <c r="AQ76">
        <v>0</v>
      </c>
      <c r="AR76">
        <v>0</v>
      </c>
      <c r="AS76">
        <v>0</v>
      </c>
      <c r="AT76">
        <v>0</v>
      </c>
      <c r="AU76">
        <v>2024</v>
      </c>
      <c r="AV76">
        <v>0</v>
      </c>
      <c r="AW76">
        <v>0</v>
      </c>
      <c r="AX76">
        <v>0</v>
      </c>
      <c r="AY76">
        <v>0</v>
      </c>
      <c r="AZ76">
        <v>0</v>
      </c>
      <c r="BA76">
        <v>0</v>
      </c>
      <c r="BB76">
        <v>0</v>
      </c>
      <c r="BC76">
        <v>0</v>
      </c>
      <c r="BD76">
        <v>0</v>
      </c>
      <c r="BE76">
        <v>0</v>
      </c>
      <c r="BF76">
        <v>0</v>
      </c>
    </row>
    <row r="77" spans="1:58">
      <c r="B77" t="str">
        <f>CHAR(34)&amp;I77&amp;CHAR(34)&amp;": "&amp;C77</f>
        <v>"indexes": {"index_0": [2021, 2021, 2021, 2021, 2021, 2021, 2021, 2021, 2021, 2021, 2021, 2021, 2022, 2022, 2022, 2022, 2022, 2022, 2022, 2022, 2022, 2022, 2022, 2022, 2023, 2023, 2023, 2023, 2023, 2023, 2023, 2023, 2023, 2023, 2023, 2023, 2024, 2024, 2024, 2024, 2024, 2024, 2024, 2024, 2024, 2024, 2024, 2024], "index_1": [1, 2, 3, 4, 5, 6, 7, 8, 9, 10, 11, 12, 1, 2, 3, 4, 5, 6, 7, 8, 9, 10, 11, 12, 1, 2, 3, 4, 5, 6, 7, 8, 9, 10, 11, 12, 1, 2, 3, 4, 5, 6, 7, 8, 9, 10, 11, 12]}</v>
      </c>
      <c r="C77" t="str">
        <f>"{"&amp;_xlfn.TEXTJOIN(", ",TRUE,E77:E78)&amp;"}"</f>
        <v>{"index_0": [2021, 2021, 2021, 2021, 2021, 2021, 2021, 2021, 2021, 2021, 2021, 2021, 2022, 2022, 2022, 2022, 2022, 2022, 2022, 2022, 2022, 2022, 2022, 2022, 2023, 2023, 2023, 2023, 2023, 2023, 2023, 2023, 2023, 2023, 2023, 2023, 2024, 2024, 2024, 2024, 2024, 2024, 2024, 2024, 2024, 2024, 2024, 2024], "index_1": [1, 2, 3, 4, 5, 6, 7, 8, 9, 10, 11, 12, 1, 2, 3, 4, 5, 6, 7, 8, 9, 10, 11, 12, 1, 2, 3, 4, 5, 6, 7, 8, 9, 10, 11, 12, 1, 2, 3, 4, 5, 6, 7, 8, 9, 10, 11, 12]}</v>
      </c>
      <c r="E77" t="str">
        <f>CHAR(34)&amp;J77&amp;CHAR(34)&amp;": "&amp;F77</f>
        <v>"index_0": [2021, 2021, 2021, 2021, 2021, 2021, 2021, 2021, 2021, 2021, 2021, 2021, 2022, 2022, 2022, 2022, 2022, 2022, 2022, 2022, 2022, 2022, 2022, 2022, 2023, 2023, 2023, 2023, 2023, 2023, 2023, 2023, 2023, 2023, 2023, 2023, 2024, 2024, 2024, 2024, 2024, 2024, 2024, 2024, 2024, 2024, 2024, 2024]</v>
      </c>
      <c r="F77" s="158" t="str" cm="1">
        <f t="array" ref="F77">"["&amp;_xlfn.TEXTJOIN(", ",FALSE,SUBSTITUTE(K77:BF77,",","."))&amp;"]"</f>
        <v>[2021, 2021, 2021, 2021, 2021, 2021, 2021, 2021, 2021, 2021, 2021, 2021, 2022, 2022, 2022, 2022, 2022, 2022, 2022, 2022, 2022, 2022, 2022, 2022, 2023, 2023, 2023, 2023, 2023, 2023, 2023, 2023, 2023, 2023, 2023, 2023, 2024, 2024, 2024, 2024, 2024, 2024, 2024, 2024, 2024, 2024, 2024, 2024]</v>
      </c>
      <c r="H77" t="s">
        <v>1996</v>
      </c>
      <c r="I77" t="s">
        <v>1987</v>
      </c>
      <c r="J77" t="s">
        <v>1988</v>
      </c>
      <c r="K77">
        <f>IF(K76=0,J77,K76)</f>
        <v>2021</v>
      </c>
      <c r="L77">
        <f t="shared" ref="L77:BF77" si="11">IF(L76=0,K77,L76)</f>
        <v>2021</v>
      </c>
      <c r="M77">
        <f t="shared" si="11"/>
        <v>2021</v>
      </c>
      <c r="N77">
        <f t="shared" si="11"/>
        <v>2021</v>
      </c>
      <c r="O77">
        <f t="shared" si="11"/>
        <v>2021</v>
      </c>
      <c r="P77">
        <f t="shared" si="11"/>
        <v>2021</v>
      </c>
      <c r="Q77">
        <f t="shared" si="11"/>
        <v>2021</v>
      </c>
      <c r="R77">
        <f t="shared" si="11"/>
        <v>2021</v>
      </c>
      <c r="S77">
        <f t="shared" si="11"/>
        <v>2021</v>
      </c>
      <c r="T77">
        <f t="shared" si="11"/>
        <v>2021</v>
      </c>
      <c r="U77">
        <f t="shared" si="11"/>
        <v>2021</v>
      </c>
      <c r="V77">
        <f t="shared" si="11"/>
        <v>2021</v>
      </c>
      <c r="W77">
        <f t="shared" si="11"/>
        <v>2022</v>
      </c>
      <c r="X77">
        <f t="shared" si="11"/>
        <v>2022</v>
      </c>
      <c r="Y77">
        <f t="shared" si="11"/>
        <v>2022</v>
      </c>
      <c r="Z77">
        <f t="shared" si="11"/>
        <v>2022</v>
      </c>
      <c r="AA77">
        <f t="shared" si="11"/>
        <v>2022</v>
      </c>
      <c r="AB77">
        <f t="shared" si="11"/>
        <v>2022</v>
      </c>
      <c r="AC77">
        <f t="shared" si="11"/>
        <v>2022</v>
      </c>
      <c r="AD77">
        <f t="shared" si="11"/>
        <v>2022</v>
      </c>
      <c r="AE77">
        <f t="shared" si="11"/>
        <v>2022</v>
      </c>
      <c r="AF77">
        <f t="shared" si="11"/>
        <v>2022</v>
      </c>
      <c r="AG77">
        <f t="shared" si="11"/>
        <v>2022</v>
      </c>
      <c r="AH77">
        <f t="shared" si="11"/>
        <v>2022</v>
      </c>
      <c r="AI77">
        <f t="shared" si="11"/>
        <v>2023</v>
      </c>
      <c r="AJ77">
        <f t="shared" si="11"/>
        <v>2023</v>
      </c>
      <c r="AK77">
        <f t="shared" si="11"/>
        <v>2023</v>
      </c>
      <c r="AL77">
        <f t="shared" si="11"/>
        <v>2023</v>
      </c>
      <c r="AM77">
        <f t="shared" si="11"/>
        <v>2023</v>
      </c>
      <c r="AN77">
        <f t="shared" si="11"/>
        <v>2023</v>
      </c>
      <c r="AO77">
        <f t="shared" si="11"/>
        <v>2023</v>
      </c>
      <c r="AP77">
        <f t="shared" si="11"/>
        <v>2023</v>
      </c>
      <c r="AQ77">
        <f t="shared" si="11"/>
        <v>2023</v>
      </c>
      <c r="AR77">
        <f t="shared" si="11"/>
        <v>2023</v>
      </c>
      <c r="AS77">
        <f t="shared" si="11"/>
        <v>2023</v>
      </c>
      <c r="AT77">
        <f t="shared" si="11"/>
        <v>2023</v>
      </c>
      <c r="AU77">
        <f t="shared" si="11"/>
        <v>2024</v>
      </c>
      <c r="AV77">
        <f t="shared" si="11"/>
        <v>2024</v>
      </c>
      <c r="AW77">
        <f t="shared" si="11"/>
        <v>2024</v>
      </c>
      <c r="AX77">
        <f t="shared" si="11"/>
        <v>2024</v>
      </c>
      <c r="AY77">
        <f t="shared" si="11"/>
        <v>2024</v>
      </c>
      <c r="AZ77">
        <f t="shared" si="11"/>
        <v>2024</v>
      </c>
      <c r="BA77">
        <f t="shared" si="11"/>
        <v>2024</v>
      </c>
      <c r="BB77">
        <f t="shared" si="11"/>
        <v>2024</v>
      </c>
      <c r="BC77">
        <f t="shared" si="11"/>
        <v>2024</v>
      </c>
      <c r="BD77">
        <f t="shared" si="11"/>
        <v>2024</v>
      </c>
      <c r="BE77">
        <f t="shared" si="11"/>
        <v>2024</v>
      </c>
      <c r="BF77">
        <f t="shared" si="11"/>
        <v>2024</v>
      </c>
    </row>
    <row r="78" spans="1:58">
      <c r="E78" t="str">
        <f>CHAR(34)&amp;J78&amp;CHAR(34)&amp;": "&amp;F78</f>
        <v>"index_1": [1, 2, 3, 4, 5, 6, 7, 8, 9, 10, 11, 12, 1, 2, 3, 4, 5, 6, 7, 8, 9, 10, 11, 12, 1, 2, 3, 4, 5, 6, 7, 8, 9, 10, 11, 12, 1, 2, 3, 4, 5, 6, 7, 8, 9, 10, 11, 12]</v>
      </c>
      <c r="F78" s="158" t="str" cm="1">
        <f t="array" ref="F78">"["&amp;_xlfn.TEXTJOIN(", ",FALSE,SUBSTITUTE(K78:BF78,",","."))&amp;"]"</f>
        <v>[1, 2, 3, 4, 5, 6, 7, 8, 9, 10, 11, 12, 1, 2, 3, 4, 5, 6, 7, 8, 9, 10, 11, 12, 1, 2, 3, 4, 5, 6, 7, 8, 9, 10, 11, 12, 1, 2, 3, 4, 5, 6, 7, 8, 9, 10, 11, 12]</v>
      </c>
      <c r="H78" t="s">
        <v>1996</v>
      </c>
      <c r="I78" t="s">
        <v>1987</v>
      </c>
      <c r="J78" t="s">
        <v>1989</v>
      </c>
      <c r="K78" cm="1">
        <f t="array" ref="K78:BF78">TRANSPOSE('ІЦВ (Стрим Інфл)+'!$C$272:$C$319)</f>
        <v>1</v>
      </c>
      <c r="L78">
        <v>2</v>
      </c>
      <c r="M78">
        <v>3</v>
      </c>
      <c r="N78">
        <v>4</v>
      </c>
      <c r="O78">
        <v>5</v>
      </c>
      <c r="P78">
        <v>6</v>
      </c>
      <c r="Q78">
        <v>7</v>
      </c>
      <c r="R78">
        <v>8</v>
      </c>
      <c r="S78">
        <v>9</v>
      </c>
      <c r="T78">
        <v>10</v>
      </c>
      <c r="U78">
        <v>11</v>
      </c>
      <c r="V78">
        <v>12</v>
      </c>
      <c r="W78">
        <v>1</v>
      </c>
      <c r="X78">
        <v>2</v>
      </c>
      <c r="Y78">
        <v>3</v>
      </c>
      <c r="Z78">
        <v>4</v>
      </c>
      <c r="AA78">
        <v>5</v>
      </c>
      <c r="AB78">
        <v>6</v>
      </c>
      <c r="AC78">
        <v>7</v>
      </c>
      <c r="AD78">
        <v>8</v>
      </c>
      <c r="AE78">
        <v>9</v>
      </c>
      <c r="AF78">
        <v>10</v>
      </c>
      <c r="AG78">
        <v>11</v>
      </c>
      <c r="AH78">
        <v>12</v>
      </c>
      <c r="AI78">
        <v>1</v>
      </c>
      <c r="AJ78">
        <v>2</v>
      </c>
      <c r="AK78">
        <v>3</v>
      </c>
      <c r="AL78">
        <v>4</v>
      </c>
      <c r="AM78">
        <v>5</v>
      </c>
      <c r="AN78">
        <v>6</v>
      </c>
      <c r="AO78">
        <v>7</v>
      </c>
      <c r="AP78">
        <v>8</v>
      </c>
      <c r="AQ78">
        <v>9</v>
      </c>
      <c r="AR78">
        <v>10</v>
      </c>
      <c r="AS78">
        <v>11</v>
      </c>
      <c r="AT78">
        <v>12</v>
      </c>
      <c r="AU78">
        <v>1</v>
      </c>
      <c r="AV78">
        <v>2</v>
      </c>
      <c r="AW78">
        <v>3</v>
      </c>
      <c r="AX78">
        <v>4</v>
      </c>
      <c r="AY78">
        <v>5</v>
      </c>
      <c r="AZ78">
        <v>6</v>
      </c>
      <c r="BA78">
        <v>7</v>
      </c>
      <c r="BB78">
        <v>8</v>
      </c>
      <c r="BC78">
        <v>9</v>
      </c>
      <c r="BD78">
        <v>10</v>
      </c>
      <c r="BE78">
        <v>11</v>
      </c>
      <c r="BF78">
        <v>12</v>
      </c>
    </row>
    <row r="80" spans="1:58">
      <c r="B80" t="str">
        <f>CHAR(34)&amp;I80&amp;CHAR(34)&amp;": "&amp;C80</f>
        <v>"labels": {"label_1": [0.176, 0.266, 0.263, 0.278, 0.331, 0.391, 0.422, 0.465, 0.451, 0.572, 0.607, 0.622, 0.691, 0.535, 0, 0, 0, 0, 0, 0, 0, 0, 0, 0, 0, 0, 0, 0, 0, 0, 0, 0, 0, 0, 0, 0, 0, 0, 0, 0, 0, 0, 0, 0, 0, 0, 0, 0], "label_2": [107.394231860776, 107.276894096776, 109.381170397909, 114.886895479687, 127.363034462132, 130.646150817461, 130.689522997017, 121.37686063335, 117.442865449205, 129.937864366655, 123.506172062611, 139.125918961292, 155.109965001779, 160.755646399995, 209.508255725437, 190.610414582011, 183.009364103558, 186.758083758861, 205.138484032257, 230.606654705448, 210.548683779559, 178.690199609615, 164.504450036315, 161.900789354759, 146.685776226355, 138.743598249961, 126.902573019846, 126.903313856104, 111.526487506726, 111.552273218473, 109.385680700136, 109.349203907907, 114.502133101226, 121.492793049726, 110.31591659567, 0, 0, 0, 0, 0, 0, 0, 0, 0, 0, 0, 0, 0]}</v>
      </c>
      <c r="C80" t="str">
        <f>"{"&amp;_xlfn.TEXTJOIN(", ",TRUE,E80:E81)&amp;"}"</f>
        <v>{"label_1": [0.176, 0.266, 0.263, 0.278, 0.331, 0.391, 0.422, 0.465, 0.451, 0.572, 0.607, 0.622, 0.691, 0.535, 0, 0, 0, 0, 0, 0, 0, 0, 0, 0, 0, 0, 0, 0, 0, 0, 0, 0, 0, 0, 0, 0, 0, 0, 0, 0, 0, 0, 0, 0, 0, 0, 0, 0], "label_2": [107.394231860776, 107.276894096776, 109.381170397909, 114.886895479687, 127.363034462132, 130.646150817461, 130.689522997017, 121.37686063335, 117.442865449205, 129.937864366655, 123.506172062611, 139.125918961292, 155.109965001779, 160.755646399995, 209.508255725437, 190.610414582011, 183.009364103558, 186.758083758861, 205.138484032257, 230.606654705448, 210.548683779559, 178.690199609615, 164.504450036315, 161.900789354759, 146.685776226355, 138.743598249961, 126.902573019846, 126.903313856104, 111.526487506726, 111.552273218473, 109.385680700136, 109.349203907907, 114.502133101226, 121.492793049726, 110.31591659567, 0, 0, 0, 0, 0, 0, 0, 0, 0, 0, 0, 0, 0]}</v>
      </c>
      <c r="E80" t="str">
        <f>CHAR(34)&amp;J80&amp;CHAR(34)&amp;": "&amp;F80</f>
        <v>"label_1": [0.176, 0.266, 0.263, 0.278, 0.331, 0.391, 0.422, 0.465, 0.451, 0.572, 0.607, 0.622, 0.691, 0.535, 0, 0, 0, 0, 0, 0, 0, 0, 0, 0, 0, 0, 0, 0, 0, 0, 0, 0, 0, 0, 0, 0, 0, 0, 0, 0, 0, 0, 0, 0, 0, 0, 0, 0]</v>
      </c>
      <c r="F80" s="158" t="str" cm="1">
        <f t="array" ref="F80">"["&amp;_xlfn.TEXTJOIN(", ",FALSE,SUBSTITUTE(K80:BF80,",","."))&amp;"]"</f>
        <v>[0.176, 0.266, 0.263, 0.278, 0.331, 0.391, 0.422, 0.465, 0.451, 0.572, 0.607, 0.622, 0.691, 0.535, 0, 0, 0, 0, 0, 0, 0, 0, 0, 0, 0, 0, 0, 0, 0, 0, 0, 0, 0, 0, 0, 0, 0, 0, 0, 0, 0, 0, 0, 0, 0, 0, 0, 0]</v>
      </c>
      <c r="H80" t="s">
        <v>1996</v>
      </c>
      <c r="I80" t="s">
        <v>1990</v>
      </c>
      <c r="J80" t="s">
        <v>1991</v>
      </c>
      <c r="K80" s="82" cm="1">
        <f t="array" ref="K80:BF80">TRANSPOSE('ІЦВ (Стрим Інфл)+'!$D$272:$D$319)</f>
        <v>0.17599999999999999</v>
      </c>
      <c r="L80" s="82">
        <v>0.26600000000000001</v>
      </c>
      <c r="M80" s="82">
        <v>0.26300000000000001</v>
      </c>
      <c r="N80" s="82">
        <v>0.27800000000000002</v>
      </c>
      <c r="O80" s="82">
        <v>0.33100000000000002</v>
      </c>
      <c r="P80" s="82">
        <v>0.39100000000000001</v>
      </c>
      <c r="Q80" s="82">
        <v>0.42199999999999988</v>
      </c>
      <c r="R80" s="82">
        <v>0.46500000000000002</v>
      </c>
      <c r="S80" s="82">
        <v>0.45100000000000001</v>
      </c>
      <c r="T80" s="82">
        <v>0.57199999999999995</v>
      </c>
      <c r="U80" s="82">
        <v>0.60699999999999998</v>
      </c>
      <c r="V80" s="82">
        <v>0.622</v>
      </c>
      <c r="W80" s="82">
        <v>0.69099999999999995</v>
      </c>
      <c r="X80" s="82">
        <v>0.53500000000000003</v>
      </c>
      <c r="Y80" s="82">
        <v>0</v>
      </c>
      <c r="Z80" s="82">
        <v>0</v>
      </c>
      <c r="AA80" s="82">
        <v>0</v>
      </c>
      <c r="AB80" s="82">
        <v>0</v>
      </c>
      <c r="AC80" s="82">
        <v>0</v>
      </c>
      <c r="AD80" s="82">
        <v>0</v>
      </c>
      <c r="AE80" s="82">
        <v>0</v>
      </c>
      <c r="AF80" s="82">
        <v>0</v>
      </c>
      <c r="AG80" s="82">
        <v>0</v>
      </c>
      <c r="AH80" s="82">
        <v>0</v>
      </c>
      <c r="AI80" s="82">
        <v>0</v>
      </c>
      <c r="AJ80" s="82">
        <v>0</v>
      </c>
      <c r="AK80" s="82">
        <v>0</v>
      </c>
      <c r="AL80" s="82">
        <v>0</v>
      </c>
      <c r="AM80" s="82">
        <v>0</v>
      </c>
      <c r="AN80" s="82">
        <v>0</v>
      </c>
      <c r="AO80" s="82">
        <v>0</v>
      </c>
      <c r="AP80" s="82">
        <v>0</v>
      </c>
      <c r="AQ80" s="82">
        <v>0</v>
      </c>
      <c r="AR80" s="82">
        <v>0</v>
      </c>
      <c r="AS80" s="82">
        <v>0</v>
      </c>
      <c r="AT80" s="82">
        <v>0</v>
      </c>
      <c r="AU80" s="82">
        <v>0</v>
      </c>
      <c r="AV80" s="82">
        <v>0</v>
      </c>
      <c r="AW80" s="82">
        <v>0</v>
      </c>
      <c r="AX80" s="82">
        <v>0</v>
      </c>
      <c r="AY80" s="82">
        <v>0</v>
      </c>
      <c r="AZ80" s="82">
        <v>0</v>
      </c>
      <c r="BA80" s="82">
        <v>0</v>
      </c>
      <c r="BB80" s="82">
        <v>0</v>
      </c>
      <c r="BC80" s="82">
        <v>0</v>
      </c>
      <c r="BD80" s="82">
        <v>0</v>
      </c>
      <c r="BE80" s="82">
        <v>0</v>
      </c>
      <c r="BF80" s="82">
        <v>0</v>
      </c>
    </row>
    <row r="81" spans="2:58">
      <c r="E81" t="str">
        <f t="shared" ref="E81" si="12">CHAR(34)&amp;J81&amp;CHAR(34)&amp;": "&amp;F81</f>
        <v>"label_2": [107.394231860776, 107.276894096776, 109.381170397909, 114.886895479687, 127.363034462132, 130.646150817461, 130.689522997017, 121.37686063335, 117.442865449205, 129.937864366655, 123.506172062611, 139.125918961292, 155.109965001779, 160.755646399995, 209.508255725437, 190.610414582011, 183.009364103558, 186.758083758861, 205.138484032257, 230.606654705448, 210.548683779559, 178.690199609615, 164.504450036315, 161.900789354759, 146.685776226355, 138.743598249961, 126.902573019846, 126.903313856104, 111.526487506726, 111.552273218473, 109.385680700136, 109.349203907907, 114.502133101226, 121.492793049726, 110.31591659567, 0, 0, 0, 0, 0, 0, 0, 0, 0, 0, 0, 0, 0]</v>
      </c>
      <c r="F81" s="158" t="str" cm="1">
        <f t="array" ref="F81">"["&amp;_xlfn.TEXTJOIN(", ",FALSE,SUBSTITUTE(K81:BF81,",","."))&amp;"]"</f>
        <v>[107.394231860776, 107.276894096776, 109.381170397909, 114.886895479687, 127.363034462132, 130.646150817461, 130.689522997017, 121.37686063335, 117.442865449205, 129.937864366655, 123.506172062611, 139.125918961292, 155.109965001779, 160.755646399995, 209.508255725437, 190.610414582011, 183.009364103558, 186.758083758861, 205.138484032257, 230.606654705448, 210.548683779559, 178.690199609615, 164.504450036315, 161.900789354759, 146.685776226355, 138.743598249961, 126.902573019846, 126.903313856104, 111.526487506726, 111.552273218473, 109.385680700136, 109.349203907907, 114.502133101226, 121.492793049726, 110.31591659567, 0, 0, 0, 0, 0, 0, 0, 0, 0, 0, 0, 0, 0]</v>
      </c>
      <c r="H81" t="s">
        <v>1996</v>
      </c>
      <c r="I81" t="s">
        <v>1990</v>
      </c>
      <c r="J81" t="s">
        <v>1992</v>
      </c>
      <c r="K81" s="916" cm="1">
        <f t="array" ref="K81:BF81">TRANSPOSE('ІЦВ (Стрим Інфл)+'!$E$272:$E$319)</f>
        <v>107.3942318607757</v>
      </c>
      <c r="L81" s="158">
        <v>107.27689409677562</v>
      </c>
      <c r="M81" s="158">
        <v>109.38117039790873</v>
      </c>
      <c r="N81" s="158">
        <v>114.88689547968715</v>
      </c>
      <c r="O81" s="158">
        <v>127.36303446213165</v>
      </c>
      <c r="P81" s="158">
        <v>130.64615081746115</v>
      </c>
      <c r="Q81" s="158">
        <v>130.68952299701678</v>
      </c>
      <c r="R81" s="158">
        <v>121.37686063335032</v>
      </c>
      <c r="S81" s="158">
        <v>117.4428654492054</v>
      </c>
      <c r="T81" s="158">
        <v>129.9378643666553</v>
      </c>
      <c r="U81" s="158">
        <v>123.5061720626106</v>
      </c>
      <c r="V81" s="158">
        <v>139.12591896129169</v>
      </c>
      <c r="W81" s="158">
        <v>155.10996500177873</v>
      </c>
      <c r="X81" s="158">
        <v>160.75564639999533</v>
      </c>
      <c r="Y81" s="158">
        <v>209.5082557254367</v>
      </c>
      <c r="Z81" s="158">
        <v>190.610414582011</v>
      </c>
      <c r="AA81" s="158">
        <v>183.00936410355791</v>
      </c>
      <c r="AB81" s="158">
        <v>186.75808375886092</v>
      </c>
      <c r="AC81" s="158">
        <v>205.13848403225657</v>
      </c>
      <c r="AD81" s="158">
        <v>230.60665470544814</v>
      </c>
      <c r="AE81" s="158">
        <v>210.54868377955887</v>
      </c>
      <c r="AF81" s="158">
        <v>178.69019960961467</v>
      </c>
      <c r="AG81" s="158">
        <v>164.50445003631515</v>
      </c>
      <c r="AH81" s="158">
        <v>161.90078935475867</v>
      </c>
      <c r="AI81" s="158">
        <v>146.68577622635451</v>
      </c>
      <c r="AJ81" s="158">
        <v>138.74359824996117</v>
      </c>
      <c r="AK81" s="158">
        <v>126.90257301984613</v>
      </c>
      <c r="AL81" s="158">
        <v>126.90331385610364</v>
      </c>
      <c r="AM81" s="158">
        <v>111.52648750672626</v>
      </c>
      <c r="AN81" s="158">
        <v>111.55227321847254</v>
      </c>
      <c r="AO81" s="158">
        <v>109.38568070013625</v>
      </c>
      <c r="AP81" s="158">
        <v>109.34920390790697</v>
      </c>
      <c r="AQ81" s="158">
        <v>114.50213310122605</v>
      </c>
      <c r="AR81" s="158">
        <v>121.49279304972606</v>
      </c>
      <c r="AS81" s="158">
        <v>110.31591659566976</v>
      </c>
      <c r="AT81">
        <v>0</v>
      </c>
      <c r="AU81">
        <v>0</v>
      </c>
      <c r="AV81">
        <v>0</v>
      </c>
      <c r="AW81">
        <v>0</v>
      </c>
      <c r="AX81">
        <v>0</v>
      </c>
      <c r="AY81">
        <v>0</v>
      </c>
      <c r="AZ81">
        <v>0</v>
      </c>
      <c r="BA81">
        <v>0</v>
      </c>
      <c r="BB81">
        <v>0</v>
      </c>
      <c r="BC81">
        <v>0</v>
      </c>
      <c r="BD81">
        <v>0</v>
      </c>
      <c r="BE81">
        <v>0</v>
      </c>
      <c r="BF81">
        <v>0</v>
      </c>
    </row>
    <row r="82" spans="2:58">
      <c r="E82" t="str">
        <f t="shared" ref="E82:E83" si="13">CHAR(34)&amp;J82&amp;CHAR(34)&amp;": "&amp;F82</f>
        <v>"label_1_1": [0, 0, 0, 0, 0, 0, 0, 0, 0, 0, 0, 0, 0, 0.535, 0.57019138616037, 0.629673105263219, 0.624268414708542, 0.605206470127923, 0.704148177755237, 0.719589683739218, 0.68047585317584, 0.58804126527813, 0.527429621544557, 0.463386811532668, 0.343631292350764, 0.39166470562554, 0.363420397954142, 0.313829759528821, 0.282574410464571, 0.268866388273482, 0.194808548219283, 0.130530001671449, 0.169480417233569, 0.133526408836773, 0.152832811405649, 0.17265876144614, 0.155, 0.143, 0.13, 0.0930012000959567, 0.0949722702627138, 0.0849708861171682, 0.0843797174785974, 0.0843799620655318, 0.0922759292596566, 0.0932322163867058, 0.102450083917546, 0.13125428063832]</v>
      </c>
      <c r="F82" s="158" t="str" cm="1">
        <f t="array" ref="F82">"["&amp;_xlfn.TEXTJOIN(", ",FALSE,SUBSTITUTE(K82:BF82,",","."))&amp;"]"</f>
        <v>[0, 0, 0, 0, 0, 0, 0, 0, 0, 0, 0, 0, 0, 0.535, 0.57019138616037, 0.629673105263219, 0.624268414708542, 0.605206470127923, 0.704148177755237, 0.719589683739218, 0.68047585317584, 0.58804126527813, 0.527429621544557, 0.463386811532668, 0.343631292350764, 0.39166470562554, 0.363420397954142, 0.313829759528821, 0.282574410464571, 0.268866388273482, 0.194808548219283, 0.130530001671449, 0.169480417233569, 0.133526408836773, 0.152832811405649, 0.17265876144614, 0.155, 0.143, 0.13, 0.0930012000959567, 0.0949722702627138, 0.0849708861171682, 0.0843797174785974, 0.0843799620655318, 0.0922759292596566, 0.0932322163867058, 0.102450083917546, 0.13125428063832]</v>
      </c>
      <c r="H82" t="s">
        <v>1996</v>
      </c>
      <c r="I82" s="82" t="s">
        <v>1990</v>
      </c>
      <c r="J82" s="82" t="s">
        <v>2003</v>
      </c>
      <c r="K82" s="82" cm="1">
        <f t="array" ref="K82:BF82">TRANSPOSE('ІЦВ (Стрим Інфл)+'!$F$272:$F$319)</f>
        <v>0</v>
      </c>
      <c r="L82" s="82">
        <v>0</v>
      </c>
      <c r="M82" s="82">
        <v>0</v>
      </c>
      <c r="N82" s="82">
        <v>0</v>
      </c>
      <c r="O82" s="82">
        <v>0</v>
      </c>
      <c r="P82" s="82">
        <v>0</v>
      </c>
      <c r="Q82" s="82">
        <v>0</v>
      </c>
      <c r="R82" s="82">
        <v>0</v>
      </c>
      <c r="S82" s="82">
        <v>0</v>
      </c>
      <c r="T82" s="82">
        <v>0</v>
      </c>
      <c r="U82" s="82">
        <v>0</v>
      </c>
      <c r="V82" s="82">
        <v>0</v>
      </c>
      <c r="W82" s="82">
        <v>0</v>
      </c>
      <c r="X82" s="82">
        <v>0.53500000000000003</v>
      </c>
      <c r="Y82" s="82">
        <v>0.57019138616037024</v>
      </c>
      <c r="Z82" s="82">
        <v>0.62967310526321851</v>
      </c>
      <c r="AA82" s="82">
        <v>0.62426841470854244</v>
      </c>
      <c r="AB82" s="82">
        <v>0.60520647012792284</v>
      </c>
      <c r="AC82" s="82">
        <v>0.70414817775523686</v>
      </c>
      <c r="AD82" s="82">
        <v>0.71958968373921817</v>
      </c>
      <c r="AE82" s="82">
        <v>0.68047585317584036</v>
      </c>
      <c r="AF82" s="82">
        <v>0.58804126527813017</v>
      </c>
      <c r="AG82" s="82">
        <v>0.52742962154455708</v>
      </c>
      <c r="AH82" s="82">
        <v>0.46338681153266803</v>
      </c>
      <c r="AI82" s="82">
        <v>0.34363129235076406</v>
      </c>
      <c r="AJ82" s="82">
        <v>0.39166470562554023</v>
      </c>
      <c r="AK82" s="82">
        <v>0.36342039795414216</v>
      </c>
      <c r="AL82" s="82">
        <v>0.31382975952882086</v>
      </c>
      <c r="AM82" s="82">
        <v>0.28257441046457132</v>
      </c>
      <c r="AN82" s="82">
        <v>0.26886638827348186</v>
      </c>
      <c r="AO82" s="82">
        <v>0.1948085482192834</v>
      </c>
      <c r="AP82" s="82">
        <v>0.13053000167144946</v>
      </c>
      <c r="AQ82" s="82">
        <v>0.16948041723356866</v>
      </c>
      <c r="AR82" s="82">
        <v>0.13352640883677336</v>
      </c>
      <c r="AS82" s="82">
        <v>0.15283281140564919</v>
      </c>
      <c r="AT82" s="82">
        <v>0.17265876144614034</v>
      </c>
      <c r="AU82" s="82">
        <v>0.155</v>
      </c>
      <c r="AV82" s="82">
        <v>0.14299999999999999</v>
      </c>
      <c r="AW82" s="82">
        <v>0.13</v>
      </c>
      <c r="AX82" s="82">
        <v>9.3001200095956651E-2</v>
      </c>
      <c r="AY82" s="82">
        <v>9.4972270262713834E-2</v>
      </c>
      <c r="AZ82" s="82">
        <v>8.4970886117168187E-2</v>
      </c>
      <c r="BA82" s="82">
        <v>8.4379717478597419E-2</v>
      </c>
      <c r="BB82" s="82">
        <v>8.4379962065531805E-2</v>
      </c>
      <c r="BC82" s="82">
        <v>9.2275929259656553E-2</v>
      </c>
      <c r="BD82" s="82">
        <v>9.3232216386705771E-2</v>
      </c>
      <c r="BE82" s="82">
        <v>0.10245008391754613</v>
      </c>
      <c r="BF82" s="82">
        <v>0.13125428063831976</v>
      </c>
    </row>
    <row r="83" spans="2:58">
      <c r="E83" t="str">
        <f t="shared" si="13"/>
        <v>"label_2_1": [0, 0, 0, 0, 0, 0, 0, 0, 0, 0, 0, 0, 0, 0, 0, 0, 0, 0, 0, 0, 0, 0, 0, 0, 0, 0, 0, 0, 0, 0, 0, 0, 0, 0, 110.31591659567, 102.742677499418, 101.930208789215, 101.314431621965, 100.53593474811, 100.911797732955, 101.177962983624, 101.211537856394, 101.821239286761, 102.122587698707, 102.51586612273, 103.007141041241, 105.293293004633, 105.881944553368]</v>
      </c>
      <c r="F83" s="158" t="str" cm="1">
        <f t="array" ref="F83">"["&amp;_xlfn.TEXTJOIN(", ",FALSE,SUBSTITUTE(K83:BF83,",","."))&amp;"]"</f>
        <v>[0, 0, 0, 0, 0, 0, 0, 0, 0, 0, 0, 0, 0, 0, 0, 0, 0, 0, 0, 0, 0, 0, 0, 0, 0, 0, 0, 0, 0, 0, 0, 0, 0, 0, 110.31591659567, 102.742677499418, 101.930208789215, 101.314431621965, 100.53593474811, 100.911797732955, 101.177962983624, 101.211537856394, 101.821239286761, 102.122587698707, 102.51586612273, 103.007141041241, 105.293293004633, 105.881944553368]</v>
      </c>
      <c r="H83" t="s">
        <v>1996</v>
      </c>
      <c r="I83" t="s">
        <v>1990</v>
      </c>
      <c r="J83" t="s">
        <v>2004</v>
      </c>
      <c r="K83" cm="1">
        <f t="array" ref="K83:BF83">TRANSPOSE('ІЦВ (Стрим Інфл)+'!$G$272:$G$319)</f>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s="158">
        <v>0</v>
      </c>
      <c r="AS83" s="158">
        <v>110.31591659566976</v>
      </c>
      <c r="AT83" s="158">
        <v>102.74267749941828</v>
      </c>
      <c r="AU83" s="158">
        <v>101.93020878921494</v>
      </c>
      <c r="AV83" s="158">
        <v>101.31443162196511</v>
      </c>
      <c r="AW83" s="158">
        <v>100.53593474810968</v>
      </c>
      <c r="AX83" s="158">
        <v>100.91179773295472</v>
      </c>
      <c r="AY83" s="158">
        <v>101.17796298362366</v>
      </c>
      <c r="AZ83" s="158">
        <v>101.21153785639414</v>
      </c>
      <c r="BA83" s="158">
        <v>101.82123928676134</v>
      </c>
      <c r="BB83" s="158">
        <v>102.12258769870664</v>
      </c>
      <c r="BC83" s="158">
        <v>102.5158661227303</v>
      </c>
      <c r="BD83" s="158">
        <v>103.00714104124147</v>
      </c>
      <c r="BE83" s="158">
        <v>105.29329300463289</v>
      </c>
      <c r="BF83" s="158">
        <v>105.88194455336817</v>
      </c>
    </row>
    <row r="85" spans="2:58">
      <c r="B85" t="str">
        <f>CHAR(34)&amp;I85&amp;CHAR(34)&amp;": "&amp;C85</f>
        <v>"label_names": {"UKR": {"label_1": "ІЦВ", "label_2": "UA-CPI"}, "RU": {"label_1": "ИЦП", "label_2": "UA-CPI"}, "ENG": {"label_1": "PPI", "label_2": "UA-CPI"}}</v>
      </c>
      <c r="C85" t="str">
        <f>"{"&amp;_xlfn.TEXTJOIN(", ",TRUE,D85:D90)&amp;"}"</f>
        <v>{"UKR": {"label_1": "ІЦВ", "label_2": "UA-CPI"}, "RU": {"label_1": "ИЦП", "label_2": "UA-CPI"}, "ENG": {"label_1": "PPI", "label_2": "UA-CPI"}}</v>
      </c>
      <c r="D85" t="str">
        <f>CHAR(34)&amp;J85&amp;CHAR(34)&amp;": "&amp;E85</f>
        <v>"UKR": {"label_1": "ІЦВ", "label_2": "UA-CPI"}</v>
      </c>
      <c r="E85" t="str">
        <f>"{"&amp;_xlfn.TEXTJOIN(", ",TRUE,F85:F86)&amp;"}"</f>
        <v>{"label_1": "ІЦВ", "label_2": "UA-CPI"}</v>
      </c>
      <c r="F85" t="str">
        <f t="shared" ref="F85:F90" si="14">CHAR(34)&amp;K85&amp;CHAR(34)&amp;": "&amp;CHAR(34)&amp;L85&amp;CHAR(34)</f>
        <v>"label_1": "ІЦВ"</v>
      </c>
      <c r="H85" t="s">
        <v>1996</v>
      </c>
      <c r="I85" t="s">
        <v>1994</v>
      </c>
      <c r="J85" t="s">
        <v>502</v>
      </c>
      <c r="K85" t="s">
        <v>1991</v>
      </c>
      <c r="L85" t="str">
        <f>'ІЦВ (Стрим Інфл)+'!K273</f>
        <v>ІЦВ</v>
      </c>
    </row>
    <row r="86" spans="2:58">
      <c r="F86" t="str">
        <f t="shared" si="14"/>
        <v>"label_2": "UA-CPI"</v>
      </c>
      <c r="H86" t="s">
        <v>1996</v>
      </c>
      <c r="I86" t="s">
        <v>1994</v>
      </c>
      <c r="J86" t="s">
        <v>502</v>
      </c>
      <c r="K86" t="s">
        <v>1992</v>
      </c>
      <c r="L86" t="s">
        <v>1956</v>
      </c>
    </row>
    <row r="87" spans="2:58">
      <c r="D87" t="str">
        <f>CHAR(34)&amp;J87&amp;CHAR(34)&amp;": "&amp;E87</f>
        <v>"RU": {"label_1": "ИЦП", "label_2": "UA-CPI"}</v>
      </c>
      <c r="E87" t="str">
        <f>"{"&amp;_xlfn.TEXTJOIN(", ",TRUE,F87:F88)&amp;"}"</f>
        <v>{"label_1": "ИЦП", "label_2": "UA-CPI"}</v>
      </c>
      <c r="F87" t="str">
        <f t="shared" si="14"/>
        <v>"label_1": "ИЦП"</v>
      </c>
      <c r="H87" t="s">
        <v>1996</v>
      </c>
      <c r="I87" t="s">
        <v>1994</v>
      </c>
      <c r="J87" t="s">
        <v>500</v>
      </c>
      <c r="K87" t="s">
        <v>1991</v>
      </c>
      <c r="L87" t="str">
        <f>'ІЦВ (Стрим Інфл)+'!K274</f>
        <v>ИЦП</v>
      </c>
    </row>
    <row r="88" spans="2:58">
      <c r="F88" t="str">
        <f t="shared" si="14"/>
        <v>"label_2": "UA-CPI"</v>
      </c>
      <c r="H88" t="s">
        <v>1996</v>
      </c>
      <c r="I88" t="s">
        <v>1994</v>
      </c>
      <c r="J88" t="s">
        <v>500</v>
      </c>
      <c r="K88" t="s">
        <v>1992</v>
      </c>
      <c r="L88" t="s">
        <v>1956</v>
      </c>
    </row>
    <row r="89" spans="2:58">
      <c r="D89" t="str">
        <f>CHAR(34)&amp;J89&amp;CHAR(34)&amp;": "&amp;E89</f>
        <v>"ENG": {"label_1": "PPI", "label_2": "UA-CPI"}</v>
      </c>
      <c r="E89" t="str">
        <f>"{"&amp;_xlfn.TEXTJOIN(", ",TRUE,F89:F90)&amp;"}"</f>
        <v>{"label_1": "PPI", "label_2": "UA-CPI"}</v>
      </c>
      <c r="F89" t="str">
        <f t="shared" si="14"/>
        <v>"label_1": "PPI"</v>
      </c>
      <c r="H89" t="s">
        <v>1996</v>
      </c>
      <c r="I89" t="s">
        <v>1994</v>
      </c>
      <c r="J89" t="s">
        <v>501</v>
      </c>
      <c r="K89" t="s">
        <v>1991</v>
      </c>
      <c r="L89" t="str">
        <f>'ІЦВ (Стрим Інфл)+'!K272</f>
        <v>PPI</v>
      </c>
    </row>
    <row r="90" spans="2:58">
      <c r="F90" t="str">
        <f t="shared" si="14"/>
        <v>"label_2": "UA-CPI"</v>
      </c>
      <c r="H90" t="s">
        <v>1996</v>
      </c>
      <c r="I90" t="s">
        <v>1994</v>
      </c>
      <c r="J90" t="s">
        <v>501</v>
      </c>
      <c r="K90" t="s">
        <v>1992</v>
      </c>
      <c r="L90" t="s">
        <v>1956</v>
      </c>
    </row>
    <row r="92" spans="2:58">
      <c r="B92" t="str">
        <f>CHAR(34)&amp;I92&amp;CHAR(34)&amp;": "&amp;C92</f>
        <v>"source": {"UKR": "Джерело: НБУ, Worldbank,  розрахунки UEO", "RU": "Источник: НБУ, Worldbank, расчеты UEO", "ENG": "Source: NBU, Worldbank, UEO calculations"}</v>
      </c>
      <c r="C92" t="str">
        <f>"{"&amp;_xlfn.TEXTJOIN(", ",TRUE,F92:F94)&amp;"}"</f>
        <v>{"UKR": "Джерело: НБУ, Worldbank,  розрахунки UEO", "RU": "Источник: НБУ, Worldbank, расчеты UEO", "ENG": "Source: NBU, Worldbank, UEO calculations"}</v>
      </c>
      <c r="F92" t="str">
        <f t="shared" ref="F92:F94" si="15">CHAR(34)&amp;J92&amp;CHAR(34)&amp;": "&amp;CHAR(34)&amp;K92&amp;CHAR(34)</f>
        <v>"UKR": "Джерело: НБУ, Worldbank,  розрахунки UEO"</v>
      </c>
      <c r="H92" t="s">
        <v>1996</v>
      </c>
      <c r="I92" t="s">
        <v>1995</v>
      </c>
      <c r="J92" t="s">
        <v>502</v>
      </c>
      <c r="K92" t="str">
        <f>'Чарти 5-7'!I189</f>
        <v>Джерело: НБУ, Worldbank,  розрахунки UEO</v>
      </c>
    </row>
    <row r="93" spans="2:58">
      <c r="F93" t="str">
        <f t="shared" si="15"/>
        <v>"RU": "Источник: НБУ, Worldbank, расчеты UEO"</v>
      </c>
      <c r="H93" t="s">
        <v>1996</v>
      </c>
      <c r="I93" t="s">
        <v>1995</v>
      </c>
      <c r="J93" t="s">
        <v>500</v>
      </c>
      <c r="K93" t="str">
        <f>'Чарти 5-7'!I187</f>
        <v>Источник: НБУ, Worldbank, расчеты UEO</v>
      </c>
    </row>
    <row r="94" spans="2:58">
      <c r="F94" t="str">
        <f t="shared" si="15"/>
        <v>"ENG": "Source: NBU, Worldbank, UEO calculations"</v>
      </c>
      <c r="H94" t="s">
        <v>1996</v>
      </c>
      <c r="I94" t="s">
        <v>1995</v>
      </c>
      <c r="J94" t="s">
        <v>501</v>
      </c>
      <c r="K94" t="str">
        <f>'Чарти 5-7'!I188</f>
        <v>Source: NBU, Worldbank, UEO calculations</v>
      </c>
    </row>
    <row r="97" spans="1:58">
      <c r="A97" s="914"/>
      <c r="B97" s="914"/>
      <c r="C97" s="914"/>
      <c r="D97" s="914"/>
      <c r="E97" s="914"/>
      <c r="F97" s="914"/>
      <c r="G97" s="914"/>
    </row>
    <row r="98" spans="1:58">
      <c r="A98" t="str">
        <f>"{"&amp;CHAR(34)&amp;H98&amp;CHAR(34)&amp;": "&amp;B98&amp;"}"</f>
        <v>{"Chart1": {"name": {"UKR": "Середня зарплата в Україні в 2021-24 роках, грн, дол.", "RU": "Средняя зарплата в Украине в 2021-24 годах, грн, дол.", "ENG": "Average salary in Ukraine in 2021-24, UAH, USD"},"indexes": {"index_0": [2021, 2021, 2021, 2021, 2021, 2021, 2021, 2021, 2021, 2021, 2021, 2021, 2022, 2022, 2022, 2022, 2022, 2022, 2022, 2022, 2022, 2022, 2022, 2022, 2023, 2023, 2023, 2023, 2023, 2023, 2023, 2023, 2023, 2023, 2023, 2023, 2024, 2024, 2024, 2024, 2024, 2024, 2024, 2024, 2024, 2024, 2024, 2024], "index_1": [1, 2, 3, 4, 5, 6, 7, 8, 9, 10, 11, 12, 1, 2, 3, 4, 5, 6, 7, 8, 9, 10, 11, 12, 1, 2, 3, 4, 5, 6, 7, 8, 9, 10, 11, 12, 1, 2, 3, 4, 5, 6, 7, 8, 9, 10, 11, 12]},"labels": {"label_1": [12337, 12549, 13612, 13543, 13499, 14313, 14345, 13997, 14239, 14045, 14282, 17453, 14577, 14462.8008289365, 14777.4085420947, 13797.9409069545, 13641.1999350209, 13728.8044057391, 14534.2505491013, 14680.630116613, 14642.9187704066, 16285.5584454045, 16447.0307504453, 16698.9275463091, 15281.2499689483, 15442.0072090719, 15584.630248328, 16936.7778503572, 17154.1460041902, 17436.9356412157, 17518.28, 17439.67, 17755.65, 17963.73, 17810.1, 19654.83, 19118.5110679417, 19259.6737097138, 19538.9279169038, 19661.3952259418, 19706.2986313277, 20589.577773895, 21008.9545040725, 20746.7735019155, 21162.1273763734, 21983.5542571595, 21845.5063485917, 24469.236765409], "label_2": [437.175766383875, 450.032371868558, 489.71853590438, 484.890798424633, 489.094202898551, 525.442971957041, 527.107773237985, 523.056801195815, 532.662219279871, 532.612817595753, 539.962192816635, 641.418596104373, 520.979270907791, 509.074298801004, 505.210548447682, 471.724475451437, 466.365809744304, 469.360834384242, 397.43643831286, 401.439160968361, 400.407951063893, 445.325634274118, 449.741065092845, 456.62913717006, 417.86300161193, 422.258879110526, 426.158880183975, 463.133110482833, 469.07700312251, 476.809834323644, 479.034181022696, 476.884604867378, 485.525020508614, 491.901580045712, 489.284774691845, 535.240384493331, 508.846810535287, 503.194812659946, 499.642628638523, 499.074585732395, 495.369028601056, 512.7091228684, 518.539433293129, 510.404273395816, 517.831040086681, 535.831282793471, 530.22977513119, 591.007038278393]},"label_names": {"UKR": {"label_1": "UAH", "label_2": "USD "}, "RU": {"label_1": "UAH", "label_2": "USD "}, "ENG": {"label_1": "UAH", "label_2": "USD "}},"source": {"UKR": "Джерело: НБУ, Work.ua, розрахунки UEO", "RU": "Источник: НБУ, Work.ua, расчеты UEO", "ENG": "Source: NBU, Work.ua, UEO calculations"}}}</v>
      </c>
      <c r="B98" t="str">
        <f>"{"&amp;_xlfn.TEXTJOIN(",",TRUE,B99:B118)&amp;"}"</f>
        <v>{"name": {"UKR": "Середня зарплата в Україні в 2021-24 роках, грн, дол.", "RU": "Средняя зарплата в Украине в 2021-24 годах, грн, дол.", "ENG": "Average salary in Ukraine in 2021-24, UAH, USD"},"indexes": {"index_0": [2021, 2021, 2021, 2021, 2021, 2021, 2021, 2021, 2021, 2021, 2021, 2021, 2022, 2022, 2022, 2022, 2022, 2022, 2022, 2022, 2022, 2022, 2022, 2022, 2023, 2023, 2023, 2023, 2023, 2023, 2023, 2023, 2023, 2023, 2023, 2023, 2024, 2024, 2024, 2024, 2024, 2024, 2024, 2024, 2024, 2024, 2024, 2024], "index_1": [1, 2, 3, 4, 5, 6, 7, 8, 9, 10, 11, 12, 1, 2, 3, 4, 5, 6, 7, 8, 9, 10, 11, 12, 1, 2, 3, 4, 5, 6, 7, 8, 9, 10, 11, 12, 1, 2, 3, 4, 5, 6, 7, 8, 9, 10, 11, 12]},"labels": {"label_1": [12337, 12549, 13612, 13543, 13499, 14313, 14345, 13997, 14239, 14045, 14282, 17453, 14577, 14462.8008289365, 14777.4085420947, 13797.9409069545, 13641.1999350209, 13728.8044057391, 14534.2505491013, 14680.630116613, 14642.9187704066, 16285.5584454045, 16447.0307504453, 16698.9275463091, 15281.2499689483, 15442.0072090719, 15584.630248328, 16936.7778503572, 17154.1460041902, 17436.9356412157, 17518.28, 17439.67, 17755.65, 17963.73, 17810.1, 19654.83, 19118.5110679417, 19259.6737097138, 19538.9279169038, 19661.3952259418, 19706.2986313277, 20589.577773895, 21008.9545040725, 20746.7735019155, 21162.1273763734, 21983.5542571595, 21845.5063485917, 24469.236765409], "label_2": [437.175766383875, 450.032371868558, 489.71853590438, 484.890798424633, 489.094202898551, 525.442971957041, 527.107773237985, 523.056801195815, 532.662219279871, 532.612817595753, 539.962192816635, 641.418596104373, 520.979270907791, 509.074298801004, 505.210548447682, 471.724475451437, 466.365809744304, 469.360834384242, 397.43643831286, 401.439160968361, 400.407951063893, 445.325634274118, 449.741065092845, 456.62913717006, 417.86300161193, 422.258879110526, 426.158880183975, 463.133110482833, 469.07700312251, 476.809834323644, 479.034181022696, 476.884604867378, 485.525020508614, 491.901580045712, 489.284774691845, 535.240384493331, 508.846810535287, 503.194812659946, 499.642628638523, 499.074585732395, 495.369028601056, 512.7091228684, 518.539433293129, 510.404273395816, 517.831040086681, 535.831282793471, 530.22977513119, 591.007038278393]},"label_names": {"UKR": {"label_1": "UAH", "label_2": "USD "}, "RU": {"label_1": "UAH", "label_2": "USD "}, "ENG": {"label_1": "UAH", "label_2": "USD "}},"source": {"UKR": "Джерело: НБУ, Work.ua, розрахунки UEO", "RU": "Источник: НБУ, Work.ua, расчеты UEO", "ENG": "Source: NBU, Work.ua, UEO calculations"}}</v>
      </c>
      <c r="H98" t="s">
        <v>1996</v>
      </c>
    </row>
    <row r="99" spans="1:58">
      <c r="B99" t="str">
        <f>CHAR(34)&amp;I99&amp;CHAR(34)&amp;": "&amp;C99</f>
        <v>"name": {"UKR": "Середня зарплата в Україні в 2021-24 роках, грн, дол.", "RU": "Средняя зарплата в Украине в 2021-24 годах, грн, дол.", "ENG": "Average salary in Ukraine in 2021-24, UAH, USD"}</v>
      </c>
      <c r="C99" t="str">
        <f>"{"&amp;_xlfn.TEXTJOIN(", ",TRUE,F99:F101)&amp;"}"</f>
        <v>{"UKR": "Середня зарплата в Україні в 2021-24 роках, грн, дол.", "RU": "Средняя зарплата в Украине в 2021-24 годах, грн, дол.", "ENG": "Average salary in Ukraine in 2021-24, UAH, USD"}</v>
      </c>
      <c r="F99" t="str">
        <f>CHAR(34)&amp;J99&amp;CHAR(34)&amp;": "&amp;CHAR(34)&amp;K99&amp;CHAR(34)</f>
        <v>"UKR": "Середня зарплата в Україні в 2021-24 роках, грн, дол."</v>
      </c>
      <c r="H99" t="s">
        <v>1996</v>
      </c>
      <c r="I99" t="s">
        <v>1986</v>
      </c>
      <c r="J99" t="s">
        <v>502</v>
      </c>
      <c r="K99" t="str">
        <f>'Чарти 5-7'!I198</f>
        <v>Середня зарплата в Україні в 2021-24 роках, грн, дол.</v>
      </c>
    </row>
    <row r="100" spans="1:58">
      <c r="F100" t="str">
        <f>CHAR(34)&amp;J100&amp;CHAR(34)&amp;": "&amp;CHAR(34)&amp;K100&amp;CHAR(34)</f>
        <v>"RU": "Средняя зарплата в Украине в 2021-24 годах, грн, дол."</v>
      </c>
      <c r="H100" t="s">
        <v>1996</v>
      </c>
      <c r="I100" t="s">
        <v>1986</v>
      </c>
      <c r="J100" t="s">
        <v>500</v>
      </c>
      <c r="K100" t="str">
        <f>'Чарти 5-7'!I196</f>
        <v>Средняя зарплата в Украине в 2021-24 годах, грн, дол.</v>
      </c>
    </row>
    <row r="101" spans="1:58">
      <c r="F101" t="str">
        <f>CHAR(34)&amp;J101&amp;CHAR(34)&amp;": "&amp;CHAR(34)&amp;K101&amp;CHAR(34)</f>
        <v>"ENG": "Average salary in Ukraine in 2021-24, UAH, USD"</v>
      </c>
      <c r="H101" t="s">
        <v>1996</v>
      </c>
      <c r="I101" t="s">
        <v>1986</v>
      </c>
      <c r="J101" t="s">
        <v>501</v>
      </c>
      <c r="K101" t="str">
        <f>'Чарти 5-7'!I197</f>
        <v>Average salary in Ukraine in 2021-24, UAH, USD</v>
      </c>
    </row>
    <row r="103" spans="1:58">
      <c r="B103" t="str">
        <f>CHAR(34)&amp;I103&amp;CHAR(34)&amp;": "&amp;C103</f>
        <v>"indexes": {"index_0": [2021, 2021, 2021, 2021, 2021, 2021, 2021, 2021, 2021, 2021, 2021, 2021, 2022, 2022, 2022, 2022, 2022, 2022, 2022, 2022, 2022, 2022, 2022, 2022, 2023, 2023, 2023, 2023, 2023, 2023, 2023, 2023, 2023, 2023, 2023, 2023, 2024, 2024, 2024, 2024, 2024, 2024, 2024, 2024, 2024, 2024, 2024, 2024], "index_1": [1, 2, 3, 4, 5, 6, 7, 8, 9, 10, 11, 12, 1, 2, 3, 4, 5, 6, 7, 8, 9, 10, 11, 12, 1, 2, 3, 4, 5, 6, 7, 8, 9, 10, 11, 12, 1, 2, 3, 4, 5, 6, 7, 8, 9, 10, 11, 12]}</v>
      </c>
      <c r="C103" t="str">
        <f>"{"&amp;_xlfn.TEXTJOIN(", ",TRUE,E103:E104)&amp;"}"</f>
        <v>{"index_0": [2021, 2021, 2021, 2021, 2021, 2021, 2021, 2021, 2021, 2021, 2021, 2021, 2022, 2022, 2022, 2022, 2022, 2022, 2022, 2022, 2022, 2022, 2022, 2022, 2023, 2023, 2023, 2023, 2023, 2023, 2023, 2023, 2023, 2023, 2023, 2023, 2024, 2024, 2024, 2024, 2024, 2024, 2024, 2024, 2024, 2024, 2024, 2024], "index_1": [1, 2, 3, 4, 5, 6, 7, 8, 9, 10, 11, 12, 1, 2, 3, 4, 5, 6, 7, 8, 9, 10, 11, 12, 1, 2, 3, 4, 5, 6, 7, 8, 9, 10, 11, 12, 1, 2, 3, 4, 5, 6, 7, 8, 9, 10, 11, 12]}</v>
      </c>
      <c r="E103" t="str">
        <f>CHAR(34)&amp;J103&amp;CHAR(34)&amp;": "&amp;F103</f>
        <v>"index_0": [2021, 2021, 2021, 2021, 2021, 2021, 2021, 2021, 2021, 2021, 2021, 2021, 2022, 2022, 2022, 2022, 2022, 2022, 2022, 2022, 2022, 2022, 2022, 2022, 2023, 2023, 2023, 2023, 2023, 2023, 2023, 2023, 2023, 2023, 2023, 2023, 2024, 2024, 2024, 2024, 2024, 2024, 2024, 2024, 2024, 2024, 2024, 2024]</v>
      </c>
      <c r="F103" s="158" t="str" cm="1">
        <f t="array" ref="F103">"["&amp;_xlfn.TEXTJOIN(", ",FALSE,SUBSTITUTE(K103:BF103,",","."))&amp;"]"</f>
        <v>[2021, 2021, 2021, 2021, 2021, 2021, 2021, 2021, 2021, 2021, 2021, 2021, 2022, 2022, 2022, 2022, 2022, 2022, 2022, 2022, 2022, 2022, 2022, 2022, 2023, 2023, 2023, 2023, 2023, 2023, 2023, 2023, 2023, 2023, 2023, 2023, 2024, 2024, 2024, 2024, 2024, 2024, 2024, 2024, 2024, 2024, 2024, 2024]</v>
      </c>
      <c r="H103" t="s">
        <v>1996</v>
      </c>
      <c r="I103" t="s">
        <v>1987</v>
      </c>
      <c r="J103" t="s">
        <v>1988</v>
      </c>
      <c r="K103">
        <f>IF('Прогноз Зарплати 2023'!N127=0,J103,'Прогноз Зарплати 2023'!N127)</f>
        <v>2021</v>
      </c>
      <c r="L103">
        <f>IF('Прогноз Зарплати 2023'!O127=0,K103,'Прогноз Зарплати 2023'!O127)</f>
        <v>2021</v>
      </c>
      <c r="M103">
        <f>IF('Прогноз Зарплати 2023'!P127=0,L103,'Прогноз Зарплати 2023'!P127)</f>
        <v>2021</v>
      </c>
      <c r="N103">
        <f>IF('Прогноз Зарплати 2023'!Q127=0,M103,'Прогноз Зарплати 2023'!Q127)</f>
        <v>2021</v>
      </c>
      <c r="O103">
        <f>IF('Прогноз Зарплати 2023'!R127=0,N103,'Прогноз Зарплати 2023'!R127)</f>
        <v>2021</v>
      </c>
      <c r="P103">
        <f>IF('Прогноз Зарплати 2023'!S127=0,O103,'Прогноз Зарплати 2023'!S127)</f>
        <v>2021</v>
      </c>
      <c r="Q103">
        <f>IF('Прогноз Зарплати 2023'!T127=0,P103,'Прогноз Зарплати 2023'!T127)</f>
        <v>2021</v>
      </c>
      <c r="R103">
        <f>IF('Прогноз Зарплати 2023'!U127=0,Q103,'Прогноз Зарплати 2023'!U127)</f>
        <v>2021</v>
      </c>
      <c r="S103">
        <f>IF('Прогноз Зарплати 2023'!V127=0,R103,'Прогноз Зарплати 2023'!V127)</f>
        <v>2021</v>
      </c>
      <c r="T103">
        <f>IF('Прогноз Зарплати 2023'!W127=0,S103,'Прогноз Зарплати 2023'!W127)</f>
        <v>2021</v>
      </c>
      <c r="U103">
        <f>IF('Прогноз Зарплати 2023'!X127=0,T103,'Прогноз Зарплати 2023'!X127)</f>
        <v>2021</v>
      </c>
      <c r="V103">
        <f>IF('Прогноз Зарплати 2023'!Y127=0,U103,'Прогноз Зарплати 2023'!Y127)</f>
        <v>2021</v>
      </c>
      <c r="W103">
        <f>IF('Прогноз Зарплати 2023'!Z127=0,V103,'Прогноз Зарплати 2023'!Z127)</f>
        <v>2022</v>
      </c>
      <c r="X103">
        <f>IF('Прогноз Зарплати 2023'!AA127=0,W103,'Прогноз Зарплати 2023'!AA127)</f>
        <v>2022</v>
      </c>
      <c r="Y103">
        <f>IF('Прогноз Зарплати 2023'!AB127=0,X103,'Прогноз Зарплати 2023'!AB127)</f>
        <v>2022</v>
      </c>
      <c r="Z103">
        <f>IF('Прогноз Зарплати 2023'!AC127=0,Y103,'Прогноз Зарплати 2023'!AC127)</f>
        <v>2022</v>
      </c>
      <c r="AA103">
        <f>IF('Прогноз Зарплати 2023'!AD127=0,Z103,'Прогноз Зарплати 2023'!AD127)</f>
        <v>2022</v>
      </c>
      <c r="AB103">
        <f>IF('Прогноз Зарплати 2023'!AE127=0,AA103,'Прогноз Зарплати 2023'!AE127)</f>
        <v>2022</v>
      </c>
      <c r="AC103">
        <f>IF('Прогноз Зарплати 2023'!AF127=0,AB103,'Прогноз Зарплати 2023'!AF127)</f>
        <v>2022</v>
      </c>
      <c r="AD103">
        <f>IF('Прогноз Зарплати 2023'!AG127=0,AC103,'Прогноз Зарплати 2023'!AG127)</f>
        <v>2022</v>
      </c>
      <c r="AE103">
        <f>IF('Прогноз Зарплати 2023'!AH127=0,AD103,'Прогноз Зарплати 2023'!AH127)</f>
        <v>2022</v>
      </c>
      <c r="AF103">
        <f>IF('Прогноз Зарплати 2023'!AI127=0,AE103,'Прогноз Зарплати 2023'!AI127)</f>
        <v>2022</v>
      </c>
      <c r="AG103">
        <f>IF('Прогноз Зарплати 2023'!AJ127=0,AF103,'Прогноз Зарплати 2023'!AJ127)</f>
        <v>2022</v>
      </c>
      <c r="AH103">
        <f>IF('Прогноз Зарплати 2023'!AK127=0,AG103,'Прогноз Зарплати 2023'!AK127)</f>
        <v>2022</v>
      </c>
      <c r="AI103">
        <f>IF('Прогноз Зарплати 2023'!AL127=0,AH103,'Прогноз Зарплати 2023'!AL127)</f>
        <v>2023</v>
      </c>
      <c r="AJ103">
        <f>IF('Прогноз Зарплати 2023'!AM127=0,AI103,'Прогноз Зарплати 2023'!AM127)</f>
        <v>2023</v>
      </c>
      <c r="AK103">
        <f>IF('Прогноз Зарплати 2023'!AN127=0,AJ103,'Прогноз Зарплати 2023'!AN127)</f>
        <v>2023</v>
      </c>
      <c r="AL103">
        <f>IF('Прогноз Зарплати 2023'!AO127=0,AK103,'Прогноз Зарплати 2023'!AO127)</f>
        <v>2023</v>
      </c>
      <c r="AM103">
        <f>IF('Прогноз Зарплати 2023'!AP127=0,AL103,'Прогноз Зарплати 2023'!AP127)</f>
        <v>2023</v>
      </c>
      <c r="AN103">
        <f>IF('Прогноз Зарплати 2023'!AQ127=0,AM103,'Прогноз Зарплати 2023'!AQ127)</f>
        <v>2023</v>
      </c>
      <c r="AO103">
        <f>IF('Прогноз Зарплати 2023'!AR127=0,AN103,'Прогноз Зарплати 2023'!AR127)</f>
        <v>2023</v>
      </c>
      <c r="AP103">
        <f>IF('Прогноз Зарплати 2023'!AS127=0,AO103,'Прогноз Зарплати 2023'!AS127)</f>
        <v>2023</v>
      </c>
      <c r="AQ103">
        <f>IF('Прогноз Зарплати 2023'!AT127=0,AP103,'Прогноз Зарплати 2023'!AT127)</f>
        <v>2023</v>
      </c>
      <c r="AR103">
        <f>IF('Прогноз Зарплати 2023'!AU127=0,AQ103,'Прогноз Зарплати 2023'!AU127)</f>
        <v>2023</v>
      </c>
      <c r="AS103">
        <f>IF('Прогноз Зарплати 2023'!AV127=0,AR103,'Прогноз Зарплати 2023'!AV127)</f>
        <v>2023</v>
      </c>
      <c r="AT103">
        <f>IF('Прогноз Зарплати 2023'!AW127=0,AS103,'Прогноз Зарплати 2023'!AW127)</f>
        <v>2023</v>
      </c>
      <c r="AU103">
        <f>IF('Прогноз Зарплати 2023'!AX127=0,AT103,'Прогноз Зарплати 2023'!AX127)</f>
        <v>2024</v>
      </c>
      <c r="AV103">
        <f>IF('Прогноз Зарплати 2023'!AY127=0,AU103,'Прогноз Зарплати 2023'!AY127)</f>
        <v>2024</v>
      </c>
      <c r="AW103">
        <f>IF('Прогноз Зарплати 2023'!AZ127=0,AV103,'Прогноз Зарплати 2023'!AZ127)</f>
        <v>2024</v>
      </c>
      <c r="AX103">
        <f>IF('Прогноз Зарплати 2023'!BA127=0,AW103,'Прогноз Зарплати 2023'!BA127)</f>
        <v>2024</v>
      </c>
      <c r="AY103">
        <f>IF('Прогноз Зарплати 2023'!BB127=0,AX103,'Прогноз Зарплати 2023'!BB127)</f>
        <v>2024</v>
      </c>
      <c r="AZ103">
        <f>IF('Прогноз Зарплати 2023'!BC127=0,AY103,'Прогноз Зарплати 2023'!BC127)</f>
        <v>2024</v>
      </c>
      <c r="BA103">
        <f>IF('Прогноз Зарплати 2023'!BD127=0,AZ103,'Прогноз Зарплати 2023'!BD127)</f>
        <v>2024</v>
      </c>
      <c r="BB103">
        <f>IF('Прогноз Зарплати 2023'!BE127=0,BA103,'Прогноз Зарплати 2023'!BE127)</f>
        <v>2024</v>
      </c>
      <c r="BC103">
        <f>IF('Прогноз Зарплати 2023'!BF127=0,BB103,'Прогноз Зарплати 2023'!BF127)</f>
        <v>2024</v>
      </c>
      <c r="BD103">
        <f>IF('Прогноз Зарплати 2023'!BG127=0,BC103,'Прогноз Зарплати 2023'!BG127)</f>
        <v>2024</v>
      </c>
      <c r="BE103">
        <f>IF('Прогноз Зарплати 2023'!BH127=0,BD103,'Прогноз Зарплати 2023'!BH127)</f>
        <v>2024</v>
      </c>
      <c r="BF103">
        <f>IF('Прогноз Зарплати 2023'!BI127=0,BE103,'Прогноз Зарплати 2023'!BI127)</f>
        <v>2024</v>
      </c>
    </row>
    <row r="104" spans="1:58">
      <c r="E104" t="str">
        <f>CHAR(34)&amp;J104&amp;CHAR(34)&amp;": "&amp;F104</f>
        <v>"index_1": [1, 2, 3, 4, 5, 6, 7, 8, 9, 10, 11, 12, 1, 2, 3, 4, 5, 6, 7, 8, 9, 10, 11, 12, 1, 2, 3, 4, 5, 6, 7, 8, 9, 10, 11, 12, 1, 2, 3, 4, 5, 6, 7, 8, 9, 10, 11, 12]</v>
      </c>
      <c r="F104" s="158" t="str" cm="1">
        <f t="array" ref="F104">"["&amp;_xlfn.TEXTJOIN(", ",FALSE,SUBSTITUTE(K104:BF104,",","."))&amp;"]"</f>
        <v>[1, 2, 3, 4, 5, 6, 7, 8, 9, 10, 11, 12, 1, 2, 3, 4, 5, 6, 7, 8, 9, 10, 11, 12, 1, 2, 3, 4, 5, 6, 7, 8, 9, 10, 11, 12, 1, 2, 3, 4, 5, 6, 7, 8, 9, 10, 11, 12]</v>
      </c>
      <c r="H104" t="s">
        <v>1996</v>
      </c>
      <c r="I104" t="s">
        <v>1987</v>
      </c>
      <c r="J104" t="s">
        <v>1989</v>
      </c>
      <c r="K104" cm="1">
        <f t="array" ref="K104:BF104">'Прогноз Зарплати 2023'!$N$128:$BI$128</f>
        <v>1</v>
      </c>
      <c r="L104">
        <v>2</v>
      </c>
      <c r="M104">
        <v>3</v>
      </c>
      <c r="N104">
        <v>4</v>
      </c>
      <c r="O104">
        <v>5</v>
      </c>
      <c r="P104">
        <v>6</v>
      </c>
      <c r="Q104">
        <v>7</v>
      </c>
      <c r="R104">
        <v>8</v>
      </c>
      <c r="S104">
        <v>9</v>
      </c>
      <c r="T104">
        <v>10</v>
      </c>
      <c r="U104">
        <v>11</v>
      </c>
      <c r="V104">
        <v>12</v>
      </c>
      <c r="W104">
        <v>1</v>
      </c>
      <c r="X104">
        <v>2</v>
      </c>
      <c r="Y104">
        <v>3</v>
      </c>
      <c r="Z104">
        <v>4</v>
      </c>
      <c r="AA104">
        <v>5</v>
      </c>
      <c r="AB104">
        <v>6</v>
      </c>
      <c r="AC104">
        <v>7</v>
      </c>
      <c r="AD104">
        <v>8</v>
      </c>
      <c r="AE104">
        <v>9</v>
      </c>
      <c r="AF104">
        <v>10</v>
      </c>
      <c r="AG104">
        <v>11</v>
      </c>
      <c r="AH104">
        <v>12</v>
      </c>
      <c r="AI104">
        <v>1</v>
      </c>
      <c r="AJ104">
        <v>2</v>
      </c>
      <c r="AK104">
        <v>3</v>
      </c>
      <c r="AL104">
        <v>4</v>
      </c>
      <c r="AM104">
        <v>5</v>
      </c>
      <c r="AN104">
        <v>6</v>
      </c>
      <c r="AO104">
        <v>7</v>
      </c>
      <c r="AP104">
        <v>8</v>
      </c>
      <c r="AQ104">
        <v>9</v>
      </c>
      <c r="AR104">
        <v>10</v>
      </c>
      <c r="AS104">
        <v>11</v>
      </c>
      <c r="AT104">
        <v>12</v>
      </c>
      <c r="AU104">
        <v>1</v>
      </c>
      <c r="AV104">
        <v>2</v>
      </c>
      <c r="AW104">
        <v>3</v>
      </c>
      <c r="AX104">
        <v>4</v>
      </c>
      <c r="AY104">
        <v>5</v>
      </c>
      <c r="AZ104">
        <v>6</v>
      </c>
      <c r="BA104">
        <v>7</v>
      </c>
      <c r="BB104">
        <v>8</v>
      </c>
      <c r="BC104">
        <v>9</v>
      </c>
      <c r="BD104">
        <v>10</v>
      </c>
      <c r="BE104">
        <v>11</v>
      </c>
      <c r="BF104">
        <v>12</v>
      </c>
    </row>
    <row r="106" spans="1:58">
      <c r="B106" t="str">
        <f>CHAR(34)&amp;I106&amp;CHAR(34)&amp;": "&amp;C106</f>
        <v>"labels": {"label_1": [12337, 12549, 13612, 13543, 13499, 14313, 14345, 13997, 14239, 14045, 14282, 17453, 14577, 14462.8008289365, 14777.4085420947, 13797.9409069545, 13641.1999350209, 13728.8044057391, 14534.2505491013, 14680.630116613, 14642.9187704066, 16285.5584454045, 16447.0307504453, 16698.9275463091, 15281.2499689483, 15442.0072090719, 15584.630248328, 16936.7778503572, 17154.1460041902, 17436.9356412157, 17518.28, 17439.67, 17755.65, 17963.73, 17810.1, 19654.83, 19118.5110679417, 19259.6737097138, 19538.9279169038, 19661.3952259418, 19706.2986313277, 20589.577773895, 21008.9545040725, 20746.7735019155, 21162.1273763734, 21983.5542571595, 21845.5063485917, 24469.236765409], "label_2": [437.175766383875, 450.032371868558, 489.71853590438, 484.890798424633, 489.094202898551, 525.442971957041, 527.107773237985, 523.056801195815, 532.662219279871, 532.612817595753, 539.962192816635, 641.418596104373, 520.979270907791, 509.074298801004, 505.210548447682, 471.724475451437, 466.365809744304, 469.360834384242, 397.43643831286, 401.439160968361, 400.407951063893, 445.325634274118, 449.741065092845, 456.62913717006, 417.86300161193, 422.258879110526, 426.158880183975, 463.133110482833, 469.07700312251, 476.809834323644, 479.034181022696, 476.884604867378, 485.525020508614, 491.901580045712, 489.284774691845, 535.240384493331, 508.846810535287, 503.194812659946, 499.642628638523, 499.074585732395, 495.369028601056, 512.7091228684, 518.539433293129, 510.404273395816, 517.831040086681, 535.831282793471, 530.22977513119, 591.007038278393]}</v>
      </c>
      <c r="C106" t="str">
        <f>"{"&amp;_xlfn.TEXTJOIN(", ",TRUE,E106:E107)&amp;"}"</f>
        <v>{"label_1": [12337, 12549, 13612, 13543, 13499, 14313, 14345, 13997, 14239, 14045, 14282, 17453, 14577, 14462.8008289365, 14777.4085420947, 13797.9409069545, 13641.1999350209, 13728.8044057391, 14534.2505491013, 14680.630116613, 14642.9187704066, 16285.5584454045, 16447.0307504453, 16698.9275463091, 15281.2499689483, 15442.0072090719, 15584.630248328, 16936.7778503572, 17154.1460041902, 17436.9356412157, 17518.28, 17439.67, 17755.65, 17963.73, 17810.1, 19654.83, 19118.5110679417, 19259.6737097138, 19538.9279169038, 19661.3952259418, 19706.2986313277, 20589.577773895, 21008.9545040725, 20746.7735019155, 21162.1273763734, 21983.5542571595, 21845.5063485917, 24469.236765409], "label_2": [437.175766383875, 450.032371868558, 489.71853590438, 484.890798424633, 489.094202898551, 525.442971957041, 527.107773237985, 523.056801195815, 532.662219279871, 532.612817595753, 539.962192816635, 641.418596104373, 520.979270907791, 509.074298801004, 505.210548447682, 471.724475451437, 466.365809744304, 469.360834384242, 397.43643831286, 401.439160968361, 400.407951063893, 445.325634274118, 449.741065092845, 456.62913717006, 417.86300161193, 422.258879110526, 426.158880183975, 463.133110482833, 469.07700312251, 476.809834323644, 479.034181022696, 476.884604867378, 485.525020508614, 491.901580045712, 489.284774691845, 535.240384493331, 508.846810535287, 503.194812659946, 499.642628638523, 499.074585732395, 495.369028601056, 512.7091228684, 518.539433293129, 510.404273395816, 517.831040086681, 535.831282793471, 530.22977513119, 591.007038278393]}</v>
      </c>
      <c r="E106" t="str">
        <f>CHAR(34)&amp;J106&amp;CHAR(34)&amp;": "&amp;F106</f>
        <v>"label_1": [12337, 12549, 13612, 13543, 13499, 14313, 14345, 13997, 14239, 14045, 14282, 17453, 14577, 14462.8008289365, 14777.4085420947, 13797.9409069545, 13641.1999350209, 13728.8044057391, 14534.2505491013, 14680.630116613, 14642.9187704066, 16285.5584454045, 16447.0307504453, 16698.9275463091, 15281.2499689483, 15442.0072090719, 15584.630248328, 16936.7778503572, 17154.1460041902, 17436.9356412157, 17518.28, 17439.67, 17755.65, 17963.73, 17810.1, 19654.83, 19118.5110679417, 19259.6737097138, 19538.9279169038, 19661.3952259418, 19706.2986313277, 20589.577773895, 21008.9545040725, 20746.7735019155, 21162.1273763734, 21983.5542571595, 21845.5063485917, 24469.236765409]</v>
      </c>
      <c r="F106" s="158" t="str" cm="1">
        <f t="array" ref="F106">"["&amp;_xlfn.TEXTJOIN(", ",FALSE,SUBSTITUTE(_xlfn.ANCHORARRAY(K106),",","."))&amp;"]"</f>
        <v>[12337, 12549, 13612, 13543, 13499, 14313, 14345, 13997, 14239, 14045, 14282, 17453, 14577, 14462.8008289365, 14777.4085420947, 13797.9409069545, 13641.1999350209, 13728.8044057391, 14534.2505491013, 14680.630116613, 14642.9187704066, 16285.5584454045, 16447.0307504453, 16698.9275463091, 15281.2499689483, 15442.0072090719, 15584.630248328, 16936.7778503572, 17154.1460041902, 17436.9356412157, 17518.28, 17439.67, 17755.65, 17963.73, 17810.1, 19654.83, 19118.5110679417, 19259.6737097138, 19538.9279169038, 19661.3952259418, 19706.2986313277, 20589.577773895, 21008.9545040725, 20746.7735019155, 21162.1273763734, 21983.5542571595, 21845.5063485917, 24469.236765409]</v>
      </c>
      <c r="H106" t="s">
        <v>1996</v>
      </c>
      <c r="I106" t="s">
        <v>1990</v>
      </c>
      <c r="J106" t="s">
        <v>1991</v>
      </c>
      <c r="K106" s="916" cm="1">
        <f t="array" ref="K106:BF106">'Прогноз Зарплати 2023'!$N$129:$BI$129</f>
        <v>12337</v>
      </c>
      <c r="L106" s="158">
        <v>12549</v>
      </c>
      <c r="M106" s="158">
        <v>13612</v>
      </c>
      <c r="N106" s="158">
        <v>13543</v>
      </c>
      <c r="O106" s="158">
        <v>13499</v>
      </c>
      <c r="P106" s="158">
        <v>14313</v>
      </c>
      <c r="Q106" s="158">
        <v>14345</v>
      </c>
      <c r="R106" s="158">
        <v>13997</v>
      </c>
      <c r="S106" s="158">
        <v>14239</v>
      </c>
      <c r="T106" s="158">
        <v>14045</v>
      </c>
      <c r="U106" s="158">
        <v>14282</v>
      </c>
      <c r="V106" s="158">
        <v>17453</v>
      </c>
      <c r="W106" s="158">
        <v>14577</v>
      </c>
      <c r="X106" s="158">
        <v>14462.800828936512</v>
      </c>
      <c r="Y106" s="158">
        <v>14777.408542094696</v>
      </c>
      <c r="Z106" s="158">
        <v>13797.94090695452</v>
      </c>
      <c r="AA106" s="158">
        <v>13641.199935020895</v>
      </c>
      <c r="AB106" s="158">
        <v>13728.804405739085</v>
      </c>
      <c r="AC106" s="158">
        <v>14534.250549101282</v>
      </c>
      <c r="AD106" s="158">
        <v>14680.630116612969</v>
      </c>
      <c r="AE106" s="158">
        <v>14642.918770406568</v>
      </c>
      <c r="AF106" s="158">
        <v>16285.558445404484</v>
      </c>
      <c r="AG106" s="158">
        <v>16447.030750445345</v>
      </c>
      <c r="AH106" s="158">
        <v>16698.927546309089</v>
      </c>
      <c r="AI106" s="158">
        <v>15281.249968948276</v>
      </c>
      <c r="AJ106" s="158">
        <v>15442.007209071919</v>
      </c>
      <c r="AK106" s="158">
        <v>15584.630248327954</v>
      </c>
      <c r="AL106" s="158">
        <v>16936.777850357194</v>
      </c>
      <c r="AM106" s="158">
        <v>17154.146004190199</v>
      </c>
      <c r="AN106" s="158">
        <v>17436.935641215663</v>
      </c>
      <c r="AO106" s="158">
        <v>17518.28</v>
      </c>
      <c r="AP106" s="158">
        <v>17439.670000000002</v>
      </c>
      <c r="AQ106" s="158">
        <v>17755.650000000001</v>
      </c>
      <c r="AR106" s="158">
        <v>17963.73</v>
      </c>
      <c r="AS106" s="158">
        <v>17810.099999999999</v>
      </c>
      <c r="AT106" s="158">
        <v>19654.830000000002</v>
      </c>
      <c r="AU106" s="158">
        <v>19118.511067941676</v>
      </c>
      <c r="AV106" s="158">
        <v>19259.673709713803</v>
      </c>
      <c r="AW106" s="158">
        <v>19538.927916903838</v>
      </c>
      <c r="AX106" s="158">
        <v>19661.395225941844</v>
      </c>
      <c r="AY106" s="158">
        <v>19706.298631327682</v>
      </c>
      <c r="AZ106" s="158">
        <v>20589.577773895002</v>
      </c>
      <c r="BA106" s="158">
        <v>21008.954504072528</v>
      </c>
      <c r="BB106" s="158">
        <v>20746.773501915468</v>
      </c>
      <c r="BC106" s="158">
        <v>21162.127376373395</v>
      </c>
      <c r="BD106" s="158">
        <v>21983.554257159536</v>
      </c>
      <c r="BE106" s="158">
        <v>21845.506348591651</v>
      </c>
      <c r="BF106" s="158">
        <v>24469.236765408983</v>
      </c>
    </row>
    <row r="107" spans="1:58">
      <c r="E107" t="str">
        <f t="shared" ref="E107" si="16">CHAR(34)&amp;J107&amp;CHAR(34)&amp;": "&amp;F107</f>
        <v>"label_2": [437.175766383875, 450.032371868558, 489.71853590438, 484.890798424633, 489.094202898551, 525.442971957041, 527.107773237985, 523.056801195815, 532.662219279871, 532.612817595753, 539.962192816635, 641.418596104373, 520.979270907791, 509.074298801004, 505.210548447682, 471.724475451437, 466.365809744304, 469.360834384242, 397.43643831286, 401.439160968361, 400.407951063893, 445.325634274118, 449.741065092845, 456.62913717006, 417.86300161193, 422.258879110526, 426.158880183975, 463.133110482833, 469.07700312251, 476.809834323644, 479.034181022696, 476.884604867378, 485.525020508614, 491.901580045712, 489.284774691845, 535.240384493331, 508.846810535287, 503.194812659946, 499.642628638523, 499.074585732395, 495.369028601056, 512.7091228684, 518.539433293129, 510.404273395816, 517.831040086681, 535.831282793471, 530.22977513119, 591.007038278393]</v>
      </c>
      <c r="F107" s="158" t="str" cm="1">
        <f t="array" ref="F107">"["&amp;_xlfn.TEXTJOIN(", ",FALSE,SUBSTITUTE(_xlfn.ANCHORARRAY(K107),",","."))&amp;"]"</f>
        <v>[437.175766383875, 450.032371868558, 489.71853590438, 484.890798424633, 489.094202898551, 525.442971957041, 527.107773237985, 523.056801195815, 532.662219279871, 532.612817595753, 539.962192816635, 641.418596104373, 520.979270907791, 509.074298801004, 505.210548447682, 471.724475451437, 466.365809744304, 469.360834384242, 397.43643831286, 401.439160968361, 400.407951063893, 445.325634274118, 449.741065092845, 456.62913717006, 417.86300161193, 422.258879110526, 426.158880183975, 463.133110482833, 469.07700312251, 476.809834323644, 479.034181022696, 476.884604867378, 485.525020508614, 491.901580045712, 489.284774691845, 535.240384493331, 508.846810535287, 503.194812659946, 499.642628638523, 499.074585732395, 495.369028601056, 512.7091228684, 518.539433293129, 510.404273395816, 517.831040086681, 535.831282793471, 530.22977513119, 591.007038278393]</v>
      </c>
      <c r="H107" t="s">
        <v>1996</v>
      </c>
      <c r="I107" t="s">
        <v>1990</v>
      </c>
      <c r="J107" t="s">
        <v>1992</v>
      </c>
      <c r="K107" s="916" cm="1">
        <f t="array" ref="K107:BF107">'Прогноз Зарплати 2023'!$N$131:$BI$131</f>
        <v>437.17576638387527</v>
      </c>
      <c r="L107" s="158">
        <v>450.03237186855824</v>
      </c>
      <c r="M107" s="158">
        <v>489.71853590437973</v>
      </c>
      <c r="N107" s="158">
        <v>484.89079842463303</v>
      </c>
      <c r="O107" s="158">
        <v>489.09420289855069</v>
      </c>
      <c r="P107" s="158">
        <v>525.44297195704064</v>
      </c>
      <c r="Q107" s="158">
        <v>527.10777323798527</v>
      </c>
      <c r="R107" s="158">
        <v>523.05680119581461</v>
      </c>
      <c r="S107" s="158">
        <v>532.66221927987112</v>
      </c>
      <c r="T107" s="158">
        <v>532.61281759575274</v>
      </c>
      <c r="U107" s="158">
        <v>539.96219281663514</v>
      </c>
      <c r="V107" s="158">
        <v>641.41859610437336</v>
      </c>
      <c r="W107" s="158">
        <v>520.97927090779126</v>
      </c>
      <c r="X107" s="158">
        <v>509.07429880100358</v>
      </c>
      <c r="Y107" s="158">
        <v>505.2105484476819</v>
      </c>
      <c r="Z107" s="158">
        <v>471.7244754514366</v>
      </c>
      <c r="AA107" s="158">
        <v>466.3658097443041</v>
      </c>
      <c r="AB107" s="158">
        <v>469.36083438424225</v>
      </c>
      <c r="AC107" s="158">
        <v>397.43643831285976</v>
      </c>
      <c r="AD107" s="158">
        <v>401.43916096836119</v>
      </c>
      <c r="AE107" s="158">
        <v>400.40795106389305</v>
      </c>
      <c r="AF107" s="158">
        <v>445.3256342741177</v>
      </c>
      <c r="AG107" s="158">
        <v>449.74106509284508</v>
      </c>
      <c r="AH107" s="158">
        <v>456.62913717005983</v>
      </c>
      <c r="AI107" s="158">
        <v>417.86300161192986</v>
      </c>
      <c r="AJ107" s="158">
        <v>422.25887911052553</v>
      </c>
      <c r="AK107" s="158">
        <v>426.1588801839747</v>
      </c>
      <c r="AL107" s="158">
        <v>463.13311048283276</v>
      </c>
      <c r="AM107" s="158">
        <v>469.07700312251023</v>
      </c>
      <c r="AN107" s="158">
        <v>476.80983432364405</v>
      </c>
      <c r="AO107" s="158">
        <v>479.03418102269615</v>
      </c>
      <c r="AP107" s="158">
        <v>476.88460486737767</v>
      </c>
      <c r="AQ107" s="158">
        <v>485.52502050861364</v>
      </c>
      <c r="AR107" s="158">
        <v>491.90158004571197</v>
      </c>
      <c r="AS107" s="158">
        <v>489.28477469184526</v>
      </c>
      <c r="AT107" s="158">
        <v>535.24038449333057</v>
      </c>
      <c r="AU107" s="158">
        <v>508.84681053528681</v>
      </c>
      <c r="AV107" s="158">
        <v>503.19481265994614</v>
      </c>
      <c r="AW107" s="158">
        <v>499.64262863852281</v>
      </c>
      <c r="AX107" s="158">
        <v>499.07458573239524</v>
      </c>
      <c r="AY107" s="158">
        <v>495.36902860105619</v>
      </c>
      <c r="AZ107" s="158">
        <v>512.7091228683995</v>
      </c>
      <c r="BA107" s="158">
        <v>518.53943329312915</v>
      </c>
      <c r="BB107" s="158">
        <v>510.40427339581566</v>
      </c>
      <c r="BC107" s="158">
        <v>517.83104008668101</v>
      </c>
      <c r="BD107" s="158">
        <v>535.83128279347136</v>
      </c>
      <c r="BE107" s="158">
        <v>530.22977513119031</v>
      </c>
      <c r="BF107" s="158">
        <v>591.00703827839345</v>
      </c>
    </row>
    <row r="109" spans="1:58">
      <c r="B109" t="str">
        <f>CHAR(34)&amp;I109&amp;CHAR(34)&amp;": "&amp;C109</f>
        <v>"label_names": {"UKR": {"label_1": "UAH", "label_2": "USD "}, "RU": {"label_1": "UAH", "label_2": "USD "}, "ENG": {"label_1": "UAH", "label_2": "USD "}}</v>
      </c>
      <c r="C109" t="str">
        <f>"{"&amp;_xlfn.TEXTJOIN(", ",TRUE,D109:D114)&amp;"}"</f>
        <v>{"UKR": {"label_1": "UAH", "label_2": "USD "}, "RU": {"label_1": "UAH", "label_2": "USD "}, "ENG": {"label_1": "UAH", "label_2": "USD "}}</v>
      </c>
      <c r="D109" t="str">
        <f>CHAR(34)&amp;J109&amp;CHAR(34)&amp;": "&amp;E109</f>
        <v>"UKR": {"label_1": "UAH", "label_2": "USD "}</v>
      </c>
      <c r="E109" t="str">
        <f>"{"&amp;_xlfn.TEXTJOIN(", ",TRUE,F109:F110)&amp;"}"</f>
        <v>{"label_1": "UAH", "label_2": "USD "}</v>
      </c>
      <c r="F109" t="str">
        <f t="shared" ref="F109:F114" si="17">CHAR(34)&amp;K109&amp;CHAR(34)&amp;": "&amp;CHAR(34)&amp;L109&amp;CHAR(34)</f>
        <v>"label_1": "UAH"</v>
      </c>
      <c r="H109" t="s">
        <v>1996</v>
      </c>
      <c r="I109" t="s">
        <v>1994</v>
      </c>
      <c r="J109" t="s">
        <v>502</v>
      </c>
      <c r="K109" t="s">
        <v>1991</v>
      </c>
      <c r="L109" t="str">
        <f>'Прогноз Зарплати 2023'!$A$146</f>
        <v>UAH</v>
      </c>
    </row>
    <row r="110" spans="1:58">
      <c r="F110" t="str">
        <f t="shared" si="17"/>
        <v>"label_2": "USD "</v>
      </c>
      <c r="H110" t="s">
        <v>1996</v>
      </c>
      <c r="I110" t="s">
        <v>1994</v>
      </c>
      <c r="J110" t="s">
        <v>502</v>
      </c>
      <c r="K110" t="s">
        <v>1992</v>
      </c>
      <c r="L110" t="str">
        <f>'Прогноз Зарплати 2023'!$A$150</f>
        <v xml:space="preserve">USD </v>
      </c>
    </row>
    <row r="111" spans="1:58">
      <c r="D111" t="str">
        <f>CHAR(34)&amp;J111&amp;CHAR(34)&amp;": "&amp;E111</f>
        <v>"RU": {"label_1": "UAH", "label_2": "USD "}</v>
      </c>
      <c r="E111" t="str">
        <f>"{"&amp;_xlfn.TEXTJOIN(", ",TRUE,F111:F112)&amp;"}"</f>
        <v>{"label_1": "UAH", "label_2": "USD "}</v>
      </c>
      <c r="F111" t="str">
        <f t="shared" si="17"/>
        <v>"label_1": "UAH"</v>
      </c>
      <c r="H111" t="s">
        <v>1996</v>
      </c>
      <c r="I111" t="s">
        <v>1994</v>
      </c>
      <c r="J111" t="s">
        <v>500</v>
      </c>
      <c r="K111" t="s">
        <v>1991</v>
      </c>
      <c r="L111" t="str">
        <f>'Прогноз Зарплати 2023'!$A$146</f>
        <v>UAH</v>
      </c>
    </row>
    <row r="112" spans="1:58">
      <c r="F112" t="str">
        <f t="shared" si="17"/>
        <v>"label_2": "USD "</v>
      </c>
      <c r="H112" t="s">
        <v>1996</v>
      </c>
      <c r="I112" t="s">
        <v>1994</v>
      </c>
      <c r="J112" t="s">
        <v>500</v>
      </c>
      <c r="K112" t="s">
        <v>1992</v>
      </c>
      <c r="L112" t="str">
        <f>'Прогноз Зарплати 2023'!$A$150</f>
        <v xml:space="preserve">USD </v>
      </c>
    </row>
    <row r="113" spans="2:12">
      <c r="D113" t="str">
        <f>CHAR(34)&amp;J113&amp;CHAR(34)&amp;": "&amp;E113</f>
        <v>"ENG": {"label_1": "UAH", "label_2": "USD "}</v>
      </c>
      <c r="E113" t="str">
        <f>"{"&amp;_xlfn.TEXTJOIN(", ",TRUE,F113:F114)&amp;"}"</f>
        <v>{"label_1": "UAH", "label_2": "USD "}</v>
      </c>
      <c r="F113" t="str">
        <f t="shared" si="17"/>
        <v>"label_1": "UAH"</v>
      </c>
      <c r="H113" t="s">
        <v>1996</v>
      </c>
      <c r="I113" t="s">
        <v>1994</v>
      </c>
      <c r="J113" t="s">
        <v>501</v>
      </c>
      <c r="K113" t="s">
        <v>1991</v>
      </c>
      <c r="L113" t="str">
        <f>'Прогноз Зарплати 2023'!$A$146</f>
        <v>UAH</v>
      </c>
    </row>
    <row r="114" spans="2:12">
      <c r="F114" t="str">
        <f t="shared" si="17"/>
        <v>"label_2": "USD "</v>
      </c>
      <c r="H114" t="s">
        <v>1996</v>
      </c>
      <c r="I114" t="s">
        <v>1994</v>
      </c>
      <c r="J114" t="s">
        <v>501</v>
      </c>
      <c r="K114" t="s">
        <v>1992</v>
      </c>
      <c r="L114" t="str">
        <f>'Прогноз Зарплати 2023'!$A$150</f>
        <v xml:space="preserve">USD </v>
      </c>
    </row>
    <row r="116" spans="2:12">
      <c r="B116" t="str">
        <f>CHAR(34)&amp;I116&amp;CHAR(34)&amp;": "&amp;C116</f>
        <v>"source": {"UKR": "Джерело: НБУ, Work.ua, розрахунки UEO", "RU": "Источник: НБУ, Work.ua, расчеты UEO", "ENG": "Source: NBU, Work.ua, UEO calculations"}</v>
      </c>
      <c r="C116" t="str">
        <f>"{"&amp;_xlfn.TEXTJOIN(", ",TRUE,F116:F118)&amp;"}"</f>
        <v>{"UKR": "Джерело: НБУ, Work.ua, розрахунки UEO", "RU": "Источник: НБУ, Work.ua, расчеты UEO", "ENG": "Source: NBU, Work.ua, UEO calculations"}</v>
      </c>
      <c r="F116" t="str">
        <f t="shared" ref="F116:F118" si="18">CHAR(34)&amp;J116&amp;CHAR(34)&amp;": "&amp;CHAR(34)&amp;K116&amp;CHAR(34)</f>
        <v>"UKR": "Джерело: НБУ, Work.ua, розрахунки UEO"</v>
      </c>
      <c r="H116" t="s">
        <v>1996</v>
      </c>
      <c r="I116" t="s">
        <v>1995</v>
      </c>
      <c r="J116" t="s">
        <v>502</v>
      </c>
      <c r="K116" t="str">
        <f>'Чарти 5-7'!I210</f>
        <v>Джерело: НБУ, Work.ua, розрахунки UEO</v>
      </c>
    </row>
    <row r="117" spans="2:12">
      <c r="F117" t="str">
        <f t="shared" si="18"/>
        <v>"RU": "Источник: НБУ, Work.ua, расчеты UEO"</v>
      </c>
      <c r="H117" t="s">
        <v>1996</v>
      </c>
      <c r="I117" t="s">
        <v>1995</v>
      </c>
      <c r="J117" t="s">
        <v>500</v>
      </c>
      <c r="K117" t="str">
        <f>'Чарти 5-7'!I208</f>
        <v>Источник: НБУ, Work.ua, расчеты UEO</v>
      </c>
    </row>
    <row r="118" spans="2:12">
      <c r="F118" t="str">
        <f t="shared" si="18"/>
        <v>"ENG": "Source: NBU, Work.ua, UEO calculations"</v>
      </c>
      <c r="H118" t="s">
        <v>1996</v>
      </c>
      <c r="I118" t="s">
        <v>1995</v>
      </c>
      <c r="J118" t="s">
        <v>501</v>
      </c>
      <c r="K118" t="str">
        <f>'Чарти 5-7'!I209</f>
        <v>Source: NBU, Work.ua, UEO calculations</v>
      </c>
    </row>
  </sheetData>
  <autoFilter ref="A2:BF118" xr:uid="{A3199DA5-B3ED-4115-BA74-DBF3131C0A1D}"/>
  <phoneticPr fontId="3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2:X44"/>
  <sheetViews>
    <sheetView zoomScale="70" zoomScaleNormal="70" workbookViewId="0">
      <selection activeCell="D40" sqref="D40"/>
    </sheetView>
  </sheetViews>
  <sheetFormatPr defaultRowHeight="18"/>
  <cols>
    <col min="1" max="1" width="32.59765625" bestFit="1" customWidth="1"/>
    <col min="2" max="7" width="11.796875" customWidth="1"/>
  </cols>
  <sheetData>
    <row r="2" spans="1:24">
      <c r="A2" s="696" t="s">
        <v>1666</v>
      </c>
      <c r="B2" s="696"/>
      <c r="C2" s="696"/>
      <c r="D2" s="696"/>
      <c r="E2" s="696"/>
      <c r="F2" s="696"/>
      <c r="G2" s="697"/>
      <c r="H2" s="697"/>
      <c r="I2" s="922" t="s">
        <v>499</v>
      </c>
      <c r="J2" s="922"/>
      <c r="K2" s="698"/>
      <c r="L2" s="698"/>
      <c r="M2" s="698"/>
    </row>
    <row r="3" spans="1:24" ht="18.75">
      <c r="I3" s="6" t="s">
        <v>500</v>
      </c>
      <c r="J3" s="699" t="s">
        <v>1564</v>
      </c>
      <c r="K3" s="699"/>
      <c r="L3" s="699"/>
      <c r="M3" s="699"/>
    </row>
    <row r="4" spans="1:24" ht="54">
      <c r="A4" s="700"/>
      <c r="B4" s="701" t="str">
        <f>INDEX(T5:T7,MATCH('Чарти 5-7'!$B$1,$S$5:$S$7,0),1)</f>
        <v>Вагова частина в ІСЦ</v>
      </c>
      <c r="C4" s="701" t="str">
        <f>INDEX(U5:U7,MATCH('Чарти 5-7'!$B$1,$S$5:$S$7,0),1)</f>
        <v>Поточні тарифи, грн од. од. в.</v>
      </c>
      <c r="D4" s="701" t="str">
        <f>INDEX(V5:V7,MATCH('Чарти 5-7'!$B$1,$S$5:$S$7,0),1)</f>
        <v>Очікуване зростання</v>
      </c>
      <c r="E4" s="701" t="str">
        <f>INDEX(W5:W7,MATCH('Чарти 5-7'!$B$1,$S$5:$S$7,0),1)</f>
        <v>Дельта</v>
      </c>
      <c r="F4" s="701" t="str">
        <f>INDEX(X5:X7,MATCH('Чарти 5-7'!$B$1,$S$5:$S$7,0),1)</f>
        <v>Приріст ІСЦ</v>
      </c>
      <c r="I4" s="6" t="s">
        <v>501</v>
      </c>
      <c r="J4" s="699" t="s">
        <v>1565</v>
      </c>
      <c r="K4" s="699"/>
      <c r="L4" s="699"/>
      <c r="M4" s="699"/>
      <c r="O4" t="s">
        <v>500</v>
      </c>
      <c r="P4" t="s">
        <v>501</v>
      </c>
      <c r="Q4" t="s">
        <v>502</v>
      </c>
    </row>
    <row r="5" spans="1:24" ht="18.75">
      <c r="A5" s="702" t="str">
        <f>INDEX($O5:$Q5,1,MATCH('Чарти 5-7'!$B$1,$O$4:$Q$4,0))</f>
        <v>Електроенергія</v>
      </c>
      <c r="B5" s="715">
        <v>1.6E-2</v>
      </c>
      <c r="C5" s="718">
        <v>1.68</v>
      </c>
      <c r="D5" s="718">
        <v>4</v>
      </c>
      <c r="E5" s="732">
        <v>1.38</v>
      </c>
      <c r="F5" s="716">
        <v>2.1999999999999999E-2</v>
      </c>
      <c r="I5" s="6" t="s">
        <v>502</v>
      </c>
      <c r="J5" s="699" t="s">
        <v>1566</v>
      </c>
      <c r="K5" s="699"/>
      <c r="L5" s="699"/>
      <c r="M5" s="699"/>
      <c r="O5" t="s">
        <v>1567</v>
      </c>
      <c r="P5" t="s">
        <v>1568</v>
      </c>
      <c r="Q5" t="s">
        <v>481</v>
      </c>
      <c r="S5" t="s">
        <v>500</v>
      </c>
      <c r="T5" t="s">
        <v>1569</v>
      </c>
      <c r="U5" t="s">
        <v>1570</v>
      </c>
      <c r="V5" t="s">
        <v>1571</v>
      </c>
      <c r="W5" t="s">
        <v>488</v>
      </c>
      <c r="X5" t="s">
        <v>1572</v>
      </c>
    </row>
    <row r="6" spans="1:24">
      <c r="A6" s="702" t="str">
        <f>INDEX($O6:$Q6,1,MATCH('Чарти 5-7'!$B$1,$O$4:$Q$4,0))</f>
        <v>Газ</v>
      </c>
      <c r="B6" s="715">
        <v>2.3E-2</v>
      </c>
      <c r="C6" s="718">
        <v>7.99</v>
      </c>
      <c r="D6" s="718">
        <v>15</v>
      </c>
      <c r="E6" s="732">
        <v>0.88</v>
      </c>
      <c r="F6" s="716">
        <v>0.02</v>
      </c>
      <c r="O6" t="s">
        <v>482</v>
      </c>
      <c r="P6" t="s">
        <v>1573</v>
      </c>
      <c r="Q6" t="s">
        <v>482</v>
      </c>
      <c r="S6" t="s">
        <v>501</v>
      </c>
      <c r="T6" t="s">
        <v>1574</v>
      </c>
      <c r="U6" t="s">
        <v>1575</v>
      </c>
      <c r="V6" t="s">
        <v>1576</v>
      </c>
      <c r="W6" t="s">
        <v>1577</v>
      </c>
      <c r="X6" t="s">
        <v>1578</v>
      </c>
    </row>
    <row r="7" spans="1:24">
      <c r="A7" s="702" t="str">
        <f>INDEX($O7:$Q7,1,MATCH('Чарти 5-7'!$B$1,$O$4:$Q$4,0))</f>
        <v>Гаряча вода, опалення</v>
      </c>
      <c r="B7" s="715">
        <v>1.7000000000000001E-2</v>
      </c>
      <c r="C7" s="718">
        <v>1654</v>
      </c>
      <c r="D7" s="718">
        <v>3000</v>
      </c>
      <c r="E7" s="732">
        <v>0.81</v>
      </c>
      <c r="F7" s="716">
        <v>1.4E-2</v>
      </c>
      <c r="O7" t="s">
        <v>1579</v>
      </c>
      <c r="P7" t="s">
        <v>1580</v>
      </c>
      <c r="Q7" t="s">
        <v>483</v>
      </c>
      <c r="S7" t="s">
        <v>502</v>
      </c>
      <c r="T7" t="s">
        <v>1581</v>
      </c>
      <c r="U7" t="s">
        <v>1582</v>
      </c>
      <c r="V7" t="s">
        <v>1583</v>
      </c>
      <c r="W7" t="s">
        <v>488</v>
      </c>
      <c r="X7" t="s">
        <v>487</v>
      </c>
    </row>
    <row r="8" spans="1:24">
      <c r="A8" s="735" t="str">
        <f>INDEX($O8:$Q8,1,MATCH('Чарти 5-7'!$B$1,$O$4:$Q$4,0))</f>
        <v>Приріст Індекс споживчої інфляції</v>
      </c>
      <c r="B8" s="733"/>
      <c r="C8" s="733"/>
      <c r="D8" s="733"/>
      <c r="E8" s="734"/>
      <c r="F8" s="717">
        <v>5.6000000000000001E-2</v>
      </c>
      <c r="I8" s="922" t="s">
        <v>503</v>
      </c>
      <c r="J8" s="922"/>
      <c r="K8" s="698"/>
      <c r="L8" s="698"/>
      <c r="M8" s="698"/>
      <c r="O8" t="s">
        <v>1676</v>
      </c>
      <c r="P8" t="s">
        <v>1678</v>
      </c>
      <c r="Q8" t="s">
        <v>1677</v>
      </c>
    </row>
    <row r="9" spans="1:24">
      <c r="I9" s="6" t="s">
        <v>500</v>
      </c>
      <c r="J9" s="703" t="s">
        <v>1584</v>
      </c>
      <c r="K9" s="703"/>
      <c r="L9" s="703"/>
      <c r="M9" s="703"/>
      <c r="N9" s="620"/>
    </row>
    <row r="10" spans="1:24">
      <c r="I10" s="6" t="s">
        <v>501</v>
      </c>
      <c r="J10" s="703" t="s">
        <v>1585</v>
      </c>
      <c r="K10" s="703"/>
      <c r="L10" s="703"/>
      <c r="M10" s="703"/>
      <c r="N10" s="620"/>
    </row>
    <row r="11" spans="1:24">
      <c r="I11" s="6" t="s">
        <v>502</v>
      </c>
      <c r="J11" s="703" t="s">
        <v>1586</v>
      </c>
      <c r="K11" s="703"/>
      <c r="L11" s="703"/>
      <c r="M11" s="703"/>
      <c r="N11" s="620"/>
    </row>
    <row r="17" spans="1:21">
      <c r="A17" s="696" t="s">
        <v>1667</v>
      </c>
      <c r="B17" s="696"/>
      <c r="C17" s="696"/>
      <c r="D17" s="696"/>
      <c r="E17" s="696"/>
      <c r="F17" s="696"/>
      <c r="G17" s="697"/>
      <c r="H17" s="697"/>
      <c r="I17" s="922" t="s">
        <v>499</v>
      </c>
      <c r="J17" s="922"/>
      <c r="K17" s="698"/>
      <c r="L17" s="698"/>
      <c r="M17" s="698"/>
    </row>
    <row r="18" spans="1:21" ht="18.75">
      <c r="I18" s="6" t="s">
        <v>500</v>
      </c>
      <c r="J18" s="699" t="s">
        <v>1587</v>
      </c>
      <c r="K18" s="699"/>
      <c r="L18" s="699"/>
      <c r="M18" s="699"/>
      <c r="O18" t="s">
        <v>500</v>
      </c>
      <c r="P18" t="s">
        <v>501</v>
      </c>
      <c r="Q18" t="s">
        <v>502</v>
      </c>
      <c r="S18" t="s">
        <v>500</v>
      </c>
      <c r="T18" t="s">
        <v>501</v>
      </c>
      <c r="U18" t="s">
        <v>502</v>
      </c>
    </row>
    <row r="19" spans="1:21" ht="18.75">
      <c r="A19" s="704" t="str">
        <f>IF(INDEX($O19:$Q19,1,MATCH('Чарти 5-7'!$B$1,$O$18:$Q$18,0))=0,"",INDEX($O19:$Q19,1,MATCH('Чарти 5-7'!$B$1,$O$18:$Q$18,0)))</f>
        <v>Показник</v>
      </c>
      <c r="B19" s="704" t="str">
        <f>IF(INDEX($S19:$U19,1,MATCH('Чарти 5-7'!$B$1,$S$18:$U$18,0))=0,"",INDEX($S19:$U19,1,MATCH('Чарти 5-7'!$B$1,$S$18:$U$18,0)))</f>
        <v/>
      </c>
      <c r="C19" s="593">
        <v>2019</v>
      </c>
      <c r="D19" s="593">
        <v>2020</v>
      </c>
      <c r="E19" s="593">
        <v>2021</v>
      </c>
      <c r="F19" s="593">
        <v>2022</v>
      </c>
      <c r="G19" s="593">
        <v>2023</v>
      </c>
      <c r="I19" s="6" t="s">
        <v>501</v>
      </c>
      <c r="J19" s="699" t="s">
        <v>1588</v>
      </c>
      <c r="K19" s="699"/>
      <c r="L19" s="699"/>
      <c r="M19" s="699"/>
      <c r="O19" t="s">
        <v>1589</v>
      </c>
      <c r="P19" t="s">
        <v>1590</v>
      </c>
      <c r="Q19" t="s">
        <v>1591</v>
      </c>
    </row>
    <row r="20" spans="1:21" ht="18.75">
      <c r="A20" s="705" t="str">
        <f>IF(INDEX($O20:$Q20,1,MATCH('Чарти 5-7'!$B$1,$O$18:$Q$18,0))=0,"",INDEX($O20:$Q20,1,MATCH('Чарти 5-7'!$B$1,$O$18:$Q$18,0)))</f>
        <v>Світові ціни:</v>
      </c>
      <c r="B20" s="706" t="str">
        <f>IF(INDEX($S20:$U20,1,MATCH('Чарти 5-7'!$B$1,$S$18:$U$18,0))=0,"",INDEX($S20:$U20,1,MATCH('Чарти 5-7'!$B$1,$S$18:$U$18,0)))</f>
        <v/>
      </c>
      <c r="C20" s="719"/>
      <c r="D20" s="719"/>
      <c r="E20" s="719"/>
      <c r="F20" s="719"/>
      <c r="G20" s="719"/>
      <c r="I20" s="6" t="s">
        <v>502</v>
      </c>
      <c r="J20" s="699" t="s">
        <v>1592</v>
      </c>
      <c r="K20" s="699"/>
      <c r="L20" s="699"/>
      <c r="M20" s="699"/>
      <c r="O20" t="s">
        <v>1593</v>
      </c>
      <c r="P20" t="s">
        <v>1594</v>
      </c>
      <c r="Q20" t="s">
        <v>1595</v>
      </c>
    </row>
    <row r="21" spans="1:21">
      <c r="A21" s="707" t="str">
        <f>IF(INDEX($O21:$Q21,1,MATCH('Чарти 5-7'!$B$1,$O$18:$Q$18,0))=0,"",INDEX($O21:$Q21,1,MATCH('Чарти 5-7'!$B$1,$O$18:$Q$18,0)))</f>
        <v>Залізна руда, 62% Fe, CFR China (TSI)</v>
      </c>
      <c r="B21" s="708" t="str">
        <f>IF(INDEX($S21:$U21,1,MATCH('Чарти 5-7'!$B$1,$S$18:$U$18,0))=0,"",INDEX($S21:$U21,1,MATCH('Чарти 5-7'!$B$1,$S$18:$U$18,0)))</f>
        <v>$/тонну</v>
      </c>
      <c r="C21" s="720">
        <v>94</v>
      </c>
      <c r="D21" s="720">
        <v>109</v>
      </c>
      <c r="E21" s="721">
        <v>161.79083333333332</v>
      </c>
      <c r="F21" s="721">
        <v>120.94999999999999</v>
      </c>
      <c r="G21" s="721">
        <v>114.77999999999999</v>
      </c>
      <c r="O21" t="s">
        <v>1596</v>
      </c>
      <c r="P21" t="s">
        <v>1597</v>
      </c>
      <c r="Q21" t="s">
        <v>1598</v>
      </c>
      <c r="S21" t="s">
        <v>1599</v>
      </c>
      <c r="T21" t="s">
        <v>1600</v>
      </c>
      <c r="U21" t="s">
        <v>1599</v>
      </c>
    </row>
    <row r="22" spans="1:21">
      <c r="A22" s="707" t="str">
        <f>IF(INDEX($O22:$Q22,1,MATCH('Чарти 5-7'!$B$1,$O$18:$Q$18,0))=0,"",INDEX($O22:$Q22,1,MATCH('Чарти 5-7'!$B$1,$O$18:$Q$18,0)))</f>
        <v/>
      </c>
      <c r="B22" s="708" t="str">
        <f>IF(INDEX($S22:$U22,1,MATCH('Чарти 5-7'!$B$1,$S$18:$U$18,0))=0,"",INDEX($S22:$U22,1,MATCH('Чарти 5-7'!$B$1,$S$18:$U$18,0)))</f>
        <v>% р-р.</v>
      </c>
      <c r="C22" s="722">
        <v>0.34599999999999997</v>
      </c>
      <c r="D22" s="722">
        <v>0.15957446808510634</v>
      </c>
      <c r="E22" s="722">
        <v>0.48431957186544339</v>
      </c>
      <c r="F22" s="722">
        <v>-0.25242983481758863</v>
      </c>
      <c r="G22" s="722">
        <v>-5.1012815212897911E-2</v>
      </c>
      <c r="S22" t="s">
        <v>1601</v>
      </c>
      <c r="T22" t="s">
        <v>1602</v>
      </c>
      <c r="U22" t="s">
        <v>476</v>
      </c>
    </row>
    <row r="23" spans="1:21">
      <c r="A23" s="707" t="str">
        <f>IF(INDEX($O23:$Q23,1,MATCH('Чарти 5-7'!$B$1,$O$18:$Q$18,0))=0,"",INDEX($O23:$Q23,1,MATCH('Чарти 5-7'!$B$1,$O$18:$Q$18,0)))</f>
        <v>Прокат Китай</v>
      </c>
      <c r="B23" s="708" t="str">
        <f>IF(INDEX($S23:$U23,1,MATCH('Чарти 5-7'!$B$1,$S$18:$U$18,0))=0,"",INDEX($S23:$U23,1,MATCH('Чарти 5-7'!$B$1,$S$18:$U$18,0)))</f>
        <v>$/тонну</v>
      </c>
      <c r="C23" s="721">
        <v>543.26307162709065</v>
      </c>
      <c r="D23" s="721">
        <v>552.27493196492878</v>
      </c>
      <c r="E23" s="721">
        <v>825.89951574094414</v>
      </c>
      <c r="F23" s="721">
        <v>669.10173515099029</v>
      </c>
      <c r="G23" s="721">
        <v>586.39611668915882</v>
      </c>
      <c r="O23" t="s">
        <v>1603</v>
      </c>
      <c r="P23" t="s">
        <v>1604</v>
      </c>
      <c r="Q23" t="s">
        <v>1603</v>
      </c>
      <c r="S23" t="s">
        <v>1599</v>
      </c>
      <c r="T23" t="s">
        <v>1600</v>
      </c>
      <c r="U23" t="s">
        <v>1599</v>
      </c>
    </row>
    <row r="24" spans="1:21">
      <c r="A24" s="707" t="str">
        <f>IF(INDEX($O24:$Q24,1,MATCH('Чарти 5-7'!$B$1,$O$18:$Q$18,0))=0,"",INDEX($O24:$Q24,1,MATCH('Чарти 5-7'!$B$1,$O$18:$Q$18,0)))</f>
        <v/>
      </c>
      <c r="B24" s="708" t="str">
        <f>IF(INDEX($S24:$U24,1,MATCH('Чарти 5-7'!$B$1,$S$18:$U$18,0))=0,"",INDEX($S24:$U24,1,MATCH('Чарти 5-7'!$B$1,$S$18:$U$18,0)))</f>
        <v>% р-р.</v>
      </c>
      <c r="C24" s="722">
        <v>-0.11423554513035949</v>
      </c>
      <c r="D24" s="722">
        <v>1.6588391165347049E-2</v>
      </c>
      <c r="E24" s="722">
        <v>0.49544994338687709</v>
      </c>
      <c r="F24" s="722">
        <v>-0.18985091721392389</v>
      </c>
      <c r="G24" s="722">
        <v>-0.12360694064433719</v>
      </c>
      <c r="S24" t="s">
        <v>1601</v>
      </c>
      <c r="T24" t="s">
        <v>1602</v>
      </c>
      <c r="U24" t="s">
        <v>476</v>
      </c>
    </row>
    <row r="25" spans="1:21">
      <c r="A25" s="707" t="str">
        <f>IF(INDEX($O25:$Q25,1,MATCH('Чарти 5-7'!$B$1,$O$18:$Q$18,0))=0,"",INDEX($O25:$Q25,1,MATCH('Чарти 5-7'!$B$1,$O$18:$Q$18,0)))</f>
        <v>Арматура Туреччина</v>
      </c>
      <c r="B25" s="708" t="str">
        <f>IF(INDEX($S25:$U25,1,MATCH('Чарти 5-7'!$B$1,$S$18:$U$18,0))=0,"",INDEX($S25:$U25,1,MATCH('Чарти 5-7'!$B$1,$S$18:$U$18,0)))</f>
        <v>$/тонну</v>
      </c>
      <c r="C25" s="721">
        <v>450.22833333333347</v>
      </c>
      <c r="D25" s="721">
        <v>444.68333333333339</v>
      </c>
      <c r="E25" s="721">
        <v>682.0383333333333</v>
      </c>
      <c r="F25" s="721">
        <v>747.74416666666673</v>
      </c>
      <c r="G25" s="721">
        <v>619.11307692307685</v>
      </c>
      <c r="O25" t="s">
        <v>1605</v>
      </c>
      <c r="P25" t="s">
        <v>1606</v>
      </c>
      <c r="Q25" t="s">
        <v>1607</v>
      </c>
      <c r="S25" t="s">
        <v>1599</v>
      </c>
      <c r="T25" t="s">
        <v>1600</v>
      </c>
      <c r="U25" t="s">
        <v>1599</v>
      </c>
    </row>
    <row r="26" spans="1:21">
      <c r="A26" s="707" t="str">
        <f>IF(INDEX($O26:$Q26,1,MATCH('Чарти 5-7'!$B$1,$O$18:$Q$18,0))=0,"",INDEX($O26:$Q26,1,MATCH('Чарти 5-7'!$B$1,$O$18:$Q$18,0)))</f>
        <v/>
      </c>
      <c r="B26" s="708" t="str">
        <f>IF(INDEX($S26:$U26,1,MATCH('Чарти 5-7'!$B$1,$S$18:$U$18,0))=0,"",INDEX($S26:$U26,1,MATCH('Чарти 5-7'!$B$1,$S$18:$U$18,0)))</f>
        <v>% р-р.</v>
      </c>
      <c r="C26" s="722">
        <v>-0.15708887578358732</v>
      </c>
      <c r="D26" s="722">
        <v>-1.2315973006289505E-2</v>
      </c>
      <c r="E26" s="722">
        <v>0.53376185300401002</v>
      </c>
      <c r="F26" s="722">
        <v>9.6337449263604658E-2</v>
      </c>
      <c r="G26" s="722">
        <v>-0.1720255342372089</v>
      </c>
      <c r="S26" t="s">
        <v>1601</v>
      </c>
      <c r="T26" t="s">
        <v>1602</v>
      </c>
      <c r="U26" t="s">
        <v>476</v>
      </c>
    </row>
    <row r="27" spans="1:21">
      <c r="A27" s="707" t="str">
        <f>IF(INDEX($O27:$Q27,1,MATCH('Чарти 5-7'!$B$1,$O$18:$Q$18,0))=0,"",INDEX($O27:$Q27,1,MATCH('Чарти 5-7'!$B$1,$O$18:$Q$18,0)))</f>
        <v>Пшениця США (м'яка), CME Globex</v>
      </c>
      <c r="B27" s="708" t="str">
        <f>IF(INDEX($S27:$U27,1,MATCH('Чарти 5-7'!$B$1,$S$18:$U$18,0))=0,"",INDEX($S27:$U27,1,MATCH('Чарти 5-7'!$B$1,$S$18:$U$18,0)))</f>
        <v>$/тонну</v>
      </c>
      <c r="C27" s="720">
        <v>211</v>
      </c>
      <c r="D27" s="720">
        <v>228</v>
      </c>
      <c r="E27" s="721">
        <v>283.76370847875006</v>
      </c>
      <c r="F27" s="721">
        <v>345.29327951324996</v>
      </c>
      <c r="G27" s="721">
        <v>262.41334077245443</v>
      </c>
      <c r="O27" t="s">
        <v>1608</v>
      </c>
      <c r="P27" t="s">
        <v>1609</v>
      </c>
      <c r="Q27" t="s">
        <v>1610</v>
      </c>
      <c r="S27" t="s">
        <v>1599</v>
      </c>
      <c r="T27" t="s">
        <v>1600</v>
      </c>
      <c r="U27" t="s">
        <v>1599</v>
      </c>
    </row>
    <row r="28" spans="1:21">
      <c r="A28" s="707" t="str">
        <f>IF(INDEX($O28:$Q28,1,MATCH('Чарти 5-7'!$B$1,$O$18:$Q$18,0))=0,"",INDEX($O28:$Q28,1,MATCH('Чарти 5-7'!$B$1,$O$18:$Q$18,0)))</f>
        <v/>
      </c>
      <c r="B28" s="708" t="str">
        <f>IF(INDEX($S28:$U28,1,MATCH('Чарти 5-7'!$B$1,$S$18:$U$18,0))=0,"",INDEX($S28:$U28,1,MATCH('Чарти 5-7'!$B$1,$S$18:$U$18,0)))</f>
        <v>% р-р.</v>
      </c>
      <c r="C28" s="722">
        <v>3.5999999999999997E-2</v>
      </c>
      <c r="D28" s="722">
        <v>8.0568720379146974E-2</v>
      </c>
      <c r="E28" s="722">
        <v>0.2445776687664476</v>
      </c>
      <c r="F28" s="722">
        <v>0.21683382756857217</v>
      </c>
      <c r="G28" s="722">
        <v>-0.24002766244865525</v>
      </c>
      <c r="S28" t="s">
        <v>1601</v>
      </c>
      <c r="T28" t="s">
        <v>1602</v>
      </c>
      <c r="U28" t="s">
        <v>476</v>
      </c>
    </row>
    <row r="29" spans="1:21">
      <c r="A29" s="707" t="str">
        <f>IF(INDEX($O29:$Q29,1,MATCH('Чарти 5-7'!$B$1,$O$18:$Q$18,0))=0,"",INDEX($O29:$Q29,1,MATCH('Чарти 5-7'!$B$1,$O$18:$Q$18,0)))</f>
        <v>Чорноморська пшениця, CME Globex</v>
      </c>
      <c r="B29" s="708" t="str">
        <f>IF(INDEX($S29:$U29,1,MATCH('Чарти 5-7'!$B$1,$S$18:$U$18,0))=0,"",INDEX($S29:$U29,1,MATCH('Чарти 5-7'!$B$1,$S$18:$U$18,0)))</f>
        <v>$/тонну</v>
      </c>
      <c r="C29" s="721">
        <v>210.36416666666665</v>
      </c>
      <c r="D29" s="721">
        <v>225.72000000000003</v>
      </c>
      <c r="E29" s="721">
        <v>287.7716666666667</v>
      </c>
      <c r="F29" s="721">
        <v>355.90083333333331</v>
      </c>
      <c r="G29" s="721">
        <v>253.82692307692307</v>
      </c>
      <c r="O29" t="s">
        <v>1611</v>
      </c>
      <c r="P29" t="s">
        <v>1612</v>
      </c>
      <c r="Q29" t="s">
        <v>1613</v>
      </c>
      <c r="S29" t="s">
        <v>1599</v>
      </c>
      <c r="T29" t="s">
        <v>1600</v>
      </c>
      <c r="U29" t="s">
        <v>1599</v>
      </c>
    </row>
    <row r="30" spans="1:21">
      <c r="A30" s="707" t="str">
        <f>IF(INDEX($O30:$Q30,1,MATCH('Чарти 5-7'!$B$1,$O$18:$Q$18,0))=0,"",INDEX($O30:$Q30,1,MATCH('Чарти 5-7'!$B$1,$O$18:$Q$18,0)))</f>
        <v/>
      </c>
      <c r="B30" s="708" t="str">
        <f>IF(INDEX($S30:$U30,1,MATCH('Чарти 5-7'!$B$1,$S$18:$U$18,0))=0,"",INDEX($S30:$U30,1,MATCH('Чарти 5-7'!$B$1,$S$18:$U$18,0)))</f>
        <v>% р-р.</v>
      </c>
      <c r="C30" s="722">
        <v>-1.9311754102436685E-2</v>
      </c>
      <c r="D30" s="722">
        <v>7.2996430792633626E-2</v>
      </c>
      <c r="E30" s="722">
        <v>0.27490548762478584</v>
      </c>
      <c r="F30" s="722">
        <v>0.23674730544471001</v>
      </c>
      <c r="G30" s="722">
        <v>-0.28680435867597087</v>
      </c>
      <c r="S30" t="s">
        <v>1601</v>
      </c>
      <c r="T30" t="s">
        <v>1602</v>
      </c>
      <c r="U30" t="s">
        <v>476</v>
      </c>
    </row>
    <row r="31" spans="1:21">
      <c r="A31" s="707" t="str">
        <f>IF(INDEX($O31:$Q31,1,MATCH('Чарти 5-7'!$B$1,$O$18:$Q$18,0))=0,"",INDEX($O31:$Q31,1,MATCH('Чарти 5-7'!$B$1,$O$18:$Q$18,0)))</f>
        <v>Кукурудза США, CME Globex</v>
      </c>
      <c r="B31" s="708" t="str">
        <f>IF(INDEX($S31:$U31,1,MATCH('Чарти 5-7'!$B$1,$S$18:$U$18,0))=0,"",INDEX($S31:$U31,1,MATCH('Чарти 5-7'!$B$1,$S$18:$U$18,0)))</f>
        <v>$/тонну</v>
      </c>
      <c r="C31" s="720">
        <v>170</v>
      </c>
      <c r="D31" s="720">
        <v>165</v>
      </c>
      <c r="E31" s="721">
        <v>258.93121353679999</v>
      </c>
      <c r="F31" s="721">
        <v>318.80665693333333</v>
      </c>
      <c r="G31" s="721">
        <v>246.08192025282284</v>
      </c>
      <c r="O31" t="s">
        <v>1614</v>
      </c>
      <c r="P31" t="s">
        <v>1615</v>
      </c>
      <c r="Q31" t="s">
        <v>1616</v>
      </c>
      <c r="S31" t="s">
        <v>1599</v>
      </c>
      <c r="T31" t="s">
        <v>1600</v>
      </c>
      <c r="U31" t="s">
        <v>1599</v>
      </c>
    </row>
    <row r="32" spans="1:21">
      <c r="A32" s="707" t="str">
        <f>IF(INDEX($O32:$Q32,1,MATCH('Чарти 5-7'!$B$1,$O$18:$Q$18,0))=0,"",INDEX($O32:$Q32,1,MATCH('Чарти 5-7'!$B$1,$O$18:$Q$18,0)))</f>
        <v/>
      </c>
      <c r="B32" s="708" t="str">
        <f>IF(INDEX($S32:$U32,1,MATCH('Чарти 5-7'!$B$1,$S$18:$U$18,0))=0,"",INDEX($S32:$U32,1,MATCH('Чарти 5-7'!$B$1,$S$18:$U$18,0)))</f>
        <v>% р-р.</v>
      </c>
      <c r="C32" s="722">
        <v>3.5000000000000003E-2</v>
      </c>
      <c r="D32" s="722">
        <v>-2.9411764705882359E-2</v>
      </c>
      <c r="E32" s="722">
        <v>0.56928008204121205</v>
      </c>
      <c r="F32" s="722">
        <v>0.23124073215693519</v>
      </c>
      <c r="G32" s="722">
        <v>-0.22811548974561779</v>
      </c>
      <c r="S32" t="s">
        <v>1601</v>
      </c>
      <c r="T32" t="s">
        <v>1602</v>
      </c>
      <c r="U32" t="s">
        <v>476</v>
      </c>
    </row>
    <row r="33" spans="1:21">
      <c r="A33" s="707" t="str">
        <f>IF(INDEX($O33:$Q33,1,MATCH('Чарти 5-7'!$B$1,$O$18:$Q$18,0))=0,"",INDEX($O33:$Q33,1,MATCH('Чарти 5-7'!$B$1,$O$18:$Q$18,0)))</f>
        <v>Чорноморська кукурудза, CME Globex</v>
      </c>
      <c r="B33" s="708" t="str">
        <f>IF(INDEX($S33:$U33,1,MATCH('Чарти 5-7'!$B$1,$S$18:$U$18,0))=0,"",INDEX($S33:$U33,1,MATCH('Чарти 5-7'!$B$1,$S$18:$U$18,0)))</f>
        <v>$/тонну</v>
      </c>
      <c r="C33" s="721">
        <v>174.215</v>
      </c>
      <c r="D33" s="721">
        <v>189.755</v>
      </c>
      <c r="E33" s="721">
        <v>270.79333333333329</v>
      </c>
      <c r="F33" s="721">
        <v>293.8</v>
      </c>
      <c r="G33" s="721">
        <v>218.19230769230768</v>
      </c>
      <c r="O33" t="s">
        <v>1617</v>
      </c>
      <c r="P33" t="s">
        <v>1618</v>
      </c>
      <c r="Q33" t="s">
        <v>1619</v>
      </c>
      <c r="S33" t="s">
        <v>1599</v>
      </c>
      <c r="T33" t="s">
        <v>1600</v>
      </c>
      <c r="U33" t="s">
        <v>1599</v>
      </c>
    </row>
    <row r="34" spans="1:21">
      <c r="A34" s="707" t="str">
        <f>IF(INDEX($O34:$Q34,1,MATCH('Чарти 5-7'!$B$1,$O$18:$Q$18,0))=0,"",INDEX($O34:$Q34,1,MATCH('Чарти 5-7'!$B$1,$O$18:$Q$18,0)))</f>
        <v/>
      </c>
      <c r="B34" s="708" t="str">
        <f>IF(INDEX($S34:$U34,1,MATCH('Чарти 5-7'!$B$1,$S$18:$U$18,0))=0,"",INDEX($S34:$U34,1,MATCH('Чарти 5-7'!$B$1,$S$18:$U$18,0)))</f>
        <v>% р-р.</v>
      </c>
      <c r="C34" s="722">
        <v>-4.0468158347676364E-2</v>
      </c>
      <c r="D34" s="722">
        <v>8.9200126280744918E-2</v>
      </c>
      <c r="E34" s="722">
        <v>0.42706823711276809</v>
      </c>
      <c r="F34" s="722">
        <v>8.4960240281641841E-2</v>
      </c>
      <c r="G34" s="722">
        <v>-0.257344085458449</v>
      </c>
      <c r="S34" t="s">
        <v>1601</v>
      </c>
      <c r="T34" t="s">
        <v>1602</v>
      </c>
      <c r="U34" t="s">
        <v>476</v>
      </c>
    </row>
    <row r="35" spans="1:21">
      <c r="A35" s="707" t="str">
        <f>IF(INDEX($O35:$Q35,1,MATCH('Чарти 5-7'!$B$1,$O$18:$Q$18,0))=0,"",INDEX($O35:$Q35,1,MATCH('Чарти 5-7'!$B$1,$O$18:$Q$18,0)))</f>
        <v>Соняшникова олія, CME Globex</v>
      </c>
      <c r="B35" s="708" t="str">
        <f>IF(INDEX($S35:$U35,1,MATCH('Чарти 5-7'!$B$1,$S$18:$U$18,0))=0,"",INDEX($S35:$U35,1,MATCH('Чарти 5-7'!$B$1,$S$18:$U$18,0)))</f>
        <v>$/тонну</v>
      </c>
      <c r="C35" s="720">
        <v>741</v>
      </c>
      <c r="D35" s="720">
        <v>837</v>
      </c>
      <c r="E35" s="721">
        <v>1468.4108005469382</v>
      </c>
      <c r="F35" s="721">
        <v>1650.8083333333332</v>
      </c>
      <c r="G35" s="721">
        <v>1023.3728571428571</v>
      </c>
      <c r="O35" t="s">
        <v>1620</v>
      </c>
      <c r="P35" t="s">
        <v>1621</v>
      </c>
      <c r="Q35" t="s">
        <v>1622</v>
      </c>
      <c r="S35" t="s">
        <v>1599</v>
      </c>
      <c r="T35" t="s">
        <v>1600</v>
      </c>
      <c r="U35" t="s">
        <v>1599</v>
      </c>
    </row>
    <row r="36" spans="1:21">
      <c r="A36" s="707" t="str">
        <f>IF(INDEX($O36:$Q36,1,MATCH('Чарти 5-7'!$B$1,$O$18:$Q$18,0))=0,"",INDEX($O36:$Q36,1,MATCH('Чарти 5-7'!$B$1,$O$18:$Q$18,0)))</f>
        <v/>
      </c>
      <c r="B36" s="708" t="str">
        <f>IF(INDEX($S36:$U36,1,MATCH('Чарти 5-7'!$B$1,$S$18:$U$18,0))=0,"",INDEX($S36:$U36,1,MATCH('Чарти 5-7'!$B$1,$S$18:$U$18,0)))</f>
        <v>% р-р.</v>
      </c>
      <c r="C36" s="722">
        <v>-3.2000000000000001E-2</v>
      </c>
      <c r="D36" s="722">
        <v>0.12955465587044523</v>
      </c>
      <c r="E36" s="722">
        <v>0.75437371630458561</v>
      </c>
      <c r="F36" s="722">
        <v>0.12421424080949106</v>
      </c>
      <c r="G36" s="722">
        <v>-0.38007772527023187</v>
      </c>
      <c r="S36" t="s">
        <v>1601</v>
      </c>
      <c r="T36" t="s">
        <v>1602</v>
      </c>
      <c r="U36" t="s">
        <v>476</v>
      </c>
    </row>
    <row r="37" spans="1:21" ht="36">
      <c r="A37" s="709" t="str">
        <f>IF(INDEX($O37:$Q37,1,MATCH('Чарти 5-7'!$B$1,$O$18:$Q$18,0))=0,"",INDEX($O37:$Q37,1,MATCH('Чарти 5-7'!$B$1,$O$18:$Q$18,0)))</f>
        <v>Аміак (гранульований) FOB Middle East, CME Globex</v>
      </c>
      <c r="B37" s="708" t="str">
        <f>IF(INDEX($S37:$U37,1,MATCH('Чарти 5-7'!$B$1,$S$18:$U$18,0))=0,"",INDEX($S37:$U37,1,MATCH('Чарти 5-7'!$B$1,$S$18:$U$18,0)))</f>
        <v>$/тонну</v>
      </c>
      <c r="C37" s="721">
        <v>244.67750000000001</v>
      </c>
      <c r="D37" s="721">
        <v>229.10083333333333</v>
      </c>
      <c r="E37" s="721">
        <v>476.33249999999998</v>
      </c>
      <c r="F37" s="721">
        <v>702.96394999999995</v>
      </c>
      <c r="G37" s="721">
        <v>343.14461538461541</v>
      </c>
      <c r="O37" t="s">
        <v>1623</v>
      </c>
      <c r="P37" t="s">
        <v>1624</v>
      </c>
      <c r="Q37" t="s">
        <v>1625</v>
      </c>
      <c r="S37" t="s">
        <v>1599</v>
      </c>
      <c r="T37" t="s">
        <v>1600</v>
      </c>
      <c r="U37" t="s">
        <v>1599</v>
      </c>
    </row>
    <row r="38" spans="1:21">
      <c r="A38" s="707" t="str">
        <f>IF(INDEX($O38:$Q38,1,MATCH('Чарти 5-7'!$B$1,$O$18:$Q$18,0))=0,"",INDEX($O38:$Q38,1,MATCH('Чарти 5-7'!$B$1,$O$18:$Q$18,0)))</f>
        <v/>
      </c>
      <c r="B38" s="708" t="str">
        <f>IF(INDEX($S38:$U38,1,MATCH('Чарти 5-7'!$B$1,$S$18:$U$18,0))=0,"",INDEX($S38:$U38,1,MATCH('Чарти 5-7'!$B$1,$S$18:$U$18,0)))</f>
        <v>% р-р.</v>
      </c>
      <c r="C38" s="722">
        <v>-1.9130452212287263E-2</v>
      </c>
      <c r="D38" s="722">
        <v>-6.3662031313327483E-2</v>
      </c>
      <c r="E38" s="722">
        <v>1.0791390981409203</v>
      </c>
      <c r="F38" s="722">
        <v>0.47578414237953526</v>
      </c>
      <c r="G38" s="722">
        <v>-0.51186029470698258</v>
      </c>
      <c r="S38" t="s">
        <v>1601</v>
      </c>
      <c r="T38" t="s">
        <v>1602</v>
      </c>
      <c r="U38" t="s">
        <v>476</v>
      </c>
    </row>
    <row r="39" spans="1:21" ht="36">
      <c r="A39" s="709" t="str">
        <f>IF(INDEX($O39:$Q39,1,MATCH('Чарти 5-7'!$B$1,$O$18:$Q$18,0))=0,"",INDEX($O39:$Q39,1,MATCH('Чарти 5-7'!$B$1,$O$18:$Q$18,0)))</f>
        <v>Нафта марки Brent, NYMEX - CME Group</v>
      </c>
      <c r="B39" s="708" t="str">
        <f>IF(INDEX($S39:$U39,1,MATCH('Чарти 5-7'!$B$1,$S$18:$U$18,0))=0,"",INDEX($S39:$U39,1,MATCH('Чарти 5-7'!$B$1,$S$18:$U$18,0)))</f>
        <v>$/бар.</v>
      </c>
      <c r="C39" s="720">
        <v>64.2</v>
      </c>
      <c r="D39" s="720">
        <v>42.3</v>
      </c>
      <c r="E39" s="721">
        <v>71.249166666666667</v>
      </c>
      <c r="F39" s="721">
        <v>99.82416666666667</v>
      </c>
      <c r="G39" s="721">
        <v>79.273076923076914</v>
      </c>
      <c r="O39" t="s">
        <v>1626</v>
      </c>
      <c r="P39" t="s">
        <v>1627</v>
      </c>
      <c r="Q39" t="s">
        <v>1628</v>
      </c>
      <c r="S39" t="s">
        <v>1629</v>
      </c>
      <c r="T39" t="s">
        <v>1630</v>
      </c>
      <c r="U39" t="s">
        <v>1629</v>
      </c>
    </row>
    <row r="40" spans="1:21">
      <c r="A40" s="707" t="str">
        <f>IF(INDEX($O40:$Q40,1,MATCH('Чарти 5-7'!$B$1,$O$18:$Q$18,0))=0,"",INDEX($O40:$Q40,1,MATCH('Чарти 5-7'!$B$1,$O$18:$Q$18,0)))</f>
        <v/>
      </c>
      <c r="B40" s="708" t="str">
        <f>IF(INDEX($S40:$U40,1,MATCH('Чарти 5-7'!$B$1,$S$18:$U$18,0))=0,"",INDEX($S40:$U40,1,MATCH('Чарти 5-7'!$B$1,$S$18:$U$18,0)))</f>
        <v>% р-р.</v>
      </c>
      <c r="C40" s="722">
        <v>-9.6000000000000002E-2</v>
      </c>
      <c r="D40" s="722">
        <v>-0.3411214953271029</v>
      </c>
      <c r="E40" s="722">
        <v>0.68437746256895204</v>
      </c>
      <c r="F40" s="722">
        <v>0.40105732230786328</v>
      </c>
      <c r="G40" s="722">
        <v>-0.20587289060187253</v>
      </c>
      <c r="S40" t="s">
        <v>1601</v>
      </c>
      <c r="T40" t="s">
        <v>1602</v>
      </c>
      <c r="U40" t="s">
        <v>476</v>
      </c>
    </row>
    <row r="41" spans="1:21">
      <c r="A41" s="707" t="str">
        <f>IF(INDEX($O41:$Q41,1,MATCH('Чарти 5-7'!$B$1,$O$18:$Q$18,0))=0,"",INDEX($O41:$Q41,1,MATCH('Чарти 5-7'!$B$1,$O$18:$Q$18,0)))</f>
        <v>Газ, Netherlands TTF</v>
      </c>
      <c r="B41" s="708" t="str">
        <f>IF(INDEX($S41:$U41,1,MATCH('Чарти 5-7'!$B$1,$S$18:$U$18,0))=0,"",INDEX($S41:$U41,1,MATCH('Чарти 5-7'!$B$1,$S$18:$U$18,0)))</f>
        <v>$/1000 м3</v>
      </c>
      <c r="C41" s="720">
        <v>161</v>
      </c>
      <c r="D41" s="720">
        <v>115</v>
      </c>
      <c r="E41" s="721">
        <v>594.87737613499007</v>
      </c>
      <c r="F41" s="721">
        <v>1490.6291681657376</v>
      </c>
      <c r="G41" s="721">
        <v>447.64061446225486</v>
      </c>
      <c r="O41" t="s">
        <v>1631</v>
      </c>
      <c r="P41" t="s">
        <v>1632</v>
      </c>
      <c r="Q41" t="s">
        <v>1631</v>
      </c>
      <c r="S41" t="s">
        <v>1633</v>
      </c>
      <c r="T41" t="s">
        <v>1634</v>
      </c>
      <c r="U41" t="s">
        <v>1633</v>
      </c>
    </row>
    <row r="42" spans="1:21">
      <c r="A42" s="710" t="str">
        <f>IF(INDEX($O42:$Q42,1,MATCH('Чарти 5-7'!$B$1,$O$18:$Q$18,0))=0,"",INDEX($O42:$Q42,1,MATCH('Чарти 5-7'!$B$1,$O$18:$Q$18,0)))</f>
        <v/>
      </c>
      <c r="B42" s="708" t="str">
        <f>IF(INDEX($S42:$U42,1,MATCH('Чарти 5-7'!$B$1,$S$18:$U$18,0))=0,"",INDEX($S42:$U42,1,MATCH('Чарти 5-7'!$B$1,$S$18:$U$18,0)))</f>
        <v>% р-р.</v>
      </c>
      <c r="C42" s="722">
        <v>-0.435</v>
      </c>
      <c r="D42" s="722">
        <v>-0.2857142857142857</v>
      </c>
      <c r="E42" s="722">
        <v>4.1728467489999135</v>
      </c>
      <c r="F42" s="722">
        <v>1.5057755227650191</v>
      </c>
      <c r="G42" s="722">
        <v>-0.69969686356460503</v>
      </c>
      <c r="S42" t="s">
        <v>1601</v>
      </c>
      <c r="T42" t="s">
        <v>1602</v>
      </c>
      <c r="U42" t="s">
        <v>476</v>
      </c>
    </row>
    <row r="43" spans="1:21" ht="36">
      <c r="A43" s="711" t="str">
        <f>IF(INDEX($O43:$Q43,1,MATCH('Чарти 5-7'!$B$1,$O$18:$Q$18,0))=0,"",INDEX($O43:$Q43,1,MATCH('Чарти 5-7'!$B$1,$O$18:$Q$18,0)))</f>
        <v>Урожай зернових, зернобобових та олійних</v>
      </c>
      <c r="B43" s="712" t="str">
        <f>IF(INDEX($S43:$U43,1,MATCH('Чарти 5-7'!$B$1,$S$18:$U$18,0))=0,"",INDEX($S43:$U43,1,MATCH('Чарти 5-7'!$B$1,$S$18:$U$18,0)))</f>
        <v>млн т</v>
      </c>
      <c r="C43" s="723">
        <v>94.7</v>
      </c>
      <c r="D43" s="723">
        <v>82</v>
      </c>
      <c r="E43" s="723">
        <v>106</v>
      </c>
      <c r="F43" s="723">
        <v>72</v>
      </c>
      <c r="G43" s="723">
        <v>67.5</v>
      </c>
      <c r="O43" t="s">
        <v>1635</v>
      </c>
      <c r="P43" t="s">
        <v>1636</v>
      </c>
      <c r="Q43" t="s">
        <v>1637</v>
      </c>
      <c r="S43" t="s">
        <v>1638</v>
      </c>
      <c r="T43" t="s">
        <v>1639</v>
      </c>
      <c r="U43" t="s">
        <v>1638</v>
      </c>
    </row>
    <row r="44" spans="1:21">
      <c r="A44" s="713" t="str">
        <f>IF(INDEX($O44:$Q44,1,MATCH('Чарти 5-7'!$B$1,$O$18:$Q$18,0))=0,"",INDEX($O44:$Q44,1,MATCH('Чарти 5-7'!$B$1,$O$18:$Q$18,0)))</f>
        <v>Середня зарплата в країні</v>
      </c>
      <c r="B44" s="714" t="str">
        <f>IF(INDEX($S44:$U44,1,MATCH('Чарти 5-7'!$B$1,$S$18:$U$18,0))=0,"",INDEX($S44:$U44,1,MATCH('Чарти 5-7'!$B$1,$S$18:$U$18,0)))</f>
        <v>грн</v>
      </c>
      <c r="C44" s="724">
        <v>10497</v>
      </c>
      <c r="D44" s="724">
        <v>11596</v>
      </c>
      <c r="E44" s="724">
        <v>13947</v>
      </c>
      <c r="F44" s="724">
        <v>14391</v>
      </c>
      <c r="G44" s="724">
        <f>'Прогноз Зарплати 2023'!$BN$129</f>
        <v>17164.833910175934</v>
      </c>
      <c r="O44" t="s">
        <v>1640</v>
      </c>
      <c r="P44" t="s">
        <v>1641</v>
      </c>
      <c r="Q44" t="s">
        <v>1642</v>
      </c>
      <c r="S44" t="s">
        <v>1643</v>
      </c>
      <c r="T44" t="s">
        <v>254</v>
      </c>
      <c r="U44" t="s">
        <v>1643</v>
      </c>
    </row>
  </sheetData>
  <mergeCells count="3">
    <mergeCell ref="I2:J2"/>
    <mergeCell ref="I8:J8"/>
    <mergeCell ref="I17:J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pageSetUpPr fitToPage="1"/>
  </sheetPr>
  <dimension ref="A1:CG201"/>
  <sheetViews>
    <sheetView topLeftCell="A4" zoomScale="85" zoomScaleNormal="85" zoomScaleSheetLayoutView="100" workbookViewId="0">
      <pane xSplit="1" ySplit="2" topLeftCell="AN101" activePane="bottomRight" state="frozen"/>
      <selection activeCell="M246" sqref="M246"/>
      <selection pane="topRight" activeCell="M246" sqref="M246"/>
      <selection pane="bottomLeft" activeCell="M246" sqref="M246"/>
      <selection pane="bottomRight" activeCell="AR111" sqref="AR111:AT113"/>
    </sheetView>
  </sheetViews>
  <sheetFormatPr defaultColWidth="9.09765625" defaultRowHeight="12.75" outlineLevelCol="1"/>
  <cols>
    <col min="1" max="1" width="41.3984375" style="176" customWidth="1"/>
    <col min="2" max="2" width="16.3984375" style="161" customWidth="1" outlineLevel="1"/>
    <col min="3" max="3" width="12.09765625" style="161" customWidth="1" outlineLevel="1"/>
    <col min="4" max="5" width="10.09765625" style="161" customWidth="1" outlineLevel="1"/>
    <col min="6" max="6" width="13.59765625" style="161" customWidth="1" outlineLevel="1"/>
    <col min="7" max="8" width="10.09765625" style="161" customWidth="1" outlineLevel="1"/>
    <col min="9" max="9" width="10.69921875" style="161" customWidth="1" outlineLevel="1"/>
    <col min="10" max="10" width="9.69921875" style="161" customWidth="1" outlineLevel="1"/>
    <col min="11" max="11" width="11.09765625" style="161" customWidth="1" outlineLevel="1"/>
    <col min="12" max="12" width="11.59765625" style="161" customWidth="1"/>
    <col min="13" max="13" width="12.59765625" style="161" customWidth="1"/>
    <col min="14" max="14" width="12.69921875" style="161" customWidth="1"/>
    <col min="15" max="16" width="11.59765625" style="161" customWidth="1"/>
    <col min="17" max="17" width="10.59765625" style="161" customWidth="1"/>
    <col min="18" max="18" width="11" style="161" customWidth="1"/>
    <col min="19" max="19" width="10.69921875" style="161" customWidth="1"/>
    <col min="20" max="20" width="11.59765625" style="161" customWidth="1"/>
    <col min="21" max="21" width="16.59765625" style="161" customWidth="1"/>
    <col min="22" max="22" width="11.09765625" style="161" customWidth="1"/>
    <col min="23" max="24" width="10.09765625" style="161" customWidth="1"/>
    <col min="25" max="25" width="10.5" style="161" customWidth="1"/>
    <col min="26" max="26" width="11" style="161" bestFit="1" customWidth="1"/>
    <col min="27" max="27" width="23.3984375" style="161" customWidth="1"/>
    <col min="28" max="37" width="11" style="161" bestFit="1" customWidth="1"/>
    <col min="38" max="46" width="9.09765625" style="161"/>
    <col min="47" max="48" width="10.59765625" style="161" customWidth="1"/>
    <col min="49" max="49" width="22.59765625" style="161" customWidth="1"/>
    <col min="50" max="61" width="10.59765625" style="161" customWidth="1"/>
    <col min="62" max="62" width="24.3984375" style="161" customWidth="1"/>
    <col min="63" max="16384" width="9.09765625" style="161"/>
  </cols>
  <sheetData>
    <row r="1" spans="1:75" s="162" customFormat="1" ht="15">
      <c r="A1" s="160" t="s">
        <v>206</v>
      </c>
      <c r="B1" s="161"/>
      <c r="C1" s="161"/>
      <c r="D1" s="161"/>
      <c r="E1" s="161"/>
      <c r="F1" s="161"/>
      <c r="G1" s="161"/>
      <c r="H1" s="161"/>
      <c r="I1" s="161"/>
      <c r="J1" s="161"/>
      <c r="K1" s="161"/>
      <c r="L1" s="161"/>
      <c r="M1" s="161"/>
      <c r="N1" s="161"/>
      <c r="O1" s="161"/>
      <c r="P1" s="161"/>
      <c r="Q1" s="161"/>
      <c r="R1" s="161"/>
      <c r="S1" s="161"/>
      <c r="T1" s="161"/>
      <c r="U1" s="161"/>
    </row>
    <row r="2" spans="1:75" s="166" customFormat="1" ht="15.75">
      <c r="A2" s="163" t="s">
        <v>207</v>
      </c>
      <c r="B2" s="164"/>
      <c r="C2" s="164"/>
      <c r="D2" s="164"/>
      <c r="E2" s="164"/>
      <c r="F2" s="164"/>
      <c r="G2" s="164"/>
      <c r="H2" s="164"/>
      <c r="I2" s="164"/>
      <c r="J2" s="164"/>
      <c r="K2" s="164"/>
      <c r="L2" s="164"/>
      <c r="M2" s="164"/>
      <c r="N2" s="164"/>
      <c r="O2" s="164"/>
      <c r="P2" s="164"/>
      <c r="Q2" s="164"/>
      <c r="R2" s="164"/>
      <c r="S2" s="164"/>
      <c r="T2" s="164"/>
      <c r="U2" s="165"/>
    </row>
    <row r="3" spans="1:75">
      <c r="A3" s="163" t="s">
        <v>208</v>
      </c>
      <c r="B3" s="164"/>
      <c r="C3" s="164"/>
      <c r="D3" s="164"/>
      <c r="E3" s="164"/>
      <c r="F3" s="164"/>
      <c r="G3" s="164"/>
      <c r="H3" s="164"/>
      <c r="I3" s="164"/>
      <c r="J3" s="164"/>
      <c r="K3" s="164"/>
      <c r="L3" s="164"/>
      <c r="M3" s="164"/>
      <c r="N3" s="164"/>
      <c r="O3" s="164"/>
      <c r="P3" s="164"/>
      <c r="Q3" s="164"/>
      <c r="R3" s="164"/>
      <c r="S3" s="164"/>
      <c r="T3" s="164"/>
    </row>
    <row r="4" spans="1:75">
      <c r="A4" s="167"/>
      <c r="B4" s="168"/>
      <c r="C4" s="168"/>
      <c r="D4" s="168"/>
      <c r="E4" s="168"/>
      <c r="F4" s="168"/>
      <c r="G4" s="168"/>
      <c r="H4" s="168"/>
      <c r="I4" s="168"/>
      <c r="J4" s="168"/>
      <c r="K4" s="168"/>
      <c r="L4" s="168"/>
      <c r="M4" s="168"/>
      <c r="N4" s="169"/>
      <c r="O4" s="169"/>
    </row>
    <row r="5" spans="1:75">
      <c r="A5" s="170"/>
      <c r="B5" s="171">
        <v>2000</v>
      </c>
      <c r="C5" s="171">
        <v>2001</v>
      </c>
      <c r="D5" s="171">
        <v>2002</v>
      </c>
      <c r="E5" s="171">
        <v>2003</v>
      </c>
      <c r="F5" s="171">
        <v>2004</v>
      </c>
      <c r="G5" s="171">
        <v>2005</v>
      </c>
      <c r="H5" s="171">
        <v>2006</v>
      </c>
      <c r="I5" s="171">
        <v>2007</v>
      </c>
      <c r="J5" s="171">
        <v>2008</v>
      </c>
      <c r="K5" s="171">
        <v>2009</v>
      </c>
      <c r="L5" s="171">
        <v>2010</v>
      </c>
      <c r="M5" s="172">
        <v>2011</v>
      </c>
      <c r="N5" s="172">
        <v>2012</v>
      </c>
      <c r="O5" s="172">
        <v>2013</v>
      </c>
      <c r="P5" s="173">
        <v>2014</v>
      </c>
      <c r="Q5" s="173">
        <v>2015</v>
      </c>
      <c r="R5" s="173">
        <v>2016</v>
      </c>
      <c r="S5" s="173">
        <v>2017</v>
      </c>
      <c r="T5" s="173">
        <v>2018</v>
      </c>
      <c r="U5" s="173">
        <v>2019</v>
      </c>
      <c r="V5" s="173">
        <v>2020</v>
      </c>
      <c r="W5" s="173">
        <v>2021</v>
      </c>
      <c r="X5" s="173">
        <v>2022</v>
      </c>
      <c r="Y5" s="173">
        <v>2023</v>
      </c>
      <c r="Z5" s="861">
        <v>2024</v>
      </c>
    </row>
    <row r="6" spans="1:75">
      <c r="X6" s="176"/>
    </row>
    <row r="7" spans="1:75">
      <c r="A7" s="176" t="s">
        <v>423</v>
      </c>
      <c r="B7" s="403">
        <v>32.331000000000003</v>
      </c>
      <c r="C7" s="403">
        <v>39.308999999999997</v>
      </c>
      <c r="D7" s="403">
        <v>43.956000000000003</v>
      </c>
      <c r="E7" s="403">
        <v>52.01</v>
      </c>
      <c r="F7" s="403">
        <v>67.225999999999999</v>
      </c>
      <c r="G7" s="403">
        <v>89.281999999999996</v>
      </c>
      <c r="H7" s="403">
        <v>111.88500000000001</v>
      </c>
      <c r="I7" s="403">
        <v>148.73400000000001</v>
      </c>
      <c r="J7" s="403">
        <v>188.24</v>
      </c>
      <c r="K7" s="403">
        <v>121.55200000000001</v>
      </c>
      <c r="L7" s="403">
        <v>136.011</v>
      </c>
      <c r="M7" s="403">
        <v>163.161</v>
      </c>
      <c r="N7" s="403">
        <v>175.70699999999999</v>
      </c>
      <c r="O7" s="403">
        <v>179.572</v>
      </c>
      <c r="P7" s="403">
        <v>132.34299999999999</v>
      </c>
      <c r="Q7" s="403">
        <v>90.938999999999993</v>
      </c>
      <c r="R7" s="403">
        <v>93.263000000000005</v>
      </c>
      <c r="S7" s="403">
        <v>112.24</v>
      </c>
      <c r="T7" s="403">
        <v>130.90189511328558</v>
      </c>
      <c r="U7" s="403">
        <v>153.30479571199976</v>
      </c>
      <c r="V7" s="403">
        <v>147.69999999999999</v>
      </c>
      <c r="X7" s="176"/>
    </row>
    <row r="8" spans="1:75">
      <c r="X8" s="176"/>
    </row>
    <row r="9" spans="1:75" s="176" customFormat="1">
      <c r="A9" s="187"/>
      <c r="B9" s="188">
        <v>2000</v>
      </c>
      <c r="C9" s="188">
        <v>2001</v>
      </c>
      <c r="D9" s="188">
        <v>2002</v>
      </c>
      <c r="E9" s="188">
        <v>2003</v>
      </c>
      <c r="F9" s="188">
        <v>2004</v>
      </c>
      <c r="G9" s="188">
        <v>2005</v>
      </c>
      <c r="H9" s="188">
        <v>2006</v>
      </c>
      <c r="I9" s="188">
        <v>2007</v>
      </c>
      <c r="J9" s="188">
        <v>2008</v>
      </c>
      <c r="K9" s="188">
        <v>2009</v>
      </c>
      <c r="L9" s="188">
        <v>2010</v>
      </c>
      <c r="M9" s="189">
        <v>2011</v>
      </c>
      <c r="N9" s="189">
        <v>2012</v>
      </c>
      <c r="O9" s="189">
        <v>2013</v>
      </c>
      <c r="P9" s="189">
        <v>2014</v>
      </c>
      <c r="Q9" s="189">
        <v>2015</v>
      </c>
      <c r="R9" s="189">
        <v>2016</v>
      </c>
      <c r="S9" s="189">
        <v>2017</v>
      </c>
      <c r="T9" s="189" t="s">
        <v>210</v>
      </c>
      <c r="U9" s="190">
        <v>2019</v>
      </c>
      <c r="V9" s="189" t="s">
        <v>212</v>
      </c>
      <c r="W9" s="189" t="s">
        <v>213</v>
      </c>
      <c r="X9" s="189" t="s">
        <v>212</v>
      </c>
    </row>
    <row r="10" spans="1:75" s="176" customFormat="1" ht="15.75">
      <c r="A10" s="191" t="s">
        <v>5</v>
      </c>
      <c r="B10" s="404">
        <v>5.4402242497837099</v>
      </c>
      <c r="C10" s="404">
        <v>5.3721457814900146</v>
      </c>
      <c r="D10" s="404">
        <v>5.3266259658218127</v>
      </c>
      <c r="E10" s="404">
        <v>5.332684415002559</v>
      </c>
      <c r="F10" s="404">
        <v>5.3191828970461001</v>
      </c>
      <c r="G10" s="404">
        <v>5.1247306368407584</v>
      </c>
      <c r="H10" s="404">
        <v>5.0500000000000007</v>
      </c>
      <c r="I10" s="404">
        <v>5.0500000000000007</v>
      </c>
      <c r="J10" s="404">
        <v>5.2672187096774188</v>
      </c>
      <c r="K10" s="404">
        <v>7.7912380734767011</v>
      </c>
      <c r="L10" s="404">
        <v>7.9356404985919093</v>
      </c>
      <c r="M10" s="404">
        <v>7.9675627112135183</v>
      </c>
      <c r="N10" s="404">
        <v>7.9910293455691512</v>
      </c>
      <c r="O10" s="404">
        <v>7.9929999999999977</v>
      </c>
      <c r="P10" s="404">
        <v>11.986366700524831</v>
      </c>
      <c r="Q10" s="404">
        <v>21.856680146070151</v>
      </c>
      <c r="R10" s="404">
        <v>25.551334234714499</v>
      </c>
      <c r="S10" s="404">
        <v>26.596606422619047</v>
      </c>
      <c r="T10" s="404">
        <v>27.200492375748851</v>
      </c>
      <c r="U10" s="193">
        <v>25.93</v>
      </c>
      <c r="V10" s="405">
        <v>26.957524502533676</v>
      </c>
      <c r="W10" s="406">
        <v>27.2</v>
      </c>
      <c r="X10" s="406">
        <v>27.25</v>
      </c>
    </row>
    <row r="11" spans="1:75" s="176" customFormat="1" ht="15">
      <c r="A11" s="195" t="s">
        <v>214</v>
      </c>
      <c r="B11" s="404"/>
      <c r="C11" s="407">
        <f>C10/B10-1</f>
        <v>-1.2513908465519918E-2</v>
      </c>
      <c r="D11" s="407">
        <f t="shared" ref="D11:T11" si="0">D10/C10-1</f>
        <v>-8.4733023859930867E-3</v>
      </c>
      <c r="E11" s="407">
        <f t="shared" si="0"/>
        <v>1.1373896383226612E-3</v>
      </c>
      <c r="F11" s="407">
        <f t="shared" si="0"/>
        <v>-2.5318426716710585E-3</v>
      </c>
      <c r="G11" s="407">
        <f t="shared" si="0"/>
        <v>-3.655679151648028E-2</v>
      </c>
      <c r="H11" s="407">
        <f t="shared" si="0"/>
        <v>-1.4582354105312945E-2</v>
      </c>
      <c r="I11" s="407">
        <f t="shared" si="0"/>
        <v>0</v>
      </c>
      <c r="J11" s="407">
        <f t="shared" si="0"/>
        <v>4.3013605876716543E-2</v>
      </c>
      <c r="K11" s="407">
        <f t="shared" si="0"/>
        <v>0.47919395470742865</v>
      </c>
      <c r="L11" s="407">
        <f t="shared" si="0"/>
        <v>1.8533951055454079E-2</v>
      </c>
      <c r="M11" s="407">
        <f t="shared" si="0"/>
        <v>4.0226384533514903E-3</v>
      </c>
      <c r="N11" s="407">
        <f t="shared" si="0"/>
        <v>2.9452713717088574E-3</v>
      </c>
      <c r="O11" s="407">
        <f t="shared" si="0"/>
        <v>2.466083336234437E-4</v>
      </c>
      <c r="P11" s="407">
        <f>P10/O10-1</f>
        <v>0.49960799456084515</v>
      </c>
      <c r="Q11" s="407">
        <f t="shared" si="0"/>
        <v>0.82346166208256766</v>
      </c>
      <c r="R11" s="407">
        <f t="shared" si="0"/>
        <v>0.16904004011371554</v>
      </c>
      <c r="S11" s="407">
        <f t="shared" si="0"/>
        <v>4.0908712566736449E-2</v>
      </c>
      <c r="T11" s="407">
        <f t="shared" si="0"/>
        <v>2.2705376149651624E-2</v>
      </c>
      <c r="U11" s="407">
        <f>U10/T10-1</f>
        <v>-4.6708433001807936E-2</v>
      </c>
      <c r="V11" s="407">
        <f>V10/U10-1</f>
        <v>3.9626860876732506E-2</v>
      </c>
      <c r="W11" s="407">
        <f>W10/V10-1</f>
        <v>8.9947241796453081E-3</v>
      </c>
      <c r="X11" s="407">
        <f>X10/W10-1</f>
        <v>1.8382352941177516E-3</v>
      </c>
    </row>
    <row r="12" spans="1:75" ht="15">
      <c r="A12" s="197" t="s">
        <v>215</v>
      </c>
      <c r="B12" s="198"/>
      <c r="C12" s="198"/>
      <c r="D12" s="408">
        <v>375.97916666666657</v>
      </c>
      <c r="E12" s="408">
        <v>462.58249999999998</v>
      </c>
      <c r="F12" s="408">
        <v>590.52750000000003</v>
      </c>
      <c r="G12" s="408">
        <v>806.13916666666682</v>
      </c>
      <c r="H12" s="408">
        <v>1042.8758333333333</v>
      </c>
      <c r="I12" s="408">
        <v>1352.75</v>
      </c>
      <c r="J12" s="408">
        <v>1808.9166666666667</v>
      </c>
      <c r="K12" s="408">
        <v>1909.25</v>
      </c>
      <c r="L12" s="408">
        <v>2246.75</v>
      </c>
      <c r="M12" s="408">
        <v>2639.1666666666665</v>
      </c>
      <c r="N12" s="408">
        <v>3031.9166666666665</v>
      </c>
      <c r="O12" s="408">
        <v>3273.8333333333335</v>
      </c>
      <c r="P12" s="408">
        <v>3474.75</v>
      </c>
      <c r="Q12" s="408">
        <v>4207.333333333333</v>
      </c>
      <c r="R12" s="408">
        <v>5187.333333333333</v>
      </c>
      <c r="S12" s="408">
        <v>7105.416666666667</v>
      </c>
      <c r="T12" s="408">
        <v>8867.4408333333322</v>
      </c>
      <c r="U12" s="408">
        <f>AVERAGE(Z31:AK31)</f>
        <v>10503.762499999999</v>
      </c>
      <c r="V12" s="408">
        <f>AVERAGE(AL31:AW31)</f>
        <v>11595.784174999999</v>
      </c>
      <c r="W12" s="200">
        <f>AVERAGE(B97:M97)</f>
        <v>14017.833333333334</v>
      </c>
      <c r="X12" s="200">
        <f>AVERAGE(Z129:AK129)</f>
        <v>14856.205899752118</v>
      </c>
      <c r="Y12" s="219">
        <f>Y24*Y25</f>
        <v>15685.529999999999</v>
      </c>
      <c r="Z12" s="219">
        <f>Z24*Z25</f>
        <v>18492.900899999997</v>
      </c>
    </row>
    <row r="13" spans="1:75" ht="14.25">
      <c r="A13" s="201" t="s">
        <v>216</v>
      </c>
      <c r="B13" s="198"/>
      <c r="C13" s="198"/>
      <c r="D13" s="408"/>
      <c r="E13" s="409">
        <f>E12/D12-1</f>
        <v>0.2303407768604202</v>
      </c>
      <c r="F13" s="409">
        <f t="shared" ref="F13:T13" si="1">F12/E12-1</f>
        <v>0.27658850042965311</v>
      </c>
      <c r="G13" s="409">
        <f t="shared" si="1"/>
        <v>0.36511706341646533</v>
      </c>
      <c r="H13" s="409">
        <f t="shared" si="1"/>
        <v>0.29366724314556913</v>
      </c>
      <c r="I13" s="409">
        <f t="shared" si="1"/>
        <v>0.29713428652020735</v>
      </c>
      <c r="J13" s="409">
        <f t="shared" si="1"/>
        <v>0.33721431651573952</v>
      </c>
      <c r="K13" s="409">
        <f t="shared" si="1"/>
        <v>5.5465978716543018E-2</v>
      </c>
      <c r="L13" s="409">
        <f t="shared" si="1"/>
        <v>0.1767709833704334</v>
      </c>
      <c r="M13" s="409">
        <f t="shared" si="1"/>
        <v>0.17465969363154188</v>
      </c>
      <c r="N13" s="409">
        <f t="shared" si="1"/>
        <v>0.14881591411430373</v>
      </c>
      <c r="O13" s="409">
        <f t="shared" si="1"/>
        <v>7.9790011818706708E-2</v>
      </c>
      <c r="P13" s="409">
        <f t="shared" si="1"/>
        <v>6.1370462760270694E-2</v>
      </c>
      <c r="Q13" s="409">
        <f t="shared" si="1"/>
        <v>0.2108305153847998</v>
      </c>
      <c r="R13" s="409">
        <f>R12/Q12-1</f>
        <v>0.23292663603232455</v>
      </c>
      <c r="S13" s="409">
        <f t="shared" si="1"/>
        <v>0.36976288394807888</v>
      </c>
      <c r="T13" s="409">
        <f t="shared" si="1"/>
        <v>0.24798322875740308</v>
      </c>
      <c r="U13" s="409">
        <f>U12/T12-1</f>
        <v>0.18453144457593873</v>
      </c>
      <c r="V13" s="409">
        <f>V12/U12-1</f>
        <v>0.10396481022871562</v>
      </c>
      <c r="W13" s="409">
        <f>W12/V12-1</f>
        <v>0.20887325270809765</v>
      </c>
      <c r="X13" s="409">
        <f>X12/W12-1</f>
        <v>5.980757129029346E-2</v>
      </c>
    </row>
    <row r="14" spans="1:75" ht="14.25">
      <c r="A14" s="201"/>
      <c r="B14" s="198"/>
      <c r="C14" s="198"/>
      <c r="D14" s="408"/>
      <c r="E14" s="409"/>
      <c r="F14" s="409">
        <f>F13/E13</f>
        <v>1.2007795762417597</v>
      </c>
      <c r="G14" s="409">
        <f t="shared" ref="G14:U14" si="2">G13/F13</f>
        <v>1.3200731876028533</v>
      </c>
      <c r="H14" s="409">
        <f t="shared" si="2"/>
        <v>0.80430982983285548</v>
      </c>
      <c r="I14" s="409">
        <f t="shared" si="2"/>
        <v>1.0118060269082161</v>
      </c>
      <c r="J14" s="409">
        <f t="shared" si="2"/>
        <v>1.1348886069827773</v>
      </c>
      <c r="K14" s="409">
        <f t="shared" si="2"/>
        <v>0.16448287038831619</v>
      </c>
      <c r="L14" s="409">
        <f t="shared" si="2"/>
        <v>3.1870163920448507</v>
      </c>
      <c r="M14" s="409">
        <f t="shared" si="2"/>
        <v>0.98805635575117445</v>
      </c>
      <c r="N14" s="409">
        <f t="shared" si="2"/>
        <v>0.85203352313351932</v>
      </c>
      <c r="O14" s="409">
        <f t="shared" si="2"/>
        <v>0.53616585493283297</v>
      </c>
      <c r="P14" s="409">
        <f t="shared" si="2"/>
        <v>0.76914968880706991</v>
      </c>
      <c r="Q14" s="409">
        <f t="shared" si="2"/>
        <v>3.4353743788499642</v>
      </c>
      <c r="R14" s="409">
        <f t="shared" si="2"/>
        <v>1.1048051350972403</v>
      </c>
      <c r="S14" s="409">
        <f t="shared" si="2"/>
        <v>1.5874650072083847</v>
      </c>
      <c r="T14" s="409">
        <f t="shared" si="2"/>
        <v>0.67065473448715374</v>
      </c>
      <c r="U14" s="409">
        <f t="shared" si="2"/>
        <v>0.74412872798128649</v>
      </c>
      <c r="V14" s="198"/>
      <c r="W14" s="198"/>
      <c r="X14" s="176"/>
      <c r="BV14" s="161" t="s">
        <v>424</v>
      </c>
    </row>
    <row r="15" spans="1:75">
      <c r="A15" s="203" t="s">
        <v>217</v>
      </c>
      <c r="B15" s="198"/>
      <c r="C15" s="198"/>
      <c r="D15" s="404">
        <f>D12/D10</f>
        <v>70.584863491284963</v>
      </c>
      <c r="E15" s="404">
        <f t="shared" ref="E15:T15" si="3">E12/E10</f>
        <v>86.744773176264928</v>
      </c>
      <c r="F15" s="404">
        <f t="shared" si="3"/>
        <v>111.01846118657387</v>
      </c>
      <c r="G15" s="404">
        <f t="shared" si="3"/>
        <v>157.30371482775675</v>
      </c>
      <c r="H15" s="404">
        <f t="shared" si="3"/>
        <v>206.51006600660062</v>
      </c>
      <c r="I15" s="404">
        <f t="shared" si="3"/>
        <v>267.87128712871282</v>
      </c>
      <c r="J15" s="404">
        <f t="shared" si="3"/>
        <v>343.42919221166164</v>
      </c>
      <c r="K15" s="404">
        <f t="shared" si="3"/>
        <v>245.05091257569944</v>
      </c>
      <c r="L15" s="404">
        <f t="shared" si="3"/>
        <v>283.12144437473705</v>
      </c>
      <c r="M15" s="404">
        <f>M12/M10</f>
        <v>331.23889479430306</v>
      </c>
      <c r="N15" s="404">
        <f t="shared" si="3"/>
        <v>379.41503347723244</v>
      </c>
      <c r="O15" s="404">
        <f t="shared" si="3"/>
        <v>409.58755577797251</v>
      </c>
      <c r="P15" s="404">
        <f t="shared" si="3"/>
        <v>289.89184853220416</v>
      </c>
      <c r="Q15" s="404">
        <f t="shared" si="3"/>
        <v>192.49644983663336</v>
      </c>
      <c r="R15" s="404">
        <f t="shared" si="3"/>
        <v>203.01614333257515</v>
      </c>
      <c r="S15" s="404">
        <f t="shared" si="3"/>
        <v>267.15501044614007</v>
      </c>
      <c r="T15" s="404">
        <f t="shared" si="3"/>
        <v>326.00295284504767</v>
      </c>
      <c r="U15" s="404">
        <f>U12/U10</f>
        <v>405.08146934053218</v>
      </c>
      <c r="V15" s="404">
        <f>V12/V10</f>
        <v>430.15018585664785</v>
      </c>
      <c r="W15" s="404">
        <f>W12/W10</f>
        <v>515.36151960784321</v>
      </c>
      <c r="X15" s="404">
        <f>X12/X10</f>
        <v>545.18186788081164</v>
      </c>
    </row>
    <row r="16" spans="1:75">
      <c r="A16" s="204" t="s">
        <v>218</v>
      </c>
      <c r="B16" s="198"/>
      <c r="C16" s="198"/>
      <c r="D16" s="198"/>
      <c r="E16" s="410">
        <f>E15/D15-1</f>
        <v>0.22894298983768957</v>
      </c>
      <c r="F16" s="410">
        <f t="shared" ref="F16:X16" si="4">F15/E15-1</f>
        <v>0.27982882566290113</v>
      </c>
      <c r="G16" s="410">
        <f t="shared" si="4"/>
        <v>0.41691492699937038</v>
      </c>
      <c r="H16" s="410">
        <f t="shared" si="4"/>
        <v>0.31281111976740972</v>
      </c>
      <c r="I16" s="410">
        <f t="shared" si="4"/>
        <v>0.29713428652020735</v>
      </c>
      <c r="J16" s="410">
        <f t="shared" si="4"/>
        <v>0.28206795096573023</v>
      </c>
      <c r="K16" s="410">
        <f t="shared" si="4"/>
        <v>-0.28645869910595689</v>
      </c>
      <c r="L16" s="410">
        <f t="shared" si="4"/>
        <v>0.15535764139330488</v>
      </c>
      <c r="M16" s="410">
        <f t="shared" si="4"/>
        <v>0.16995339411972687</v>
      </c>
      <c r="N16" s="410">
        <f t="shared" si="4"/>
        <v>0.14544227577152857</v>
      </c>
      <c r="O16" s="410">
        <f t="shared" si="4"/>
        <v>7.9523792255191683E-2</v>
      </c>
      <c r="P16" s="410">
        <f t="shared" si="4"/>
        <v>-0.29223472626852098</v>
      </c>
      <c r="Q16" s="410">
        <f t="shared" si="4"/>
        <v>-0.33597149829741113</v>
      </c>
      <c r="R16" s="410">
        <f t="shared" si="4"/>
        <v>5.4648766275271932E-2</v>
      </c>
      <c r="S16" s="410">
        <f t="shared" si="4"/>
        <v>0.31592988646471576</v>
      </c>
      <c r="T16" s="410">
        <f t="shared" si="4"/>
        <v>0.22027639422009515</v>
      </c>
      <c r="U16" s="410">
        <f t="shared" si="4"/>
        <v>0.24256993933754734</v>
      </c>
      <c r="V16" s="410">
        <f t="shared" si="4"/>
        <v>6.1885616631457419E-2</v>
      </c>
      <c r="W16" s="410">
        <f t="shared" si="4"/>
        <v>0.19809670332118134</v>
      </c>
      <c r="X16" s="410">
        <f t="shared" si="4"/>
        <v>5.7862970242054113E-2</v>
      </c>
      <c r="BV16" s="161">
        <v>2021</v>
      </c>
      <c r="BW16" s="161">
        <v>2022</v>
      </c>
    </row>
    <row r="17" spans="1:85">
      <c r="A17" s="206" t="s">
        <v>219</v>
      </c>
      <c r="B17" s="207" t="s">
        <v>220</v>
      </c>
      <c r="C17" s="198" t="s">
        <v>220</v>
      </c>
      <c r="D17" s="198" t="s">
        <v>220</v>
      </c>
      <c r="E17" s="410">
        <f>E12/D12-1</f>
        <v>0.2303407768604202</v>
      </c>
      <c r="F17" s="410">
        <f t="shared" ref="F17:T17" si="5">F12/E12-1</f>
        <v>0.27658850042965311</v>
      </c>
      <c r="G17" s="410">
        <f t="shared" si="5"/>
        <v>0.36511706341646533</v>
      </c>
      <c r="H17" s="410">
        <f t="shared" si="5"/>
        <v>0.29366724314556913</v>
      </c>
      <c r="I17" s="410">
        <f t="shared" si="5"/>
        <v>0.29713428652020735</v>
      </c>
      <c r="J17" s="410">
        <f t="shared" si="5"/>
        <v>0.33721431651573952</v>
      </c>
      <c r="K17" s="410">
        <f t="shared" si="5"/>
        <v>5.5465978716543018E-2</v>
      </c>
      <c r="L17" s="410">
        <f t="shared" si="5"/>
        <v>0.1767709833704334</v>
      </c>
      <c r="M17" s="410">
        <f t="shared" si="5"/>
        <v>0.17465969363154188</v>
      </c>
      <c r="N17" s="410">
        <f t="shared" si="5"/>
        <v>0.14881591411430373</v>
      </c>
      <c r="O17" s="410">
        <f t="shared" si="5"/>
        <v>7.9790011818706708E-2</v>
      </c>
      <c r="P17" s="410">
        <f>P12/O12-1</f>
        <v>6.1370462760270694E-2</v>
      </c>
      <c r="Q17" s="410">
        <f t="shared" si="5"/>
        <v>0.2108305153847998</v>
      </c>
      <c r="R17" s="410">
        <f t="shared" si="5"/>
        <v>0.23292663603232455</v>
      </c>
      <c r="S17" s="410">
        <f t="shared" si="5"/>
        <v>0.36976288394807888</v>
      </c>
      <c r="T17" s="410">
        <f t="shared" si="5"/>
        <v>0.24798322875740308</v>
      </c>
      <c r="U17" s="411">
        <v>0.192</v>
      </c>
      <c r="V17" s="209"/>
      <c r="W17" s="209"/>
      <c r="X17" s="176"/>
    </row>
    <row r="18" spans="1:85">
      <c r="A18" s="204"/>
      <c r="B18" s="198"/>
      <c r="C18" s="198"/>
      <c r="D18" s="198"/>
      <c r="E18" s="210">
        <f t="shared" ref="E18:U18" si="6">E13-E11</f>
        <v>0.22920338722209754</v>
      </c>
      <c r="F18" s="210">
        <f t="shared" si="6"/>
        <v>0.27912034310132416</v>
      </c>
      <c r="G18" s="210">
        <f t="shared" si="6"/>
        <v>0.40167385493294561</v>
      </c>
      <c r="H18" s="210">
        <f t="shared" si="6"/>
        <v>0.30824959725088208</v>
      </c>
      <c r="I18" s="210">
        <f t="shared" si="6"/>
        <v>0.29713428652020735</v>
      </c>
      <c r="J18" s="210">
        <f t="shared" si="6"/>
        <v>0.29420071063902298</v>
      </c>
      <c r="K18" s="210">
        <f t="shared" si="6"/>
        <v>-0.42372797599088563</v>
      </c>
      <c r="L18" s="210">
        <f t="shared" si="6"/>
        <v>0.15823703231497932</v>
      </c>
      <c r="M18" s="210">
        <f t="shared" si="6"/>
        <v>0.17063705517819039</v>
      </c>
      <c r="N18" s="210">
        <f t="shared" si="6"/>
        <v>0.14587064274259487</v>
      </c>
      <c r="O18" s="210">
        <f t="shared" si="6"/>
        <v>7.9543403485083264E-2</v>
      </c>
      <c r="P18" s="210">
        <f t="shared" si="6"/>
        <v>-0.43823753180057445</v>
      </c>
      <c r="Q18" s="210">
        <f t="shared" si="6"/>
        <v>-0.61263114669776786</v>
      </c>
      <c r="R18" s="210">
        <f t="shared" si="6"/>
        <v>6.3886595918609013E-2</v>
      </c>
      <c r="S18" s="210">
        <f t="shared" si="6"/>
        <v>0.32885417138134243</v>
      </c>
      <c r="T18" s="210">
        <f t="shared" si="6"/>
        <v>0.22527785260775146</v>
      </c>
      <c r="U18" s="210">
        <f t="shared" si="6"/>
        <v>0.23123987757774667</v>
      </c>
      <c r="V18" s="198"/>
      <c r="W18" s="198"/>
      <c r="X18" s="176"/>
    </row>
    <row r="19" spans="1:85">
      <c r="X19" s="176"/>
      <c r="BV19" s="183">
        <f>(BI33/BF33)^(1/3)</f>
        <v>1.0212539398265277</v>
      </c>
      <c r="BW19" s="183">
        <f>(BU33/BI33)^(1/12)</f>
        <v>0.94387431268169353</v>
      </c>
    </row>
    <row r="20" spans="1:85" ht="18">
      <c r="B20" s="412">
        <v>2000</v>
      </c>
      <c r="C20" s="412">
        <v>2001</v>
      </c>
      <c r="D20" s="412">
        <v>2002</v>
      </c>
      <c r="E20" s="412">
        <v>2003</v>
      </c>
      <c r="F20" s="412">
        <v>2004</v>
      </c>
      <c r="G20" s="412">
        <v>2005</v>
      </c>
      <c r="H20" s="412">
        <v>2006</v>
      </c>
      <c r="I20" s="412">
        <v>2007</v>
      </c>
      <c r="J20" s="412">
        <v>2008</v>
      </c>
      <c r="K20" s="412">
        <v>2009</v>
      </c>
      <c r="L20" s="412">
        <v>2010</v>
      </c>
      <c r="M20" s="412">
        <v>2011</v>
      </c>
      <c r="N20" s="412">
        <v>2012</v>
      </c>
      <c r="O20" s="412">
        <v>2013</v>
      </c>
      <c r="P20" s="412">
        <v>2014</v>
      </c>
      <c r="Q20" s="412">
        <v>2015</v>
      </c>
      <c r="R20" s="412">
        <v>2016</v>
      </c>
      <c r="S20" s="412">
        <v>2017</v>
      </c>
      <c r="T20" s="412">
        <v>2018</v>
      </c>
      <c r="U20" s="412">
        <v>2019</v>
      </c>
      <c r="V20" s="183">
        <v>2020</v>
      </c>
      <c r="W20" s="183">
        <v>2021</v>
      </c>
      <c r="X20" s="183">
        <v>2022</v>
      </c>
    </row>
    <row r="21" spans="1:85" ht="18">
      <c r="A21" s="184" t="s">
        <v>222</v>
      </c>
      <c r="B21" s="412">
        <v>104</v>
      </c>
      <c r="C21" s="412">
        <v>104</v>
      </c>
      <c r="D21" s="412">
        <v>152.5</v>
      </c>
      <c r="E21" s="412">
        <v>195</v>
      </c>
      <c r="F21" s="412">
        <v>237</v>
      </c>
      <c r="G21" s="412">
        <v>298.5</v>
      </c>
      <c r="H21" s="412">
        <v>375</v>
      </c>
      <c r="I21" s="412">
        <v>440</v>
      </c>
      <c r="J21" s="412">
        <v>547.5</v>
      </c>
      <c r="K21" s="412">
        <v>662.25</v>
      </c>
      <c r="L21" s="412">
        <v>894</v>
      </c>
      <c r="M21" s="412">
        <v>972.5</v>
      </c>
      <c r="N21" s="412">
        <v>1104.2</v>
      </c>
      <c r="O21" s="412">
        <v>1182.5</v>
      </c>
      <c r="P21" s="412">
        <v>1218</v>
      </c>
      <c r="Q21" s="412">
        <v>1298</v>
      </c>
      <c r="R21" s="412">
        <v>1476</v>
      </c>
      <c r="S21" s="412">
        <v>3200</v>
      </c>
      <c r="T21" s="412">
        <v>3723</v>
      </c>
      <c r="U21" s="412">
        <v>4173</v>
      </c>
      <c r="V21" s="413">
        <v>4815.333333333333</v>
      </c>
      <c r="W21" s="185">
        <f>(11/12)*6000+(1/12)*6500</f>
        <v>6041.666666666667</v>
      </c>
      <c r="X21" s="185">
        <f>(9/12)*6500+(3/12)*6700</f>
        <v>6550</v>
      </c>
      <c r="Y21" s="161">
        <v>6700</v>
      </c>
      <c r="Z21" s="161">
        <f>(7100*0.25+8000*0.75)</f>
        <v>7775</v>
      </c>
    </row>
    <row r="22" spans="1:85">
      <c r="C22" s="414">
        <f>C21/B21-1</f>
        <v>0</v>
      </c>
      <c r="D22" s="414">
        <f t="shared" ref="D22:V22" si="7">D21/C21-1</f>
        <v>0.46634615384615374</v>
      </c>
      <c r="E22" s="414">
        <f t="shared" si="7"/>
        <v>0.27868852459016402</v>
      </c>
      <c r="F22" s="414">
        <f t="shared" si="7"/>
        <v>0.21538461538461529</v>
      </c>
      <c r="G22" s="414">
        <f t="shared" si="7"/>
        <v>0.259493670886076</v>
      </c>
      <c r="H22" s="414">
        <f t="shared" si="7"/>
        <v>0.25628140703517599</v>
      </c>
      <c r="I22" s="414">
        <f t="shared" si="7"/>
        <v>0.17333333333333334</v>
      </c>
      <c r="J22" s="414">
        <f t="shared" si="7"/>
        <v>0.24431818181818188</v>
      </c>
      <c r="K22" s="414">
        <f t="shared" si="7"/>
        <v>0.20958904109589049</v>
      </c>
      <c r="L22" s="414">
        <f t="shared" si="7"/>
        <v>0.34994337485843707</v>
      </c>
      <c r="M22" s="414">
        <f t="shared" si="7"/>
        <v>8.7807606263982096E-2</v>
      </c>
      <c r="N22" s="414">
        <f t="shared" si="7"/>
        <v>0.13542416452442163</v>
      </c>
      <c r="O22" s="414">
        <f t="shared" si="7"/>
        <v>7.0911066835718017E-2</v>
      </c>
      <c r="P22" s="414">
        <f t="shared" si="7"/>
        <v>3.0021141649048566E-2</v>
      </c>
      <c r="Q22" s="414">
        <f t="shared" si="7"/>
        <v>6.5681444991789739E-2</v>
      </c>
      <c r="R22" s="414">
        <f t="shared" si="7"/>
        <v>0.13713405238828957</v>
      </c>
      <c r="S22" s="414">
        <f t="shared" si="7"/>
        <v>1.168021680216802</v>
      </c>
      <c r="T22" s="414">
        <f t="shared" si="7"/>
        <v>0.1634374999999999</v>
      </c>
      <c r="U22" s="414">
        <f t="shared" si="7"/>
        <v>0.12087026591458505</v>
      </c>
      <c r="V22" s="414">
        <f t="shared" si="7"/>
        <v>0.15392603243070524</v>
      </c>
      <c r="W22" s="414">
        <f>W21/V21-1</f>
        <v>0.25467257372282992</v>
      </c>
      <c r="X22" s="414">
        <f>X21/W21-1</f>
        <v>8.4137931034482749E-2</v>
      </c>
    </row>
    <row r="23" spans="1:85">
      <c r="X23" s="176"/>
    </row>
    <row r="24" spans="1:85" ht="15">
      <c r="A24" s="184" t="s">
        <v>223</v>
      </c>
      <c r="C24" s="185">
        <f t="shared" ref="C24:V24" si="8">C21*2.3504+379.24</f>
        <v>623.6816</v>
      </c>
      <c r="D24" s="185">
        <f t="shared" si="8"/>
        <v>737.67599999999993</v>
      </c>
      <c r="E24" s="185">
        <f t="shared" si="8"/>
        <v>837.56799999999998</v>
      </c>
      <c r="F24" s="185">
        <f t="shared" si="8"/>
        <v>936.28480000000002</v>
      </c>
      <c r="G24" s="185">
        <f t="shared" si="8"/>
        <v>1080.8344000000002</v>
      </c>
      <c r="H24" s="185">
        <f t="shared" si="8"/>
        <v>1260.6399999999999</v>
      </c>
      <c r="I24" s="185">
        <f t="shared" si="8"/>
        <v>1413.4159999999999</v>
      </c>
      <c r="J24" s="185">
        <f t="shared" si="8"/>
        <v>1666.0840000000001</v>
      </c>
      <c r="K24" s="185">
        <f t="shared" si="8"/>
        <v>1935.7924</v>
      </c>
      <c r="L24" s="185">
        <f t="shared" si="8"/>
        <v>2480.4975999999997</v>
      </c>
      <c r="M24" s="185">
        <f t="shared" si="8"/>
        <v>2665.0039999999999</v>
      </c>
      <c r="N24" s="185">
        <f t="shared" si="8"/>
        <v>2974.5516800000005</v>
      </c>
      <c r="O24" s="185">
        <f t="shared" si="8"/>
        <v>3158.5879999999997</v>
      </c>
      <c r="P24" s="185">
        <f t="shared" si="8"/>
        <v>3242.0272000000004</v>
      </c>
      <c r="Q24" s="185">
        <f t="shared" si="8"/>
        <v>3430.0591999999997</v>
      </c>
      <c r="R24" s="185">
        <f t="shared" si="8"/>
        <v>3848.4304000000002</v>
      </c>
      <c r="S24" s="185">
        <f t="shared" si="8"/>
        <v>7900.5199999999995</v>
      </c>
      <c r="T24" s="185">
        <f t="shared" si="8"/>
        <v>9129.7792000000009</v>
      </c>
      <c r="U24" s="185">
        <f t="shared" si="8"/>
        <v>10187.459199999999</v>
      </c>
      <c r="V24" s="185">
        <f t="shared" si="8"/>
        <v>11697.199466666665</v>
      </c>
      <c r="W24" s="185">
        <f>W21*2.3504+379.24</f>
        <v>14579.573333333334</v>
      </c>
      <c r="X24" s="185">
        <f>X21*2.2742+448.39</f>
        <v>15344.4</v>
      </c>
      <c r="Y24" s="185">
        <f>Y21*2.2742+448.39</f>
        <v>15685.529999999999</v>
      </c>
      <c r="Z24" s="185">
        <f>Z21*2.2742+448.39</f>
        <v>18130.294999999998</v>
      </c>
    </row>
    <row r="25" spans="1:85">
      <c r="A25" s="178" t="s">
        <v>221</v>
      </c>
      <c r="D25" s="415">
        <f t="shared" ref="D25:U25" si="9">D12/D24</f>
        <v>0.5096806276287511</v>
      </c>
      <c r="E25" s="415">
        <f t="shared" si="9"/>
        <v>0.55229247058149311</v>
      </c>
      <c r="F25" s="415">
        <f t="shared" si="9"/>
        <v>0.63071353929915341</v>
      </c>
      <c r="G25" s="415">
        <f t="shared" si="9"/>
        <v>0.74584891697254152</v>
      </c>
      <c r="H25" s="415">
        <f t="shared" si="9"/>
        <v>0.82725903773744558</v>
      </c>
      <c r="I25" s="415">
        <f t="shared" si="9"/>
        <v>0.95707845390175295</v>
      </c>
      <c r="J25" s="415">
        <f t="shared" si="9"/>
        <v>1.0857295710580419</v>
      </c>
      <c r="K25" s="415">
        <f t="shared" si="9"/>
        <v>0.98628861235326681</v>
      </c>
      <c r="L25" s="415">
        <f t="shared" si="9"/>
        <v>0.90576584311147901</v>
      </c>
      <c r="M25" s="415">
        <f t="shared" si="9"/>
        <v>0.99030495513952943</v>
      </c>
      <c r="N25" s="415">
        <f t="shared" si="9"/>
        <v>1.0192852546662312</v>
      </c>
      <c r="O25" s="415">
        <f t="shared" si="9"/>
        <v>1.0364863455864879</v>
      </c>
      <c r="P25" s="415">
        <f t="shared" si="9"/>
        <v>1.0717831115050482</v>
      </c>
      <c r="Q25" s="415">
        <f t="shared" si="9"/>
        <v>1.2266066233881134</v>
      </c>
      <c r="R25" s="415">
        <f t="shared" si="9"/>
        <v>1.3479088340361651</v>
      </c>
      <c r="S25" s="415">
        <f>S12/S24</f>
        <v>0.89936063280222911</v>
      </c>
      <c r="T25" s="415">
        <f t="shared" si="9"/>
        <v>0.97126563951659761</v>
      </c>
      <c r="U25" s="415">
        <f t="shared" si="9"/>
        <v>1.031048301032705</v>
      </c>
      <c r="V25" s="415">
        <f>V12/V24</f>
        <v>0.99132995107455701</v>
      </c>
      <c r="W25" s="415">
        <f>W12/W24</f>
        <v>0.96147075177325725</v>
      </c>
      <c r="X25" s="186">
        <f>AVERAGE($U$26:$W$26)*W25</f>
        <v>0.95919804532151332</v>
      </c>
      <c r="Y25" s="186">
        <v>1</v>
      </c>
      <c r="Z25" s="186">
        <v>1.02</v>
      </c>
      <c r="BW25" s="183">
        <f>(BU39/BJ39)^(1/11)</f>
        <v>1.0246384740025689</v>
      </c>
      <c r="BX25" s="430">
        <f>AVERAGE(BJ39:BU39)</f>
        <v>32.73416666666666</v>
      </c>
    </row>
    <row r="26" spans="1:85">
      <c r="M26" s="175"/>
      <c r="N26" s="175"/>
      <c r="O26" s="175"/>
      <c r="P26" s="175"/>
      <c r="Q26" s="175"/>
      <c r="R26" s="175"/>
      <c r="T26" s="174">
        <f>T25/S25</f>
        <v>1.0799512499122035</v>
      </c>
      <c r="U26" s="174">
        <f>U25/T25</f>
        <v>1.0615512987218012</v>
      </c>
      <c r="V26" s="174">
        <f>V25/U25</f>
        <v>0.9614777019482349</v>
      </c>
      <c r="W26" s="174">
        <f>W25/V25</f>
        <v>0.96987965584119218</v>
      </c>
    </row>
    <row r="27" spans="1:85">
      <c r="Z27" s="218">
        <f>AVERAGE(Z39:AK39)</f>
        <v>25.925894761091907</v>
      </c>
      <c r="AL27" s="218">
        <f>AVERAGE(AL39:AW39)</f>
        <v>26.922694144110739</v>
      </c>
    </row>
    <row r="28" spans="1:85">
      <c r="BJ28" s="232">
        <f>Z129</f>
        <v>14577</v>
      </c>
      <c r="BK28" s="232">
        <f t="shared" ref="BK28:CG28" si="10">AA129</f>
        <v>14462.800828936512</v>
      </c>
      <c r="BL28" s="232">
        <f t="shared" si="10"/>
        <v>14777.408542094696</v>
      </c>
      <c r="BM28" s="232">
        <f t="shared" si="10"/>
        <v>13797.94090695452</v>
      </c>
      <c r="BN28" s="232">
        <f t="shared" si="10"/>
        <v>13641.199935020895</v>
      </c>
      <c r="BO28" s="232">
        <f t="shared" si="10"/>
        <v>13728.804405739085</v>
      </c>
      <c r="BP28" s="232">
        <f t="shared" si="10"/>
        <v>14534.250549101282</v>
      </c>
      <c r="BQ28" s="232">
        <f t="shared" si="10"/>
        <v>14680.630116612969</v>
      </c>
      <c r="BR28" s="232">
        <f t="shared" si="10"/>
        <v>14642.918770406568</v>
      </c>
      <c r="BS28" s="232">
        <f t="shared" si="10"/>
        <v>16285.558445404484</v>
      </c>
      <c r="BT28" s="232">
        <f t="shared" si="10"/>
        <v>16447.030750445345</v>
      </c>
      <c r="BU28" s="232">
        <f t="shared" si="10"/>
        <v>16698.927546309089</v>
      </c>
      <c r="BV28" s="232">
        <f t="shared" si="10"/>
        <v>15281.249968948276</v>
      </c>
      <c r="BW28" s="232">
        <f t="shared" si="10"/>
        <v>15442.007209071919</v>
      </c>
      <c r="BX28" s="232">
        <f t="shared" si="10"/>
        <v>15584.630248327954</v>
      </c>
      <c r="BY28" s="232">
        <f t="shared" si="10"/>
        <v>16936.777850357194</v>
      </c>
      <c r="BZ28" s="232">
        <f t="shared" si="10"/>
        <v>17154.146004190199</v>
      </c>
      <c r="CA28" s="232">
        <f t="shared" si="10"/>
        <v>17436.935641215663</v>
      </c>
      <c r="CB28" s="232">
        <f t="shared" si="10"/>
        <v>17518.28</v>
      </c>
      <c r="CC28" s="232">
        <f t="shared" si="10"/>
        <v>17439.670000000002</v>
      </c>
      <c r="CD28" s="232">
        <f t="shared" si="10"/>
        <v>17755.650000000001</v>
      </c>
      <c r="CE28" s="232">
        <f t="shared" si="10"/>
        <v>17963.73</v>
      </c>
      <c r="CF28" s="232">
        <f t="shared" si="10"/>
        <v>17810.099999999999</v>
      </c>
      <c r="CG28" s="232">
        <f t="shared" si="10"/>
        <v>19654.830000000002</v>
      </c>
    </row>
    <row r="29" spans="1:85" ht="23.25">
      <c r="A29" s="220" t="s">
        <v>224</v>
      </c>
      <c r="B29" s="928">
        <v>2017</v>
      </c>
      <c r="C29" s="928"/>
      <c r="D29" s="928"/>
      <c r="E29" s="928"/>
      <c r="F29" s="928"/>
      <c r="G29" s="928"/>
      <c r="H29" s="928"/>
      <c r="I29" s="928"/>
      <c r="J29" s="928"/>
      <c r="K29" s="928"/>
      <c r="L29" s="928"/>
      <c r="M29" s="928"/>
      <c r="N29" s="928">
        <v>2018</v>
      </c>
      <c r="O29" s="928"/>
      <c r="P29" s="928"/>
      <c r="Q29" s="928"/>
      <c r="R29" s="928"/>
      <c r="S29" s="928"/>
      <c r="T29" s="928"/>
      <c r="U29" s="928"/>
      <c r="V29" s="928"/>
      <c r="W29" s="928"/>
      <c r="X29" s="928"/>
      <c r="Y29" s="928"/>
      <c r="Z29" s="928">
        <v>2019</v>
      </c>
      <c r="AA29" s="928"/>
      <c r="AB29" s="928"/>
      <c r="AC29" s="928"/>
      <c r="AD29" s="928"/>
      <c r="AE29" s="928"/>
      <c r="AF29" s="928"/>
      <c r="AG29" s="928"/>
      <c r="AH29" s="928"/>
      <c r="AI29" s="928"/>
      <c r="AJ29" s="928"/>
      <c r="AK29" s="928"/>
      <c r="AL29" s="928">
        <v>2020</v>
      </c>
      <c r="AM29" s="928"/>
      <c r="AN29" s="928"/>
      <c r="AO29" s="928"/>
      <c r="AP29" s="928"/>
      <c r="AQ29" s="928"/>
      <c r="AR29" s="928"/>
      <c r="AS29" s="928"/>
      <c r="AT29" s="928"/>
      <c r="AU29" s="928"/>
      <c r="AV29" s="928"/>
      <c r="AW29" s="928"/>
      <c r="AX29" s="928">
        <v>2021</v>
      </c>
      <c r="AY29" s="928"/>
      <c r="AZ29" s="928"/>
      <c r="BA29" s="928"/>
      <c r="BB29" s="928"/>
      <c r="BC29" s="928"/>
      <c r="BD29" s="928"/>
      <c r="BE29" s="928"/>
      <c r="BF29" s="928"/>
      <c r="BG29" s="928"/>
      <c r="BH29" s="928"/>
      <c r="BI29" s="928"/>
      <c r="BJ29" s="928">
        <v>2022</v>
      </c>
      <c r="BK29" s="928"/>
      <c r="BL29" s="928"/>
      <c r="BM29" s="928"/>
      <c r="BN29" s="928"/>
      <c r="BO29" s="928"/>
      <c r="BP29" s="928"/>
      <c r="BQ29" s="928"/>
      <c r="BR29" s="928"/>
      <c r="BS29" s="928"/>
      <c r="BT29" s="928"/>
      <c r="BU29" s="928"/>
      <c r="BV29" s="928">
        <v>2023</v>
      </c>
      <c r="BW29" s="928"/>
      <c r="BX29" s="928"/>
      <c r="BY29" s="928"/>
      <c r="BZ29" s="928"/>
      <c r="CA29" s="928"/>
      <c r="CB29" s="928"/>
      <c r="CC29" s="928"/>
      <c r="CD29" s="928"/>
      <c r="CE29" s="928"/>
      <c r="CF29" s="928"/>
      <c r="CG29" s="928"/>
    </row>
    <row r="30" spans="1:85">
      <c r="A30" s="221"/>
      <c r="B30" s="213">
        <v>1</v>
      </c>
      <c r="C30" s="213">
        <v>2</v>
      </c>
      <c r="D30" s="213">
        <v>3</v>
      </c>
      <c r="E30" s="213">
        <v>4</v>
      </c>
      <c r="F30" s="213">
        <v>5</v>
      </c>
      <c r="G30" s="213">
        <v>6</v>
      </c>
      <c r="H30" s="213">
        <v>7</v>
      </c>
      <c r="I30" s="213">
        <v>8</v>
      </c>
      <c r="J30" s="213">
        <v>9</v>
      </c>
      <c r="K30" s="213">
        <v>10</v>
      </c>
      <c r="L30" s="213">
        <v>11</v>
      </c>
      <c r="M30" s="213">
        <v>12</v>
      </c>
      <c r="N30" s="213">
        <v>1</v>
      </c>
      <c r="O30" s="213">
        <v>2</v>
      </c>
      <c r="P30" s="213">
        <v>3</v>
      </c>
      <c r="Q30" s="213">
        <v>4</v>
      </c>
      <c r="R30" s="213">
        <v>5</v>
      </c>
      <c r="S30" s="213">
        <v>6</v>
      </c>
      <c r="T30" s="213">
        <v>7</v>
      </c>
      <c r="U30" s="213">
        <v>8</v>
      </c>
      <c r="V30" s="213">
        <v>9</v>
      </c>
      <c r="W30" s="213">
        <v>10</v>
      </c>
      <c r="X30" s="213">
        <v>11</v>
      </c>
      <c r="Y30" s="213">
        <v>12</v>
      </c>
      <c r="Z30" s="213">
        <v>1</v>
      </c>
      <c r="AA30" s="213">
        <v>2</v>
      </c>
      <c r="AB30" s="213">
        <v>3</v>
      </c>
      <c r="AC30" s="213">
        <v>4</v>
      </c>
      <c r="AD30" s="213">
        <v>5</v>
      </c>
      <c r="AE30" s="213">
        <v>6</v>
      </c>
      <c r="AF30" s="213">
        <v>7</v>
      </c>
      <c r="AG30" s="213">
        <v>8</v>
      </c>
      <c r="AH30" s="213">
        <v>9</v>
      </c>
      <c r="AI30" s="213">
        <v>10</v>
      </c>
      <c r="AJ30" s="213">
        <v>11</v>
      </c>
      <c r="AK30" s="213">
        <v>12</v>
      </c>
      <c r="AL30" s="213">
        <v>1</v>
      </c>
      <c r="AM30" s="213">
        <v>2</v>
      </c>
      <c r="AN30" s="213">
        <v>3</v>
      </c>
      <c r="AO30" s="213">
        <v>4</v>
      </c>
      <c r="AP30" s="213">
        <v>5</v>
      </c>
      <c r="AQ30" s="213">
        <v>6</v>
      </c>
      <c r="AR30" s="213">
        <v>7</v>
      </c>
      <c r="AS30" s="213">
        <v>8</v>
      </c>
      <c r="AT30" s="213">
        <v>9</v>
      </c>
      <c r="AU30" s="213">
        <v>10</v>
      </c>
      <c r="AV30" s="213">
        <v>11</v>
      </c>
      <c r="AW30" s="213">
        <v>12</v>
      </c>
      <c r="AX30" s="213">
        <v>1</v>
      </c>
      <c r="AY30" s="213">
        <v>2</v>
      </c>
      <c r="AZ30" s="213">
        <v>3</v>
      </c>
      <c r="BA30" s="213">
        <v>4</v>
      </c>
      <c r="BB30" s="213">
        <v>5</v>
      </c>
      <c r="BC30" s="213">
        <v>6</v>
      </c>
      <c r="BD30" s="213">
        <v>7</v>
      </c>
      <c r="BE30" s="213">
        <v>8</v>
      </c>
      <c r="BF30" s="213">
        <v>9</v>
      </c>
      <c r="BG30" s="213">
        <v>10</v>
      </c>
      <c r="BH30" s="213">
        <v>11</v>
      </c>
      <c r="BI30" s="213">
        <v>12</v>
      </c>
      <c r="BJ30" s="213">
        <v>1</v>
      </c>
      <c r="BK30" s="213">
        <v>2</v>
      </c>
      <c r="BL30" s="213">
        <v>3</v>
      </c>
      <c r="BM30" s="213">
        <v>4</v>
      </c>
      <c r="BN30" s="213">
        <v>5</v>
      </c>
      <c r="BO30" s="213">
        <v>6</v>
      </c>
      <c r="BP30" s="213">
        <v>7</v>
      </c>
      <c r="BQ30" s="213">
        <v>8</v>
      </c>
      <c r="BR30" s="213">
        <v>9</v>
      </c>
      <c r="BS30" s="213">
        <v>10</v>
      </c>
      <c r="BT30" s="213">
        <v>11</v>
      </c>
      <c r="BU30" s="213">
        <v>12</v>
      </c>
      <c r="BV30" s="213">
        <v>1</v>
      </c>
      <c r="BW30" s="213">
        <v>2</v>
      </c>
      <c r="BX30" s="213">
        <v>3</v>
      </c>
      <c r="BY30" s="213">
        <v>4</v>
      </c>
      <c r="BZ30" s="213">
        <v>5</v>
      </c>
      <c r="CA30" s="213">
        <v>6</v>
      </c>
      <c r="CB30" s="213">
        <v>7</v>
      </c>
      <c r="CC30" s="213">
        <v>8</v>
      </c>
      <c r="CD30" s="213">
        <v>9</v>
      </c>
      <c r="CE30" s="213">
        <v>10</v>
      </c>
      <c r="CF30" s="213">
        <v>11</v>
      </c>
      <c r="CG30" s="213">
        <v>12</v>
      </c>
    </row>
    <row r="31" spans="1:85" ht="43.5">
      <c r="A31" s="416" t="s">
        <v>425</v>
      </c>
      <c r="B31" s="417">
        <v>6008</v>
      </c>
      <c r="C31" s="417">
        <v>6209</v>
      </c>
      <c r="D31" s="417">
        <v>6752</v>
      </c>
      <c r="E31" s="417">
        <v>6659</v>
      </c>
      <c r="F31" s="417">
        <v>6840</v>
      </c>
      <c r="G31" s="417">
        <v>7360</v>
      </c>
      <c r="H31" s="417">
        <v>7339</v>
      </c>
      <c r="I31" s="417">
        <v>7114</v>
      </c>
      <c r="J31" s="417">
        <v>7351</v>
      </c>
      <c r="K31" s="417">
        <v>7377</v>
      </c>
      <c r="L31" s="417">
        <v>7479</v>
      </c>
      <c r="M31" s="417">
        <v>8777</v>
      </c>
      <c r="N31" s="417">
        <v>7711.47</v>
      </c>
      <c r="O31" s="417">
        <v>7828.16</v>
      </c>
      <c r="P31" s="417">
        <v>8381.94</v>
      </c>
      <c r="Q31" s="417">
        <v>8480.24</v>
      </c>
      <c r="R31" s="417">
        <v>8724.75</v>
      </c>
      <c r="S31" s="417">
        <v>9141.17</v>
      </c>
      <c r="T31" s="417">
        <v>9170.2800000000007</v>
      </c>
      <c r="U31" s="417">
        <v>8977.2800000000007</v>
      </c>
      <c r="V31" s="417">
        <v>9042</v>
      </c>
      <c r="W31" s="417">
        <v>9218</v>
      </c>
      <c r="X31" s="417">
        <v>9161</v>
      </c>
      <c r="Y31" s="417">
        <v>10573</v>
      </c>
      <c r="Z31" s="417">
        <v>9223</v>
      </c>
      <c r="AA31" s="417">
        <v>9429</v>
      </c>
      <c r="AB31" s="417">
        <v>10237</v>
      </c>
      <c r="AC31" s="417">
        <v>10269</v>
      </c>
      <c r="AD31" s="417">
        <v>10239</v>
      </c>
      <c r="AE31" s="417">
        <v>10783</v>
      </c>
      <c r="AF31" s="417">
        <v>10971</v>
      </c>
      <c r="AG31" s="417">
        <v>10537</v>
      </c>
      <c r="AH31" s="417">
        <v>10687.06</v>
      </c>
      <c r="AI31" s="417">
        <v>10727.34</v>
      </c>
      <c r="AJ31" s="417">
        <v>10679.14</v>
      </c>
      <c r="AK31" s="417">
        <v>12263.61</v>
      </c>
      <c r="AL31" s="417">
        <v>10727</v>
      </c>
      <c r="AM31" s="417">
        <v>10847</v>
      </c>
      <c r="AN31" s="417">
        <v>11446</v>
      </c>
      <c r="AO31" s="417">
        <v>10430</v>
      </c>
      <c r="AP31" s="417">
        <v>10542</v>
      </c>
      <c r="AQ31" s="417">
        <v>11579</v>
      </c>
      <c r="AR31" s="417">
        <v>11804</v>
      </c>
      <c r="AS31" s="417">
        <v>11446</v>
      </c>
      <c r="AT31" s="417">
        <v>11988</v>
      </c>
      <c r="AU31" s="269">
        <v>12174</v>
      </c>
      <c r="AV31" s="269">
        <v>11987.410099999999</v>
      </c>
      <c r="AW31" s="267">
        <v>14179</v>
      </c>
      <c r="AX31" s="418">
        <v>12337</v>
      </c>
      <c r="AY31" s="418">
        <v>12549</v>
      </c>
      <c r="AZ31" s="418">
        <v>13612</v>
      </c>
      <c r="BA31" s="418">
        <v>13543</v>
      </c>
      <c r="BB31" s="418">
        <v>13499</v>
      </c>
      <c r="BC31" s="418">
        <v>14313</v>
      </c>
      <c r="BD31" s="418">
        <v>14345</v>
      </c>
      <c r="BE31" s="418">
        <v>13997</v>
      </c>
      <c r="BF31" s="418">
        <v>14239</v>
      </c>
      <c r="BG31" s="419">
        <f t="shared" ref="BG31:BU31" si="11">AU$31*(1+BG$33)</f>
        <v>14508.510346865345</v>
      </c>
      <c r="BH31" s="419">
        <f t="shared" si="11"/>
        <v>14334.996656588699</v>
      </c>
      <c r="BI31" s="419">
        <f t="shared" si="11"/>
        <v>17014.8</v>
      </c>
      <c r="BJ31" s="420">
        <f>AX$31*(1+BJ$33)</f>
        <v>14665.915479110812</v>
      </c>
      <c r="BK31" s="420">
        <f t="shared" si="11"/>
        <v>14784.977602788624</v>
      </c>
      <c r="BL31" s="420">
        <f t="shared" si="11"/>
        <v>15901.256400886712</v>
      </c>
      <c r="BM31" s="420">
        <f t="shared" si="11"/>
        <v>15692.817244680533</v>
      </c>
      <c r="BN31" s="420">
        <f t="shared" si="11"/>
        <v>15521.564723075833</v>
      </c>
      <c r="BO31" s="420">
        <f t="shared" si="11"/>
        <v>16337.16387182461</v>
      </c>
      <c r="BP31" s="420">
        <f t="shared" si="11"/>
        <v>16259.827770806916</v>
      </c>
      <c r="BQ31" s="420">
        <f t="shared" si="11"/>
        <v>15760.511493537855</v>
      </c>
      <c r="BR31" s="420">
        <f t="shared" si="11"/>
        <v>15932.312011052376</v>
      </c>
      <c r="BS31" s="420">
        <f t="shared" si="11"/>
        <v>16137.035571051367</v>
      </c>
      <c r="BT31" s="420">
        <f t="shared" si="11"/>
        <v>15853.736648130662</v>
      </c>
      <c r="BU31" s="420">
        <f t="shared" si="11"/>
        <v>18716.280000000002</v>
      </c>
    </row>
    <row r="32" spans="1:85">
      <c r="A32" s="221"/>
      <c r="B32" s="212"/>
      <c r="C32" s="212"/>
      <c r="D32" s="212"/>
      <c r="E32" s="212"/>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c r="AK32" s="212"/>
      <c r="AL32" s="212"/>
      <c r="AM32" s="212"/>
      <c r="AN32" s="212"/>
      <c r="AO32" s="212"/>
      <c r="AP32" s="212"/>
      <c r="AQ32" s="212"/>
      <c r="AR32" s="212"/>
      <c r="AS32" s="212"/>
      <c r="AT32" s="212"/>
      <c r="AU32" s="212"/>
      <c r="AV32" s="212"/>
      <c r="AW32" s="212"/>
      <c r="AX32" s="212"/>
      <c r="AY32" s="212"/>
      <c r="AZ32" s="212"/>
      <c r="BA32" s="212"/>
      <c r="BB32" s="212"/>
      <c r="BC32" s="212"/>
      <c r="BD32" s="212"/>
      <c r="BE32" s="212"/>
      <c r="BF32" s="212"/>
      <c r="BG32" s="212"/>
      <c r="BH32" s="212"/>
      <c r="BI32" s="212"/>
    </row>
    <row r="33" spans="1:85" ht="15.75">
      <c r="A33" s="224" t="s">
        <v>225</v>
      </c>
      <c r="B33" s="225">
        <v>0.37734983952315448</v>
      </c>
      <c r="C33" s="225">
        <v>0.35419847328244281</v>
      </c>
      <c r="D33" s="225">
        <v>0.37235772357723573</v>
      </c>
      <c r="E33" s="225">
        <v>0.36036772216547508</v>
      </c>
      <c r="F33" s="225">
        <v>0.37239165329052959</v>
      </c>
      <c r="G33" s="225">
        <v>0.37905190181750048</v>
      </c>
      <c r="H33" s="225">
        <v>0.3656494231484928</v>
      </c>
      <c r="I33" s="225">
        <v>0.36755094194540572</v>
      </c>
      <c r="J33" s="225">
        <v>0.37196715192235907</v>
      </c>
      <c r="K33" s="225">
        <v>0.3788785046728973</v>
      </c>
      <c r="L33" s="225">
        <v>0.3834628190899001</v>
      </c>
      <c r="M33" s="225">
        <v>0.3555212355212356</v>
      </c>
      <c r="N33" s="225">
        <f>N31/B31-1</f>
        <v>0.28353362183754993</v>
      </c>
      <c r="O33" s="225">
        <f t="shared" ref="O33:BF33" si="12">O31/C31-1</f>
        <v>0.26077629247866008</v>
      </c>
      <c r="P33" s="225">
        <f t="shared" si="12"/>
        <v>0.2414010663507109</v>
      </c>
      <c r="Q33" s="225">
        <f t="shared" si="12"/>
        <v>0.27350052560444515</v>
      </c>
      <c r="R33" s="225">
        <f t="shared" si="12"/>
        <v>0.27554824561403501</v>
      </c>
      <c r="S33" s="225">
        <f t="shared" si="12"/>
        <v>0.24200679347826082</v>
      </c>
      <c r="T33" s="225">
        <f t="shared" si="12"/>
        <v>0.24952718353999193</v>
      </c>
      <c r="U33" s="225">
        <f t="shared" si="12"/>
        <v>0.26191734607815587</v>
      </c>
      <c r="V33" s="225">
        <f t="shared" si="12"/>
        <v>0.23003672969663991</v>
      </c>
      <c r="W33" s="225">
        <f t="shared" si="12"/>
        <v>0.24955944150738785</v>
      </c>
      <c r="X33" s="225">
        <f t="shared" si="12"/>
        <v>0.22489637652092531</v>
      </c>
      <c r="Y33" s="225">
        <f t="shared" si="12"/>
        <v>0.20462572633018117</v>
      </c>
      <c r="Z33" s="225">
        <f t="shared" si="12"/>
        <v>0.19601061794962571</v>
      </c>
      <c r="AA33" s="225">
        <f t="shared" si="12"/>
        <v>0.20449760863344646</v>
      </c>
      <c r="AB33" s="225">
        <f t="shared" si="12"/>
        <v>0.22131630624891119</v>
      </c>
      <c r="AC33" s="225">
        <f t="shared" si="12"/>
        <v>0.21093270945161935</v>
      </c>
      <c r="AD33" s="225">
        <f t="shared" si="12"/>
        <v>0.17355798160405733</v>
      </c>
      <c r="AE33" s="225">
        <f t="shared" si="12"/>
        <v>0.17960829959403446</v>
      </c>
      <c r="AF33" s="225">
        <f t="shared" si="12"/>
        <v>0.19636477839280797</v>
      </c>
      <c r="AG33" s="225">
        <f t="shared" si="12"/>
        <v>0.17374082127325874</v>
      </c>
      <c r="AH33" s="225">
        <f t="shared" si="12"/>
        <v>0.18193541251935397</v>
      </c>
      <c r="AI33" s="225">
        <f t="shared" si="12"/>
        <v>0.16373833803428073</v>
      </c>
      <c r="AJ33" s="225">
        <f t="shared" si="12"/>
        <v>0.16571771640650579</v>
      </c>
      <c r="AK33" s="225">
        <f t="shared" si="12"/>
        <v>0.15989879882720137</v>
      </c>
      <c r="AL33" s="225">
        <f t="shared" si="12"/>
        <v>0.16307058440854383</v>
      </c>
      <c r="AM33" s="225">
        <f t="shared" si="12"/>
        <v>0.15038710361650232</v>
      </c>
      <c r="AN33" s="225">
        <f t="shared" si="12"/>
        <v>0.11810100615414676</v>
      </c>
      <c r="AO33" s="225">
        <f t="shared" si="12"/>
        <v>1.5678254942058656E-2</v>
      </c>
      <c r="AP33" s="225">
        <f t="shared" si="12"/>
        <v>2.9592733665396942E-2</v>
      </c>
      <c r="AQ33" s="225">
        <f t="shared" si="12"/>
        <v>7.381990169711572E-2</v>
      </c>
      <c r="AR33" s="225">
        <f t="shared" si="12"/>
        <v>7.5927445082490275E-2</v>
      </c>
      <c r="AS33" s="225">
        <f t="shared" si="12"/>
        <v>8.6267438549871844E-2</v>
      </c>
      <c r="AT33" s="225">
        <f t="shared" si="12"/>
        <v>0.12173039170735445</v>
      </c>
      <c r="AU33" s="225">
        <f t="shared" si="12"/>
        <v>0.13485728987801271</v>
      </c>
      <c r="AV33" s="225">
        <f t="shared" si="12"/>
        <v>0.12250706517566012</v>
      </c>
      <c r="AW33" s="225">
        <f t="shared" si="12"/>
        <v>0.15618484279914302</v>
      </c>
      <c r="AX33" s="225">
        <f t="shared" si="12"/>
        <v>0.1500885615735994</v>
      </c>
      <c r="AY33" s="225">
        <f t="shared" si="12"/>
        <v>0.15690974462985152</v>
      </c>
      <c r="AZ33" s="225">
        <f t="shared" si="12"/>
        <v>0.18923641446793638</v>
      </c>
      <c r="BA33" s="225">
        <f t="shared" si="12"/>
        <v>0.29846596356663468</v>
      </c>
      <c r="BB33" s="225">
        <f t="shared" si="12"/>
        <v>0.28049705938152147</v>
      </c>
      <c r="BC33" s="225">
        <f t="shared" si="12"/>
        <v>0.23611710855859736</v>
      </c>
      <c r="BD33" s="225">
        <f t="shared" si="12"/>
        <v>0.21526601152151814</v>
      </c>
      <c r="BE33" s="225">
        <f t="shared" si="12"/>
        <v>0.22287261925563517</v>
      </c>
      <c r="BF33" s="225">
        <f t="shared" si="12"/>
        <v>0.18777110443777101</v>
      </c>
      <c r="BG33" s="230">
        <f>BF33*$BV$19</f>
        <v>0.19176198019265203</v>
      </c>
      <c r="BH33" s="230">
        <f>BG33*$BV$19</f>
        <v>0.19583767778068245</v>
      </c>
      <c r="BI33" s="231">
        <v>0.2</v>
      </c>
      <c r="BJ33" s="421">
        <f t="shared" ref="BJ33:BT33" si="13">BI33*$BW$19</f>
        <v>0.18877486253633871</v>
      </c>
      <c r="BK33" s="421">
        <f t="shared" si="13"/>
        <v>0.17817974362806788</v>
      </c>
      <c r="BL33" s="421">
        <f t="shared" si="13"/>
        <v>0.16817928305074292</v>
      </c>
      <c r="BM33" s="421">
        <f t="shared" si="13"/>
        <v>0.15874010519681997</v>
      </c>
      <c r="BN33" s="421">
        <f t="shared" si="13"/>
        <v>0.14983070768766818</v>
      </c>
      <c r="BO33" s="421">
        <f t="shared" si="13"/>
        <v>0.14142135623730953</v>
      </c>
      <c r="BP33" s="421">
        <f t="shared" si="13"/>
        <v>0.13348398541700346</v>
      </c>
      <c r="BQ33" s="421">
        <f t="shared" si="13"/>
        <v>0.12599210498948735</v>
      </c>
      <c r="BR33" s="421">
        <f t="shared" si="13"/>
        <v>0.11892071150027214</v>
      </c>
      <c r="BS33" s="421">
        <f t="shared" si="13"/>
        <v>0.11224620483093734</v>
      </c>
      <c r="BT33" s="421">
        <f t="shared" si="13"/>
        <v>0.10594630943592956</v>
      </c>
      <c r="BU33" s="422">
        <v>0.1</v>
      </c>
    </row>
    <row r="34" spans="1:85" ht="15">
      <c r="A34" s="224"/>
      <c r="B34" s="212"/>
      <c r="C34" s="212"/>
      <c r="D34" s="212"/>
      <c r="E34" s="212"/>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c r="AK34" s="212"/>
      <c r="AL34" s="212"/>
      <c r="AM34" s="212"/>
      <c r="AN34" s="212"/>
      <c r="AO34" s="212"/>
      <c r="AP34" s="212"/>
      <c r="AQ34" s="212"/>
      <c r="AR34" s="212"/>
      <c r="AS34" s="212"/>
      <c r="AT34" s="212"/>
      <c r="AU34" s="212"/>
      <c r="AV34" s="212"/>
      <c r="AW34" s="212"/>
      <c r="AX34" s="212"/>
      <c r="AY34" s="212"/>
      <c r="AZ34" s="212"/>
      <c r="BA34" s="212"/>
      <c r="BB34" s="212"/>
      <c r="BC34" s="212"/>
      <c r="BD34" s="212"/>
      <c r="BE34" s="212"/>
      <c r="BF34" s="212"/>
      <c r="BG34" s="212"/>
      <c r="BH34" s="212"/>
      <c r="BI34" s="212"/>
    </row>
    <row r="35" spans="1:85" ht="15">
      <c r="A35" s="224" t="s">
        <v>226</v>
      </c>
      <c r="B35" s="225">
        <v>-7.2123552123552107E-2</v>
      </c>
      <c r="C35" s="225">
        <f>C31/B31-1</f>
        <v>3.3455392809587314E-2</v>
      </c>
      <c r="D35" s="225">
        <f t="shared" ref="D35:BI35" si="14">D31/C31-1</f>
        <v>8.7453696247382862E-2</v>
      </c>
      <c r="E35" s="225">
        <f t="shared" si="14"/>
        <v>-1.377369668246442E-2</v>
      </c>
      <c r="F35" s="225">
        <f t="shared" si="14"/>
        <v>2.7181258447214196E-2</v>
      </c>
      <c r="G35" s="225">
        <f t="shared" si="14"/>
        <v>7.6023391812865437E-2</v>
      </c>
      <c r="H35" s="225">
        <f t="shared" si="14"/>
        <v>-2.8532608695651662E-3</v>
      </c>
      <c r="I35" s="225">
        <f t="shared" si="14"/>
        <v>-3.0658127810328395E-2</v>
      </c>
      <c r="J35" s="225">
        <f t="shared" si="14"/>
        <v>3.3314590947427503E-2</v>
      </c>
      <c r="K35" s="225">
        <f t="shared" si="14"/>
        <v>3.5369337505102294E-3</v>
      </c>
      <c r="L35" s="225">
        <f t="shared" si="14"/>
        <v>1.3826758845058906E-2</v>
      </c>
      <c r="M35" s="225">
        <f t="shared" si="14"/>
        <v>0.173552613985827</v>
      </c>
      <c r="N35" s="225">
        <f t="shared" si="14"/>
        <v>-0.12140025065512128</v>
      </c>
      <c r="O35" s="225">
        <f t="shared" si="14"/>
        <v>1.513200466318354E-2</v>
      </c>
      <c r="P35" s="225">
        <f t="shared" si="14"/>
        <v>7.0742038997670065E-2</v>
      </c>
      <c r="Q35" s="225">
        <f t="shared" si="14"/>
        <v>1.1727595282237768E-2</v>
      </c>
      <c r="R35" s="225">
        <f t="shared" si="14"/>
        <v>2.8832910389328559E-2</v>
      </c>
      <c r="S35" s="225">
        <f t="shared" si="14"/>
        <v>4.7728588211696676E-2</v>
      </c>
      <c r="T35" s="225">
        <f t="shared" si="14"/>
        <v>3.1844938886378404E-3</v>
      </c>
      <c r="U35" s="225">
        <f t="shared" si="14"/>
        <v>-2.1046249405688777E-2</v>
      </c>
      <c r="V35" s="225">
        <f t="shared" si="14"/>
        <v>7.2093106152419928E-3</v>
      </c>
      <c r="W35" s="225">
        <f t="shared" si="14"/>
        <v>1.9464720194647178E-2</v>
      </c>
      <c r="X35" s="225">
        <f t="shared" si="14"/>
        <v>-6.1835539162508057E-3</v>
      </c>
      <c r="Y35" s="225">
        <f t="shared" si="14"/>
        <v>0.15413164501691945</v>
      </c>
      <c r="Z35" s="225">
        <f t="shared" si="14"/>
        <v>-0.12768372268987038</v>
      </c>
      <c r="AA35" s="225">
        <f t="shared" si="14"/>
        <v>2.2335465683616995E-2</v>
      </c>
      <c r="AB35" s="225">
        <f t="shared" si="14"/>
        <v>8.5693074557217086E-2</v>
      </c>
      <c r="AC35" s="225">
        <f t="shared" si="14"/>
        <v>3.1259157956433636E-3</v>
      </c>
      <c r="AD35" s="225">
        <f t="shared" si="14"/>
        <v>-2.9214139643587433E-3</v>
      </c>
      <c r="AE35" s="225">
        <f t="shared" si="14"/>
        <v>5.3130188494970199E-2</v>
      </c>
      <c r="AF35" s="225">
        <f t="shared" si="14"/>
        <v>1.7434851154595199E-2</v>
      </c>
      <c r="AG35" s="225">
        <f t="shared" si="14"/>
        <v>-3.9558836933734409E-2</v>
      </c>
      <c r="AH35" s="225">
        <f t="shared" si="14"/>
        <v>1.4241245136186631E-2</v>
      </c>
      <c r="AI35" s="225">
        <f t="shared" si="14"/>
        <v>3.7690440588900032E-3</v>
      </c>
      <c r="AJ35" s="225">
        <f t="shared" si="14"/>
        <v>-4.4931921613373671E-3</v>
      </c>
      <c r="AK35" s="225">
        <f t="shared" si="14"/>
        <v>0.14837056167444196</v>
      </c>
      <c r="AL35" s="225">
        <f t="shared" si="14"/>
        <v>-0.1252983420053313</v>
      </c>
      <c r="AM35" s="225">
        <f t="shared" si="14"/>
        <v>1.1186725086230975E-2</v>
      </c>
      <c r="AN35" s="225">
        <f t="shared" si="14"/>
        <v>5.5222642205217998E-2</v>
      </c>
      <c r="AO35" s="225">
        <f t="shared" si="14"/>
        <v>-8.8764633933251846E-2</v>
      </c>
      <c r="AP35" s="225">
        <f t="shared" si="14"/>
        <v>1.0738255033557076E-2</v>
      </c>
      <c r="AQ35" s="225">
        <f t="shared" si="14"/>
        <v>9.8368431037753723E-2</v>
      </c>
      <c r="AR35" s="225">
        <f t="shared" si="14"/>
        <v>1.943172985577335E-2</v>
      </c>
      <c r="AS35" s="225">
        <f t="shared" si="14"/>
        <v>-3.032870213486949E-2</v>
      </c>
      <c r="AT35" s="225">
        <f t="shared" si="14"/>
        <v>4.7352786999825369E-2</v>
      </c>
      <c r="AU35" s="230">
        <f t="shared" si="14"/>
        <v>1.5515515515515554E-2</v>
      </c>
      <c r="AV35" s="230">
        <f t="shared" si="14"/>
        <v>-1.5326918022014246E-2</v>
      </c>
      <c r="AW35" s="230">
        <f t="shared" si="14"/>
        <v>0.18282430330801813</v>
      </c>
      <c r="AX35" s="230">
        <f t="shared" si="14"/>
        <v>-0.1299104309189647</v>
      </c>
      <c r="AY35" s="230">
        <f t="shared" si="14"/>
        <v>1.7184080408527258E-2</v>
      </c>
      <c r="AZ35" s="230">
        <f t="shared" si="14"/>
        <v>8.4707944856163842E-2</v>
      </c>
      <c r="BA35" s="230">
        <f t="shared" si="14"/>
        <v>-5.0690567146635113E-3</v>
      </c>
      <c r="BB35" s="230">
        <f t="shared" si="14"/>
        <v>-3.2489108764675034E-3</v>
      </c>
      <c r="BC35" s="230">
        <f t="shared" si="14"/>
        <v>6.030076301948295E-2</v>
      </c>
      <c r="BD35" s="230">
        <f t="shared" si="14"/>
        <v>2.2357297561657052E-3</v>
      </c>
      <c r="BE35" s="230">
        <f t="shared" si="14"/>
        <v>-2.4259323806204214E-2</v>
      </c>
      <c r="BF35" s="230">
        <f t="shared" si="14"/>
        <v>1.7289419161248931E-2</v>
      </c>
      <c r="BG35" s="423">
        <f t="shared" si="14"/>
        <v>1.892761759009387E-2</v>
      </c>
      <c r="BH35" s="423">
        <f t="shared" si="14"/>
        <v>-1.1959442156936229E-2</v>
      </c>
      <c r="BI35" s="423">
        <f t="shared" si="14"/>
        <v>0.18694133020112003</v>
      </c>
    </row>
    <row r="36" spans="1:85">
      <c r="A36" s="221"/>
      <c r="B36" s="212"/>
      <c r="C36" s="212"/>
      <c r="D36" s="212"/>
      <c r="E36" s="212"/>
      <c r="F36" s="212"/>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2"/>
      <c r="AT36" s="212"/>
      <c r="AU36" s="212"/>
      <c r="AV36" s="212"/>
      <c r="AW36" s="212"/>
      <c r="AX36" s="212"/>
      <c r="AY36" s="212"/>
      <c r="AZ36" s="212"/>
      <c r="BA36" s="212"/>
      <c r="BB36" s="212"/>
      <c r="BC36" s="212"/>
      <c r="BD36" s="212"/>
      <c r="BE36" s="212"/>
      <c r="BF36" s="212"/>
      <c r="BG36" s="212"/>
      <c r="BH36" s="212"/>
      <c r="BI36" s="212"/>
    </row>
    <row r="37" spans="1:85">
      <c r="A37" s="243" t="s">
        <v>240</v>
      </c>
      <c r="B37" s="225">
        <f>B$31/AVERAGE($B$31:$M$31)</f>
        <v>0.84555210226939537</v>
      </c>
      <c r="C37" s="225">
        <f t="shared" ref="C37:M37" si="15">C$31/AVERAGE($B$31:$M$31)</f>
        <v>0.87384037999179032</v>
      </c>
      <c r="D37" s="225">
        <f t="shared" si="15"/>
        <v>0.95026095115228992</v>
      </c>
      <c r="E37" s="225">
        <f t="shared" si="15"/>
        <v>0.93717234504192803</v>
      </c>
      <c r="F37" s="225">
        <f t="shared" si="15"/>
        <v>0.96264586876209457</v>
      </c>
      <c r="G37" s="225">
        <f t="shared" si="15"/>
        <v>1.0358294728200317</v>
      </c>
      <c r="H37" s="225">
        <f t="shared" si="15"/>
        <v>1.0328739811176919</v>
      </c>
      <c r="I37" s="225">
        <f t="shared" si="15"/>
        <v>1.001207998592623</v>
      </c>
      <c r="J37" s="225">
        <f t="shared" si="15"/>
        <v>1.0345628335190289</v>
      </c>
      <c r="K37" s="225">
        <f t="shared" si="15"/>
        <v>1.0382220137219258</v>
      </c>
      <c r="L37" s="225">
        <f t="shared" si="15"/>
        <v>1.0525772591332903</v>
      </c>
      <c r="M37" s="225">
        <f t="shared" si="15"/>
        <v>1.2352547938779099</v>
      </c>
      <c r="N37" s="225">
        <f>N$31/AVERAGE($N$31:$Y$31)</f>
        <v>0.86963873173103601</v>
      </c>
      <c r="O37" s="225">
        <f t="shared" ref="O37:Y37" si="16">O$31/AVERAGE($N$31:$Y$31)</f>
        <v>0.88279810907487499</v>
      </c>
      <c r="P37" s="225">
        <f t="shared" si="16"/>
        <v>0.94524904733411919</v>
      </c>
      <c r="Q37" s="225">
        <f t="shared" si="16"/>
        <v>0.95633454560217446</v>
      </c>
      <c r="R37" s="225">
        <f t="shared" si="16"/>
        <v>0.98390845385774128</v>
      </c>
      <c r="S37" s="225">
        <f t="shared" si="16"/>
        <v>1.0308690152899245</v>
      </c>
      <c r="T37" s="225">
        <f t="shared" si="16"/>
        <v>1.0341518113691015</v>
      </c>
      <c r="U37" s="225">
        <f t="shared" si="16"/>
        <v>1.0123867944236826</v>
      </c>
      <c r="V37" s="225">
        <f t="shared" si="16"/>
        <v>1.019685405287452</v>
      </c>
      <c r="W37" s="225">
        <f t="shared" si="16"/>
        <v>1.0395332963879378</v>
      </c>
      <c r="X37" s="225">
        <f t="shared" si="16"/>
        <v>1.0331052862019849</v>
      </c>
      <c r="Y37" s="225">
        <f t="shared" si="16"/>
        <v>1.1923395034399724</v>
      </c>
      <c r="Z37" s="225">
        <f>Z$31/AVERAGE($Z$31:$AK$31)</f>
        <v>0.87806631195250284</v>
      </c>
      <c r="AA37" s="225">
        <f t="shared" ref="AA37:AK37" si="17">AA$31/AVERAGE($Z$31:$AK$31)</f>
        <v>0.89767833193105817</v>
      </c>
      <c r="AB37" s="225">
        <f t="shared" si="17"/>
        <v>0.97460314815762461</v>
      </c>
      <c r="AC37" s="225">
        <f t="shared" si="17"/>
        <v>0.97764967553293414</v>
      </c>
      <c r="AD37" s="225">
        <f t="shared" si="17"/>
        <v>0.97479355611858143</v>
      </c>
      <c r="AE37" s="225">
        <f t="shared" si="17"/>
        <v>1.026584521498844</v>
      </c>
      <c r="AF37" s="225">
        <f t="shared" si="17"/>
        <v>1.0444828698287876</v>
      </c>
      <c r="AG37" s="225">
        <f t="shared" si="17"/>
        <v>1.0031643423011518</v>
      </c>
      <c r="AH37" s="225">
        <f t="shared" si="17"/>
        <v>1.0174506516117439</v>
      </c>
      <c r="AI37" s="225">
        <f t="shared" si="17"/>
        <v>1.0212854679454149</v>
      </c>
      <c r="AJ37" s="225">
        <f t="shared" si="17"/>
        <v>1.0166966360863547</v>
      </c>
      <c r="AK37" s="225">
        <f t="shared" si="17"/>
        <v>1.1675444870350031</v>
      </c>
      <c r="AL37" s="225">
        <f>AL$31/AVERAGE($AL$31:$AW$31)</f>
        <v>0.92507758320708833</v>
      </c>
      <c r="AM37" s="225">
        <f t="shared" ref="AM37:AW37" si="18">AM$31/AVERAGE($AL$31:$AW$31)</f>
        <v>0.93542617181386101</v>
      </c>
      <c r="AN37" s="225">
        <f t="shared" si="18"/>
        <v>0.98708287660933469</v>
      </c>
      <c r="AO37" s="225">
        <f t="shared" si="18"/>
        <v>0.89946482640532599</v>
      </c>
      <c r="AP37" s="225">
        <f t="shared" si="18"/>
        <v>0.90912350910498052</v>
      </c>
      <c r="AQ37" s="225">
        <f t="shared" si="18"/>
        <v>0.99855256231517442</v>
      </c>
      <c r="AR37" s="225">
        <f t="shared" si="18"/>
        <v>1.0179561659528733</v>
      </c>
      <c r="AS37" s="225">
        <f t="shared" si="18"/>
        <v>0.98708287660933469</v>
      </c>
      <c r="AT37" s="225">
        <f t="shared" si="18"/>
        <v>1.0338240018165914</v>
      </c>
      <c r="AU37" s="225">
        <f t="shared" si="18"/>
        <v>1.0498643141570889</v>
      </c>
      <c r="AV37" s="225">
        <f t="shared" si="18"/>
        <v>1.0337731298797652</v>
      </c>
      <c r="AW37" s="225">
        <f t="shared" si="18"/>
        <v>1.2227719821285827</v>
      </c>
      <c r="AX37" s="225">
        <f>AX$31/AVERAGE($AX$31:$BI$31)</f>
        <v>0.87968370412179064</v>
      </c>
      <c r="AY37" s="225">
        <f t="shared" ref="AY37:BI37" si="19">AY$31/AVERAGE($AX$31:$BI$31)</f>
        <v>0.89480025962749055</v>
      </c>
      <c r="AZ37" s="225">
        <f t="shared" si="19"/>
        <v>0.97059695067729712</v>
      </c>
      <c r="BA37" s="225">
        <f t="shared" si="19"/>
        <v>0.96567693968723445</v>
      </c>
      <c r="BB37" s="225">
        <f t="shared" si="19"/>
        <v>0.96253954137473063</v>
      </c>
      <c r="BC37" s="225">
        <f t="shared" si="19"/>
        <v>1.02058141015605</v>
      </c>
      <c r="BD37" s="225">
        <f t="shared" si="19"/>
        <v>1.0228631543833255</v>
      </c>
      <c r="BE37" s="225">
        <f t="shared" si="19"/>
        <v>0.99804918591170499</v>
      </c>
      <c r="BF37" s="225">
        <f t="shared" si="19"/>
        <v>1.0153048766304755</v>
      </c>
      <c r="BG37" s="225">
        <f t="shared" si="19"/>
        <v>1.0345221790726946</v>
      </c>
      <c r="BH37" s="225">
        <f t="shared" si="19"/>
        <v>1.0221498709120072</v>
      </c>
      <c r="BI37" s="225">
        <f t="shared" si="19"/>
        <v>1.2132319274452008</v>
      </c>
      <c r="BJ37" s="225">
        <f>BJ$28/AVERAGE($BJ$28:$BU$28)</f>
        <v>0.98120610998284719</v>
      </c>
      <c r="BK37" s="225">
        <f t="shared" ref="BK37:BU37" si="20">BK$28/AVERAGE($BJ$28:$BU$28)</f>
        <v>0.97351914254081717</v>
      </c>
      <c r="BL37" s="225">
        <f t="shared" si="20"/>
        <v>0.99469599720217006</v>
      </c>
      <c r="BM37" s="225">
        <f t="shared" si="20"/>
        <v>0.92876613316087286</v>
      </c>
      <c r="BN37" s="225">
        <f t="shared" si="20"/>
        <v>0.91821559468615765</v>
      </c>
      <c r="BO37" s="225">
        <f t="shared" si="20"/>
        <v>0.92411242132610427</v>
      </c>
      <c r="BP37" s="225">
        <f t="shared" si="20"/>
        <v>0.97832856162445836</v>
      </c>
      <c r="BQ37" s="225">
        <f t="shared" si="20"/>
        <v>0.98818165389441193</v>
      </c>
      <c r="BR37" s="225">
        <f t="shared" si="20"/>
        <v>0.98564323012316968</v>
      </c>
      <c r="BS37" s="225">
        <f t="shared" si="20"/>
        <v>1.0962124889286984</v>
      </c>
      <c r="BT37" s="225">
        <f t="shared" si="20"/>
        <v>1.1070815026008607</v>
      </c>
      <c r="BU37" s="225">
        <f t="shared" si="20"/>
        <v>1.1240371639294335</v>
      </c>
      <c r="BV37" s="225">
        <f>BV$28/AVERAGE($BV$28:$CG$28)</f>
        <v>0.89026494802778133</v>
      </c>
      <c r="BW37" s="225">
        <f t="shared" ref="BW37:CG37" si="21">BW$28/AVERAGE($BV$28:$CG$28)</f>
        <v>0.89963044733671083</v>
      </c>
      <c r="BX37" s="225">
        <f t="shared" si="21"/>
        <v>0.90793947263823049</v>
      </c>
      <c r="BY37" s="225">
        <f t="shared" si="21"/>
        <v>0.98671376250931619</v>
      </c>
      <c r="BZ37" s="225">
        <f>BZ$28/AVERAGE($BV$28:$CG$28)</f>
        <v>0.99937733705775045</v>
      </c>
      <c r="CA37" s="225">
        <f t="shared" si="21"/>
        <v>1.0158522787032864</v>
      </c>
      <c r="CB37" s="225">
        <f t="shared" si="21"/>
        <v>1.0205912909891035</v>
      </c>
      <c r="CC37" s="225">
        <f t="shared" si="21"/>
        <v>1.0160115787465402</v>
      </c>
      <c r="CD37" s="225">
        <f t="shared" si="21"/>
        <v>1.034420146033211</v>
      </c>
      <c r="CE37" s="225">
        <f t="shared" si="21"/>
        <v>1.0465426053059828</v>
      </c>
      <c r="CF37" s="225">
        <f t="shared" si="21"/>
        <v>1.0375923293636724</v>
      </c>
      <c r="CG37" s="225">
        <f t="shared" si="21"/>
        <v>1.1450638032884144</v>
      </c>
    </row>
    <row r="38" spans="1:85">
      <c r="A38" s="221"/>
      <c r="B38" s="212"/>
      <c r="C38" s="212"/>
      <c r="D38" s="212"/>
      <c r="E38" s="212"/>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2"/>
      <c r="AT38" s="212"/>
      <c r="AU38" s="212"/>
      <c r="AV38" s="212"/>
      <c r="AW38" s="212"/>
      <c r="AX38" s="212"/>
      <c r="AY38" s="212"/>
      <c r="AZ38" s="212"/>
      <c r="BA38" s="212"/>
      <c r="BB38" s="212"/>
      <c r="BC38" s="212"/>
      <c r="BD38" s="212"/>
      <c r="BE38" s="212"/>
      <c r="BF38" s="212"/>
      <c r="BG38" s="212"/>
      <c r="BH38" s="212"/>
      <c r="BI38" s="225"/>
    </row>
    <row r="39" spans="1:85" ht="15">
      <c r="A39" s="226" t="s">
        <v>426</v>
      </c>
      <c r="B39" s="424">
        <v>27.150611903225798</v>
      </c>
      <c r="C39" s="424">
        <v>27.027771071428578</v>
      </c>
      <c r="D39" s="424">
        <v>27.001562419354837</v>
      </c>
      <c r="E39" s="424">
        <v>26.856827100000014</v>
      </c>
      <c r="F39" s="424">
        <v>26.423692999999993</v>
      </c>
      <c r="G39" s="424">
        <v>26.108858166666668</v>
      </c>
      <c r="H39" s="424">
        <v>25.969315225806444</v>
      </c>
      <c r="I39" s="424">
        <v>25.635271419354826</v>
      </c>
      <c r="J39" s="424">
        <v>26.10860709999999</v>
      </c>
      <c r="K39" s="424">
        <v>26.654977096774203</v>
      </c>
      <c r="L39" s="424">
        <v>26.705274633333335</v>
      </c>
      <c r="M39" s="424">
        <v>27.516507935483883</v>
      </c>
      <c r="N39" s="424">
        <v>28.434328612903219</v>
      </c>
      <c r="O39" s="424">
        <v>27.171049392857139</v>
      </c>
      <c r="P39" s="424">
        <v>26.341204741935485</v>
      </c>
      <c r="Q39" s="424">
        <v>26.151748566666662</v>
      </c>
      <c r="R39" s="424">
        <v>26.181224580645161</v>
      </c>
      <c r="S39" s="424">
        <v>26.202170466666676</v>
      </c>
      <c r="T39" s="424">
        <v>26.400686419354855</v>
      </c>
      <c r="U39" s="424">
        <v>27.482209032258066</v>
      </c>
      <c r="V39" s="424">
        <v>28.191267433333341</v>
      </c>
      <c r="W39" s="424">
        <v>28.127382419354841</v>
      </c>
      <c r="X39" s="424">
        <v>27.933498133333334</v>
      </c>
      <c r="Y39" s="424">
        <v>27.789138709677424</v>
      </c>
      <c r="Z39" s="424">
        <v>27.879174999999993</v>
      </c>
      <c r="AA39" s="424">
        <v>28.124344464285709</v>
      </c>
      <c r="AB39" s="424">
        <v>26.863534580645165</v>
      </c>
      <c r="AC39" s="424">
        <v>26.811495299999994</v>
      </c>
      <c r="AD39" s="424">
        <v>26.378847709677427</v>
      </c>
      <c r="AE39" s="424">
        <v>26.500110633333332</v>
      </c>
      <c r="AF39" s="424">
        <v>25.751355387096769</v>
      </c>
      <c r="AG39" s="424">
        <v>25.246989612903228</v>
      </c>
      <c r="AH39" s="424">
        <v>24.769724166666666</v>
      </c>
      <c r="AI39" s="424">
        <v>24.808206516129029</v>
      </c>
      <c r="AJ39" s="424">
        <v>24.367518633333326</v>
      </c>
      <c r="AK39" s="424">
        <v>23.609435129032253</v>
      </c>
      <c r="AL39" s="424">
        <v>24.119351612903227</v>
      </c>
      <c r="AM39" s="424">
        <v>24.596524137931045</v>
      </c>
      <c r="AN39" s="424">
        <v>26.412293548387101</v>
      </c>
      <c r="AO39" s="424">
        <v>27.224653333333325</v>
      </c>
      <c r="AP39" s="424">
        <v>26.814329032258055</v>
      </c>
      <c r="AQ39" s="424">
        <v>26.707343333333327</v>
      </c>
      <c r="AR39" s="424">
        <v>27.312838709677415</v>
      </c>
      <c r="AS39" s="424">
        <v>27.521419354838709</v>
      </c>
      <c r="AT39" s="424">
        <v>27.963576666666654</v>
      </c>
      <c r="AU39" s="424">
        <v>28.1</v>
      </c>
      <c r="AV39" s="424">
        <v>28.1</v>
      </c>
      <c r="AW39" s="424">
        <v>28.2</v>
      </c>
      <c r="AX39" s="425">
        <f>B102</f>
        <v>28.219770967741901</v>
      </c>
      <c r="AY39" s="425">
        <f t="shared" ref="AY39:BI39" si="22">C102</f>
        <v>27.884660714285701</v>
      </c>
      <c r="AZ39" s="425">
        <f t="shared" si="22"/>
        <v>27.795558064516101</v>
      </c>
      <c r="BA39" s="425">
        <f t="shared" si="22"/>
        <v>27.93</v>
      </c>
      <c r="BB39" s="425">
        <f t="shared" si="22"/>
        <v>27.6</v>
      </c>
      <c r="BC39" s="425">
        <f t="shared" si="22"/>
        <v>27.239873333333321</v>
      </c>
      <c r="BD39" s="425">
        <f t="shared" si="22"/>
        <v>27.214548387096801</v>
      </c>
      <c r="BE39" s="425">
        <f t="shared" si="22"/>
        <v>26.76</v>
      </c>
      <c r="BF39" s="425">
        <f t="shared" si="22"/>
        <v>26.731762615434441</v>
      </c>
      <c r="BG39" s="425">
        <f t="shared" si="22"/>
        <v>26.37</v>
      </c>
      <c r="BH39" s="425">
        <f t="shared" si="22"/>
        <v>26.45</v>
      </c>
      <c r="BI39" s="425">
        <f t="shared" si="22"/>
        <v>27.21</v>
      </c>
      <c r="BJ39" s="427">
        <f>Z123</f>
        <v>27.98</v>
      </c>
      <c r="BK39" s="427">
        <f t="shared" ref="BK39:CG39" si="23">AA123</f>
        <v>28.41</v>
      </c>
      <c r="BL39" s="427">
        <f t="shared" si="23"/>
        <v>29.25</v>
      </c>
      <c r="BM39" s="427">
        <f t="shared" si="23"/>
        <v>29.25</v>
      </c>
      <c r="BN39" s="427">
        <f t="shared" si="23"/>
        <v>29.25</v>
      </c>
      <c r="BO39" s="427">
        <f t="shared" si="23"/>
        <v>29.25</v>
      </c>
      <c r="BP39" s="427">
        <f t="shared" si="23"/>
        <v>36.57</v>
      </c>
      <c r="BQ39" s="427">
        <f t="shared" si="23"/>
        <v>36.57</v>
      </c>
      <c r="BR39" s="427">
        <f t="shared" si="23"/>
        <v>36.57</v>
      </c>
      <c r="BS39" s="427">
        <f t="shared" si="23"/>
        <v>36.57</v>
      </c>
      <c r="BT39" s="427">
        <f t="shared" si="23"/>
        <v>36.57</v>
      </c>
      <c r="BU39" s="427">
        <f t="shared" si="23"/>
        <v>36.57</v>
      </c>
      <c r="BV39" s="427">
        <f t="shared" si="23"/>
        <v>36.57</v>
      </c>
      <c r="BW39" s="427">
        <f t="shared" si="23"/>
        <v>36.57</v>
      </c>
      <c r="BX39" s="427">
        <f t="shared" si="23"/>
        <v>36.57</v>
      </c>
      <c r="BY39" s="427">
        <f t="shared" si="23"/>
        <v>36.57</v>
      </c>
      <c r="BZ39" s="427">
        <f t="shared" si="23"/>
        <v>36.57</v>
      </c>
      <c r="CA39" s="427">
        <f t="shared" si="23"/>
        <v>36.57</v>
      </c>
      <c r="CB39" s="427">
        <f t="shared" si="23"/>
        <v>36.57</v>
      </c>
      <c r="CC39" s="427">
        <f t="shared" si="23"/>
        <v>36.57</v>
      </c>
      <c r="CD39" s="427">
        <f t="shared" si="23"/>
        <v>36.57</v>
      </c>
      <c r="CE39" s="427">
        <f t="shared" si="23"/>
        <v>36.51895161290323</v>
      </c>
      <c r="CF39" s="427">
        <f t="shared" si="23"/>
        <v>36.400274280385929</v>
      </c>
      <c r="CG39" s="427">
        <f t="shared" si="23"/>
        <v>36.721500412577541</v>
      </c>
    </row>
    <row r="40" spans="1:85">
      <c r="A40" s="221"/>
      <c r="B40" s="212"/>
      <c r="C40" s="212"/>
      <c r="D40" s="212"/>
      <c r="E40" s="212"/>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c r="AK40" s="212"/>
      <c r="AL40" s="212"/>
      <c r="AM40" s="212"/>
      <c r="AN40" s="212"/>
      <c r="AO40" s="212"/>
      <c r="AP40" s="212"/>
      <c r="AQ40" s="212"/>
      <c r="AR40" s="212"/>
      <c r="AS40" s="212"/>
      <c r="AT40" s="212"/>
      <c r="AU40" s="212"/>
      <c r="AV40" s="212"/>
      <c r="AW40" s="212"/>
      <c r="AX40" s="212"/>
      <c r="AY40" s="212"/>
      <c r="AZ40" s="212"/>
      <c r="BA40" s="212"/>
      <c r="BB40" s="212"/>
      <c r="BC40" s="212"/>
      <c r="BD40" s="212"/>
      <c r="BE40" s="212"/>
      <c r="BF40" s="212"/>
      <c r="BG40" s="212"/>
      <c r="BH40" s="212"/>
      <c r="BI40" s="212"/>
      <c r="BJ40" s="430"/>
      <c r="BK40" s="430"/>
      <c r="BL40" s="430"/>
      <c r="BM40" s="430"/>
      <c r="BN40" s="430"/>
      <c r="BO40" s="430"/>
      <c r="BP40" s="430"/>
      <c r="BQ40" s="430"/>
      <c r="BR40" s="430"/>
      <c r="BS40" s="430"/>
      <c r="BT40" s="430"/>
    </row>
    <row r="41" spans="1:85" ht="15">
      <c r="A41" s="431" t="s">
        <v>427</v>
      </c>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3">
        <v>31.81745022580645</v>
      </c>
      <c r="AA41" s="433">
        <v>30.848378964285711</v>
      </c>
      <c r="AB41" s="433">
        <v>30.404446774193541</v>
      </c>
      <c r="AC41" s="433">
        <v>30.114637500000011</v>
      </c>
      <c r="AD41" s="433">
        <v>29.503724645161295</v>
      </c>
      <c r="AE41" s="433">
        <v>29.890845266666666</v>
      </c>
      <c r="AF41" s="433">
        <v>28.913548516129026</v>
      </c>
      <c r="AG41" s="433">
        <v>28.086067354838704</v>
      </c>
      <c r="AH41" s="433">
        <v>27.276622466666659</v>
      </c>
      <c r="AI41" s="433">
        <v>27.401062096774194</v>
      </c>
      <c r="AJ41" s="433">
        <v>26.95844906666666</v>
      </c>
      <c r="AK41" s="433">
        <v>26.20693009677419</v>
      </c>
      <c r="AL41" s="434">
        <f t="shared" ref="AL41:AX41" si="24">B$138</f>
        <v>26.792258064516126</v>
      </c>
      <c r="AM41" s="434">
        <f t="shared" si="24"/>
        <v>26.844610344827586</v>
      </c>
      <c r="AN41" s="434">
        <f t="shared" si="24"/>
        <v>29.15953870967741</v>
      </c>
      <c r="AO41" s="434">
        <f t="shared" si="24"/>
        <v>29.594646666666662</v>
      </c>
      <c r="AP41" s="434">
        <f t="shared" si="24"/>
        <v>29.187087096774192</v>
      </c>
      <c r="AQ41" s="434">
        <f t="shared" si="24"/>
        <v>30.04057666666667</v>
      </c>
      <c r="AR41" s="434">
        <f t="shared" si="24"/>
        <v>31.21335483870968</v>
      </c>
      <c r="AS41" s="434">
        <f t="shared" si="24"/>
        <v>32.539045161290318</v>
      </c>
      <c r="AT41" s="434">
        <f t="shared" si="24"/>
        <v>33.000729999999997</v>
      </c>
      <c r="AU41" s="434">
        <f t="shared" si="24"/>
        <v>33.349348387096782</v>
      </c>
      <c r="AV41" s="434">
        <f t="shared" si="24"/>
        <v>33.476926666666678</v>
      </c>
      <c r="AW41" s="434">
        <f t="shared" si="24"/>
        <v>34.256112903225805</v>
      </c>
      <c r="AX41" s="434">
        <f t="shared" si="24"/>
        <v>34.386274193548346</v>
      </c>
      <c r="AY41" s="434">
        <f>O$138</f>
        <v>33.742985714285702</v>
      </c>
      <c r="AZ41" s="434">
        <f t="shared" ref="AZ41:BI41" si="25">P$138</f>
        <v>33.140067741935454</v>
      </c>
      <c r="BA41" s="434">
        <f t="shared" si="25"/>
        <v>33.515999999999998</v>
      </c>
      <c r="BB41" s="434">
        <f t="shared" si="25"/>
        <v>33.119999999999997</v>
      </c>
      <c r="BC41" s="434">
        <f t="shared" si="25"/>
        <v>33.096446099999987</v>
      </c>
      <c r="BD41" s="434">
        <f t="shared" si="25"/>
        <v>32.385312580645191</v>
      </c>
      <c r="BE41" s="434">
        <f t="shared" si="25"/>
        <v>31.8444</v>
      </c>
      <c r="BF41" s="434">
        <f t="shared" si="25"/>
        <v>31.703870461905247</v>
      </c>
      <c r="BG41" s="434">
        <f t="shared" si="25"/>
        <v>31.063859999999998</v>
      </c>
      <c r="BH41" s="434">
        <f t="shared" si="25"/>
        <v>30.92005</v>
      </c>
      <c r="BI41" s="434">
        <f t="shared" si="25"/>
        <v>31.563599999999997</v>
      </c>
      <c r="BJ41" s="434">
        <f t="shared" ref="BJ41:BU41" si="26">BJ39*AL$137</f>
        <v>31.757300000000001</v>
      </c>
      <c r="BK41" s="434">
        <f t="shared" si="26"/>
        <v>32.271074415747854</v>
      </c>
      <c r="BL41" s="434">
        <f t="shared" si="26"/>
        <v>33.251741150849675</v>
      </c>
      <c r="BM41" s="434">
        <f t="shared" si="26"/>
        <v>33.278268436604186</v>
      </c>
      <c r="BN41" s="434">
        <f t="shared" si="26"/>
        <v>33.304816885066735</v>
      </c>
      <c r="BO41" s="434">
        <f t="shared" si="26"/>
        <v>33.331386513120322</v>
      </c>
      <c r="BP41" s="434">
        <f t="shared" si="26"/>
        <v>41.706024999599244</v>
      </c>
      <c r="BQ41" s="434">
        <f t="shared" si="26"/>
        <v>41.739296870621885</v>
      </c>
      <c r="BR41" s="434">
        <f t="shared" si="26"/>
        <v>41.772595284989322</v>
      </c>
      <c r="BS41" s="434">
        <f t="shared" si="26"/>
        <v>41.805920263877063</v>
      </c>
      <c r="BT41" s="434">
        <f t="shared" si="26"/>
        <v>41.839271828477528</v>
      </c>
      <c r="BU41" s="434">
        <f t="shared" si="26"/>
        <v>41.87265</v>
      </c>
    </row>
    <row r="42" spans="1:85">
      <c r="A42" s="221"/>
      <c r="B42" s="212"/>
      <c r="C42" s="212"/>
      <c r="D42" s="212"/>
      <c r="E42" s="212"/>
      <c r="F42" s="212"/>
      <c r="G42" s="212"/>
      <c r="H42" s="212"/>
      <c r="I42" s="212"/>
      <c r="J42" s="212"/>
      <c r="K42" s="212"/>
      <c r="L42" s="212"/>
      <c r="M42" s="212"/>
      <c r="N42" s="212"/>
      <c r="O42" s="212"/>
      <c r="P42" s="212"/>
      <c r="Q42" s="212"/>
      <c r="R42" s="212"/>
      <c r="S42" s="212"/>
      <c r="T42" s="212"/>
      <c r="U42" s="212"/>
      <c r="V42" s="212"/>
      <c r="W42" s="212"/>
      <c r="X42" s="212"/>
      <c r="Y42" s="212"/>
      <c r="Z42" s="212"/>
      <c r="AA42" s="212"/>
      <c r="AB42" s="212"/>
      <c r="AC42" s="212"/>
      <c r="AD42" s="212"/>
      <c r="AE42" s="212"/>
      <c r="AF42" s="212"/>
      <c r="AG42" s="212"/>
      <c r="AH42" s="212"/>
      <c r="AI42" s="212"/>
      <c r="AJ42" s="212"/>
      <c r="AK42" s="212"/>
      <c r="AL42" s="212"/>
      <c r="AM42" s="212"/>
      <c r="AN42" s="212"/>
      <c r="AO42" s="212"/>
      <c r="AP42" s="212"/>
      <c r="AQ42" s="212"/>
      <c r="AR42" s="212"/>
      <c r="AS42" s="212"/>
      <c r="AT42" s="212"/>
      <c r="AU42" s="212"/>
      <c r="AV42" s="212"/>
      <c r="AW42" s="212"/>
      <c r="AX42" s="212"/>
      <c r="AY42" s="212"/>
      <c r="AZ42" s="212"/>
      <c r="BA42" s="212"/>
      <c r="BB42" s="212"/>
      <c r="BC42" s="212"/>
      <c r="BD42" s="212"/>
      <c r="BE42" s="212"/>
      <c r="BF42" s="212"/>
      <c r="BG42" s="212"/>
      <c r="BH42" s="212"/>
      <c r="BI42" s="212"/>
    </row>
    <row r="43" spans="1:85" ht="15">
      <c r="A43" s="224" t="s">
        <v>225</v>
      </c>
      <c r="B43" s="225">
        <v>0.11916553967337506</v>
      </c>
      <c r="C43" s="225">
        <v>2.4048710227086767E-2</v>
      </c>
      <c r="D43" s="225">
        <v>2.4487641793782267E-2</v>
      </c>
      <c r="E43" s="225">
        <v>4.7887381722597322E-2</v>
      </c>
      <c r="F43" s="225">
        <v>4.8289790467862297E-2</v>
      </c>
      <c r="G43" s="225">
        <v>4.6390966235829723E-2</v>
      </c>
      <c r="H43" s="225">
        <v>4.6441729320432223E-2</v>
      </c>
      <c r="I43" s="225">
        <v>2.2759488069563183E-2</v>
      </c>
      <c r="J43" s="225">
        <v>-6.3502251161164924E-3</v>
      </c>
      <c r="K43" s="225">
        <v>3.4852475688657902E-2</v>
      </c>
      <c r="L43" s="225">
        <v>3.9077828254707958E-2</v>
      </c>
      <c r="M43" s="225">
        <v>5.0067040071519742E-2</v>
      </c>
      <c r="N43" s="225">
        <f>N39/B39-1</f>
        <v>4.7281317793242739E-2</v>
      </c>
      <c r="O43" s="225">
        <f t="shared" ref="O43:AW43" si="27">O39/C39-1</f>
        <v>5.3011519540366869E-3</v>
      </c>
      <c r="P43" s="225">
        <f t="shared" si="27"/>
        <v>-2.4456276535538723E-2</v>
      </c>
      <c r="Q43" s="225">
        <f t="shared" si="27"/>
        <v>-2.6253232770499291E-2</v>
      </c>
      <c r="R43" s="225">
        <f t="shared" si="27"/>
        <v>-9.176174554965999E-3</v>
      </c>
      <c r="S43" s="225">
        <f t="shared" si="27"/>
        <v>3.5739709260491637E-3</v>
      </c>
      <c r="T43" s="225">
        <f t="shared" si="27"/>
        <v>1.6610803550173969E-2</v>
      </c>
      <c r="U43" s="225">
        <f t="shared" si="27"/>
        <v>7.204673524575167E-2</v>
      </c>
      <c r="V43" s="225">
        <f t="shared" si="27"/>
        <v>7.9769109296273122E-2</v>
      </c>
      <c r="W43" s="225">
        <f t="shared" si="27"/>
        <v>5.5239414284052435E-2</v>
      </c>
      <c r="X43" s="225">
        <f t="shared" si="27"/>
        <v>4.5991794387575391E-2</v>
      </c>
      <c r="Y43" s="225">
        <f t="shared" si="27"/>
        <v>9.9078987360154969E-3</v>
      </c>
      <c r="Z43" s="225">
        <f>Z39/N39-1</f>
        <v>-1.9524062637839235E-2</v>
      </c>
      <c r="AA43" s="225">
        <f t="shared" si="27"/>
        <v>3.5084955963429865E-2</v>
      </c>
      <c r="AB43" s="225">
        <f t="shared" si="27"/>
        <v>1.9829383045572246E-2</v>
      </c>
      <c r="AC43" s="225">
        <f t="shared" si="27"/>
        <v>2.5227633695371843E-2</v>
      </c>
      <c r="AD43" s="225">
        <f t="shared" si="27"/>
        <v>7.5482767593064715E-3</v>
      </c>
      <c r="AE43" s="225">
        <f t="shared" si="27"/>
        <v>1.1370820102314827E-2</v>
      </c>
      <c r="AF43" s="225">
        <f t="shared" si="27"/>
        <v>-2.4595232939930267E-2</v>
      </c>
      <c r="AG43" s="225">
        <f t="shared" si="27"/>
        <v>-8.1333324287402919E-2</v>
      </c>
      <c r="AH43" s="225">
        <f t="shared" si="27"/>
        <v>-0.12136890527387367</v>
      </c>
      <c r="AI43" s="225">
        <f t="shared" si="27"/>
        <v>-0.11800514721703503</v>
      </c>
      <c r="AJ43" s="225">
        <f t="shared" si="27"/>
        <v>-0.12765961080057808</v>
      </c>
      <c r="AK43" s="225">
        <f t="shared" si="27"/>
        <v>-0.15040781307805018</v>
      </c>
      <c r="AL43" s="225">
        <f t="shared" si="27"/>
        <v>-0.13486135752212058</v>
      </c>
      <c r="AM43" s="225">
        <f t="shared" si="27"/>
        <v>-0.12543653527052123</v>
      </c>
      <c r="AN43" s="225">
        <f t="shared" si="27"/>
        <v>-1.6797530157597995E-2</v>
      </c>
      <c r="AO43" s="225">
        <f t="shared" si="27"/>
        <v>1.5409734843596423E-2</v>
      </c>
      <c r="AP43" s="225">
        <f t="shared" si="27"/>
        <v>1.6508731820793932E-2</v>
      </c>
      <c r="AQ43" s="225">
        <f t="shared" si="27"/>
        <v>7.8200692392327298E-3</v>
      </c>
      <c r="AR43" s="225">
        <f t="shared" si="27"/>
        <v>6.0636937322648965E-2</v>
      </c>
      <c r="AS43" s="225">
        <f t="shared" si="27"/>
        <v>9.0087165908012468E-2</v>
      </c>
      <c r="AT43" s="225">
        <f t="shared" si="27"/>
        <v>0.12894178709902815</v>
      </c>
      <c r="AU43" s="225">
        <f t="shared" si="27"/>
        <v>0.13268970014945713</v>
      </c>
      <c r="AV43" s="225">
        <f t="shared" si="27"/>
        <v>0.1531744541916904</v>
      </c>
      <c r="AW43" s="225">
        <f t="shared" si="27"/>
        <v>0.19443772567530782</v>
      </c>
      <c r="AX43" s="212"/>
      <c r="AY43" s="212"/>
      <c r="AZ43" s="212"/>
      <c r="BA43" s="212"/>
      <c r="BB43" s="212"/>
      <c r="BC43" s="212"/>
      <c r="BD43" s="212"/>
      <c r="BE43" s="212"/>
      <c r="BF43" s="212"/>
      <c r="BG43" s="212"/>
      <c r="BH43" s="212"/>
      <c r="BI43" s="212"/>
    </row>
    <row r="44" spans="1:85" ht="15">
      <c r="A44" s="214"/>
    </row>
    <row r="45" spans="1:85" ht="21.75">
      <c r="A45" s="435" t="s">
        <v>428</v>
      </c>
      <c r="B45" s="436"/>
      <c r="C45" s="436"/>
      <c r="D45" s="436"/>
      <c r="E45" s="436"/>
      <c r="F45" s="436"/>
      <c r="G45" s="436"/>
      <c r="H45" s="436"/>
      <c r="I45" s="436"/>
      <c r="J45" s="436"/>
      <c r="K45" s="436"/>
      <c r="L45" s="436"/>
      <c r="M45" s="436"/>
      <c r="N45" s="436"/>
      <c r="O45" s="436"/>
      <c r="P45" s="436"/>
      <c r="Q45" s="436"/>
      <c r="R45" s="436"/>
      <c r="S45" s="436"/>
      <c r="T45" s="436"/>
      <c r="U45" s="436"/>
      <c r="V45" s="436"/>
      <c r="W45" s="436"/>
      <c r="X45" s="436"/>
      <c r="Y45" s="436"/>
      <c r="Z45" s="437">
        <f>Z31/Z41</f>
        <v>289.87237929327921</v>
      </c>
      <c r="AA45" s="437">
        <f t="shared" ref="AA45:AV45" si="28">AA31/AA41</f>
        <v>305.65625541997832</v>
      </c>
      <c r="AB45" s="437">
        <f t="shared" si="28"/>
        <v>336.69417095557498</v>
      </c>
      <c r="AC45" s="437">
        <f t="shared" si="28"/>
        <v>340.99696534617084</v>
      </c>
      <c r="AD45" s="437">
        <f t="shared" si="28"/>
        <v>347.0409286672633</v>
      </c>
      <c r="AE45" s="437">
        <f t="shared" si="28"/>
        <v>360.74590409876646</v>
      </c>
      <c r="AF45" s="437">
        <f t="shared" si="28"/>
        <v>379.44149241591629</v>
      </c>
      <c r="AG45" s="437">
        <f t="shared" si="28"/>
        <v>375.16822369169006</v>
      </c>
      <c r="AH45" s="437">
        <f t="shared" si="28"/>
        <v>391.80290789521683</v>
      </c>
      <c r="AI45" s="437">
        <f t="shared" si="28"/>
        <v>391.49358379297576</v>
      </c>
      <c r="AJ45" s="437">
        <f t="shared" si="28"/>
        <v>396.13332256581651</v>
      </c>
      <c r="AK45" s="437">
        <f t="shared" si="28"/>
        <v>467.95294048994805</v>
      </c>
      <c r="AL45" s="437">
        <f t="shared" si="28"/>
        <v>400.37685417068008</v>
      </c>
      <c r="AM45" s="437">
        <f>AM31/AM41</f>
        <v>404.0662114542481</v>
      </c>
      <c r="AN45" s="437">
        <f t="shared" si="28"/>
        <v>392.53021503393416</v>
      </c>
      <c r="AO45" s="437">
        <f t="shared" si="28"/>
        <v>352.42860364160458</v>
      </c>
      <c r="AP45" s="437">
        <f t="shared" si="28"/>
        <v>361.18712240952334</v>
      </c>
      <c r="AQ45" s="437">
        <f t="shared" si="28"/>
        <v>385.44533044361219</v>
      </c>
      <c r="AR45" s="437">
        <f t="shared" si="28"/>
        <v>378.17146093380211</v>
      </c>
      <c r="AS45" s="437">
        <f t="shared" si="28"/>
        <v>351.76201216920145</v>
      </c>
      <c r="AT45" s="437">
        <f t="shared" si="28"/>
        <v>363.26469141743229</v>
      </c>
      <c r="AU45" s="437">
        <f>AU31/AU41</f>
        <v>365.04461372655334</v>
      </c>
      <c r="AV45" s="437">
        <f t="shared" si="28"/>
        <v>358.07976697980428</v>
      </c>
      <c r="AW45" s="437">
        <f>AW31/AW41</f>
        <v>413.91152697493595</v>
      </c>
      <c r="AX45" s="437">
        <f t="shared" ref="AX45:BF45" si="29">AX31/AX41</f>
        <v>358.77687505658014</v>
      </c>
      <c r="AY45" s="437">
        <f t="shared" si="29"/>
        <v>371.89951435409449</v>
      </c>
      <c r="AZ45" s="437">
        <f t="shared" si="29"/>
        <v>410.74146576880321</v>
      </c>
      <c r="BA45" s="437">
        <f t="shared" si="29"/>
        <v>404.07566535386087</v>
      </c>
      <c r="BB45" s="437">
        <f t="shared" si="29"/>
        <v>407.57850241545896</v>
      </c>
      <c r="BC45" s="437">
        <f t="shared" si="29"/>
        <v>432.46335140497172</v>
      </c>
      <c r="BD45" s="437">
        <f t="shared" si="29"/>
        <v>442.94770860334904</v>
      </c>
      <c r="BE45" s="437">
        <f t="shared" si="29"/>
        <v>439.54353041665098</v>
      </c>
      <c r="BF45" s="437">
        <f t="shared" si="29"/>
        <v>449.12497409769907</v>
      </c>
      <c r="BG45" s="438">
        <f t="shared" ref="BG45:BU45" si="30">K97/BG41</f>
        <v>452.13312189792254</v>
      </c>
      <c r="BH45" s="438">
        <f t="shared" si="30"/>
        <v>461.90093483031239</v>
      </c>
      <c r="BI45" s="438">
        <f t="shared" si="30"/>
        <v>552.94706560721852</v>
      </c>
      <c r="BJ45" s="438">
        <f t="shared" si="30"/>
        <v>459.01257348704075</v>
      </c>
      <c r="BK45" s="438">
        <f t="shared" si="30"/>
        <v>472.66269968366072</v>
      </c>
      <c r="BL45" s="438">
        <f t="shared" si="30"/>
        <v>487.58491354611556</v>
      </c>
      <c r="BM45" s="438">
        <f t="shared" si="30"/>
        <v>465.08341875540873</v>
      </c>
      <c r="BN45" s="438">
        <f t="shared" si="30"/>
        <v>468.47774394469377</v>
      </c>
      <c r="BO45" s="438">
        <f t="shared" si="30"/>
        <v>494.97806714596504</v>
      </c>
      <c r="BP45" s="438">
        <f t="shared" si="30"/>
        <v>389.12525767100885</v>
      </c>
      <c r="BQ45" s="438">
        <f t="shared" si="30"/>
        <v>376.47010200280567</v>
      </c>
      <c r="BR45" s="438">
        <f t="shared" si="30"/>
        <v>387.2917572599672</v>
      </c>
      <c r="BS45" s="438">
        <f t="shared" si="30"/>
        <v>390.32048494343263</v>
      </c>
      <c r="BT45" s="438">
        <f t="shared" si="30"/>
        <v>384.35298235136469</v>
      </c>
      <c r="BU45" s="438">
        <f t="shared" si="30"/>
        <v>446.52478161640158</v>
      </c>
    </row>
    <row r="46" spans="1:85" ht="21.75">
      <c r="A46" s="439" t="s">
        <v>429</v>
      </c>
      <c r="B46" s="440">
        <f>B31/B39</f>
        <v>221.28414716451314</v>
      </c>
      <c r="C46" s="440">
        <f t="shared" ref="C46:AW46" si="31">C31/C39</f>
        <v>229.72667570666297</v>
      </c>
      <c r="D46" s="440">
        <f t="shared" si="31"/>
        <v>250.05960377908121</v>
      </c>
      <c r="E46" s="440">
        <f t="shared" si="31"/>
        <v>247.94440442296315</v>
      </c>
      <c r="F46" s="440">
        <f t="shared" si="31"/>
        <v>258.85859330866435</v>
      </c>
      <c r="G46" s="440">
        <f t="shared" si="31"/>
        <v>281.89666330933443</v>
      </c>
      <c r="H46" s="440">
        <f t="shared" si="31"/>
        <v>282.60275391116312</v>
      </c>
      <c r="I46" s="440">
        <f t="shared" si="31"/>
        <v>277.50827692149477</v>
      </c>
      <c r="J46" s="440">
        <f t="shared" si="31"/>
        <v>281.55466018713815</v>
      </c>
      <c r="K46" s="440">
        <f t="shared" si="31"/>
        <v>276.75881968372681</v>
      </c>
      <c r="L46" s="440">
        <f t="shared" si="31"/>
        <v>280.05703377656954</v>
      </c>
      <c r="M46" s="440">
        <f t="shared" si="31"/>
        <v>318.97216102344254</v>
      </c>
      <c r="N46" s="440">
        <f t="shared" si="31"/>
        <v>271.20281632043213</v>
      </c>
      <c r="O46" s="440">
        <f t="shared" si="31"/>
        <v>288.10664935370164</v>
      </c>
      <c r="P46" s="440">
        <f t="shared" si="31"/>
        <v>318.2064025589483</v>
      </c>
      <c r="Q46" s="440">
        <f t="shared" si="31"/>
        <v>324.27047768457891</v>
      </c>
      <c r="R46" s="440">
        <f t="shared" si="31"/>
        <v>333.24453457573924</v>
      </c>
      <c r="S46" s="440">
        <f t="shared" si="31"/>
        <v>348.87071708922053</v>
      </c>
      <c r="T46" s="440">
        <f t="shared" si="31"/>
        <v>347.35005955288688</v>
      </c>
      <c r="U46" s="440">
        <f t="shared" si="31"/>
        <v>326.65787489872628</v>
      </c>
      <c r="V46" s="440">
        <f t="shared" si="31"/>
        <v>320.73761924264335</v>
      </c>
      <c r="W46" s="440">
        <f t="shared" si="31"/>
        <v>327.72335024168359</v>
      </c>
      <c r="X46" s="440">
        <f t="shared" si="31"/>
        <v>327.95749233670392</v>
      </c>
      <c r="Y46" s="440">
        <f t="shared" si="31"/>
        <v>380.4723892474583</v>
      </c>
      <c r="Z46" s="440">
        <f t="shared" si="31"/>
        <v>330.82040627098911</v>
      </c>
      <c r="AA46" s="440">
        <f t="shared" si="31"/>
        <v>335.26114757887473</v>
      </c>
      <c r="AB46" s="440">
        <f t="shared" si="31"/>
        <v>381.07420188018102</v>
      </c>
      <c r="AC46" s="440">
        <f t="shared" si="31"/>
        <v>383.00735878763174</v>
      </c>
      <c r="AD46" s="440">
        <f t="shared" si="31"/>
        <v>388.15190537089643</v>
      </c>
      <c r="AE46" s="440">
        <f t="shared" si="31"/>
        <v>406.9039616172974</v>
      </c>
      <c r="AF46" s="440">
        <f t="shared" si="31"/>
        <v>426.03582743831959</v>
      </c>
      <c r="AG46" s="440">
        <f t="shared" si="31"/>
        <v>417.35668931454512</v>
      </c>
      <c r="AH46" s="440">
        <f t="shared" si="31"/>
        <v>431.45656076307404</v>
      </c>
      <c r="AI46" s="440">
        <f t="shared" si="31"/>
        <v>432.41094405698499</v>
      </c>
      <c r="AJ46" s="440">
        <f t="shared" si="31"/>
        <v>438.25307618279879</v>
      </c>
      <c r="AK46" s="440">
        <f t="shared" si="31"/>
        <v>519.43682400599153</v>
      </c>
      <c r="AL46" s="440">
        <f t="shared" si="31"/>
        <v>444.74661558734994</v>
      </c>
      <c r="AM46" s="440">
        <f t="shared" si="31"/>
        <v>440.99727014974906</v>
      </c>
      <c r="AN46" s="440">
        <f t="shared" si="31"/>
        <v>433.35880615710346</v>
      </c>
      <c r="AO46" s="440">
        <f t="shared" si="31"/>
        <v>383.10864319545681</v>
      </c>
      <c r="AP46" s="440">
        <f t="shared" si="31"/>
        <v>393.14800632593904</v>
      </c>
      <c r="AQ46" s="440">
        <f t="shared" si="31"/>
        <v>433.55117188119181</v>
      </c>
      <c r="AR46" s="440">
        <f t="shared" si="31"/>
        <v>432.17770680927566</v>
      </c>
      <c r="AS46" s="440">
        <f t="shared" si="31"/>
        <v>415.8942477647908</v>
      </c>
      <c r="AT46" s="440">
        <f t="shared" si="31"/>
        <v>428.70052507589355</v>
      </c>
      <c r="AU46" s="440">
        <f t="shared" si="31"/>
        <v>433.23843416370107</v>
      </c>
      <c r="AV46" s="440">
        <f t="shared" si="31"/>
        <v>426.59822419928821</v>
      </c>
      <c r="AW46" s="440">
        <f t="shared" si="31"/>
        <v>502.80141843971631</v>
      </c>
      <c r="AX46" s="739">
        <f>N131</f>
        <v>437.17576638387527</v>
      </c>
      <c r="AY46" s="739">
        <f t="shared" ref="AY46:CG46" si="32">O131</f>
        <v>450.03237186855824</v>
      </c>
      <c r="AZ46" s="739">
        <f t="shared" si="32"/>
        <v>489.71853590437973</v>
      </c>
      <c r="BA46" s="739">
        <f t="shared" si="32"/>
        <v>484.89079842463303</v>
      </c>
      <c r="BB46" s="739">
        <f t="shared" si="32"/>
        <v>489.09420289855069</v>
      </c>
      <c r="BC46" s="739">
        <f t="shared" si="32"/>
        <v>525.44297195704064</v>
      </c>
      <c r="BD46" s="739">
        <f t="shared" si="32"/>
        <v>527.10777323798527</v>
      </c>
      <c r="BE46" s="739">
        <f t="shared" si="32"/>
        <v>523.05680119581461</v>
      </c>
      <c r="BF46" s="739">
        <f t="shared" si="32"/>
        <v>532.66221927987112</v>
      </c>
      <c r="BG46" s="739">
        <f t="shared" si="32"/>
        <v>532.61281759575274</v>
      </c>
      <c r="BH46" s="739">
        <f t="shared" si="32"/>
        <v>539.96219281663514</v>
      </c>
      <c r="BI46" s="739">
        <f t="shared" si="32"/>
        <v>641.41859610437336</v>
      </c>
      <c r="BJ46" s="739">
        <f t="shared" si="32"/>
        <v>520.97927090779126</v>
      </c>
      <c r="BK46" s="739">
        <f t="shared" si="32"/>
        <v>509.07429880100358</v>
      </c>
      <c r="BL46" s="739">
        <f t="shared" si="32"/>
        <v>505.2105484476819</v>
      </c>
      <c r="BM46" s="739">
        <f t="shared" si="32"/>
        <v>471.7244754514366</v>
      </c>
      <c r="BN46" s="739">
        <f t="shared" si="32"/>
        <v>466.3658097443041</v>
      </c>
      <c r="BO46" s="739">
        <f t="shared" si="32"/>
        <v>469.36083438424225</v>
      </c>
      <c r="BP46" s="739">
        <f t="shared" si="32"/>
        <v>397.43643831285976</v>
      </c>
      <c r="BQ46" s="739">
        <f t="shared" si="32"/>
        <v>401.43916096836119</v>
      </c>
      <c r="BR46" s="739">
        <f t="shared" si="32"/>
        <v>400.40795106389305</v>
      </c>
      <c r="BS46" s="739">
        <f t="shared" si="32"/>
        <v>445.3256342741177</v>
      </c>
      <c r="BT46" s="739">
        <f t="shared" si="32"/>
        <v>449.74106509284508</v>
      </c>
      <c r="BU46" s="739">
        <f t="shared" si="32"/>
        <v>456.62913717005983</v>
      </c>
      <c r="BV46" s="739">
        <f t="shared" si="32"/>
        <v>417.86300161192986</v>
      </c>
      <c r="BW46" s="739">
        <f t="shared" si="32"/>
        <v>422.25887911052553</v>
      </c>
      <c r="BX46" s="739">
        <f t="shared" si="32"/>
        <v>426.1588801839747</v>
      </c>
      <c r="BY46" s="739">
        <f t="shared" si="32"/>
        <v>463.13311048283276</v>
      </c>
      <c r="BZ46" s="739">
        <f t="shared" si="32"/>
        <v>469.07700312251023</v>
      </c>
      <c r="CA46" s="739">
        <f t="shared" si="32"/>
        <v>476.80983432364405</v>
      </c>
      <c r="CB46" s="739">
        <f t="shared" si="32"/>
        <v>479.03418102269615</v>
      </c>
      <c r="CC46" s="739">
        <f t="shared" si="32"/>
        <v>476.88460486737767</v>
      </c>
      <c r="CD46" s="739">
        <f t="shared" si="32"/>
        <v>485.52502050861364</v>
      </c>
      <c r="CE46" s="739">
        <f t="shared" si="32"/>
        <v>491.90158004571197</v>
      </c>
      <c r="CF46" s="739">
        <f t="shared" si="32"/>
        <v>489.28477469184526</v>
      </c>
      <c r="CG46" s="739">
        <f t="shared" si="32"/>
        <v>535.24038449333057</v>
      </c>
    </row>
    <row r="47" spans="1:85" ht="15">
      <c r="A47" s="214"/>
    </row>
    <row r="48" spans="1:85" ht="21.75">
      <c r="A48" s="222" t="s">
        <v>275</v>
      </c>
      <c r="B48" s="271">
        <v>9292</v>
      </c>
      <c r="C48" s="271">
        <v>9832</v>
      </c>
      <c r="D48" s="271">
        <v>11010</v>
      </c>
      <c r="E48" s="271">
        <v>10788</v>
      </c>
      <c r="F48" s="271">
        <v>10558</v>
      </c>
      <c r="G48" s="271">
        <v>11091</v>
      </c>
      <c r="H48" s="271">
        <v>11412</v>
      </c>
      <c r="I48" s="271">
        <v>11073</v>
      </c>
      <c r="J48" s="271">
        <v>11423</v>
      </c>
      <c r="K48" s="271">
        <v>11454</v>
      </c>
      <c r="L48" s="271">
        <v>11643</v>
      </c>
      <c r="M48" s="271">
        <v>14035</v>
      </c>
      <c r="N48" s="271">
        <v>11668</v>
      </c>
      <c r="O48" s="271">
        <v>12124</v>
      </c>
      <c r="P48" s="271">
        <v>13388</v>
      </c>
      <c r="Q48" s="271">
        <v>13150</v>
      </c>
      <c r="R48" s="271">
        <v>13286</v>
      </c>
      <c r="S48" s="271">
        <v>13553</v>
      </c>
      <c r="T48" s="271">
        <v>13836</v>
      </c>
      <c r="U48" s="271">
        <v>13659</v>
      </c>
      <c r="V48" s="271">
        <v>13614</v>
      </c>
      <c r="W48" s="271">
        <v>13850</v>
      </c>
      <c r="X48" s="271">
        <v>13897</v>
      </c>
      <c r="Y48" s="271">
        <v>16546</v>
      </c>
      <c r="Z48" s="271">
        <v>13721</v>
      </c>
      <c r="AA48" s="271">
        <v>14513</v>
      </c>
      <c r="AB48" s="271">
        <v>16207</v>
      </c>
      <c r="AC48" s="271">
        <v>15876</v>
      </c>
      <c r="AD48" s="271">
        <v>15157</v>
      </c>
      <c r="AE48" s="271">
        <v>15650</v>
      </c>
      <c r="AF48" s="271">
        <v>16249</v>
      </c>
      <c r="AG48" s="271">
        <v>15694</v>
      </c>
      <c r="AH48" s="271">
        <v>15626</v>
      </c>
      <c r="AI48" s="271">
        <v>15862</v>
      </c>
      <c r="AJ48" s="271">
        <v>15974</v>
      </c>
      <c r="AK48" s="271">
        <v>18869</v>
      </c>
      <c r="AL48" s="271">
        <v>15787</v>
      </c>
      <c r="AM48" s="271">
        <v>16447</v>
      </c>
      <c r="AN48" s="271">
        <v>17990</v>
      </c>
      <c r="AO48" s="271">
        <v>15278</v>
      </c>
      <c r="AP48" s="271">
        <v>15191</v>
      </c>
      <c r="AQ48" s="271">
        <v>16393</v>
      </c>
      <c r="AR48" s="271">
        <v>17053</v>
      </c>
      <c r="AS48" s="271">
        <v>16795</v>
      </c>
      <c r="AT48" s="271">
        <v>17253</v>
      </c>
      <c r="AU48" s="271">
        <v>17494</v>
      </c>
      <c r="AV48" s="271">
        <v>17582</v>
      </c>
      <c r="AW48" s="271">
        <v>21812</v>
      </c>
      <c r="AX48" s="337">
        <v>17533</v>
      </c>
      <c r="AY48" s="338">
        <v>18504</v>
      </c>
      <c r="AZ48" s="338">
        <v>20132</v>
      </c>
      <c r="BA48" s="338">
        <v>20422</v>
      </c>
      <c r="BB48" s="338">
        <v>19287</v>
      </c>
      <c r="BC48" s="338">
        <v>20455</v>
      </c>
      <c r="BD48" s="338">
        <v>20956</v>
      </c>
      <c r="BE48" s="338">
        <v>20358</v>
      </c>
      <c r="BF48" s="338">
        <v>20658</v>
      </c>
      <c r="BG48" s="338">
        <v>20481</v>
      </c>
      <c r="BH48" s="338">
        <v>21144</v>
      </c>
      <c r="BI48" s="338">
        <v>26759</v>
      </c>
      <c r="BJ48" s="338">
        <v>21347</v>
      </c>
      <c r="BK48" s="441">
        <f>BK52*BK53</f>
        <v>21128.216074098524</v>
      </c>
      <c r="BL48" s="441">
        <f t="shared" ref="BL48:BT48" si="33">BL52*BL53</f>
        <v>22285.945724583838</v>
      </c>
      <c r="BM48" s="441">
        <f t="shared" si="33"/>
        <v>20414.044386345497</v>
      </c>
      <c r="BN48" s="441">
        <f t="shared" si="33"/>
        <v>19509.606504735075</v>
      </c>
      <c r="BO48" s="441">
        <f t="shared" si="33"/>
        <v>19405.864696109926</v>
      </c>
      <c r="BP48" s="441">
        <f t="shared" si="33"/>
        <v>20936.844474584446</v>
      </c>
      <c r="BQ48" s="441">
        <f t="shared" si="33"/>
        <v>21183.180508883666</v>
      </c>
      <c r="BR48" s="441">
        <f t="shared" si="33"/>
        <v>20960.011450776121</v>
      </c>
      <c r="BS48" s="441">
        <f t="shared" si="33"/>
        <v>23221.16098981932</v>
      </c>
      <c r="BT48" s="441">
        <f t="shared" si="33"/>
        <v>23719.470589440931</v>
      </c>
      <c r="BU48" s="441">
        <f>BU52*BU53</f>
        <v>25237.017182453295</v>
      </c>
      <c r="BV48" s="441">
        <f t="shared" ref="BV48:CG48" si="34">BV52*BV53</f>
        <v>21654.301246089901</v>
      </c>
      <c r="BW48" s="441">
        <f t="shared" si="34"/>
        <v>22460.48920776464</v>
      </c>
      <c r="BX48" s="441">
        <f t="shared" si="34"/>
        <v>23421.399663542074</v>
      </c>
      <c r="BY48" s="441">
        <f t="shared" si="34"/>
        <v>24724.842688137731</v>
      </c>
      <c r="BZ48" s="441">
        <f t="shared" si="34"/>
        <v>24169.583725188291</v>
      </c>
      <c r="CA48" s="441">
        <f t="shared" si="34"/>
        <v>24269.631018708034</v>
      </c>
      <c r="CB48" s="441">
        <f t="shared" si="34"/>
        <v>24941.608317391594</v>
      </c>
      <c r="CC48" s="441">
        <f t="shared" si="34"/>
        <v>24894.734019219977</v>
      </c>
      <c r="CD48" s="441">
        <f t="shared" si="34"/>
        <v>25113.194162520813</v>
      </c>
      <c r="CE48" s="441">
        <f t="shared" si="34"/>
        <v>25466.989238269085</v>
      </c>
      <c r="CF48" s="441">
        <f t="shared" si="34"/>
        <v>25565.575565246952</v>
      </c>
      <c r="CG48" s="441">
        <f t="shared" si="34"/>
        <v>29436.149366330526</v>
      </c>
    </row>
    <row r="49" spans="1:85" ht="15">
      <c r="A49" s="270" t="s">
        <v>276</v>
      </c>
      <c r="B49" s="247">
        <f>B48/B31</f>
        <v>1.5466045272969373</v>
      </c>
      <c r="C49" s="247">
        <f t="shared" ref="C49:BN49" si="35">C48/C31</f>
        <v>1.5835078112417458</v>
      </c>
      <c r="D49" s="247">
        <f t="shared" si="35"/>
        <v>1.6306279620853081</v>
      </c>
      <c r="E49" s="247">
        <f t="shared" si="35"/>
        <v>1.6200630725334135</v>
      </c>
      <c r="F49" s="247">
        <f t="shared" si="35"/>
        <v>1.5435672514619883</v>
      </c>
      <c r="G49" s="247">
        <f t="shared" si="35"/>
        <v>1.506929347826087</v>
      </c>
      <c r="H49" s="247">
        <f t="shared" si="35"/>
        <v>1.5549802425398556</v>
      </c>
      <c r="I49" s="247">
        <f t="shared" si="35"/>
        <v>1.5565082935057633</v>
      </c>
      <c r="J49" s="247">
        <f t="shared" si="35"/>
        <v>1.5539382396952794</v>
      </c>
      <c r="K49" s="247">
        <f t="shared" si="35"/>
        <v>1.5526636844245629</v>
      </c>
      <c r="L49" s="247">
        <f t="shared" si="35"/>
        <v>1.5567589249899718</v>
      </c>
      <c r="M49" s="247">
        <f t="shared" si="35"/>
        <v>1.5990657400022787</v>
      </c>
      <c r="N49" s="247">
        <f t="shared" si="35"/>
        <v>1.5130707893566337</v>
      </c>
      <c r="O49" s="247">
        <f t="shared" si="35"/>
        <v>1.5487675264685443</v>
      </c>
      <c r="P49" s="247">
        <f t="shared" si="35"/>
        <v>1.5972435975442438</v>
      </c>
      <c r="Q49" s="247">
        <f t="shared" si="35"/>
        <v>1.5506636604624398</v>
      </c>
      <c r="R49" s="247">
        <f t="shared" si="35"/>
        <v>1.5227943494082925</v>
      </c>
      <c r="S49" s="247">
        <f t="shared" si="35"/>
        <v>1.4826329671147129</v>
      </c>
      <c r="T49" s="247">
        <f t="shared" si="35"/>
        <v>1.508787081746686</v>
      </c>
      <c r="U49" s="247">
        <f t="shared" si="35"/>
        <v>1.5215076281457189</v>
      </c>
      <c r="V49" s="247">
        <f t="shared" si="35"/>
        <v>1.5056403450564035</v>
      </c>
      <c r="W49" s="247">
        <f t="shared" si="35"/>
        <v>1.5024951182469082</v>
      </c>
      <c r="X49" s="247">
        <f t="shared" si="35"/>
        <v>1.5169741294618491</v>
      </c>
      <c r="Y49" s="247">
        <f t="shared" si="35"/>
        <v>1.5649295375011822</v>
      </c>
      <c r="Z49" s="247">
        <f t="shared" si="35"/>
        <v>1.4876938089558711</v>
      </c>
      <c r="AA49" s="247">
        <f t="shared" si="35"/>
        <v>1.5391876126842718</v>
      </c>
      <c r="AB49" s="247">
        <f t="shared" si="35"/>
        <v>1.5831786656246947</v>
      </c>
      <c r="AC49" s="247">
        <f t="shared" si="35"/>
        <v>1.5460122699386503</v>
      </c>
      <c r="AD49" s="247">
        <f t="shared" si="35"/>
        <v>1.4803203437835726</v>
      </c>
      <c r="AE49" s="247">
        <f t="shared" si="35"/>
        <v>1.4513586200500788</v>
      </c>
      <c r="AF49" s="247">
        <f t="shared" si="35"/>
        <v>1.4810865007747698</v>
      </c>
      <c r="AG49" s="247">
        <f t="shared" si="35"/>
        <v>1.4894182404859069</v>
      </c>
      <c r="AH49" s="247">
        <f t="shared" si="35"/>
        <v>1.4621420671353955</v>
      </c>
      <c r="AI49" s="247">
        <f t="shared" si="35"/>
        <v>1.4786517440483848</v>
      </c>
      <c r="AJ49" s="247">
        <f t="shared" si="35"/>
        <v>1.4958133332833918</v>
      </c>
      <c r="AK49" s="247">
        <f t="shared" si="35"/>
        <v>1.5386170956186636</v>
      </c>
      <c r="AL49" s="247">
        <f t="shared" si="35"/>
        <v>1.4717069078027407</v>
      </c>
      <c r="AM49" s="247">
        <f t="shared" si="35"/>
        <v>1.5162717802157279</v>
      </c>
      <c r="AN49" s="247">
        <f t="shared" si="35"/>
        <v>1.5717281146251967</v>
      </c>
      <c r="AO49" s="247">
        <f t="shared" si="35"/>
        <v>1.4648130393096837</v>
      </c>
      <c r="AP49" s="247">
        <f t="shared" si="35"/>
        <v>1.4409979131094668</v>
      </c>
      <c r="AQ49" s="247">
        <f t="shared" si="35"/>
        <v>1.4157526556697471</v>
      </c>
      <c r="AR49" s="247">
        <f t="shared" si="35"/>
        <v>1.4446797695696374</v>
      </c>
      <c r="AS49" s="247">
        <f t="shared" si="35"/>
        <v>1.4673248296348069</v>
      </c>
      <c r="AT49" s="247">
        <f t="shared" si="35"/>
        <v>1.4391891891891893</v>
      </c>
      <c r="AU49" s="247">
        <f t="shared" si="35"/>
        <v>1.4369968785937244</v>
      </c>
      <c r="AV49" s="247">
        <f t="shared" si="35"/>
        <v>1.4667054729361433</v>
      </c>
      <c r="AW49" s="247">
        <f t="shared" si="35"/>
        <v>1.5383313350729952</v>
      </c>
      <c r="AX49" s="247">
        <f t="shared" si="35"/>
        <v>1.4211720839750344</v>
      </c>
      <c r="AY49" s="247">
        <f t="shared" si="35"/>
        <v>1.4745398039684436</v>
      </c>
      <c r="AZ49" s="247">
        <f t="shared" si="35"/>
        <v>1.4789891272406699</v>
      </c>
      <c r="BA49" s="247">
        <f t="shared" si="35"/>
        <v>1.5079376799822786</v>
      </c>
      <c r="BB49" s="247">
        <f t="shared" si="35"/>
        <v>1.42877250166679</v>
      </c>
      <c r="BC49" s="247">
        <f t="shared" si="35"/>
        <v>1.4291203800740586</v>
      </c>
      <c r="BD49" s="247">
        <f t="shared" si="35"/>
        <v>1.4608574416172881</v>
      </c>
      <c r="BE49" s="247">
        <f t="shared" si="35"/>
        <v>1.4544545259698507</v>
      </c>
      <c r="BF49" s="247">
        <f t="shared" si="35"/>
        <v>1.4508041295034764</v>
      </c>
      <c r="BG49" s="247">
        <f t="shared" si="35"/>
        <v>1.4116542298517263</v>
      </c>
      <c r="BH49" s="247">
        <f t="shared" si="35"/>
        <v>1.4749916241021044</v>
      </c>
      <c r="BI49" s="247">
        <f t="shared" si="35"/>
        <v>1.5726896584150269</v>
      </c>
      <c r="BJ49" s="247">
        <f t="shared" si="35"/>
        <v>1.4555518222101644</v>
      </c>
      <c r="BK49" s="247">
        <f t="shared" si="35"/>
        <v>1.4290326736858558</v>
      </c>
      <c r="BL49" s="247">
        <f t="shared" si="35"/>
        <v>1.4015210598919148</v>
      </c>
      <c r="BM49" s="247">
        <f t="shared" si="35"/>
        <v>1.300852744797327</v>
      </c>
      <c r="BN49" s="247">
        <f t="shared" si="35"/>
        <v>1.2569355508166158</v>
      </c>
      <c r="BO49" s="247">
        <f t="shared" ref="BO49:BU49" si="36">BO48/BO31</f>
        <v>1.1878355905811568</v>
      </c>
      <c r="BP49" s="247">
        <f t="shared" si="36"/>
        <v>1.2876424504430914</v>
      </c>
      <c r="BQ49" s="247">
        <f t="shared" si="36"/>
        <v>1.3440668164589213</v>
      </c>
      <c r="BR49" s="247">
        <f t="shared" si="36"/>
        <v>1.3155662176485112</v>
      </c>
      <c r="BS49" s="247">
        <f t="shared" si="36"/>
        <v>1.4389979428115252</v>
      </c>
      <c r="BT49" s="247">
        <f t="shared" si="36"/>
        <v>1.4961438502409923</v>
      </c>
      <c r="BU49" s="247">
        <f t="shared" si="36"/>
        <v>1.3483992108716738</v>
      </c>
    </row>
    <row r="50" spans="1:85" ht="15">
      <c r="A50" s="214" t="s">
        <v>217</v>
      </c>
      <c r="B50" s="413">
        <f t="shared" ref="B50:BM50" si="37">B48/B$39</f>
        <v>342.23906382367778</v>
      </c>
      <c r="C50" s="413">
        <f t="shared" si="37"/>
        <v>363.77398543210023</v>
      </c>
      <c r="D50" s="413">
        <f t="shared" si="37"/>
        <v>407.75418211014278</v>
      </c>
      <c r="E50" s="413">
        <f t="shared" si="37"/>
        <v>401.68557364693294</v>
      </c>
      <c r="F50" s="413">
        <f t="shared" si="37"/>
        <v>399.56564739077169</v>
      </c>
      <c r="G50" s="413">
        <f t="shared" si="37"/>
        <v>424.79835499508533</v>
      </c>
      <c r="H50" s="413">
        <f t="shared" si="37"/>
        <v>439.44169881921152</v>
      </c>
      <c r="I50" s="413">
        <f t="shared" si="37"/>
        <v>431.94393454480064</v>
      </c>
      <c r="J50" s="413">
        <f t="shared" si="37"/>
        <v>437.5185530292041</v>
      </c>
      <c r="K50" s="413">
        <f t="shared" si="37"/>
        <v>429.71336866712852</v>
      </c>
      <c r="L50" s="413">
        <f t="shared" si="37"/>
        <v>435.9812868378927</v>
      </c>
      <c r="M50" s="413">
        <f t="shared" si="37"/>
        <v>510.05745470707717</v>
      </c>
      <c r="N50" s="413">
        <f t="shared" si="37"/>
        <v>410.34905936569839</v>
      </c>
      <c r="O50" s="413">
        <f t="shared" si="37"/>
        <v>446.21022267867278</v>
      </c>
      <c r="P50" s="413">
        <f t="shared" si="37"/>
        <v>508.25313918486643</v>
      </c>
      <c r="Q50" s="413">
        <f t="shared" si="37"/>
        <v>502.834445906273</v>
      </c>
      <c r="R50" s="413">
        <f t="shared" si="37"/>
        <v>507.46289422313203</v>
      </c>
      <c r="S50" s="413">
        <f t="shared" si="37"/>
        <v>517.24722641742869</v>
      </c>
      <c r="T50" s="413">
        <f t="shared" si="37"/>
        <v>524.07728269733775</v>
      </c>
      <c r="U50" s="413">
        <f t="shared" si="37"/>
        <v>497.012448452282</v>
      </c>
      <c r="V50" s="413">
        <f t="shared" si="37"/>
        <v>482.91549970906283</v>
      </c>
      <c r="W50" s="413">
        <f t="shared" si="37"/>
        <v>492.4027338736513</v>
      </c>
      <c r="X50" s="413">
        <f t="shared" si="37"/>
        <v>497.50303143796248</v>
      </c>
      <c r="Y50" s="413">
        <f t="shared" si="37"/>
        <v>595.41248013699476</v>
      </c>
      <c r="Z50" s="413">
        <f t="shared" si="37"/>
        <v>492.15947028561652</v>
      </c>
      <c r="AA50" s="413">
        <f t="shared" si="37"/>
        <v>516.02980536771759</v>
      </c>
      <c r="AB50" s="413">
        <f t="shared" si="37"/>
        <v>603.30854643666055</v>
      </c>
      <c r="AC50" s="413">
        <f t="shared" si="37"/>
        <v>592.13407616247366</v>
      </c>
      <c r="AD50" s="413">
        <f t="shared" si="37"/>
        <v>574.58916199889416</v>
      </c>
      <c r="AE50" s="413">
        <f t="shared" si="37"/>
        <v>590.56357222579095</v>
      </c>
      <c r="AF50" s="413">
        <f t="shared" si="37"/>
        <v>630.99591286530438</v>
      </c>
      <c r="AG50" s="413">
        <f t="shared" si="37"/>
        <v>621.61866585389305</v>
      </c>
      <c r="AH50" s="413">
        <f t="shared" si="37"/>
        <v>630.85078763324941</v>
      </c>
      <c r="AI50" s="413">
        <f t="shared" si="37"/>
        <v>639.38519657546942</v>
      </c>
      <c r="AJ50" s="413">
        <f t="shared" si="37"/>
        <v>655.54479470669253</v>
      </c>
      <c r="AK50" s="413">
        <f t="shared" si="37"/>
        <v>799.21437750948166</v>
      </c>
      <c r="AL50" s="413">
        <f t="shared" si="37"/>
        <v>654.536666381793</v>
      </c>
      <c r="AM50" s="413">
        <f t="shared" si="37"/>
        <v>668.67171588023621</v>
      </c>
      <c r="AN50" s="413">
        <f t="shared" si="37"/>
        <v>681.1222193575303</v>
      </c>
      <c r="AO50" s="413">
        <f t="shared" si="37"/>
        <v>561.18253602494622</v>
      </c>
      <c r="AP50" s="413">
        <f t="shared" si="37"/>
        <v>566.52545665882565</v>
      </c>
      <c r="AQ50" s="413">
        <f t="shared" si="37"/>
        <v>613.80122295952822</v>
      </c>
      <c r="AR50" s="413">
        <f t="shared" si="37"/>
        <v>624.35838988635862</v>
      </c>
      <c r="AS50" s="413">
        <f t="shared" si="37"/>
        <v>610.25195624756793</v>
      </c>
      <c r="AT50" s="413">
        <f t="shared" si="37"/>
        <v>616.98116108895488</v>
      </c>
      <c r="AU50" s="413">
        <f t="shared" si="37"/>
        <v>622.56227758007117</v>
      </c>
      <c r="AV50" s="413">
        <f t="shared" si="37"/>
        <v>625.6939501779359</v>
      </c>
      <c r="AW50" s="413">
        <f t="shared" si="37"/>
        <v>773.47517730496452</v>
      </c>
      <c r="AX50" s="413">
        <f t="shared" si="37"/>
        <v>621.30199497515491</v>
      </c>
      <c r="AY50" s="413">
        <f t="shared" si="37"/>
        <v>663.59064539451765</v>
      </c>
      <c r="AZ50" s="413">
        <f t="shared" si="37"/>
        <v>724.28839001079734</v>
      </c>
      <c r="BA50" s="413">
        <f t="shared" si="37"/>
        <v>731.18510562119582</v>
      </c>
      <c r="BB50" s="413">
        <f t="shared" si="37"/>
        <v>698.80434782608688</v>
      </c>
      <c r="BC50" s="413">
        <f t="shared" si="37"/>
        <v>750.92125979048888</v>
      </c>
      <c r="BD50" s="413">
        <f t="shared" si="37"/>
        <v>770.02931306902894</v>
      </c>
      <c r="BE50" s="413">
        <f t="shared" si="37"/>
        <v>760.76233183856493</v>
      </c>
      <c r="BF50" s="413">
        <f t="shared" si="37"/>
        <v>772.7885473617232</v>
      </c>
      <c r="BG50" s="413">
        <f t="shared" si="37"/>
        <v>776.67804323094424</v>
      </c>
      <c r="BH50" s="413">
        <f t="shared" si="37"/>
        <v>799.39508506616255</v>
      </c>
      <c r="BI50" s="413">
        <f t="shared" si="37"/>
        <v>983.4252113193678</v>
      </c>
      <c r="BJ50" s="413">
        <f t="shared" si="37"/>
        <v>762.93781272337378</v>
      </c>
      <c r="BK50" s="413">
        <f t="shared" si="37"/>
        <v>743.68940774722012</v>
      </c>
      <c r="BL50" s="413">
        <f t="shared" si="37"/>
        <v>761.91267434474662</v>
      </c>
      <c r="BM50" s="413">
        <f t="shared" si="37"/>
        <v>697.91604739642719</v>
      </c>
      <c r="BN50" s="413">
        <f t="shared" ref="BN50:CF50" si="38">BN48/BN$39</f>
        <v>666.99509417897696</v>
      </c>
      <c r="BO50" s="413">
        <f t="shared" si="38"/>
        <v>663.44836567897187</v>
      </c>
      <c r="BP50" s="413">
        <f t="shared" si="38"/>
        <v>572.51420493804881</v>
      </c>
      <c r="BQ50" s="413">
        <f t="shared" si="38"/>
        <v>579.25021900146749</v>
      </c>
      <c r="BR50" s="413">
        <f t="shared" si="38"/>
        <v>573.14770168925679</v>
      </c>
      <c r="BS50" s="413">
        <f t="shared" si="38"/>
        <v>634.97842466008535</v>
      </c>
      <c r="BT50" s="413">
        <f t="shared" si="38"/>
        <v>648.60461004760543</v>
      </c>
      <c r="BU50" s="413">
        <f t="shared" si="38"/>
        <v>690.10164567824165</v>
      </c>
      <c r="BV50" s="413">
        <f t="shared" si="38"/>
        <v>592.1329298903446</v>
      </c>
      <c r="BW50" s="413">
        <f t="shared" si="38"/>
        <v>614.17799310266992</v>
      </c>
      <c r="BX50" s="413">
        <f t="shared" si="38"/>
        <v>640.45391478102465</v>
      </c>
      <c r="BY50" s="413">
        <f t="shared" si="38"/>
        <v>676.09632726654991</v>
      </c>
      <c r="BZ50" s="413">
        <f t="shared" si="38"/>
        <v>660.91287189467573</v>
      </c>
      <c r="CA50" s="413">
        <f t="shared" si="38"/>
        <v>663.64864694306902</v>
      </c>
      <c r="CB50" s="413">
        <f t="shared" si="38"/>
        <v>682.0237439811757</v>
      </c>
      <c r="CC50" s="413">
        <f t="shared" si="38"/>
        <v>680.74197482143768</v>
      </c>
      <c r="CD50" s="413">
        <f t="shared" si="38"/>
        <v>686.71572771454237</v>
      </c>
      <c r="CE50" s="413">
        <f t="shared" si="38"/>
        <v>697.36364581919815</v>
      </c>
      <c r="CF50" s="413">
        <f t="shared" si="38"/>
        <v>702.34568476927143</v>
      </c>
      <c r="CG50" s="413">
        <f>CG48/CG$39</f>
        <v>801.60530031742121</v>
      </c>
    </row>
    <row r="51" spans="1:85" ht="15">
      <c r="A51" s="214"/>
    </row>
    <row r="52" spans="1:85" ht="15">
      <c r="A52" s="214" t="s">
        <v>277</v>
      </c>
      <c r="B52" s="232">
        <f t="shared" ref="B52:AW52" si="39">1.3578*B$31+1447.7</f>
        <v>9605.3624</v>
      </c>
      <c r="C52" s="232">
        <f t="shared" si="39"/>
        <v>9878.2801999999992</v>
      </c>
      <c r="D52" s="232">
        <f t="shared" si="39"/>
        <v>10615.5656</v>
      </c>
      <c r="E52" s="232">
        <f t="shared" si="39"/>
        <v>10489.290199999999</v>
      </c>
      <c r="F52" s="232">
        <f t="shared" si="39"/>
        <v>10735.052</v>
      </c>
      <c r="G52" s="232">
        <f t="shared" si="39"/>
        <v>11441.108</v>
      </c>
      <c r="H52" s="232">
        <f t="shared" si="39"/>
        <v>11412.5942</v>
      </c>
      <c r="I52" s="232">
        <f t="shared" si="39"/>
        <v>11107.0892</v>
      </c>
      <c r="J52" s="232">
        <f t="shared" si="39"/>
        <v>11428.8878</v>
      </c>
      <c r="K52" s="232">
        <f t="shared" si="39"/>
        <v>11464.1906</v>
      </c>
      <c r="L52" s="232">
        <f t="shared" si="39"/>
        <v>11602.6862</v>
      </c>
      <c r="M52" s="232">
        <f t="shared" si="39"/>
        <v>13365.1106</v>
      </c>
      <c r="N52" s="232">
        <f t="shared" si="39"/>
        <v>11918.333966</v>
      </c>
      <c r="O52" s="232">
        <f t="shared" si="39"/>
        <v>12076.775647999999</v>
      </c>
      <c r="P52" s="232">
        <f t="shared" si="39"/>
        <v>12828.698132000001</v>
      </c>
      <c r="Q52" s="232">
        <f t="shared" si="39"/>
        <v>12962.169872</v>
      </c>
      <c r="R52" s="232">
        <f t="shared" si="39"/>
        <v>13294.16555</v>
      </c>
      <c r="S52" s="232">
        <f t="shared" si="39"/>
        <v>13859.580625999999</v>
      </c>
      <c r="T52" s="232">
        <f t="shared" si="39"/>
        <v>13899.106184</v>
      </c>
      <c r="U52" s="232">
        <f t="shared" si="39"/>
        <v>13637.050784000001</v>
      </c>
      <c r="V52" s="232">
        <f t="shared" si="39"/>
        <v>13724.927599999999</v>
      </c>
      <c r="W52" s="232">
        <f t="shared" si="39"/>
        <v>13963.9004</v>
      </c>
      <c r="X52" s="232">
        <f t="shared" si="39"/>
        <v>13886.505799999999</v>
      </c>
      <c r="Y52" s="232">
        <f t="shared" si="39"/>
        <v>15803.7194</v>
      </c>
      <c r="Z52" s="232">
        <f t="shared" si="39"/>
        <v>13970.689399999999</v>
      </c>
      <c r="AA52" s="232">
        <f t="shared" si="39"/>
        <v>14250.396199999999</v>
      </c>
      <c r="AB52" s="232">
        <f t="shared" si="39"/>
        <v>15347.498599999999</v>
      </c>
      <c r="AC52" s="232">
        <f t="shared" si="39"/>
        <v>15390.948199999999</v>
      </c>
      <c r="AD52" s="232">
        <f t="shared" si="39"/>
        <v>15350.2142</v>
      </c>
      <c r="AE52" s="232">
        <f t="shared" si="39"/>
        <v>16088.857399999999</v>
      </c>
      <c r="AF52" s="232">
        <f t="shared" si="39"/>
        <v>16344.123799999999</v>
      </c>
      <c r="AG52" s="232">
        <f t="shared" si="39"/>
        <v>15754.838599999999</v>
      </c>
      <c r="AH52" s="232">
        <f t="shared" si="39"/>
        <v>15958.590068</v>
      </c>
      <c r="AI52" s="232">
        <f t="shared" si="39"/>
        <v>16013.282251999999</v>
      </c>
      <c r="AJ52" s="232">
        <f t="shared" si="39"/>
        <v>15947.836291999998</v>
      </c>
      <c r="AK52" s="232">
        <f t="shared" si="39"/>
        <v>18099.229658</v>
      </c>
      <c r="AL52" s="232">
        <f t="shared" si="39"/>
        <v>16012.820599999999</v>
      </c>
      <c r="AM52" s="232">
        <f t="shared" si="39"/>
        <v>16175.756599999999</v>
      </c>
      <c r="AN52" s="232">
        <f t="shared" si="39"/>
        <v>16989.078799999999</v>
      </c>
      <c r="AO52" s="232">
        <f t="shared" si="39"/>
        <v>15609.554</v>
      </c>
      <c r="AP52" s="232">
        <f t="shared" si="39"/>
        <v>15761.6276</v>
      </c>
      <c r="AQ52" s="232">
        <f t="shared" si="39"/>
        <v>17169.6662</v>
      </c>
      <c r="AR52" s="232">
        <f t="shared" si="39"/>
        <v>17475.171199999997</v>
      </c>
      <c r="AS52" s="232">
        <f t="shared" si="39"/>
        <v>16989.078799999999</v>
      </c>
      <c r="AT52" s="232">
        <f t="shared" si="39"/>
        <v>17725.006399999998</v>
      </c>
      <c r="AU52" s="232">
        <f t="shared" si="39"/>
        <v>17977.557199999999</v>
      </c>
      <c r="AV52" s="232">
        <f t="shared" si="39"/>
        <v>17724.205433779996</v>
      </c>
      <c r="AW52" s="232">
        <f t="shared" si="39"/>
        <v>20699.946199999998</v>
      </c>
      <c r="AX52" s="232">
        <f t="shared" ref="AX52:BK52" si="40">1.3578*N$129+1447.7</f>
        <v>18198.8786</v>
      </c>
      <c r="AY52" s="232">
        <f t="shared" si="40"/>
        <v>18486.732199999999</v>
      </c>
      <c r="AZ52" s="232">
        <f t="shared" si="40"/>
        <v>19930.0736</v>
      </c>
      <c r="BA52" s="232">
        <f t="shared" si="40"/>
        <v>19836.385399999999</v>
      </c>
      <c r="BB52" s="232">
        <f t="shared" si="40"/>
        <v>19776.642199999998</v>
      </c>
      <c r="BC52" s="232">
        <f t="shared" si="40"/>
        <v>20881.8914</v>
      </c>
      <c r="BD52" s="232">
        <f t="shared" si="40"/>
        <v>20925.341</v>
      </c>
      <c r="BE52" s="232">
        <f t="shared" si="40"/>
        <v>20452.8266</v>
      </c>
      <c r="BF52" s="232">
        <f t="shared" si="40"/>
        <v>20781.414199999999</v>
      </c>
      <c r="BG52" s="232">
        <f t="shared" si="40"/>
        <v>20518.001</v>
      </c>
      <c r="BH52" s="232">
        <f t="shared" si="40"/>
        <v>20839.799599999998</v>
      </c>
      <c r="BI52" s="232">
        <f t="shared" si="40"/>
        <v>25145.383399999999</v>
      </c>
      <c r="BJ52" s="232">
        <f t="shared" si="40"/>
        <v>21240.350599999998</v>
      </c>
      <c r="BK52" s="232">
        <f t="shared" si="40"/>
        <v>21085.290965529995</v>
      </c>
      <c r="BL52" s="232">
        <f t="shared" ref="BL52:CG52" si="41">1.3578*AB$129+1447.7</f>
        <v>21512.465318456176</v>
      </c>
      <c r="BM52" s="232">
        <f t="shared" si="41"/>
        <v>20182.544163462848</v>
      </c>
      <c r="BN52" s="232">
        <f t="shared" si="41"/>
        <v>19969.72127177137</v>
      </c>
      <c r="BO52" s="232">
        <f t="shared" si="41"/>
        <v>20088.670622112528</v>
      </c>
      <c r="BP52" s="232">
        <f t="shared" si="41"/>
        <v>21182.305395569718</v>
      </c>
      <c r="BQ52" s="232">
        <f t="shared" si="41"/>
        <v>21381.05957233709</v>
      </c>
      <c r="BR52" s="232">
        <f t="shared" si="41"/>
        <v>21329.855106458039</v>
      </c>
      <c r="BS52" s="232">
        <f t="shared" si="41"/>
        <v>23560.231257170206</v>
      </c>
      <c r="BT52" s="232">
        <f t="shared" si="41"/>
        <v>23779.478352954688</v>
      </c>
      <c r="BU52" s="232">
        <f>1.3578*AK$129+1447.7</f>
        <v>24121.50382237848</v>
      </c>
      <c r="BV52" s="232">
        <f t="shared" si="41"/>
        <v>22196.581207837968</v>
      </c>
      <c r="BW52" s="232">
        <f t="shared" si="41"/>
        <v>22414.857388477849</v>
      </c>
      <c r="BX52" s="232">
        <f t="shared" si="41"/>
        <v>22608.510951179695</v>
      </c>
      <c r="BY52" s="232">
        <f t="shared" si="41"/>
        <v>24444.456965214995</v>
      </c>
      <c r="BZ52" s="232">
        <f t="shared" si="41"/>
        <v>24739.599444489453</v>
      </c>
      <c r="CA52" s="232">
        <f t="shared" si="41"/>
        <v>25123.571213642626</v>
      </c>
      <c r="CB52" s="232">
        <f t="shared" si="41"/>
        <v>25234.020583999998</v>
      </c>
      <c r="CC52" s="232">
        <f t="shared" si="41"/>
        <v>25127.283926</v>
      </c>
      <c r="CD52" s="232">
        <f t="shared" si="41"/>
        <v>25556.32157</v>
      </c>
      <c r="CE52" s="232">
        <f t="shared" si="41"/>
        <v>25838.852594</v>
      </c>
      <c r="CF52" s="232">
        <f t="shared" si="41"/>
        <v>25630.253779999995</v>
      </c>
      <c r="CG52" s="232">
        <f t="shared" si="41"/>
        <v>28135.028174000003</v>
      </c>
    </row>
    <row r="53" spans="1:85" ht="15">
      <c r="A53" s="214" t="s">
        <v>278</v>
      </c>
      <c r="B53" s="247">
        <f>B48/B52</f>
        <v>0.9673763063848585</v>
      </c>
      <c r="C53" s="247">
        <f t="shared" ref="C53:AW53" si="42">C48/C52</f>
        <v>0.99531495371026235</v>
      </c>
      <c r="D53" s="247">
        <f t="shared" si="42"/>
        <v>1.0371562302813144</v>
      </c>
      <c r="E53" s="247">
        <f t="shared" si="42"/>
        <v>1.0284775989894912</v>
      </c>
      <c r="F53" s="247">
        <f t="shared" si="42"/>
        <v>0.98350711296042159</v>
      </c>
      <c r="G53" s="247">
        <f t="shared" si="42"/>
        <v>0.96939911763790709</v>
      </c>
      <c r="H53" s="247">
        <f t="shared" si="42"/>
        <v>0.99994793471233745</v>
      </c>
      <c r="I53" s="247">
        <f t="shared" si="42"/>
        <v>0.99693086105763873</v>
      </c>
      <c r="J53" s="247">
        <f t="shared" si="42"/>
        <v>0.99948483176114478</v>
      </c>
      <c r="K53" s="247">
        <f t="shared" si="42"/>
        <v>0.99911109293664391</v>
      </c>
      <c r="L53" s="247">
        <f t="shared" si="42"/>
        <v>1.0034745229945115</v>
      </c>
      <c r="M53" s="247">
        <f t="shared" si="42"/>
        <v>1.0501222488948203</v>
      </c>
      <c r="N53" s="247">
        <f t="shared" si="42"/>
        <v>0.97899589265461595</v>
      </c>
      <c r="O53" s="247">
        <f t="shared" si="42"/>
        <v>1.0039103443979123</v>
      </c>
      <c r="P53" s="247">
        <f t="shared" si="42"/>
        <v>1.043597710558398</v>
      </c>
      <c r="Q53" s="247">
        <f t="shared" si="42"/>
        <v>1.0144906392876194</v>
      </c>
      <c r="R53" s="247">
        <f t="shared" si="42"/>
        <v>0.99938577942562179</v>
      </c>
      <c r="S53" s="247">
        <f t="shared" si="42"/>
        <v>0.97787951639569337</v>
      </c>
      <c r="T53" s="247">
        <f t="shared" si="42"/>
        <v>0.99545969480594043</v>
      </c>
      <c r="U53" s="247">
        <f t="shared" si="42"/>
        <v>1.0016095280678834</v>
      </c>
      <c r="V53" s="247">
        <f t="shared" si="42"/>
        <v>0.99191780071757907</v>
      </c>
      <c r="W53" s="247">
        <f t="shared" si="42"/>
        <v>0.99184322454777751</v>
      </c>
      <c r="X53" s="247">
        <f t="shared" si="42"/>
        <v>1.0007557120668902</v>
      </c>
      <c r="Y53" s="247">
        <f t="shared" si="42"/>
        <v>1.0469687281337077</v>
      </c>
      <c r="Z53" s="247">
        <f t="shared" si="42"/>
        <v>0.98212762499751805</v>
      </c>
      <c r="AA53" s="247">
        <f t="shared" si="42"/>
        <v>1.0184278244839255</v>
      </c>
      <c r="AB53" s="247">
        <f t="shared" si="42"/>
        <v>1.0560027026163079</v>
      </c>
      <c r="AC53" s="247">
        <f t="shared" si="42"/>
        <v>1.0315153942237296</v>
      </c>
      <c r="AD53" s="247">
        <f t="shared" si="42"/>
        <v>0.98741293134528374</v>
      </c>
      <c r="AE53" s="247">
        <f t="shared" si="42"/>
        <v>0.9727228982711974</v>
      </c>
      <c r="AF53" s="247">
        <f t="shared" si="42"/>
        <v>0.99417993884750189</v>
      </c>
      <c r="AG53" s="247">
        <f t="shared" si="42"/>
        <v>0.99613841807303571</v>
      </c>
      <c r="AH53" s="247">
        <f t="shared" si="42"/>
        <v>0.97915918219699716</v>
      </c>
      <c r="AI53" s="247">
        <f t="shared" si="42"/>
        <v>0.99055270183718236</v>
      </c>
      <c r="AJ53" s="247">
        <f t="shared" si="42"/>
        <v>1.0016405804223816</v>
      </c>
      <c r="AK53" s="247">
        <f t="shared" si="42"/>
        <v>1.042530558291455</v>
      </c>
      <c r="AL53" s="247">
        <f t="shared" si="42"/>
        <v>0.98589751264683501</v>
      </c>
      <c r="AM53" s="247">
        <f t="shared" si="42"/>
        <v>1.0167685139377036</v>
      </c>
      <c r="AN53" s="247">
        <f t="shared" si="42"/>
        <v>1.0589155663931584</v>
      </c>
      <c r="AO53" s="247">
        <f t="shared" si="42"/>
        <v>0.97875954687750844</v>
      </c>
      <c r="AP53" s="215">
        <f t="shared" si="42"/>
        <v>0.96379640386884924</v>
      </c>
      <c r="AQ53" s="215">
        <f t="shared" si="42"/>
        <v>0.95476521261665537</v>
      </c>
      <c r="AR53" s="215">
        <f t="shared" si="42"/>
        <v>0.97584165584598126</v>
      </c>
      <c r="AS53" s="215">
        <f t="shared" si="42"/>
        <v>0.98857626112135055</v>
      </c>
      <c r="AT53" s="215">
        <f t="shared" si="42"/>
        <v>0.97337059353614686</v>
      </c>
      <c r="AU53" s="215">
        <f t="shared" si="42"/>
        <v>0.97310217430430435</v>
      </c>
      <c r="AV53" s="215">
        <f t="shared" si="42"/>
        <v>0.9919767667830699</v>
      </c>
      <c r="AW53" s="215">
        <f t="shared" si="42"/>
        <v>1.0537225454238137</v>
      </c>
      <c r="AX53" s="215">
        <f>AX48/AX52</f>
        <v>0.96341100929152856</v>
      </c>
      <c r="AY53" s="215">
        <f t="shared" ref="AY53:BJ53" si="43">AY48/AY52</f>
        <v>1.0009340644854476</v>
      </c>
      <c r="AZ53" s="215">
        <f t="shared" si="43"/>
        <v>1.0101317438185478</v>
      </c>
      <c r="BA53" s="215">
        <f t="shared" si="43"/>
        <v>1.0295222435030931</v>
      </c>
      <c r="BB53" s="215">
        <f t="shared" si="43"/>
        <v>0.97524138855078246</v>
      </c>
      <c r="BC53" s="215">
        <f t="shared" si="43"/>
        <v>0.97955686140576326</v>
      </c>
      <c r="BD53" s="215">
        <f t="shared" si="43"/>
        <v>1.0014651613084824</v>
      </c>
      <c r="BE53" s="215">
        <f t="shared" si="43"/>
        <v>0.99536364328243998</v>
      </c>
      <c r="BF53" s="215">
        <f t="shared" si="43"/>
        <v>0.99406131850256851</v>
      </c>
      <c r="BG53" s="215">
        <f t="shared" si="43"/>
        <v>0.99819665668210078</v>
      </c>
      <c r="BH53" s="215">
        <f t="shared" si="43"/>
        <v>1.0145970885439801</v>
      </c>
      <c r="BI53" s="215">
        <f t="shared" si="43"/>
        <v>1.0641714852516426</v>
      </c>
      <c r="BJ53" s="215">
        <f t="shared" si="43"/>
        <v>1.0050210753112523</v>
      </c>
      <c r="BK53" s="174">
        <f t="shared" ref="BK53:BU53" si="44">AY67</f>
        <v>1.0020357845020351</v>
      </c>
      <c r="BL53" s="174">
        <f t="shared" si="44"/>
        <v>1.0359549867798774</v>
      </c>
      <c r="BM53" s="174">
        <f t="shared" si="44"/>
        <v>1.0114703191534069</v>
      </c>
      <c r="BN53" s="174">
        <f t="shared" si="44"/>
        <v>0.976959379614041</v>
      </c>
      <c r="BO53" s="174">
        <f t="shared" si="44"/>
        <v>0.96601039765911612</v>
      </c>
      <c r="BP53" s="174">
        <f t="shared" si="44"/>
        <v>0.98841198271852837</v>
      </c>
      <c r="BQ53" s="174">
        <f t="shared" si="44"/>
        <v>0.99074512360886735</v>
      </c>
      <c r="BR53" s="174">
        <f t="shared" si="44"/>
        <v>0.98266075161617294</v>
      </c>
      <c r="BS53" s="174">
        <f t="shared" si="44"/>
        <v>0.98560836421129372</v>
      </c>
      <c r="BT53" s="174">
        <f t="shared" si="44"/>
        <v>0.99747648949135592</v>
      </c>
      <c r="BU53" s="174">
        <f t="shared" si="44"/>
        <v>1.0462455976330924</v>
      </c>
      <c r="BV53" s="740">
        <f>AX$67</f>
        <v>0.97556921236336258</v>
      </c>
      <c r="BW53" s="740">
        <f t="shared" ref="BW53:CG53" si="45">AY$67</f>
        <v>1.0020357845020351</v>
      </c>
      <c r="BX53" s="740">
        <f t="shared" si="45"/>
        <v>1.0359549867798774</v>
      </c>
      <c r="BY53" s="740">
        <f t="shared" si="45"/>
        <v>1.0114703191534069</v>
      </c>
      <c r="BZ53" s="740">
        <f t="shared" si="45"/>
        <v>0.976959379614041</v>
      </c>
      <c r="CA53" s="740">
        <f t="shared" si="45"/>
        <v>0.96601039765911612</v>
      </c>
      <c r="CB53" s="740">
        <f t="shared" si="45"/>
        <v>0.98841198271852837</v>
      </c>
      <c r="CC53" s="740">
        <f t="shared" si="45"/>
        <v>0.99074512360886735</v>
      </c>
      <c r="CD53" s="740">
        <f t="shared" si="45"/>
        <v>0.98266075161617294</v>
      </c>
      <c r="CE53" s="740">
        <f t="shared" si="45"/>
        <v>0.98560836421129372</v>
      </c>
      <c r="CF53" s="740">
        <f t="shared" si="45"/>
        <v>0.99747648949135592</v>
      </c>
      <c r="CG53" s="740">
        <f t="shared" si="45"/>
        <v>1.0462455976330924</v>
      </c>
    </row>
    <row r="54" spans="1:85" ht="15">
      <c r="A54" s="214"/>
    </row>
    <row r="55" spans="1:85" ht="15">
      <c r="A55" s="214" t="s">
        <v>279</v>
      </c>
      <c r="B55" s="232">
        <f t="shared" ref="B55:BC55" si="46">1.3646*B$46+51.602</f>
        <v>353.56634722069464</v>
      </c>
      <c r="C55" s="232">
        <f t="shared" si="46"/>
        <v>365.08702166931226</v>
      </c>
      <c r="D55" s="232">
        <f t="shared" si="46"/>
        <v>392.83333531693421</v>
      </c>
      <c r="E55" s="232">
        <f t="shared" si="46"/>
        <v>389.94693427557547</v>
      </c>
      <c r="F55" s="232">
        <f t="shared" si="46"/>
        <v>404.84043642900338</v>
      </c>
      <c r="G55" s="232">
        <f t="shared" si="46"/>
        <v>436.27818675191776</v>
      </c>
      <c r="H55" s="232">
        <f t="shared" si="46"/>
        <v>437.24171798717316</v>
      </c>
      <c r="I55" s="232">
        <f t="shared" si="46"/>
        <v>430.28979468707172</v>
      </c>
      <c r="J55" s="232">
        <f t="shared" si="46"/>
        <v>435.81148929136873</v>
      </c>
      <c r="K55" s="232">
        <f t="shared" si="46"/>
        <v>429.26708534041359</v>
      </c>
      <c r="L55" s="232">
        <f t="shared" si="46"/>
        <v>433.76782829150676</v>
      </c>
      <c r="M55" s="232">
        <f t="shared" si="46"/>
        <v>486.8714109325897</v>
      </c>
      <c r="N55" s="232">
        <f t="shared" si="46"/>
        <v>421.68536315086169</v>
      </c>
      <c r="O55" s="232">
        <f t="shared" si="46"/>
        <v>444.75233370806126</v>
      </c>
      <c r="P55" s="232">
        <f t="shared" si="46"/>
        <v>485.82645693194081</v>
      </c>
      <c r="Q55" s="232">
        <f t="shared" si="46"/>
        <v>494.10149384837638</v>
      </c>
      <c r="R55" s="232">
        <f t="shared" si="46"/>
        <v>506.34749188205376</v>
      </c>
      <c r="S55" s="232">
        <f t="shared" si="46"/>
        <v>527.67098053995039</v>
      </c>
      <c r="T55" s="232">
        <f t="shared" si="46"/>
        <v>525.59589126586945</v>
      </c>
      <c r="U55" s="232">
        <f t="shared" si="46"/>
        <v>497.35933608680187</v>
      </c>
      <c r="V55" s="232">
        <f t="shared" si="46"/>
        <v>489.2805552185111</v>
      </c>
      <c r="W55" s="232">
        <f t="shared" si="46"/>
        <v>498.81328373980142</v>
      </c>
      <c r="X55" s="232">
        <f t="shared" si="46"/>
        <v>499.13279404266615</v>
      </c>
      <c r="Y55" s="232">
        <f t="shared" si="46"/>
        <v>570.79462236708162</v>
      </c>
      <c r="Z55" s="232">
        <f t="shared" si="46"/>
        <v>503.03952639739174</v>
      </c>
      <c r="AA55" s="232">
        <f t="shared" si="46"/>
        <v>509.09936198613246</v>
      </c>
      <c r="AB55" s="232">
        <f t="shared" si="46"/>
        <v>571.61585588569505</v>
      </c>
      <c r="AC55" s="232">
        <f t="shared" si="46"/>
        <v>574.25384180160222</v>
      </c>
      <c r="AD55" s="232">
        <f t="shared" si="46"/>
        <v>581.27409006912524</v>
      </c>
      <c r="AE55" s="232">
        <f t="shared" si="46"/>
        <v>606.86314602296397</v>
      </c>
      <c r="AF55" s="232">
        <f t="shared" si="46"/>
        <v>632.97049012233094</v>
      </c>
      <c r="AG55" s="232">
        <f t="shared" si="46"/>
        <v>621.12693823862821</v>
      </c>
      <c r="AH55" s="232">
        <f t="shared" si="46"/>
        <v>640.36762281729079</v>
      </c>
      <c r="AI55" s="232">
        <f t="shared" si="46"/>
        <v>641.66997426016167</v>
      </c>
      <c r="AJ55" s="232">
        <f t="shared" si="46"/>
        <v>649.64214775904725</v>
      </c>
      <c r="AK55" s="232">
        <f t="shared" si="46"/>
        <v>760.42549003857607</v>
      </c>
      <c r="AL55" s="232">
        <f t="shared" si="46"/>
        <v>658.50323163049768</v>
      </c>
      <c r="AM55" s="232">
        <f t="shared" si="46"/>
        <v>653.38687484634761</v>
      </c>
      <c r="AN55" s="232">
        <f t="shared" si="46"/>
        <v>642.96342688198342</v>
      </c>
      <c r="AO55" s="232">
        <f t="shared" si="46"/>
        <v>574.39205450452039</v>
      </c>
      <c r="AP55" s="232">
        <f t="shared" si="46"/>
        <v>588.0917694323764</v>
      </c>
      <c r="AQ55" s="232">
        <f t="shared" si="46"/>
        <v>643.22592914907432</v>
      </c>
      <c r="AR55" s="232">
        <f t="shared" si="46"/>
        <v>641.35169871193762</v>
      </c>
      <c r="AS55" s="232">
        <f t="shared" si="46"/>
        <v>619.13129049983354</v>
      </c>
      <c r="AT55" s="232">
        <f t="shared" si="46"/>
        <v>636.60673651856428</v>
      </c>
      <c r="AU55" s="232">
        <f t="shared" si="46"/>
        <v>642.79916725978649</v>
      </c>
      <c r="AV55" s="232">
        <f t="shared" si="46"/>
        <v>633.73793674234867</v>
      </c>
      <c r="AW55" s="232">
        <f t="shared" si="46"/>
        <v>737.72481560283688</v>
      </c>
      <c r="AX55" s="232">
        <f t="shared" si="46"/>
        <v>648.17205080743622</v>
      </c>
      <c r="AY55" s="232">
        <f t="shared" si="46"/>
        <v>665.71617465183454</v>
      </c>
      <c r="AZ55" s="232">
        <f t="shared" si="46"/>
        <v>719.87191409511661</v>
      </c>
      <c r="BA55" s="232">
        <f t="shared" si="46"/>
        <v>713.2839835302542</v>
      </c>
      <c r="BB55" s="232">
        <f t="shared" si="46"/>
        <v>719.01994927536225</v>
      </c>
      <c r="BC55" s="232">
        <f t="shared" si="46"/>
        <v>768.62147953257761</v>
      </c>
      <c r="BD55" s="232">
        <f>1.3646*BD$46+51.602</f>
        <v>770.89326736055466</v>
      </c>
      <c r="BE55" s="232">
        <f>1.3646*BE$46+51.602</f>
        <v>765.36531091180859</v>
      </c>
      <c r="BF55" s="232">
        <f t="shared" ref="BF55:BU55" si="47">1.3646*J$104+51.602</f>
        <v>778.47286442931215</v>
      </c>
      <c r="BG55" s="232">
        <f t="shared" si="47"/>
        <v>778.40545089116415</v>
      </c>
      <c r="BH55" s="232">
        <f>1.3646*L$104+51.602</f>
        <v>788.43440831758028</v>
      </c>
      <c r="BI55" s="232">
        <f t="shared" si="47"/>
        <v>926.88181624402785</v>
      </c>
      <c r="BJ55" s="232">
        <f t="shared" si="47"/>
        <v>768.80961625030625</v>
      </c>
      <c r="BK55" s="232">
        <f t="shared" si="47"/>
        <v>803.1496224834857</v>
      </c>
      <c r="BL55" s="232">
        <f t="shared" si="47"/>
        <v>841.86886622528709</v>
      </c>
      <c r="BM55" s="232">
        <f t="shared" si="47"/>
        <v>810.98104811709049</v>
      </c>
      <c r="BN55" s="232">
        <f t="shared" si="47"/>
        <v>817.82562474449458</v>
      </c>
      <c r="BO55" s="232">
        <f t="shared" si="47"/>
        <v>860.48730053838972</v>
      </c>
      <c r="BP55" s="232">
        <f t="shared" si="47"/>
        <v>849.745263043573</v>
      </c>
      <c r="BQ55" s="232">
        <f t="shared" si="47"/>
        <v>833.19057668984374</v>
      </c>
      <c r="BR55" s="232">
        <f t="shared" si="47"/>
        <v>837.37770383797499</v>
      </c>
      <c r="BS55" s="232">
        <f t="shared" si="47"/>
        <v>850.65009752354229</v>
      </c>
      <c r="BT55" s="232">
        <f t="shared" si="47"/>
        <v>837.60277486746952</v>
      </c>
      <c r="BU55" s="232">
        <f t="shared" si="47"/>
        <v>971.70423612419427</v>
      </c>
    </row>
    <row r="56" spans="1:85" ht="15">
      <c r="A56" s="214" t="s">
        <v>278</v>
      </c>
      <c r="B56" s="215">
        <f t="shared" ref="B56:BD56" si="48">B50/B55</f>
        <v>0.96796277845428991</v>
      </c>
      <c r="C56" s="215">
        <f t="shared" si="48"/>
        <v>0.99640349790795535</v>
      </c>
      <c r="D56" s="215">
        <f t="shared" si="48"/>
        <v>1.037982639078149</v>
      </c>
      <c r="E56" s="215">
        <f t="shared" si="48"/>
        <v>1.0301031713280806</v>
      </c>
      <c r="F56" s="215">
        <f t="shared" si="48"/>
        <v>0.98697069619636002</v>
      </c>
      <c r="G56" s="215">
        <f t="shared" si="48"/>
        <v>0.97368689953926058</v>
      </c>
      <c r="H56" s="215">
        <f t="shared" si="48"/>
        <v>1.0050314980056476</v>
      </c>
      <c r="I56" s="215">
        <f t="shared" si="48"/>
        <v>1.0038442460828798</v>
      </c>
      <c r="J56" s="215">
        <f t="shared" si="48"/>
        <v>1.0039169773624166</v>
      </c>
      <c r="K56" s="215">
        <f t="shared" si="48"/>
        <v>1.0010396402192379</v>
      </c>
      <c r="L56" s="215">
        <f t="shared" si="48"/>
        <v>1.0051028647170634</v>
      </c>
      <c r="M56" s="215">
        <f t="shared" si="48"/>
        <v>1.047622520554401</v>
      </c>
      <c r="N56" s="215">
        <f t="shared" si="48"/>
        <v>0.97311667708725369</v>
      </c>
      <c r="O56" s="215">
        <f t="shared" si="48"/>
        <v>1.0032779793609099</v>
      </c>
      <c r="P56" s="215">
        <f t="shared" si="48"/>
        <v>1.046161920440795</v>
      </c>
      <c r="Q56" s="215">
        <f t="shared" si="48"/>
        <v>1.0176744093402326</v>
      </c>
      <c r="R56" s="215">
        <f t="shared" si="48"/>
        <v>1.002202839668332</v>
      </c>
      <c r="S56" s="215">
        <f t="shared" si="48"/>
        <v>0.98024573170225249</v>
      </c>
      <c r="T56" s="215">
        <f t="shared" si="48"/>
        <v>0.99711069170484912</v>
      </c>
      <c r="U56" s="215">
        <f t="shared" si="48"/>
        <v>0.99930254122251094</v>
      </c>
      <c r="V56" s="215">
        <f t="shared" si="48"/>
        <v>0.98699099025791925</v>
      </c>
      <c r="W56" s="215">
        <f t="shared" si="48"/>
        <v>0.98714839785723496</v>
      </c>
      <c r="X56" s="215">
        <f t="shared" si="48"/>
        <v>0.99673481160894362</v>
      </c>
      <c r="Y56" s="215">
        <f t="shared" si="48"/>
        <v>1.0431290989880442</v>
      </c>
      <c r="Z56" s="215">
        <f t="shared" si="48"/>
        <v>0.97837136936396485</v>
      </c>
      <c r="AA56" s="215">
        <f t="shared" si="48"/>
        <v>1.0136131448967989</v>
      </c>
      <c r="AB56" s="215">
        <f t="shared" si="48"/>
        <v>1.0554440368031062</v>
      </c>
      <c r="AC56" s="215">
        <f t="shared" si="48"/>
        <v>1.0311364645028336</v>
      </c>
      <c r="AD56" s="215">
        <f t="shared" si="48"/>
        <v>0.98849952512172679</v>
      </c>
      <c r="AE56" s="215">
        <f t="shared" si="48"/>
        <v>0.97314126932243095</v>
      </c>
      <c r="AF56" s="215">
        <f t="shared" si="48"/>
        <v>0.99688045921912571</v>
      </c>
      <c r="AG56" s="215">
        <f t="shared" si="48"/>
        <v>1.0007916700838306</v>
      </c>
      <c r="AH56" s="215">
        <f t="shared" si="48"/>
        <v>0.98513848163938678</v>
      </c>
      <c r="AI56" s="215">
        <f t="shared" si="48"/>
        <v>0.99643932585855122</v>
      </c>
      <c r="AJ56" s="215">
        <f t="shared" si="48"/>
        <v>1.0090859975264945</v>
      </c>
      <c r="AK56" s="215">
        <f t="shared" si="48"/>
        <v>1.0510094519174231</v>
      </c>
      <c r="AL56" s="215">
        <f t="shared" si="48"/>
        <v>0.9939763921296435</v>
      </c>
      <c r="AM56" s="215">
        <f t="shared" si="48"/>
        <v>1.0233932477408321</v>
      </c>
      <c r="AN56" s="215">
        <f t="shared" si="48"/>
        <v>1.059348309530755</v>
      </c>
      <c r="AO56" s="215">
        <f t="shared" si="48"/>
        <v>0.9770026093223575</v>
      </c>
      <c r="AP56" s="215">
        <f t="shared" si="48"/>
        <v>0.96332832068987051</v>
      </c>
      <c r="AQ56" s="215">
        <f t="shared" si="48"/>
        <v>0.95425447753875203</v>
      </c>
      <c r="AR56" s="215">
        <f t="shared" si="48"/>
        <v>0.97350391546524695</v>
      </c>
      <c r="AS56" s="215">
        <f t="shared" si="48"/>
        <v>0.98565839848750469</v>
      </c>
      <c r="AT56" s="215">
        <f t="shared" si="48"/>
        <v>0.96917158694088512</v>
      </c>
      <c r="AU56" s="215">
        <f t="shared" si="48"/>
        <v>0.9685175546104331</v>
      </c>
      <c r="AV56" s="215">
        <f t="shared" si="48"/>
        <v>0.98730707742420809</v>
      </c>
      <c r="AW56" s="215">
        <f t="shared" si="48"/>
        <v>1.0484602943347026</v>
      </c>
      <c r="AX56" s="215">
        <f t="shared" si="48"/>
        <v>0.95854487122854348</v>
      </c>
      <c r="AY56" s="215">
        <f t="shared" si="48"/>
        <v>0.99680715395201491</v>
      </c>
      <c r="AZ56" s="215">
        <f t="shared" si="48"/>
        <v>1.0061350857412352</v>
      </c>
      <c r="BA56" s="215">
        <f t="shared" si="48"/>
        <v>1.0250967672123292</v>
      </c>
      <c r="BB56" s="215">
        <f t="shared" si="48"/>
        <v>0.97188450547213756</v>
      </c>
      <c r="BC56" s="215">
        <f t="shared" si="48"/>
        <v>0.97697147397851436</v>
      </c>
      <c r="BD56" s="215">
        <f t="shared" si="48"/>
        <v>0.99887928157099648</v>
      </c>
      <c r="BE56" s="215">
        <f t="shared" ref="BE56:BJ56" si="49">BE50/BE55</f>
        <v>0.99398590580521617</v>
      </c>
      <c r="BF56" s="215">
        <f t="shared" si="49"/>
        <v>0.99269811790837947</v>
      </c>
      <c r="BG56" s="215">
        <f t="shared" si="49"/>
        <v>0.99778083817598873</v>
      </c>
      <c r="BH56" s="215">
        <f t="shared" si="49"/>
        <v>1.0139018244675178</v>
      </c>
      <c r="BI56" s="215">
        <f t="shared" si="49"/>
        <v>1.0610038886127564</v>
      </c>
      <c r="BJ56" s="215">
        <f t="shared" si="49"/>
        <v>0.99236247387803123</v>
      </c>
      <c r="BK56" s="174">
        <f t="shared" ref="BK56:BU56" si="50">AY77</f>
        <v>0.99159851970012658</v>
      </c>
      <c r="BL56" s="174">
        <f t="shared" si="50"/>
        <v>1.0253991823440258</v>
      </c>
      <c r="BM56" s="174">
        <f t="shared" si="50"/>
        <v>1.0009596440760491</v>
      </c>
      <c r="BN56" s="174">
        <f t="shared" si="50"/>
        <v>0.96783851976824009</v>
      </c>
      <c r="BO56" s="174">
        <f t="shared" si="50"/>
        <v>0.95708507085999828</v>
      </c>
      <c r="BP56" s="174">
        <f t="shared" si="50"/>
        <v>0.97936695165527565</v>
      </c>
      <c r="BQ56" s="174">
        <f t="shared" si="50"/>
        <v>0.98176580405134273</v>
      </c>
      <c r="BR56" s="174">
        <f t="shared" si="50"/>
        <v>0.97276948235947047</v>
      </c>
      <c r="BS56" s="174">
        <f t="shared" si="50"/>
        <v>0.97533237407412487</v>
      </c>
      <c r="BT56" s="174">
        <f t="shared" si="50"/>
        <v>0.98739011742161287</v>
      </c>
      <c r="BU56" s="174">
        <f t="shared" si="50"/>
        <v>1.0344913751182434</v>
      </c>
    </row>
    <row r="57" spans="1:85" ht="15">
      <c r="A57" s="214"/>
    </row>
    <row r="58" spans="1:85" ht="15">
      <c r="A58" s="214"/>
    </row>
    <row r="59" spans="1:85" ht="36">
      <c r="A59" s="214"/>
      <c r="AW59" s="442" t="s">
        <v>430</v>
      </c>
      <c r="AX59" s="161">
        <v>1</v>
      </c>
      <c r="AY59" s="161">
        <v>2</v>
      </c>
      <c r="AZ59" s="161">
        <v>3</v>
      </c>
      <c r="BA59" s="161">
        <v>4</v>
      </c>
      <c r="BB59" s="161">
        <v>5</v>
      </c>
      <c r="BC59" s="161">
        <v>6</v>
      </c>
      <c r="BD59" s="161">
        <v>7</v>
      </c>
      <c r="BE59" s="161">
        <v>8</v>
      </c>
      <c r="BF59" s="161">
        <v>9</v>
      </c>
      <c r="BG59" s="161">
        <v>10</v>
      </c>
      <c r="BH59" s="161">
        <v>11</v>
      </c>
      <c r="BI59" s="161">
        <v>12</v>
      </c>
      <c r="BJ59" s="443" t="s">
        <v>283</v>
      </c>
    </row>
    <row r="60" spans="1:85" ht="15">
      <c r="A60" s="214"/>
      <c r="AW60" s="176">
        <v>2017</v>
      </c>
      <c r="AX60" s="175">
        <f>B53</f>
        <v>0.9673763063848585</v>
      </c>
      <c r="AY60" s="175">
        <f t="shared" ref="AY60:BI60" si="51">C53</f>
        <v>0.99531495371026235</v>
      </c>
      <c r="AZ60" s="175">
        <f t="shared" si="51"/>
        <v>1.0371562302813144</v>
      </c>
      <c r="BA60" s="175">
        <f t="shared" si="51"/>
        <v>1.0284775989894912</v>
      </c>
      <c r="BB60" s="175">
        <f t="shared" si="51"/>
        <v>0.98350711296042159</v>
      </c>
      <c r="BC60" s="175">
        <f t="shared" si="51"/>
        <v>0.96939911763790709</v>
      </c>
      <c r="BD60" s="175">
        <f t="shared" si="51"/>
        <v>0.99994793471233745</v>
      </c>
      <c r="BE60" s="175">
        <f t="shared" si="51"/>
        <v>0.99693086105763873</v>
      </c>
      <c r="BF60" s="175">
        <f t="shared" si="51"/>
        <v>0.99948483176114478</v>
      </c>
      <c r="BG60" s="175">
        <f t="shared" si="51"/>
        <v>0.99911109293664391</v>
      </c>
      <c r="BH60" s="175">
        <f t="shared" si="51"/>
        <v>1.0034745229945115</v>
      </c>
      <c r="BI60" s="175">
        <f t="shared" si="51"/>
        <v>1.0501222488948203</v>
      </c>
    </row>
    <row r="61" spans="1:85" ht="15">
      <c r="A61" s="214"/>
      <c r="AW61" s="176">
        <v>2018</v>
      </c>
      <c r="AX61" s="175">
        <f>N53</f>
        <v>0.97899589265461595</v>
      </c>
      <c r="AY61" s="175">
        <f t="shared" ref="AY61:BI61" si="52">O53</f>
        <v>1.0039103443979123</v>
      </c>
      <c r="AZ61" s="175">
        <f t="shared" si="52"/>
        <v>1.043597710558398</v>
      </c>
      <c r="BA61" s="175">
        <f t="shared" si="52"/>
        <v>1.0144906392876194</v>
      </c>
      <c r="BB61" s="175">
        <f t="shared" si="52"/>
        <v>0.99938577942562179</v>
      </c>
      <c r="BC61" s="175">
        <f t="shared" si="52"/>
        <v>0.97787951639569337</v>
      </c>
      <c r="BD61" s="175">
        <f t="shared" si="52"/>
        <v>0.99545969480594043</v>
      </c>
      <c r="BE61" s="175">
        <f t="shared" si="52"/>
        <v>1.0016095280678834</v>
      </c>
      <c r="BF61" s="175">
        <f t="shared" si="52"/>
        <v>0.99191780071757907</v>
      </c>
      <c r="BG61" s="175">
        <f t="shared" si="52"/>
        <v>0.99184322454777751</v>
      </c>
      <c r="BH61" s="175">
        <f t="shared" si="52"/>
        <v>1.0007557120668902</v>
      </c>
      <c r="BI61" s="175">
        <f t="shared" si="52"/>
        <v>1.0469687281337077</v>
      </c>
    </row>
    <row r="62" spans="1:85" ht="15">
      <c r="A62" s="214"/>
      <c r="AW62" s="176">
        <v>2019</v>
      </c>
      <c r="AX62" s="175">
        <f>Z53</f>
        <v>0.98212762499751805</v>
      </c>
      <c r="AY62" s="175">
        <f t="shared" ref="AY62:BI62" si="53">AA53</f>
        <v>1.0184278244839255</v>
      </c>
      <c r="AZ62" s="175">
        <f t="shared" si="53"/>
        <v>1.0560027026163079</v>
      </c>
      <c r="BA62" s="175">
        <f t="shared" si="53"/>
        <v>1.0315153942237296</v>
      </c>
      <c r="BB62" s="175">
        <f t="shared" si="53"/>
        <v>0.98741293134528374</v>
      </c>
      <c r="BC62" s="175">
        <f t="shared" si="53"/>
        <v>0.9727228982711974</v>
      </c>
      <c r="BD62" s="175">
        <f t="shared" si="53"/>
        <v>0.99417993884750189</v>
      </c>
      <c r="BE62" s="175">
        <f t="shared" si="53"/>
        <v>0.99613841807303571</v>
      </c>
      <c r="BF62" s="175">
        <f>AH53</f>
        <v>0.97915918219699716</v>
      </c>
      <c r="BG62" s="175">
        <f t="shared" si="53"/>
        <v>0.99055270183718236</v>
      </c>
      <c r="BH62" s="175">
        <f t="shared" si="53"/>
        <v>1.0016405804223816</v>
      </c>
      <c r="BI62" s="175">
        <f t="shared" si="53"/>
        <v>1.042530558291455</v>
      </c>
    </row>
    <row r="63" spans="1:85" ht="18">
      <c r="A63" s="237" t="s">
        <v>241</v>
      </c>
      <c r="B63" s="213">
        <v>1</v>
      </c>
      <c r="C63" s="213">
        <v>2</v>
      </c>
      <c r="D63" s="213">
        <v>3</v>
      </c>
      <c r="E63" s="213">
        <v>4</v>
      </c>
      <c r="F63" s="213">
        <v>5</v>
      </c>
      <c r="G63" s="213">
        <v>6</v>
      </c>
      <c r="H63" s="213">
        <v>7</v>
      </c>
      <c r="I63" s="213">
        <v>8</v>
      </c>
      <c r="J63" s="213">
        <v>9</v>
      </c>
      <c r="K63" s="213">
        <v>10</v>
      </c>
      <c r="L63" s="213">
        <v>11</v>
      </c>
      <c r="M63" s="213">
        <v>12</v>
      </c>
      <c r="N63" s="241" t="s">
        <v>236</v>
      </c>
      <c r="AW63" s="176">
        <v>2020</v>
      </c>
      <c r="AX63" s="175">
        <f>AL53</f>
        <v>0.98589751264683501</v>
      </c>
      <c r="AY63" s="175">
        <f t="shared" ref="AY63:BH63" si="54">AM53</f>
        <v>1.0167685139377036</v>
      </c>
      <c r="AZ63" s="175">
        <f t="shared" si="54"/>
        <v>1.0589155663931584</v>
      </c>
      <c r="BA63" s="175">
        <f t="shared" si="54"/>
        <v>0.97875954687750844</v>
      </c>
      <c r="BB63" s="175">
        <f t="shared" si="54"/>
        <v>0.96379640386884924</v>
      </c>
      <c r="BC63" s="175">
        <f t="shared" si="54"/>
        <v>0.95476521261665537</v>
      </c>
      <c r="BD63" s="175">
        <f t="shared" si="54"/>
        <v>0.97584165584598126</v>
      </c>
      <c r="BE63" s="175">
        <f t="shared" si="54"/>
        <v>0.98857626112135055</v>
      </c>
      <c r="BF63" s="175">
        <f t="shared" si="54"/>
        <v>0.97337059353614686</v>
      </c>
      <c r="BG63" s="175">
        <f t="shared" si="54"/>
        <v>0.97310217430430435</v>
      </c>
      <c r="BH63" s="175">
        <f t="shared" si="54"/>
        <v>0.9919767667830699</v>
      </c>
      <c r="BI63" s="175">
        <f>AW53</f>
        <v>1.0537225454238137</v>
      </c>
    </row>
    <row r="64" spans="1:85">
      <c r="A64" s="176">
        <v>2017</v>
      </c>
      <c r="B64" s="180">
        <f>B$35</f>
        <v>-7.2123552123552107E-2</v>
      </c>
      <c r="C64" s="180">
        <f t="shared" ref="C64:M64" si="55">C$35</f>
        <v>3.3455392809587314E-2</v>
      </c>
      <c r="D64" s="180">
        <f t="shared" si="55"/>
        <v>8.7453696247382862E-2</v>
      </c>
      <c r="E64" s="180">
        <f t="shared" si="55"/>
        <v>-1.377369668246442E-2</v>
      </c>
      <c r="F64" s="180">
        <f t="shared" si="55"/>
        <v>2.7181258447214196E-2</v>
      </c>
      <c r="G64" s="180">
        <f t="shared" si="55"/>
        <v>7.6023391812865437E-2</v>
      </c>
      <c r="H64" s="180">
        <f t="shared" si="55"/>
        <v>-2.8532608695651662E-3</v>
      </c>
      <c r="I64" s="180">
        <f t="shared" si="55"/>
        <v>-3.0658127810328395E-2</v>
      </c>
      <c r="J64" s="180">
        <f t="shared" si="55"/>
        <v>3.3314590947427503E-2</v>
      </c>
      <c r="K64" s="180">
        <f t="shared" si="55"/>
        <v>3.5369337505102294E-3</v>
      </c>
      <c r="L64" s="180">
        <f t="shared" si="55"/>
        <v>1.3826758845058906E-2</v>
      </c>
      <c r="M64" s="180">
        <f t="shared" si="55"/>
        <v>0.173552613985827</v>
      </c>
      <c r="AW64" s="176">
        <v>2021</v>
      </c>
      <c r="AX64" s="175">
        <f t="shared" ref="AX64:BI64" si="56">AX53</f>
        <v>0.96341100929152856</v>
      </c>
      <c r="AY64" s="175">
        <f t="shared" si="56"/>
        <v>1.0009340644854476</v>
      </c>
      <c r="AZ64" s="175">
        <f t="shared" si="56"/>
        <v>1.0101317438185478</v>
      </c>
      <c r="BA64" s="175">
        <f t="shared" si="56"/>
        <v>1.0295222435030931</v>
      </c>
      <c r="BB64" s="175">
        <f t="shared" si="56"/>
        <v>0.97524138855078246</v>
      </c>
      <c r="BC64" s="175">
        <f t="shared" si="56"/>
        <v>0.97955686140576326</v>
      </c>
      <c r="BD64" s="175">
        <f t="shared" si="56"/>
        <v>1.0014651613084824</v>
      </c>
      <c r="BE64" s="175">
        <f t="shared" si="56"/>
        <v>0.99536364328243998</v>
      </c>
      <c r="BF64" s="175">
        <f t="shared" si="56"/>
        <v>0.99406131850256851</v>
      </c>
      <c r="BG64" s="175">
        <f t="shared" si="56"/>
        <v>0.99819665668210078</v>
      </c>
      <c r="BH64" s="175">
        <f t="shared" si="56"/>
        <v>1.0145970885439801</v>
      </c>
      <c r="BI64" s="175">
        <f t="shared" si="56"/>
        <v>1.0641714852516426</v>
      </c>
    </row>
    <row r="65" spans="1:62">
      <c r="A65" s="176">
        <v>2018</v>
      </c>
      <c r="B65" s="180">
        <f>N$35</f>
        <v>-0.12140025065512128</v>
      </c>
      <c r="C65" s="180">
        <f t="shared" ref="C65:M65" si="57">O$35</f>
        <v>1.513200466318354E-2</v>
      </c>
      <c r="D65" s="180">
        <f t="shared" si="57"/>
        <v>7.0742038997670065E-2</v>
      </c>
      <c r="E65" s="180">
        <f t="shared" si="57"/>
        <v>1.1727595282237768E-2</v>
      </c>
      <c r="F65" s="180">
        <f t="shared" si="57"/>
        <v>2.8832910389328559E-2</v>
      </c>
      <c r="G65" s="180">
        <f t="shared" si="57"/>
        <v>4.7728588211696676E-2</v>
      </c>
      <c r="H65" s="180">
        <f t="shared" si="57"/>
        <v>3.1844938886378404E-3</v>
      </c>
      <c r="I65" s="180">
        <f t="shared" si="57"/>
        <v>-2.1046249405688777E-2</v>
      </c>
      <c r="J65" s="180">
        <f t="shared" si="57"/>
        <v>7.2093106152419928E-3</v>
      </c>
      <c r="K65" s="180">
        <f t="shared" si="57"/>
        <v>1.9464720194647178E-2</v>
      </c>
      <c r="L65" s="180">
        <f t="shared" si="57"/>
        <v>-6.1835539162508057E-3</v>
      </c>
      <c r="M65" s="180">
        <f t="shared" si="57"/>
        <v>0.15413164501691945</v>
      </c>
      <c r="AW65" s="176">
        <v>2022</v>
      </c>
      <c r="AX65" s="175">
        <f>BJ53</f>
        <v>1.0050210753112523</v>
      </c>
      <c r="AY65" s="175"/>
      <c r="AZ65" s="175"/>
      <c r="BA65" s="175"/>
      <c r="BB65" s="175"/>
      <c r="BC65" s="175"/>
      <c r="BD65" s="175"/>
      <c r="BE65" s="175"/>
      <c r="BF65" s="175"/>
      <c r="BG65" s="175"/>
      <c r="BH65" s="175"/>
      <c r="BI65" s="175"/>
      <c r="BJ65" s="175"/>
    </row>
    <row r="66" spans="1:62">
      <c r="A66" s="176">
        <v>2019</v>
      </c>
      <c r="B66" s="180">
        <f>Z$35</f>
        <v>-0.12768372268987038</v>
      </c>
      <c r="C66" s="180">
        <f t="shared" ref="C66:L66" si="58">AA$35</f>
        <v>2.2335465683616995E-2</v>
      </c>
      <c r="D66" s="180">
        <f t="shared" si="58"/>
        <v>8.5693074557217086E-2</v>
      </c>
      <c r="E66" s="180">
        <f t="shared" si="58"/>
        <v>3.1259157956433636E-3</v>
      </c>
      <c r="F66" s="180">
        <f t="shared" si="58"/>
        <v>-2.9214139643587433E-3</v>
      </c>
      <c r="G66" s="180">
        <f t="shared" si="58"/>
        <v>5.3130188494970199E-2</v>
      </c>
      <c r="H66" s="180">
        <f t="shared" si="58"/>
        <v>1.7434851154595199E-2</v>
      </c>
      <c r="I66" s="180">
        <f t="shared" si="58"/>
        <v>-3.9558836933734409E-2</v>
      </c>
      <c r="J66" s="180">
        <f t="shared" si="58"/>
        <v>1.4241245136186631E-2</v>
      </c>
      <c r="K66" s="180">
        <f t="shared" si="58"/>
        <v>3.7690440588900032E-3</v>
      </c>
      <c r="L66" s="180">
        <f t="shared" si="58"/>
        <v>-4.4931921613373671E-3</v>
      </c>
      <c r="M66" s="180">
        <f>AK$35</f>
        <v>0.14837056167444196</v>
      </c>
      <c r="AW66" s="176">
        <v>2023</v>
      </c>
    </row>
    <row r="67" spans="1:62" ht="15">
      <c r="A67" s="176">
        <v>2020</v>
      </c>
      <c r="B67" s="180">
        <f>AL$35</f>
        <v>-0.1252983420053313</v>
      </c>
      <c r="C67" s="180">
        <f t="shared" ref="C67:L67" si="59">AM$35</f>
        <v>1.1186725086230975E-2</v>
      </c>
      <c r="D67" s="180">
        <f t="shared" si="59"/>
        <v>5.5222642205217998E-2</v>
      </c>
      <c r="E67" s="180">
        <f t="shared" si="59"/>
        <v>-8.8764633933251846E-2</v>
      </c>
      <c r="F67" s="180">
        <f t="shared" si="59"/>
        <v>1.0738255033557076E-2</v>
      </c>
      <c r="G67" s="180">
        <f t="shared" si="59"/>
        <v>9.8368431037753723E-2</v>
      </c>
      <c r="H67" s="180">
        <f t="shared" si="59"/>
        <v>1.943172985577335E-2</v>
      </c>
      <c r="I67" s="180">
        <f t="shared" si="59"/>
        <v>-3.032870213486949E-2</v>
      </c>
      <c r="J67" s="180">
        <f t="shared" si="59"/>
        <v>4.7352786999825369E-2</v>
      </c>
      <c r="K67" s="180">
        <f t="shared" si="59"/>
        <v>1.5515515515515554E-2</v>
      </c>
      <c r="L67" s="180">
        <f t="shared" si="59"/>
        <v>-1.5326918022014246E-2</v>
      </c>
      <c r="M67" s="180">
        <f>AW$35</f>
        <v>0.18282430330801813</v>
      </c>
      <c r="AW67" s="177" t="s">
        <v>280</v>
      </c>
      <c r="AX67" s="444">
        <f>AVERAGE(AX60:AX65)*$BJ$67</f>
        <v>0.97556921236336258</v>
      </c>
      <c r="AY67" s="444">
        <f t="shared" ref="AY67:BI67" si="60">AVERAGE(AY60:AY64)*$BJ$67</f>
        <v>1.0020357845020351</v>
      </c>
      <c r="AZ67" s="444">
        <f t="shared" si="60"/>
        <v>1.0359549867798774</v>
      </c>
      <c r="BA67" s="444">
        <f t="shared" si="60"/>
        <v>1.0114703191534069</v>
      </c>
      <c r="BB67" s="444">
        <f t="shared" si="60"/>
        <v>0.976959379614041</v>
      </c>
      <c r="BC67" s="444">
        <f t="shared" si="60"/>
        <v>0.96601039765911612</v>
      </c>
      <c r="BD67" s="444">
        <f t="shared" si="60"/>
        <v>0.98841198271852837</v>
      </c>
      <c r="BE67" s="444">
        <f t="shared" si="60"/>
        <v>0.99074512360886735</v>
      </c>
      <c r="BF67" s="444">
        <f t="shared" si="60"/>
        <v>0.98266075161617294</v>
      </c>
      <c r="BG67" s="444">
        <f t="shared" si="60"/>
        <v>0.98560836421129372</v>
      </c>
      <c r="BH67" s="444">
        <f t="shared" si="60"/>
        <v>0.99747648949135592</v>
      </c>
      <c r="BI67" s="444">
        <f t="shared" si="60"/>
        <v>1.0462455976330924</v>
      </c>
      <c r="BJ67" s="279">
        <v>0.995</v>
      </c>
    </row>
    <row r="68" spans="1:62" ht="15.75">
      <c r="A68" s="217" t="s">
        <v>213</v>
      </c>
      <c r="B68" s="277">
        <f t="shared" ref="B68:I68" si="61">AX$35</f>
        <v>-0.1299104309189647</v>
      </c>
      <c r="C68" s="277">
        <f t="shared" si="61"/>
        <v>1.7184080408527258E-2</v>
      </c>
      <c r="D68" s="277">
        <f t="shared" si="61"/>
        <v>8.4707944856163842E-2</v>
      </c>
      <c r="E68" s="277">
        <f t="shared" si="61"/>
        <v>-5.0690567146635113E-3</v>
      </c>
      <c r="F68" s="277">
        <f t="shared" si="61"/>
        <v>-3.2489108764675034E-3</v>
      </c>
      <c r="G68" s="277">
        <f t="shared" si="61"/>
        <v>6.030076301948295E-2</v>
      </c>
      <c r="H68" s="277">
        <f t="shared" si="61"/>
        <v>2.2357297561657052E-3</v>
      </c>
      <c r="I68" s="277">
        <f t="shared" si="61"/>
        <v>-2.4259323806204214E-2</v>
      </c>
      <c r="J68" s="238">
        <f>AVERAGE(J65:J66)</f>
        <v>1.0725277875714312E-2</v>
      </c>
      <c r="K68" s="238">
        <f>AVERAGE(K65:K66)</f>
        <v>1.1616882126768591E-2</v>
      </c>
      <c r="L68" s="238">
        <f>AVERAGE(L65:L66)</f>
        <v>-5.3383730387940864E-3</v>
      </c>
      <c r="M68" s="238">
        <f>AVERAGE(M65:M66)</f>
        <v>0.1512511033456807</v>
      </c>
    </row>
    <row r="69" spans="1:62" ht="36">
      <c r="A69" s="217" t="s">
        <v>422</v>
      </c>
      <c r="B69" s="238">
        <f>AVERAGE(B66:B68)</f>
        <v>-0.12763083187138879</v>
      </c>
      <c r="C69" s="238">
        <f>AVERAGE(C66:C68)</f>
        <v>1.6902090392791742E-2</v>
      </c>
      <c r="D69" s="238">
        <f t="shared" ref="D69:L69" si="62">AVERAGE(D66:D68)</f>
        <v>7.5207887206199642E-2</v>
      </c>
      <c r="E69" s="238">
        <f t="shared" si="62"/>
        <v>-3.0235924950757331E-2</v>
      </c>
      <c r="F69" s="238">
        <f t="shared" si="62"/>
        <v>1.5226433975769431E-3</v>
      </c>
      <c r="G69" s="238">
        <f t="shared" si="62"/>
        <v>7.0599794184068962E-2</v>
      </c>
      <c r="H69" s="238">
        <f t="shared" si="62"/>
        <v>1.3034103588844751E-2</v>
      </c>
      <c r="I69" s="238">
        <f t="shared" si="62"/>
        <v>-3.1382287624936035E-2</v>
      </c>
      <c r="J69" s="238">
        <f t="shared" si="62"/>
        <v>2.4106436670575437E-2</v>
      </c>
      <c r="K69" s="238">
        <f t="shared" si="62"/>
        <v>1.0300480567058049E-2</v>
      </c>
      <c r="L69" s="238">
        <f t="shared" si="62"/>
        <v>-8.3861610740485672E-3</v>
      </c>
      <c r="M69" s="238">
        <f>AVERAGE(M66:M68)</f>
        <v>0.16081532277604693</v>
      </c>
      <c r="AW69" s="442" t="s">
        <v>431</v>
      </c>
      <c r="AX69" s="161">
        <v>1</v>
      </c>
      <c r="AY69" s="161">
        <v>2</v>
      </c>
      <c r="AZ69" s="161">
        <v>3</v>
      </c>
      <c r="BA69" s="161">
        <v>4</v>
      </c>
      <c r="BB69" s="161">
        <v>5</v>
      </c>
      <c r="BC69" s="161">
        <v>6</v>
      </c>
      <c r="BD69" s="161">
        <v>7</v>
      </c>
      <c r="BE69" s="161">
        <v>8</v>
      </c>
      <c r="BF69" s="161">
        <v>9</v>
      </c>
      <c r="BG69" s="161">
        <v>10</v>
      </c>
      <c r="BH69" s="161">
        <v>11</v>
      </c>
      <c r="BI69" s="161">
        <v>12</v>
      </c>
    </row>
    <row r="70" spans="1:62">
      <c r="A70" s="445" t="s">
        <v>237</v>
      </c>
      <c r="AW70" s="176">
        <v>2017</v>
      </c>
      <c r="AX70" s="175">
        <f t="shared" ref="AX70:BI70" si="63">B56</f>
        <v>0.96796277845428991</v>
      </c>
      <c r="AY70" s="175">
        <f t="shared" si="63"/>
        <v>0.99640349790795535</v>
      </c>
      <c r="AZ70" s="175">
        <f t="shared" si="63"/>
        <v>1.037982639078149</v>
      </c>
      <c r="BA70" s="175">
        <f t="shared" si="63"/>
        <v>1.0301031713280806</v>
      </c>
      <c r="BB70" s="175">
        <f t="shared" si="63"/>
        <v>0.98697069619636002</v>
      </c>
      <c r="BC70" s="175">
        <f t="shared" si="63"/>
        <v>0.97368689953926058</v>
      </c>
      <c r="BD70" s="175">
        <f t="shared" si="63"/>
        <v>1.0050314980056476</v>
      </c>
      <c r="BE70" s="175">
        <f t="shared" si="63"/>
        <v>1.0038442460828798</v>
      </c>
      <c r="BF70" s="175">
        <f t="shared" si="63"/>
        <v>1.0039169773624166</v>
      </c>
      <c r="BG70" s="175">
        <f t="shared" si="63"/>
        <v>1.0010396402192379</v>
      </c>
      <c r="BH70" s="175">
        <f t="shared" si="63"/>
        <v>1.0051028647170634</v>
      </c>
      <c r="BI70" s="175">
        <f t="shared" si="63"/>
        <v>1.047622520554401</v>
      </c>
    </row>
    <row r="71" spans="1:62" ht="14.25">
      <c r="A71" s="161">
        <v>2021</v>
      </c>
      <c r="B71" s="446">
        <f>$AW$31*(1+B$68)</f>
        <v>12337</v>
      </c>
      <c r="C71" s="446">
        <f t="shared" ref="C71:M71" si="64">B$71*(1+C$68)</f>
        <v>12549</v>
      </c>
      <c r="D71" s="446">
        <f t="shared" si="64"/>
        <v>13612</v>
      </c>
      <c r="E71" s="446">
        <f t="shared" si="64"/>
        <v>13543</v>
      </c>
      <c r="F71" s="446">
        <f t="shared" si="64"/>
        <v>13499</v>
      </c>
      <c r="G71" s="446">
        <f t="shared" si="64"/>
        <v>14313</v>
      </c>
      <c r="H71" s="446">
        <f t="shared" si="64"/>
        <v>14345</v>
      </c>
      <c r="I71" s="446">
        <f t="shared" si="64"/>
        <v>13997</v>
      </c>
      <c r="J71" s="446">
        <f t="shared" si="64"/>
        <v>14147.121714426374</v>
      </c>
      <c r="K71" s="446">
        <f t="shared" si="64"/>
        <v>14311.467159815913</v>
      </c>
      <c r="L71" s="446">
        <f t="shared" si="64"/>
        <v>14235.067209384364</v>
      </c>
      <c r="M71" s="446">
        <f t="shared" si="64"/>
        <v>16388.136831003671</v>
      </c>
      <c r="N71" s="240">
        <f>AVERAGE(B71:M71)</f>
        <v>13939.732742885863</v>
      </c>
      <c r="AW71" s="176">
        <v>2018</v>
      </c>
      <c r="AX71" s="175">
        <f t="shared" ref="AX71:BI71" si="65">N56</f>
        <v>0.97311667708725369</v>
      </c>
      <c r="AY71" s="175">
        <f t="shared" si="65"/>
        <v>1.0032779793609099</v>
      </c>
      <c r="AZ71" s="175">
        <f t="shared" si="65"/>
        <v>1.046161920440795</v>
      </c>
      <c r="BA71" s="175">
        <f t="shared" si="65"/>
        <v>1.0176744093402326</v>
      </c>
      <c r="BB71" s="175">
        <f t="shared" si="65"/>
        <v>1.002202839668332</v>
      </c>
      <c r="BC71" s="175">
        <f t="shared" si="65"/>
        <v>0.98024573170225249</v>
      </c>
      <c r="BD71" s="175">
        <f t="shared" si="65"/>
        <v>0.99711069170484912</v>
      </c>
      <c r="BE71" s="175">
        <f t="shared" si="65"/>
        <v>0.99930254122251094</v>
      </c>
      <c r="BF71" s="175">
        <f t="shared" si="65"/>
        <v>0.98699099025791925</v>
      </c>
      <c r="BG71" s="175">
        <f t="shared" si="65"/>
        <v>0.98714839785723496</v>
      </c>
      <c r="BH71" s="175">
        <f t="shared" si="65"/>
        <v>0.99673481160894362</v>
      </c>
      <c r="BI71" s="175">
        <f t="shared" si="65"/>
        <v>1.0431290989880442</v>
      </c>
    </row>
    <row r="72" spans="1:62" ht="14.25">
      <c r="A72" s="161">
        <v>2022</v>
      </c>
      <c r="B72" s="446">
        <f>$BI$31*(1+B$69)</f>
        <v>14843.186921874692</v>
      </c>
      <c r="C72" s="446">
        <f t="shared" ref="C72:M72" si="66">$BI$31*(1+C$69)</f>
        <v>17302.385687615271</v>
      </c>
      <c r="D72" s="446">
        <f t="shared" si="66"/>
        <v>18294.447159236046</v>
      </c>
      <c r="E72" s="446">
        <f t="shared" si="66"/>
        <v>16500.341784147855</v>
      </c>
      <c r="F72" s="446">
        <f t="shared" si="66"/>
        <v>17040.707472881091</v>
      </c>
      <c r="G72" s="446">
        <f t="shared" si="66"/>
        <v>18216.041378083097</v>
      </c>
      <c r="H72" s="446">
        <f t="shared" si="66"/>
        <v>17236.572665743475</v>
      </c>
      <c r="I72" s="446">
        <f t="shared" si="66"/>
        <v>16480.83665251924</v>
      </c>
      <c r="J72" s="446">
        <f t="shared" si="66"/>
        <v>17424.966198662507</v>
      </c>
      <c r="K72" s="446">
        <f t="shared" si="66"/>
        <v>17190.06061675238</v>
      </c>
      <c r="L72" s="446">
        <f t="shared" si="66"/>
        <v>16872.111146557279</v>
      </c>
      <c r="M72" s="446">
        <f t="shared" si="66"/>
        <v>19751.040553969884</v>
      </c>
      <c r="N72" s="240">
        <f>AVERAGE(B72:M72)</f>
        <v>17262.724853170235</v>
      </c>
      <c r="AW72" s="176">
        <v>2019</v>
      </c>
      <c r="AX72" s="175">
        <f t="shared" ref="AX72:BI72" si="67">Z56</f>
        <v>0.97837136936396485</v>
      </c>
      <c r="AY72" s="175">
        <f t="shared" si="67"/>
        <v>1.0136131448967989</v>
      </c>
      <c r="AZ72" s="175">
        <f t="shared" si="67"/>
        <v>1.0554440368031062</v>
      </c>
      <c r="BA72" s="175">
        <f t="shared" si="67"/>
        <v>1.0311364645028336</v>
      </c>
      <c r="BB72" s="175">
        <f t="shared" si="67"/>
        <v>0.98849952512172679</v>
      </c>
      <c r="BC72" s="175">
        <f t="shared" si="67"/>
        <v>0.97314126932243095</v>
      </c>
      <c r="BD72" s="175">
        <f t="shared" si="67"/>
        <v>0.99688045921912571</v>
      </c>
      <c r="BE72" s="175">
        <f t="shared" si="67"/>
        <v>1.0007916700838306</v>
      </c>
      <c r="BF72" s="175">
        <f t="shared" si="67"/>
        <v>0.98513848163938678</v>
      </c>
      <c r="BG72" s="175">
        <f t="shared" si="67"/>
        <v>0.99643932585855122</v>
      </c>
      <c r="BH72" s="175">
        <f t="shared" si="67"/>
        <v>1.0090859975264945</v>
      </c>
      <c r="BI72" s="175">
        <f t="shared" si="67"/>
        <v>1.0510094519174231</v>
      </c>
    </row>
    <row r="73" spans="1:62">
      <c r="AW73" s="176">
        <v>2020</v>
      </c>
      <c r="AX73" s="175">
        <f t="shared" ref="AX73:BI73" si="68">AL56</f>
        <v>0.9939763921296435</v>
      </c>
      <c r="AY73" s="175">
        <f t="shared" si="68"/>
        <v>1.0233932477408321</v>
      </c>
      <c r="AZ73" s="175">
        <f t="shared" si="68"/>
        <v>1.059348309530755</v>
      </c>
      <c r="BA73" s="175">
        <f t="shared" si="68"/>
        <v>0.9770026093223575</v>
      </c>
      <c r="BB73" s="175">
        <f t="shared" si="68"/>
        <v>0.96332832068987051</v>
      </c>
      <c r="BC73" s="175">
        <f t="shared" si="68"/>
        <v>0.95425447753875203</v>
      </c>
      <c r="BD73" s="175">
        <f t="shared" si="68"/>
        <v>0.97350391546524695</v>
      </c>
      <c r="BE73" s="175">
        <f t="shared" si="68"/>
        <v>0.98565839848750469</v>
      </c>
      <c r="BF73" s="175">
        <f t="shared" si="68"/>
        <v>0.96917158694088512</v>
      </c>
      <c r="BG73" s="175">
        <f t="shared" si="68"/>
        <v>0.9685175546104331</v>
      </c>
      <c r="BH73" s="175">
        <f t="shared" si="68"/>
        <v>0.98730707742420809</v>
      </c>
      <c r="BI73" s="175">
        <f t="shared" si="68"/>
        <v>1.0484602943347026</v>
      </c>
    </row>
    <row r="74" spans="1:62">
      <c r="AW74" s="176">
        <v>2021</v>
      </c>
      <c r="AX74" s="175">
        <f t="shared" ref="AX74:BE74" si="69">AX56</f>
        <v>0.95854487122854348</v>
      </c>
      <c r="AY74" s="175">
        <f t="shared" si="69"/>
        <v>0.99680715395201491</v>
      </c>
      <c r="AZ74" s="175">
        <f t="shared" si="69"/>
        <v>1.0061350857412352</v>
      </c>
      <c r="BA74" s="175">
        <f t="shared" si="69"/>
        <v>1.0250967672123292</v>
      </c>
      <c r="BB74" s="175">
        <f t="shared" si="69"/>
        <v>0.97188450547213756</v>
      </c>
      <c r="BC74" s="175">
        <f t="shared" si="69"/>
        <v>0.97697147397851436</v>
      </c>
      <c r="BD74" s="175">
        <f t="shared" si="69"/>
        <v>0.99887928157099648</v>
      </c>
      <c r="BE74" s="175">
        <f t="shared" si="69"/>
        <v>0.99398590580521617</v>
      </c>
      <c r="BF74" s="175">
        <f>BF56</f>
        <v>0.99269811790837947</v>
      </c>
      <c r="BG74" s="175">
        <f>BG56</f>
        <v>0.99778083817598873</v>
      </c>
      <c r="BH74" s="175">
        <f>BH56</f>
        <v>1.0139018244675178</v>
      </c>
      <c r="BI74" s="175">
        <f>BI56</f>
        <v>1.0610038886127564</v>
      </c>
    </row>
    <row r="75" spans="1:62">
      <c r="AW75" s="176">
        <v>2022</v>
      </c>
      <c r="AX75" s="175">
        <f>BJ56</f>
        <v>0.99236247387803123</v>
      </c>
    </row>
    <row r="76" spans="1:62" ht="36">
      <c r="A76" s="244" t="s">
        <v>243</v>
      </c>
      <c r="B76" s="213">
        <v>1</v>
      </c>
      <c r="C76" s="213">
        <v>2</v>
      </c>
      <c r="D76" s="213">
        <v>3</v>
      </c>
      <c r="E76" s="213">
        <v>4</v>
      </c>
      <c r="F76" s="213">
        <v>5</v>
      </c>
      <c r="G76" s="213">
        <v>6</v>
      </c>
      <c r="H76" s="213">
        <v>7</v>
      </c>
      <c r="I76" s="213">
        <v>8</v>
      </c>
      <c r="J76" s="213">
        <v>9</v>
      </c>
      <c r="K76" s="213">
        <v>10</v>
      </c>
      <c r="L76" s="213">
        <v>11</v>
      </c>
      <c r="M76" s="213">
        <v>12</v>
      </c>
      <c r="N76" s="241" t="s">
        <v>236</v>
      </c>
      <c r="AW76" s="176">
        <v>2023</v>
      </c>
    </row>
    <row r="77" spans="1:62" ht="15">
      <c r="A77" s="176">
        <v>2017</v>
      </c>
      <c r="B77" s="180">
        <f>B$37</f>
        <v>0.84555210226939537</v>
      </c>
      <c r="C77" s="180">
        <f t="shared" ref="C77:M77" si="70">C$37</f>
        <v>0.87384037999179032</v>
      </c>
      <c r="D77" s="180">
        <f t="shared" si="70"/>
        <v>0.95026095115228992</v>
      </c>
      <c r="E77" s="180">
        <f t="shared" si="70"/>
        <v>0.93717234504192803</v>
      </c>
      <c r="F77" s="180">
        <f t="shared" si="70"/>
        <v>0.96264586876209457</v>
      </c>
      <c r="G77" s="180">
        <f t="shared" si="70"/>
        <v>1.0358294728200317</v>
      </c>
      <c r="H77" s="180">
        <f t="shared" si="70"/>
        <v>1.0328739811176919</v>
      </c>
      <c r="I77" s="180">
        <f t="shared" si="70"/>
        <v>1.001207998592623</v>
      </c>
      <c r="J77" s="180">
        <f t="shared" si="70"/>
        <v>1.0345628335190289</v>
      </c>
      <c r="K77" s="180">
        <f t="shared" si="70"/>
        <v>1.0382220137219258</v>
      </c>
      <c r="L77" s="180">
        <f t="shared" si="70"/>
        <v>1.0525772591332903</v>
      </c>
      <c r="M77" s="180">
        <f t="shared" si="70"/>
        <v>1.2352547938779099</v>
      </c>
      <c r="AW77" s="177" t="s">
        <v>280</v>
      </c>
      <c r="AX77" s="444">
        <f t="shared" ref="AX77:BI77" si="71">AVERAGE(AX70:AX74)*$BJ$77</f>
        <v>0.95977850138794796</v>
      </c>
      <c r="AY77" s="444">
        <f t="shared" si="71"/>
        <v>0.99159851970012658</v>
      </c>
      <c r="AZ77" s="444">
        <f t="shared" si="71"/>
        <v>1.0253991823440258</v>
      </c>
      <c r="BA77" s="444">
        <f t="shared" si="71"/>
        <v>1.0009596440760491</v>
      </c>
      <c r="BB77" s="444">
        <f t="shared" si="71"/>
        <v>0.96783851976824009</v>
      </c>
      <c r="BC77" s="444">
        <f t="shared" si="71"/>
        <v>0.95708507085999828</v>
      </c>
      <c r="BD77" s="444">
        <f t="shared" si="71"/>
        <v>0.97936695165527565</v>
      </c>
      <c r="BE77" s="444">
        <f t="shared" si="71"/>
        <v>0.98176580405134273</v>
      </c>
      <c r="BF77" s="444">
        <f t="shared" si="71"/>
        <v>0.97276948235947047</v>
      </c>
      <c r="BG77" s="444">
        <f t="shared" si="71"/>
        <v>0.97533237407412487</v>
      </c>
      <c r="BH77" s="444">
        <f t="shared" si="71"/>
        <v>0.98739011742161287</v>
      </c>
      <c r="BI77" s="444">
        <f t="shared" si="71"/>
        <v>1.0344913751182434</v>
      </c>
      <c r="BJ77" s="279">
        <v>0.98499999999999999</v>
      </c>
    </row>
    <row r="78" spans="1:62">
      <c r="A78" s="176">
        <v>2018</v>
      </c>
      <c r="B78" s="180">
        <f>N$37</f>
        <v>0.86963873173103601</v>
      </c>
      <c r="C78" s="180">
        <f t="shared" ref="C78:M78" si="72">O$37</f>
        <v>0.88279810907487499</v>
      </c>
      <c r="D78" s="180">
        <f t="shared" si="72"/>
        <v>0.94524904733411919</v>
      </c>
      <c r="E78" s="180">
        <f t="shared" si="72"/>
        <v>0.95633454560217446</v>
      </c>
      <c r="F78" s="180">
        <f t="shared" si="72"/>
        <v>0.98390845385774128</v>
      </c>
      <c r="G78" s="180">
        <f t="shared" si="72"/>
        <v>1.0308690152899245</v>
      </c>
      <c r="H78" s="180">
        <f t="shared" si="72"/>
        <v>1.0341518113691015</v>
      </c>
      <c r="I78" s="180">
        <f t="shared" si="72"/>
        <v>1.0123867944236826</v>
      </c>
      <c r="J78" s="180">
        <f t="shared" si="72"/>
        <v>1.019685405287452</v>
      </c>
      <c r="K78" s="180">
        <f t="shared" si="72"/>
        <v>1.0395332963879378</v>
      </c>
      <c r="L78" s="180">
        <f t="shared" si="72"/>
        <v>1.0331052862019849</v>
      </c>
      <c r="M78" s="180">
        <f t="shared" si="72"/>
        <v>1.1923395034399724</v>
      </c>
    </row>
    <row r="79" spans="1:62">
      <c r="A79" s="176">
        <v>2019</v>
      </c>
      <c r="B79" s="180">
        <f>Z$37</f>
        <v>0.87806631195250284</v>
      </c>
      <c r="C79" s="180">
        <f>AA$37</f>
        <v>0.89767833193105817</v>
      </c>
      <c r="D79" s="180">
        <f t="shared" ref="D79:M79" si="73">AB$37</f>
        <v>0.97460314815762461</v>
      </c>
      <c r="E79" s="180">
        <f t="shared" si="73"/>
        <v>0.97764967553293414</v>
      </c>
      <c r="F79" s="180">
        <f t="shared" si="73"/>
        <v>0.97479355611858143</v>
      </c>
      <c r="G79" s="180">
        <f t="shared" si="73"/>
        <v>1.026584521498844</v>
      </c>
      <c r="H79" s="180">
        <f t="shared" si="73"/>
        <v>1.0444828698287876</v>
      </c>
      <c r="I79" s="180">
        <f t="shared" si="73"/>
        <v>1.0031643423011518</v>
      </c>
      <c r="J79" s="180">
        <f t="shared" si="73"/>
        <v>1.0174506516117439</v>
      </c>
      <c r="K79" s="180">
        <f t="shared" si="73"/>
        <v>1.0212854679454149</v>
      </c>
      <c r="L79" s="180">
        <f t="shared" si="73"/>
        <v>1.0166966360863547</v>
      </c>
      <c r="M79" s="180">
        <f t="shared" si="73"/>
        <v>1.1675444870350031</v>
      </c>
    </row>
    <row r="80" spans="1:62">
      <c r="A80" s="176">
        <v>2020</v>
      </c>
      <c r="B80" s="180">
        <f>AL$37</f>
        <v>0.92507758320708833</v>
      </c>
      <c r="C80" s="180">
        <f t="shared" ref="C80:L80" si="74">AM$37</f>
        <v>0.93542617181386101</v>
      </c>
      <c r="D80" s="180">
        <f t="shared" si="74"/>
        <v>0.98708287660933469</v>
      </c>
      <c r="E80" s="180">
        <f t="shared" si="74"/>
        <v>0.89946482640532599</v>
      </c>
      <c r="F80" s="180">
        <f t="shared" si="74"/>
        <v>0.90912350910498052</v>
      </c>
      <c r="G80" s="180">
        <f t="shared" si="74"/>
        <v>0.99855256231517442</v>
      </c>
      <c r="H80" s="180">
        <f t="shared" si="74"/>
        <v>1.0179561659528733</v>
      </c>
      <c r="I80" s="180">
        <f t="shared" si="74"/>
        <v>0.98708287660933469</v>
      </c>
      <c r="J80" s="180">
        <f t="shared" si="74"/>
        <v>1.0338240018165914</v>
      </c>
      <c r="K80" s="180">
        <f t="shared" si="74"/>
        <v>1.0498643141570889</v>
      </c>
      <c r="L80" s="180">
        <f t="shared" si="74"/>
        <v>1.0337731298797652</v>
      </c>
      <c r="M80" s="180">
        <f>AW$37</f>
        <v>1.2227719821285827</v>
      </c>
    </row>
    <row r="81" spans="1:27">
      <c r="A81" s="176">
        <v>2021</v>
      </c>
      <c r="B81" s="180">
        <f>AX$37</f>
        <v>0.87968370412179064</v>
      </c>
      <c r="C81" s="180">
        <f t="shared" ref="C81:M81" si="75">AY$37</f>
        <v>0.89480025962749055</v>
      </c>
      <c r="D81" s="180">
        <f t="shared" si="75"/>
        <v>0.97059695067729712</v>
      </c>
      <c r="E81" s="180">
        <f t="shared" si="75"/>
        <v>0.96567693968723445</v>
      </c>
      <c r="F81" s="180">
        <f t="shared" si="75"/>
        <v>0.96253954137473063</v>
      </c>
      <c r="G81" s="180">
        <f t="shared" si="75"/>
        <v>1.02058141015605</v>
      </c>
      <c r="H81" s="180">
        <f t="shared" si="75"/>
        <v>1.0228631543833255</v>
      </c>
      <c r="I81" s="180">
        <f t="shared" si="75"/>
        <v>0.99804918591170499</v>
      </c>
      <c r="J81" s="180">
        <f t="shared" si="75"/>
        <v>1.0153048766304755</v>
      </c>
      <c r="K81" s="180">
        <f t="shared" si="75"/>
        <v>1.0345221790726946</v>
      </c>
      <c r="L81" s="180">
        <f t="shared" si="75"/>
        <v>1.0221498709120072</v>
      </c>
      <c r="M81" s="180">
        <f t="shared" si="75"/>
        <v>1.2132319274452008</v>
      </c>
    </row>
    <row r="82" spans="1:27">
      <c r="A82" s="176">
        <v>2022</v>
      </c>
      <c r="B82" s="180">
        <f>BJ$37</f>
        <v>0.98120610998284719</v>
      </c>
      <c r="C82" s="180">
        <f t="shared" ref="C82:M82" si="76">BK$37</f>
        <v>0.97351914254081717</v>
      </c>
      <c r="D82" s="180">
        <f t="shared" si="76"/>
        <v>0.99469599720217006</v>
      </c>
      <c r="E82" s="180">
        <f t="shared" si="76"/>
        <v>0.92876613316087286</v>
      </c>
      <c r="F82" s="180">
        <f t="shared" si="76"/>
        <v>0.91821559468615765</v>
      </c>
      <c r="G82" s="180">
        <f t="shared" si="76"/>
        <v>0.92411242132610427</v>
      </c>
      <c r="H82" s="180">
        <f t="shared" si="76"/>
        <v>0.97832856162445836</v>
      </c>
      <c r="I82" s="180">
        <f t="shared" si="76"/>
        <v>0.98818165389441193</v>
      </c>
      <c r="J82" s="180">
        <f t="shared" si="76"/>
        <v>0.98564323012316968</v>
      </c>
      <c r="K82" s="180">
        <f t="shared" si="76"/>
        <v>1.0962124889286984</v>
      </c>
      <c r="L82" s="180">
        <f t="shared" si="76"/>
        <v>1.1070815026008607</v>
      </c>
      <c r="M82" s="180">
        <f t="shared" si="76"/>
        <v>1.1240371639294335</v>
      </c>
    </row>
    <row r="83" spans="1:27">
      <c r="A83" s="176">
        <v>2023</v>
      </c>
      <c r="B83" s="180">
        <f>BV$37</f>
        <v>0.89026494802778133</v>
      </c>
      <c r="C83" s="180">
        <f t="shared" ref="C83:M83" si="77">BW$37</f>
        <v>0.89963044733671083</v>
      </c>
      <c r="D83" s="180">
        <f t="shared" si="77"/>
        <v>0.90793947263823049</v>
      </c>
      <c r="E83" s="180">
        <f t="shared" si="77"/>
        <v>0.98671376250931619</v>
      </c>
      <c r="F83" s="180">
        <f>BZ$37</f>
        <v>0.99937733705775045</v>
      </c>
      <c r="G83" s="180">
        <f t="shared" si="77"/>
        <v>1.0158522787032864</v>
      </c>
      <c r="H83" s="180">
        <f t="shared" si="77"/>
        <v>1.0205912909891035</v>
      </c>
      <c r="I83" s="180">
        <f t="shared" si="77"/>
        <v>1.0160115787465402</v>
      </c>
      <c r="J83" s="180">
        <f t="shared" si="77"/>
        <v>1.034420146033211</v>
      </c>
      <c r="K83" s="180">
        <f t="shared" si="77"/>
        <v>1.0465426053059828</v>
      </c>
      <c r="L83" s="180">
        <f t="shared" si="77"/>
        <v>1.0375923293636724</v>
      </c>
      <c r="M83" s="180">
        <f t="shared" si="77"/>
        <v>1.1450638032884144</v>
      </c>
      <c r="N83" s="180"/>
    </row>
    <row r="84" spans="1:27" ht="15">
      <c r="A84" s="217" t="s">
        <v>213</v>
      </c>
      <c r="B84" s="245">
        <f>AX$37</f>
        <v>0.87968370412179064</v>
      </c>
      <c r="C84" s="245">
        <f t="shared" ref="C84:M84" si="78">AY$37</f>
        <v>0.89480025962749055</v>
      </c>
      <c r="D84" s="245">
        <f t="shared" si="78"/>
        <v>0.97059695067729712</v>
      </c>
      <c r="E84" s="245">
        <f t="shared" si="78"/>
        <v>0.96567693968723445</v>
      </c>
      <c r="F84" s="245">
        <f t="shared" si="78"/>
        <v>0.96253954137473063</v>
      </c>
      <c r="G84" s="245">
        <f t="shared" si="78"/>
        <v>1.02058141015605</v>
      </c>
      <c r="H84" s="245">
        <f t="shared" si="78"/>
        <v>1.0228631543833255</v>
      </c>
      <c r="I84" s="245">
        <f t="shared" si="78"/>
        <v>0.99804918591170499</v>
      </c>
      <c r="J84" s="245">
        <f t="shared" si="78"/>
        <v>1.0153048766304755</v>
      </c>
      <c r="K84" s="245">
        <f t="shared" si="78"/>
        <v>1.0345221790726946</v>
      </c>
      <c r="L84" s="245">
        <f t="shared" si="78"/>
        <v>1.0221498709120072</v>
      </c>
      <c r="M84" s="245">
        <f t="shared" si="78"/>
        <v>1.2132319274452008</v>
      </c>
    </row>
    <row r="85" spans="1:27" ht="15">
      <c r="A85" s="217" t="s">
        <v>422</v>
      </c>
      <c r="B85" s="245">
        <f t="shared" ref="B85:M85" si="79">AVERAGE(B79:B84)</f>
        <v>0.90566372690230013</v>
      </c>
      <c r="C85" s="245">
        <f t="shared" si="79"/>
        <v>0.91597576881290477</v>
      </c>
      <c r="D85" s="245">
        <f>AVERAGE(D79:D84)</f>
        <v>0.96758589932699246</v>
      </c>
      <c r="E85" s="245">
        <f t="shared" si="79"/>
        <v>0.95399137949715307</v>
      </c>
      <c r="F85" s="245">
        <f t="shared" si="79"/>
        <v>0.95443151328615505</v>
      </c>
      <c r="G85" s="245">
        <f t="shared" si="79"/>
        <v>1.001044100692585</v>
      </c>
      <c r="H85" s="245">
        <f t="shared" si="79"/>
        <v>1.0178475328603123</v>
      </c>
      <c r="I85" s="245">
        <f t="shared" si="79"/>
        <v>0.99842313722914133</v>
      </c>
      <c r="J85" s="245">
        <f t="shared" si="79"/>
        <v>1.0169912971409445</v>
      </c>
      <c r="K85" s="245">
        <f t="shared" si="79"/>
        <v>1.0471582057470956</v>
      </c>
      <c r="L85" s="245">
        <f t="shared" si="79"/>
        <v>1.0399072232924447</v>
      </c>
      <c r="M85" s="245">
        <f t="shared" si="79"/>
        <v>1.1809802152119724</v>
      </c>
    </row>
    <row r="86" spans="1:27" ht="15">
      <c r="A86" s="869" t="s">
        <v>1921</v>
      </c>
      <c r="B86" s="870">
        <f>AVERAGE(B80:B83)</f>
        <v>0.91905808633487684</v>
      </c>
      <c r="C86" s="870">
        <f t="shared" ref="C86:M86" si="80">AVERAGE(C80:C83)</f>
        <v>0.92584400532971989</v>
      </c>
      <c r="D86" s="870">
        <f>AVERAGE(D83,D81)</f>
        <v>0.93926821165776375</v>
      </c>
      <c r="E86" s="870">
        <f t="shared" si="80"/>
        <v>0.94515541544068737</v>
      </c>
      <c r="F86" s="870">
        <f t="shared" si="80"/>
        <v>0.9473139955559049</v>
      </c>
      <c r="G86" s="870">
        <f t="shared" si="80"/>
        <v>0.9897746681251538</v>
      </c>
      <c r="H86" s="870">
        <f t="shared" si="80"/>
        <v>1.0099347932374401</v>
      </c>
      <c r="I86" s="870">
        <f t="shared" si="80"/>
        <v>0.99733132379049794</v>
      </c>
      <c r="J86" s="870">
        <f t="shared" si="80"/>
        <v>1.017298063650862</v>
      </c>
      <c r="K86" s="870">
        <f t="shared" si="80"/>
        <v>1.0567853968661161</v>
      </c>
      <c r="L86" s="870">
        <f t="shared" si="80"/>
        <v>1.0501492081890764</v>
      </c>
      <c r="M86" s="870">
        <f t="shared" si="80"/>
        <v>1.1762762191979079</v>
      </c>
    </row>
    <row r="87" spans="1:27" ht="15">
      <c r="A87" s="217"/>
      <c r="B87" s="245"/>
      <c r="C87" s="245"/>
      <c r="D87" s="245"/>
      <c r="E87" s="245"/>
      <c r="F87" s="245"/>
      <c r="G87" s="245"/>
      <c r="H87" s="245"/>
      <c r="I87" s="245"/>
      <c r="J87" s="245"/>
      <c r="K87" s="245"/>
      <c r="L87" s="245"/>
      <c r="M87" s="245"/>
    </row>
    <row r="89" spans="1:27" ht="15.75">
      <c r="Z89" s="402" t="s">
        <v>236</v>
      </c>
    </row>
    <row r="90" spans="1:27" ht="12.75" customHeight="1">
      <c r="A90" s="924" t="s">
        <v>245</v>
      </c>
      <c r="B90" s="925">
        <v>2021</v>
      </c>
      <c r="C90" s="925"/>
      <c r="D90" s="925"/>
      <c r="E90" s="925"/>
      <c r="F90" s="925"/>
      <c r="G90" s="925"/>
      <c r="H90" s="925"/>
      <c r="I90" s="925"/>
      <c r="J90" s="925"/>
      <c r="K90" s="925"/>
      <c r="L90" s="925"/>
      <c r="M90" s="925"/>
      <c r="N90" s="926">
        <v>2022</v>
      </c>
      <c r="O90" s="926"/>
      <c r="P90" s="926"/>
      <c r="Q90" s="926"/>
      <c r="R90" s="926"/>
      <c r="S90" s="926"/>
      <c r="T90" s="926"/>
      <c r="U90" s="926"/>
      <c r="V90" s="926"/>
      <c r="W90" s="926"/>
      <c r="X90" s="926"/>
      <c r="Y90" s="926"/>
      <c r="Z90" s="927">
        <v>2021</v>
      </c>
      <c r="AA90" s="927">
        <v>2022</v>
      </c>
    </row>
    <row r="91" spans="1:27" ht="12.75" customHeight="1">
      <c r="A91" s="924"/>
      <c r="B91" s="447">
        <v>1</v>
      </c>
      <c r="C91" s="447">
        <v>2</v>
      </c>
      <c r="D91" s="447">
        <v>3</v>
      </c>
      <c r="E91" s="447">
        <v>4</v>
      </c>
      <c r="F91" s="447">
        <v>5</v>
      </c>
      <c r="G91" s="447">
        <v>6</v>
      </c>
      <c r="H91" s="447">
        <v>7</v>
      </c>
      <c r="I91" s="447">
        <v>8</v>
      </c>
      <c r="J91" s="447">
        <v>9</v>
      </c>
      <c r="K91" s="447">
        <v>10</v>
      </c>
      <c r="L91" s="447">
        <v>11</v>
      </c>
      <c r="M91" s="447">
        <v>12</v>
      </c>
      <c r="N91" s="448">
        <v>1</v>
      </c>
      <c r="O91" s="448">
        <v>2</v>
      </c>
      <c r="P91" s="448">
        <v>3</v>
      </c>
      <c r="Q91" s="448">
        <v>4</v>
      </c>
      <c r="R91" s="448">
        <v>5</v>
      </c>
      <c r="S91" s="448">
        <v>6</v>
      </c>
      <c r="T91" s="448">
        <v>7</v>
      </c>
      <c r="U91" s="448">
        <v>8</v>
      </c>
      <c r="V91" s="448">
        <v>9</v>
      </c>
      <c r="W91" s="448">
        <v>10</v>
      </c>
      <c r="X91" s="448">
        <v>11</v>
      </c>
      <c r="Y91" s="448">
        <v>12</v>
      </c>
      <c r="Z91" s="927"/>
      <c r="AA91" s="927"/>
    </row>
    <row r="92" spans="1:27">
      <c r="A92" s="178" t="s">
        <v>238</v>
      </c>
      <c r="B92" s="413">
        <f>$Z$92*B$84</f>
        <v>12331.259550428575</v>
      </c>
      <c r="C92" s="413">
        <f t="shared" ref="C92:M92" si="81">$Z$92*C$84</f>
        <v>12543.160906081559</v>
      </c>
      <c r="D92" s="413">
        <f t="shared" si="81"/>
        <v>13605.666288435905</v>
      </c>
      <c r="E92" s="413">
        <f t="shared" si="81"/>
        <v>13536.698394379038</v>
      </c>
      <c r="F92" s="413">
        <f t="shared" si="81"/>
        <v>13492.718867734078</v>
      </c>
      <c r="G92" s="413">
        <f t="shared" si="81"/>
        <v>14306.340110665817</v>
      </c>
      <c r="H92" s="413">
        <f t="shared" si="81"/>
        <v>14338.32522095306</v>
      </c>
      <c r="I92" s="413">
        <f t="shared" si="81"/>
        <v>13990.487146579297</v>
      </c>
      <c r="J92" s="413">
        <f t="shared" si="81"/>
        <v>14232.374543126569</v>
      </c>
      <c r="K92" s="413">
        <f t="shared" si="81"/>
        <v>14501.759485877856</v>
      </c>
      <c r="L92" s="413">
        <f t="shared" si="81"/>
        <v>14328.326532132698</v>
      </c>
      <c r="M92" s="413">
        <f t="shared" si="81"/>
        <v>17006.882953605585</v>
      </c>
      <c r="N92" s="413">
        <f>$AA$92*B$85</f>
        <v>13454.726802797442</v>
      </c>
      <c r="O92" s="413">
        <f t="shared" ref="O92:Y92" si="82">$AA$92*C$85</f>
        <v>13607.924620668258</v>
      </c>
      <c r="P92" s="413">
        <f t="shared" si="82"/>
        <v>14374.655346098625</v>
      </c>
      <c r="Q92" s="413">
        <f t="shared" si="82"/>
        <v>14172.692360398267</v>
      </c>
      <c r="R92" s="413">
        <f t="shared" si="82"/>
        <v>14179.23107859112</v>
      </c>
      <c r="S92" s="413">
        <f t="shared" si="82"/>
        <v>14871.717274621235</v>
      </c>
      <c r="T92" s="413">
        <f t="shared" si="82"/>
        <v>15121.352522727509</v>
      </c>
      <c r="U92" s="413">
        <f t="shared" si="82"/>
        <v>14832.779701752588</v>
      </c>
      <c r="V92" s="413">
        <f t="shared" si="82"/>
        <v>15108.632108581858</v>
      </c>
      <c r="W92" s="413">
        <f t="shared" si="82"/>
        <v>15556.797914193845</v>
      </c>
      <c r="X92" s="413">
        <f t="shared" si="82"/>
        <v>15449.07582587206</v>
      </c>
      <c r="Y92" s="413">
        <f t="shared" si="82"/>
        <v>17544.88524072263</v>
      </c>
      <c r="Z92" s="242">
        <f>$W$12</f>
        <v>14017.833333333334</v>
      </c>
      <c r="AA92" s="242">
        <f>$X$12</f>
        <v>14856.205899752118</v>
      </c>
    </row>
    <row r="93" spans="1:27">
      <c r="A93" s="178" t="s">
        <v>239</v>
      </c>
      <c r="B93" s="232">
        <f>AX$31</f>
        <v>12337</v>
      </c>
      <c r="C93" s="232">
        <f t="shared" ref="C93:L93" si="83">AY$31</f>
        <v>12549</v>
      </c>
      <c r="D93" s="232">
        <f t="shared" si="83"/>
        <v>13612</v>
      </c>
      <c r="E93" s="232">
        <f t="shared" si="83"/>
        <v>13543</v>
      </c>
      <c r="F93" s="232">
        <f>BB$31</f>
        <v>13499</v>
      </c>
      <c r="G93" s="232">
        <f t="shared" si="83"/>
        <v>14313</v>
      </c>
      <c r="H93" s="232">
        <f t="shared" si="83"/>
        <v>14345</v>
      </c>
      <c r="I93" s="232">
        <f t="shared" si="83"/>
        <v>13997</v>
      </c>
      <c r="J93" s="232">
        <f t="shared" si="83"/>
        <v>14239</v>
      </c>
      <c r="K93" s="232">
        <f>BG$31</f>
        <v>14508.510346865345</v>
      </c>
      <c r="L93" s="232">
        <f t="shared" si="83"/>
        <v>14334.996656588699</v>
      </c>
      <c r="M93" s="232">
        <f>BI$31</f>
        <v>17014.8</v>
      </c>
      <c r="N93" s="232">
        <f t="shared" ref="N93:Y93" si="84">BJ$31</f>
        <v>14665.915479110812</v>
      </c>
      <c r="O93" s="232">
        <f t="shared" si="84"/>
        <v>14784.977602788624</v>
      </c>
      <c r="P93" s="232">
        <f t="shared" si="84"/>
        <v>15901.256400886712</v>
      </c>
      <c r="Q93" s="232">
        <f t="shared" si="84"/>
        <v>15692.817244680533</v>
      </c>
      <c r="R93" s="232">
        <f t="shared" si="84"/>
        <v>15521.564723075833</v>
      </c>
      <c r="S93" s="232">
        <f t="shared" si="84"/>
        <v>16337.16387182461</v>
      </c>
      <c r="T93" s="232">
        <f t="shared" si="84"/>
        <v>16259.827770806916</v>
      </c>
      <c r="U93" s="232">
        <f t="shared" si="84"/>
        <v>15760.511493537855</v>
      </c>
      <c r="V93" s="232">
        <f t="shared" si="84"/>
        <v>15932.312011052376</v>
      </c>
      <c r="W93" s="232">
        <f t="shared" si="84"/>
        <v>16137.035571051367</v>
      </c>
      <c r="X93" s="232">
        <f t="shared" si="84"/>
        <v>15853.736648130662</v>
      </c>
      <c r="Y93" s="232">
        <f t="shared" si="84"/>
        <v>18716.280000000002</v>
      </c>
      <c r="Z93" s="232">
        <f>AVERAGE(B93:M93)</f>
        <v>14024.358916954501</v>
      </c>
      <c r="AA93" s="232">
        <f>AVERAGE(N93:Y93)</f>
        <v>15963.616568078856</v>
      </c>
    </row>
    <row r="94" spans="1:27">
      <c r="A94" s="178" t="s">
        <v>237</v>
      </c>
      <c r="B94" s="232">
        <f>B$71</f>
        <v>12337</v>
      </c>
      <c r="C94" s="232">
        <f t="shared" ref="C94:M94" si="85">C$71</f>
        <v>12549</v>
      </c>
      <c r="D94" s="232">
        <f t="shared" si="85"/>
        <v>13612</v>
      </c>
      <c r="E94" s="232">
        <f t="shared" si="85"/>
        <v>13543</v>
      </c>
      <c r="F94" s="232">
        <f t="shared" si="85"/>
        <v>13499</v>
      </c>
      <c r="G94" s="232">
        <f t="shared" si="85"/>
        <v>14313</v>
      </c>
      <c r="H94" s="232">
        <f t="shared" si="85"/>
        <v>14345</v>
      </c>
      <c r="I94" s="232">
        <f t="shared" si="85"/>
        <v>13997</v>
      </c>
      <c r="J94" s="232">
        <f t="shared" si="85"/>
        <v>14147.121714426374</v>
      </c>
      <c r="K94" s="232">
        <f t="shared" si="85"/>
        <v>14311.467159815913</v>
      </c>
      <c r="L94" s="232">
        <f t="shared" si="85"/>
        <v>14235.067209384364</v>
      </c>
      <c r="M94" s="232">
        <f t="shared" si="85"/>
        <v>16388.136831003671</v>
      </c>
      <c r="N94" s="232">
        <f>B$72</f>
        <v>14843.186921874692</v>
      </c>
      <c r="O94" s="232">
        <f t="shared" ref="O94:Y94" si="86">C$72</f>
        <v>17302.385687615271</v>
      </c>
      <c r="P94" s="232">
        <f t="shared" si="86"/>
        <v>18294.447159236046</v>
      </c>
      <c r="Q94" s="232">
        <f t="shared" si="86"/>
        <v>16500.341784147855</v>
      </c>
      <c r="R94" s="232">
        <f t="shared" si="86"/>
        <v>17040.707472881091</v>
      </c>
      <c r="S94" s="232">
        <f t="shared" si="86"/>
        <v>18216.041378083097</v>
      </c>
      <c r="T94" s="232">
        <f t="shared" si="86"/>
        <v>17236.572665743475</v>
      </c>
      <c r="U94" s="232">
        <f t="shared" si="86"/>
        <v>16480.83665251924</v>
      </c>
      <c r="V94" s="232">
        <f t="shared" si="86"/>
        <v>17424.966198662507</v>
      </c>
      <c r="W94" s="232">
        <f t="shared" si="86"/>
        <v>17190.06061675238</v>
      </c>
      <c r="X94" s="232">
        <f t="shared" si="86"/>
        <v>16872.111146557279</v>
      </c>
      <c r="Y94" s="232">
        <f t="shared" si="86"/>
        <v>19751.040553969884</v>
      </c>
      <c r="Z94" s="232">
        <f>AVERAGE(B94:M94)</f>
        <v>13939.732742885863</v>
      </c>
      <c r="AA94" s="232">
        <f>AVERAGE(N94:Y94)</f>
        <v>17262.724853170235</v>
      </c>
    </row>
    <row r="95" spans="1:27" ht="15.75">
      <c r="A95" s="236" t="s">
        <v>244</v>
      </c>
      <c r="B95" s="235">
        <f>AVERAGE(B92:B94)</f>
        <v>12335.086516809524</v>
      </c>
      <c r="C95" s="235">
        <f>AVERAGE(C92:C94)</f>
        <v>12547.05363536052</v>
      </c>
      <c r="D95" s="235">
        <f>AVERAGE(D92:D94)</f>
        <v>13609.888762811968</v>
      </c>
      <c r="E95" s="235">
        <f>AVERAGE(E92:E94)</f>
        <v>13540.899464793014</v>
      </c>
      <c r="F95" s="235">
        <f>AVERAGE(F92:F94)</f>
        <v>13496.906289244691</v>
      </c>
      <c r="G95" s="235">
        <f>AVERAGE(G92,G93*1.07,G94)</f>
        <v>14644.750036888605</v>
      </c>
      <c r="H95" s="235">
        <f>AVERAGE(H92,H93*1.07,H94)</f>
        <v>14677.491740317688</v>
      </c>
      <c r="I95" s="235">
        <f>AVERAGE(I92,I93*1.07,I94)</f>
        <v>14321.425715526433</v>
      </c>
      <c r="J95" s="235">
        <f>AVERAGE(J92,J93,J94)</f>
        <v>14206.165419184314</v>
      </c>
      <c r="K95" s="235">
        <f t="shared" ref="K95:Y95" si="87">AVERAGE(K92,K93,K94)</f>
        <v>14440.578997519704</v>
      </c>
      <c r="L95" s="235">
        <f t="shared" si="87"/>
        <v>14299.463466035255</v>
      </c>
      <c r="M95" s="235">
        <f t="shared" si="87"/>
        <v>16803.273261536418</v>
      </c>
      <c r="N95" s="235">
        <f t="shared" si="87"/>
        <v>14321.276401260982</v>
      </c>
      <c r="O95" s="235">
        <f t="shared" si="87"/>
        <v>15231.762637024052</v>
      </c>
      <c r="P95" s="235">
        <f t="shared" si="87"/>
        <v>16190.119635407129</v>
      </c>
      <c r="Q95" s="235">
        <f t="shared" si="87"/>
        <v>15455.283796408883</v>
      </c>
      <c r="R95" s="235">
        <f t="shared" si="87"/>
        <v>15580.501091516015</v>
      </c>
      <c r="S95" s="235">
        <f t="shared" si="87"/>
        <v>16474.974174842981</v>
      </c>
      <c r="T95" s="235">
        <f t="shared" si="87"/>
        <v>16205.917653092634</v>
      </c>
      <c r="U95" s="235">
        <f t="shared" si="87"/>
        <v>15691.375949269894</v>
      </c>
      <c r="V95" s="235">
        <f t="shared" si="87"/>
        <v>16155.303439432246</v>
      </c>
      <c r="W95" s="235">
        <f t="shared" si="87"/>
        <v>16294.631367332529</v>
      </c>
      <c r="X95" s="235">
        <f t="shared" si="87"/>
        <v>16058.307873520002</v>
      </c>
      <c r="Y95" s="235">
        <f t="shared" si="87"/>
        <v>18670.735264897507</v>
      </c>
      <c r="Z95" s="235">
        <f>AVERAGE(B95:M95)</f>
        <v>14076.915275502344</v>
      </c>
      <c r="AA95" s="235">
        <f>AVERAGE(N95:Y95)</f>
        <v>16027.515773667072</v>
      </c>
    </row>
    <row r="97" spans="1:62" ht="18">
      <c r="A97" s="266" t="s">
        <v>273</v>
      </c>
      <c r="B97" s="292">
        <v>12337</v>
      </c>
      <c r="C97" s="293">
        <v>12549</v>
      </c>
      <c r="D97" s="293">
        <v>13612</v>
      </c>
      <c r="E97" s="293">
        <v>13543</v>
      </c>
      <c r="F97" s="293">
        <v>13499</v>
      </c>
      <c r="G97" s="293">
        <v>14313</v>
      </c>
      <c r="H97" s="293">
        <v>14345</v>
      </c>
      <c r="I97" s="293">
        <v>13997</v>
      </c>
      <c r="J97" s="293">
        <v>14239</v>
      </c>
      <c r="K97" s="293">
        <v>14045</v>
      </c>
      <c r="L97" s="293">
        <v>14282</v>
      </c>
      <c r="M97" s="293">
        <v>17453</v>
      </c>
      <c r="N97" s="293">
        <v>14577</v>
      </c>
      <c r="O97" s="294">
        <f t="shared" ref="O97:Y97" si="88">O95*$M$98</f>
        <v>15253.333155039694</v>
      </c>
      <c r="P97" s="294">
        <f t="shared" si="88"/>
        <v>16213.047334294852</v>
      </c>
      <c r="Q97" s="294">
        <f t="shared" si="88"/>
        <v>15477.170854756087</v>
      </c>
      <c r="R97" s="294">
        <f t="shared" si="88"/>
        <v>15602.565476807207</v>
      </c>
      <c r="S97" s="294">
        <f t="shared" si="88"/>
        <v>16498.305271559384</v>
      </c>
      <c r="T97" s="294">
        <f t="shared" si="88"/>
        <v>16228.867724402593</v>
      </c>
      <c r="U97" s="294">
        <f t="shared" si="88"/>
        <v>15713.597350408409</v>
      </c>
      <c r="V97" s="294">
        <f t="shared" si="88"/>
        <v>16178.181833232935</v>
      </c>
      <c r="W97" s="294">
        <f t="shared" si="88"/>
        <v>16317.707070902972</v>
      </c>
      <c r="X97" s="294">
        <f t="shared" si="88"/>
        <v>16081.048906684773</v>
      </c>
      <c r="Y97" s="294">
        <f t="shared" si="88"/>
        <v>18697.175896950019</v>
      </c>
      <c r="Z97" s="235">
        <f>AVERAGE(B97:M97)</f>
        <v>14017.833333333334</v>
      </c>
      <c r="AA97" s="235">
        <f>AVERAGE(N97:Y97)</f>
        <v>16069.833406253243</v>
      </c>
    </row>
    <row r="98" spans="1:62" ht="18">
      <c r="A98" s="268" t="s">
        <v>274</v>
      </c>
      <c r="B98" s="275">
        <f t="shared" ref="B98:L98" si="89">B97/B95</f>
        <v>1.0001551252346603</v>
      </c>
      <c r="C98" s="275">
        <f t="shared" si="89"/>
        <v>1.0001551252346603</v>
      </c>
      <c r="D98" s="275">
        <f t="shared" si="89"/>
        <v>1.0001551252346603</v>
      </c>
      <c r="E98" s="275">
        <f t="shared" si="89"/>
        <v>1.0001551252346601</v>
      </c>
      <c r="F98" s="275">
        <f t="shared" si="89"/>
        <v>1.0001551252346605</v>
      </c>
      <c r="G98" s="275">
        <f t="shared" si="89"/>
        <v>0.97734682831369868</v>
      </c>
      <c r="H98" s="275">
        <f t="shared" si="89"/>
        <v>0.97734682831369857</v>
      </c>
      <c r="I98" s="275">
        <f t="shared" si="89"/>
        <v>0.97734682831369857</v>
      </c>
      <c r="J98" s="275">
        <f t="shared" si="89"/>
        <v>1.0023112908970739</v>
      </c>
      <c r="K98" s="275">
        <f t="shared" si="89"/>
        <v>0.97260643097567989</v>
      </c>
      <c r="L98" s="275">
        <f t="shared" si="89"/>
        <v>0.99877873277716089</v>
      </c>
      <c r="M98" s="366">
        <f>AVERAGE(B98:L98)*1.01</f>
        <v>1.0014161537656325</v>
      </c>
    </row>
    <row r="99" spans="1:62">
      <c r="K99" s="215">
        <f>K97/J97-1</f>
        <v>-1.3624552285975144E-2</v>
      </c>
      <c r="L99" s="215">
        <f>L97/K97-1</f>
        <v>1.6874332502669898E-2</v>
      </c>
      <c r="M99" s="215">
        <f>M97/L97-1</f>
        <v>0.22202772720907427</v>
      </c>
      <c r="O99" s="215">
        <f>O97/N97-1</f>
        <v>4.6397280307312494E-2</v>
      </c>
      <c r="P99" s="215">
        <f t="shared" ref="P99:Y99" si="90">P97/O97-1</f>
        <v>6.2918325424372368E-2</v>
      </c>
      <c r="Q99" s="215">
        <f t="shared" si="90"/>
        <v>-4.5387919023846535E-2</v>
      </c>
      <c r="R99" s="215">
        <f t="shared" si="90"/>
        <v>8.1019084965769927E-3</v>
      </c>
      <c r="S99" s="215">
        <f t="shared" si="90"/>
        <v>5.7409776365538789E-2</v>
      </c>
      <c r="T99" s="215">
        <f t="shared" si="90"/>
        <v>-1.6331225706028185E-2</v>
      </c>
      <c r="U99" s="215">
        <f t="shared" si="90"/>
        <v>-3.1750235613751232E-2</v>
      </c>
      <c r="V99" s="215">
        <f t="shared" si="90"/>
        <v>2.9565762216279046E-2</v>
      </c>
      <c r="W99" s="215">
        <f t="shared" si="90"/>
        <v>8.62428418151584E-3</v>
      </c>
      <c r="X99" s="215">
        <f t="shared" si="90"/>
        <v>-1.4503150668772391E-2</v>
      </c>
      <c r="Y99" s="215">
        <f t="shared" si="90"/>
        <v>0.16268385261720963</v>
      </c>
    </row>
    <row r="100" spans="1:62">
      <c r="N100" s="215">
        <f>N97/B97-1</f>
        <v>0.18156764205236287</v>
      </c>
      <c r="O100" s="215">
        <f t="shared" ref="O100:Y100" si="91">O97/C97-1</f>
        <v>0.21550188501392098</v>
      </c>
      <c r="P100" s="215">
        <f t="shared" si="91"/>
        <v>0.19108487616036229</v>
      </c>
      <c r="Q100" s="215">
        <f t="shared" si="91"/>
        <v>0.1428170165218996</v>
      </c>
      <c r="R100" s="215">
        <f t="shared" si="91"/>
        <v>0.1558312080011266</v>
      </c>
      <c r="S100" s="215">
        <f t="shared" si="91"/>
        <v>0.15267975068534789</v>
      </c>
      <c r="T100" s="215">
        <f t="shared" si="91"/>
        <v>0.13132573889178056</v>
      </c>
      <c r="U100" s="215">
        <f t="shared" si="91"/>
        <v>0.1226403765384303</v>
      </c>
      <c r="V100" s="215">
        <f t="shared" si="91"/>
        <v>0.13618806329327438</v>
      </c>
      <c r="W100" s="215">
        <f t="shared" si="91"/>
        <v>0.1618160961839068</v>
      </c>
      <c r="X100" s="215">
        <f t="shared" si="91"/>
        <v>0.12596617467334914</v>
      </c>
      <c r="Y100" s="215">
        <f t="shared" si="91"/>
        <v>7.1287222652267168E-2</v>
      </c>
    </row>
    <row r="102" spans="1:62" ht="18">
      <c r="A102" s="449" t="s">
        <v>5</v>
      </c>
      <c r="B102" s="450">
        <v>28.219770967741901</v>
      </c>
      <c r="C102" s="450">
        <v>27.884660714285701</v>
      </c>
      <c r="D102" s="450">
        <v>27.795558064516101</v>
      </c>
      <c r="E102" s="450">
        <v>27.93</v>
      </c>
      <c r="F102" s="450">
        <v>27.6</v>
      </c>
      <c r="G102" s="450">
        <v>27.239873333333321</v>
      </c>
      <c r="H102" s="450">
        <v>27.214548387096801</v>
      </c>
      <c r="I102" s="450">
        <v>26.76</v>
      </c>
      <c r="J102" s="450">
        <v>26.731762615434441</v>
      </c>
      <c r="K102" s="450">
        <v>26.37</v>
      </c>
      <c r="L102" s="450">
        <v>26.45</v>
      </c>
      <c r="M102" s="450">
        <v>27.21</v>
      </c>
      <c r="N102" s="466">
        <v>27.735029229050671</v>
      </c>
      <c r="O102" s="430">
        <v>27.695781079827103</v>
      </c>
      <c r="P102" s="430">
        <v>27.996016710223071</v>
      </c>
      <c r="Q102" s="430">
        <v>27.812391454265658</v>
      </c>
      <c r="R102" s="430">
        <v>27.787267531395827</v>
      </c>
      <c r="S102" s="430">
        <v>27.832855113802921</v>
      </c>
      <c r="T102" s="430">
        <v>27.746789232136599</v>
      </c>
      <c r="U102" s="430">
        <v>27.434862258582381</v>
      </c>
      <c r="V102" s="430">
        <v>28.095481728182619</v>
      </c>
      <c r="W102" s="430">
        <v>27.867087272926195</v>
      </c>
      <c r="X102" s="430">
        <v>27.918801151006669</v>
      </c>
      <c r="Y102" s="430">
        <v>27.729707881651237</v>
      </c>
      <c r="Z102" s="451">
        <f>AVERAGE(B102:M102)</f>
        <v>27.283847840200682</v>
      </c>
      <c r="AA102" s="452">
        <f>AVERAGE(N102:Y102)</f>
        <v>27.804339220254239</v>
      </c>
    </row>
    <row r="104" spans="1:62" ht="15.75">
      <c r="A104" s="236" t="s">
        <v>246</v>
      </c>
      <c r="B104" s="413">
        <f>B97/B102</f>
        <v>437.17576638387527</v>
      </c>
      <c r="C104" s="413">
        <f t="shared" ref="C104:Y104" si="92">C97/C102</f>
        <v>450.03237186855824</v>
      </c>
      <c r="D104" s="413">
        <f t="shared" si="92"/>
        <v>489.71853590437973</v>
      </c>
      <c r="E104" s="413">
        <f t="shared" si="92"/>
        <v>484.89079842463303</v>
      </c>
      <c r="F104" s="413">
        <f t="shared" si="92"/>
        <v>489.09420289855069</v>
      </c>
      <c r="G104" s="413">
        <f t="shared" si="92"/>
        <v>525.44297195704064</v>
      </c>
      <c r="H104" s="413">
        <f t="shared" si="92"/>
        <v>527.10777323798527</v>
      </c>
      <c r="I104" s="413">
        <f t="shared" si="92"/>
        <v>523.05680119581461</v>
      </c>
      <c r="J104" s="413">
        <f t="shared" si="92"/>
        <v>532.66221927987112</v>
      </c>
      <c r="K104" s="413">
        <f t="shared" si="92"/>
        <v>532.61281759575274</v>
      </c>
      <c r="L104" s="413">
        <f t="shared" si="92"/>
        <v>539.96219281663514</v>
      </c>
      <c r="M104" s="413">
        <f t="shared" si="92"/>
        <v>641.41859610437336</v>
      </c>
      <c r="N104" s="413">
        <f t="shared" si="92"/>
        <v>525.58084145559599</v>
      </c>
      <c r="O104" s="413">
        <f t="shared" si="92"/>
        <v>550.74572950570553</v>
      </c>
      <c r="P104" s="413">
        <f t="shared" si="92"/>
        <v>579.11979057986741</v>
      </c>
      <c r="Q104" s="413">
        <f t="shared" si="92"/>
        <v>556.484719417478</v>
      </c>
      <c r="R104" s="413">
        <f t="shared" si="92"/>
        <v>561.50053110398255</v>
      </c>
      <c r="S104" s="413">
        <f t="shared" si="92"/>
        <v>592.76366740318758</v>
      </c>
      <c r="T104" s="413">
        <f t="shared" si="92"/>
        <v>584.89173607179612</v>
      </c>
      <c r="U104" s="413">
        <f t="shared" si="92"/>
        <v>572.76020569386174</v>
      </c>
      <c r="V104" s="413">
        <f t="shared" si="92"/>
        <v>575.82859727244249</v>
      </c>
      <c r="W104" s="413">
        <f t="shared" si="92"/>
        <v>585.55481278289778</v>
      </c>
      <c r="X104" s="413">
        <f>X97/X102</f>
        <v>575.99353280629452</v>
      </c>
      <c r="Y104" s="413">
        <f t="shared" si="92"/>
        <v>674.26515911196998</v>
      </c>
      <c r="Z104" s="413">
        <f>Z97/Z102</f>
        <v>513.7777272265505</v>
      </c>
      <c r="AA104" s="413">
        <f>AA97/AA102</f>
        <v>577.96134908852923</v>
      </c>
    </row>
    <row r="105" spans="1:62">
      <c r="AJ105" s="215">
        <f>AJ109/AJ110</f>
        <v>1.0009601950684153</v>
      </c>
      <c r="AK105" s="215">
        <f t="shared" ref="AK105:AO105" si="93">AK109/AK110</f>
        <v>1</v>
      </c>
      <c r="AL105" s="215">
        <f t="shared" si="93"/>
        <v>1</v>
      </c>
      <c r="AM105" s="215">
        <f t="shared" si="93"/>
        <v>1</v>
      </c>
      <c r="AN105" s="215">
        <f t="shared" si="93"/>
        <v>1</v>
      </c>
      <c r="AO105" s="215">
        <f t="shared" si="93"/>
        <v>1</v>
      </c>
    </row>
    <row r="106" spans="1:62">
      <c r="N106" s="232">
        <f>N104/8</f>
        <v>65.697605181949498</v>
      </c>
      <c r="Y106" s="215">
        <f>Y104/M104-1</f>
        <v>5.120924651559644E-2</v>
      </c>
    </row>
    <row r="107" spans="1:62" ht="18">
      <c r="A107" s="237" t="s">
        <v>242</v>
      </c>
      <c r="B107" s="215">
        <f t="shared" ref="B107:L107" si="94">B102/$B$109-1</f>
        <v>7.0109814687602245E-4</v>
      </c>
      <c r="C107" s="215">
        <f t="shared" si="94"/>
        <v>-1.1182244174265943E-2</v>
      </c>
      <c r="D107" s="215">
        <f t="shared" si="94"/>
        <v>-1.4341912605811968E-2</v>
      </c>
      <c r="E107" s="215">
        <f t="shared" si="94"/>
        <v>-9.5744680851063135E-3</v>
      </c>
      <c r="F107" s="215">
        <f t="shared" si="94"/>
        <v>-2.1276595744680771E-2</v>
      </c>
      <c r="G107" s="215">
        <f t="shared" si="94"/>
        <v>-3.4047044917258074E-2</v>
      </c>
      <c r="H107" s="215">
        <f t="shared" si="94"/>
        <v>-3.4945092656141763E-2</v>
      </c>
      <c r="I107" s="215">
        <f t="shared" si="94"/>
        <v>-5.1063829787234005E-2</v>
      </c>
      <c r="J107" s="215">
        <f t="shared" si="94"/>
        <v>-5.2065155481048175E-2</v>
      </c>
      <c r="K107" s="215">
        <f t="shared" si="94"/>
        <v>-6.4893617021276495E-2</v>
      </c>
      <c r="L107" s="215">
        <f t="shared" si="94"/>
        <v>-6.2056737588652489E-2</v>
      </c>
      <c r="M107" s="215">
        <f>M102/$B$109-1</f>
        <v>-3.5106382978723372E-2</v>
      </c>
      <c r="Y107" s="215">
        <f>Y97/M97-1</f>
        <v>7.1287222652267168E-2</v>
      </c>
      <c r="AJ107" s="923">
        <v>2022</v>
      </c>
      <c r="AK107" s="923"/>
      <c r="AL107" s="923"/>
      <c r="AM107" s="923"/>
      <c r="AN107" s="923">
        <v>2023</v>
      </c>
      <c r="AO107" s="923"/>
      <c r="AP107" s="923"/>
      <c r="AQ107" s="923"/>
      <c r="AR107" s="923">
        <v>2024</v>
      </c>
      <c r="AS107" s="923"/>
      <c r="AT107" s="923"/>
      <c r="AU107" s="923"/>
    </row>
    <row r="108" spans="1:62" ht="15.75">
      <c r="J108" s="234">
        <v>2021</v>
      </c>
      <c r="AI108" s="165" t="s">
        <v>1971</v>
      </c>
      <c r="AJ108" s="896" t="s">
        <v>472</v>
      </c>
      <c r="AK108" s="896" t="s">
        <v>473</v>
      </c>
      <c r="AL108" s="896" t="s">
        <v>474</v>
      </c>
      <c r="AM108" s="896" t="s">
        <v>475</v>
      </c>
      <c r="AN108" s="896" t="s">
        <v>472</v>
      </c>
      <c r="AO108" s="896" t="s">
        <v>473</v>
      </c>
      <c r="AP108" s="896" t="s">
        <v>474</v>
      </c>
      <c r="AQ108" s="896" t="s">
        <v>475</v>
      </c>
      <c r="AR108" s="896" t="s">
        <v>472</v>
      </c>
      <c r="AS108" s="896" t="s">
        <v>473</v>
      </c>
      <c r="AT108" s="896" t="s">
        <v>474</v>
      </c>
      <c r="AU108" s="896" t="s">
        <v>475</v>
      </c>
    </row>
    <row r="109" spans="1:62" ht="18">
      <c r="A109" s="233" t="s">
        <v>227</v>
      </c>
      <c r="B109" s="161">
        <v>28.2</v>
      </c>
      <c r="J109" s="177">
        <v>13600</v>
      </c>
      <c r="N109" s="392">
        <v>27.735029229050671</v>
      </c>
      <c r="O109" s="392">
        <v>27.695781079827103</v>
      </c>
      <c r="P109" s="392">
        <v>27.996016710223071</v>
      </c>
      <c r="Q109" s="392">
        <v>27.812391454265658</v>
      </c>
      <c r="R109" s="392">
        <v>27.787267531395827</v>
      </c>
      <c r="S109" s="392">
        <v>27.832855113802921</v>
      </c>
      <c r="T109" s="392">
        <v>27.746789232136599</v>
      </c>
      <c r="U109" s="392">
        <v>27.434862258582381</v>
      </c>
      <c r="V109" s="392">
        <v>28.095481728182619</v>
      </c>
      <c r="W109" s="392">
        <v>27.867087272926195</v>
      </c>
      <c r="X109" s="392">
        <v>27.918801151006669</v>
      </c>
      <c r="Y109" s="392">
        <v>27.729707881651237</v>
      </c>
      <c r="Z109" s="247">
        <f>AVERAGE(B97:I97)/Z97</f>
        <v>0.96479781706635592</v>
      </c>
      <c r="AJ109" s="895">
        <v>14619.760813126997</v>
      </c>
      <c r="AK109" s="895">
        <v>13722.648415904834</v>
      </c>
      <c r="AL109" s="895">
        <v>14619.266478706939</v>
      </c>
      <c r="AM109" s="895">
        <v>16477.172247386305</v>
      </c>
      <c r="AN109" s="894">
        <v>15435.962475449383</v>
      </c>
      <c r="AO109" s="894">
        <v>17175.953165254352</v>
      </c>
    </row>
    <row r="110" spans="1:62" ht="15.75">
      <c r="A110" s="233" t="s">
        <v>228</v>
      </c>
      <c r="J110" s="177">
        <v>13183</v>
      </c>
      <c r="AJ110" s="232">
        <f>AVERAGE(Z129:AB129)</f>
        <v>14605.736457010402</v>
      </c>
      <c r="AK110" s="232">
        <f>AVERAGE(AC129:AE129)</f>
        <v>13722.648415904834</v>
      </c>
      <c r="AL110" s="232">
        <f>AVERAGE(AF129:AH129)</f>
        <v>14619.266478706939</v>
      </c>
      <c r="AM110" s="232">
        <f>AVERAGE(AI129:AK129)</f>
        <v>16477.172247386305</v>
      </c>
      <c r="AN110" s="232">
        <f>AVERAGE(AL129:AN129)</f>
        <v>15435.962475449383</v>
      </c>
      <c r="AO110" s="232">
        <f>AVERAGE(AO129:AQ129)</f>
        <v>17175.953165254352</v>
      </c>
      <c r="AP110" s="232">
        <f>AVERAGE(AR129:AT129)</f>
        <v>17571.2</v>
      </c>
      <c r="AQ110" s="232">
        <f>AVERAGE(AU129:AW129)</f>
        <v>18476.22</v>
      </c>
      <c r="AR110" s="232">
        <f>AVERAGE(AX129:AZ129)</f>
        <v>19305.704231519772</v>
      </c>
      <c r="AS110" s="232">
        <f>AVERAGE(BA129:BC129)</f>
        <v>19985.757210388172</v>
      </c>
      <c r="AT110" s="232">
        <f>AVERAGE(BD129:BF129)</f>
        <v>20972.618460787129</v>
      </c>
      <c r="AU110" s="232">
        <f>AVERAGE(BG129:BI129)</f>
        <v>22766.099123720061</v>
      </c>
    </row>
    <row r="111" spans="1:62">
      <c r="AN111" s="232">
        <f>AN110/AN112</f>
        <v>422.09358696881003</v>
      </c>
      <c r="AO111" s="232">
        <f>AO110/AO112</f>
        <v>469.67331597632898</v>
      </c>
      <c r="AP111" s="232">
        <f>AP110/AP112</f>
        <v>480.48126879956249</v>
      </c>
      <c r="AQ111" s="232">
        <f>AQ110/AQ112</f>
        <v>505.54809209645026</v>
      </c>
      <c r="AR111" s="232">
        <f>AVERAGE(AX131:AZ131)</f>
        <v>503.89475061125194</v>
      </c>
      <c r="AS111" s="232">
        <f>AVERAGE(BA131:BC131)</f>
        <v>502.38424573395031</v>
      </c>
      <c r="AT111" s="232">
        <f>AVERAGE(BD131:BF131)</f>
        <v>515.59158225854196</v>
      </c>
      <c r="AU111" s="232">
        <f>AVERAGE(BG131:BI131)</f>
        <v>552.35603206768508</v>
      </c>
    </row>
    <row r="112" spans="1:62">
      <c r="B112" s="933">
        <v>2020</v>
      </c>
      <c r="C112" s="933"/>
      <c r="D112" s="933"/>
      <c r="E112" s="933"/>
      <c r="F112" s="933">
        <v>2021</v>
      </c>
      <c r="G112" s="933"/>
      <c r="H112" s="933"/>
      <c r="I112" s="933"/>
      <c r="J112" s="234">
        <v>2021</v>
      </c>
      <c r="AN112" s="218">
        <f>AVERAGE(AL123:AN123)</f>
        <v>36.57</v>
      </c>
      <c r="AO112" s="218">
        <f>AVERAGE(AO123:AQ123)</f>
        <v>36.57</v>
      </c>
      <c r="AP112" s="218">
        <f>AVERAGE(AR123:AT123)</f>
        <v>36.57</v>
      </c>
      <c r="AQ112" s="218">
        <f>AVERAGE(AU123:AW123)</f>
        <v>36.546908768622238</v>
      </c>
      <c r="AR112" s="612">
        <f>AVERAGE(AX130:AZ130)</f>
        <v>38.31760852677867</v>
      </c>
      <c r="AS112" s="612">
        <f>AVERAGE(BA130:BC130)</f>
        <v>39.778383891111723</v>
      </c>
      <c r="AT112" s="612">
        <f>AVERAGE(BD130:BF130)</f>
        <v>40.67673988482165</v>
      </c>
      <c r="AU112" s="612">
        <f>AVERAGE(BG130:BI130)</f>
        <v>41.209899135843294</v>
      </c>
      <c r="AX112" s="219">
        <v>18009.772993627608</v>
      </c>
      <c r="AY112" s="219">
        <v>18142.730259245323</v>
      </c>
      <c r="AZ112" s="219">
        <v>18399.661513575946</v>
      </c>
      <c r="BA112" s="219">
        <v>18520.690863539232</v>
      </c>
      <c r="BB112" s="219">
        <v>18562.918458420201</v>
      </c>
      <c r="BC112" s="219">
        <v>19395.140952480677</v>
      </c>
      <c r="BD112" s="219">
        <v>19790.297147582925</v>
      </c>
      <c r="BE112" s="219">
        <v>19543.269025103524</v>
      </c>
      <c r="BF112" s="219">
        <v>19934.541647671926</v>
      </c>
      <c r="BG112" s="219">
        <v>20708.508861531449</v>
      </c>
      <c r="BH112" s="219">
        <v>20578.483863578273</v>
      </c>
      <c r="BI112" s="219">
        <v>23131.571933866795</v>
      </c>
      <c r="BJ112" s="161" t="s">
        <v>1997</v>
      </c>
    </row>
    <row r="113" spans="1:73" ht="15.75">
      <c r="A113" s="233" t="s">
        <v>173</v>
      </c>
      <c r="B113" s="228" t="s">
        <v>230</v>
      </c>
      <c r="C113" s="228" t="s">
        <v>231</v>
      </c>
      <c r="D113" s="228" t="s">
        <v>232</v>
      </c>
      <c r="E113" s="228" t="s">
        <v>233</v>
      </c>
      <c r="F113" s="228" t="s">
        <v>230</v>
      </c>
      <c r="G113" s="228" t="s">
        <v>231</v>
      </c>
      <c r="H113" s="228" t="s">
        <v>232</v>
      </c>
      <c r="I113" s="228" t="s">
        <v>233</v>
      </c>
      <c r="W113" s="413"/>
      <c r="AN113" s="218">
        <f>AVERAGE(AL124:AN124)</f>
        <v>36.57</v>
      </c>
      <c r="AO113" s="218">
        <f>AVERAGE(AO124:AQ124)</f>
        <v>36.57</v>
      </c>
      <c r="AP113" s="218">
        <f>AVERAGE(AR124:AT124)</f>
        <v>38.995642564564996</v>
      </c>
      <c r="AQ113" s="218">
        <f>AVERAGE(AU124:AW124)</f>
        <v>40.371649083595109</v>
      </c>
    </row>
    <row r="114" spans="1:73" ht="15.75">
      <c r="A114" s="233"/>
      <c r="B114" s="228"/>
      <c r="C114" s="228"/>
      <c r="D114" s="228"/>
      <c r="E114" s="228"/>
      <c r="F114" s="228"/>
      <c r="G114" s="228"/>
      <c r="H114" s="228"/>
      <c r="I114" s="228"/>
      <c r="W114" s="413"/>
      <c r="AX114" s="232"/>
    </row>
    <row r="115" spans="1:73" ht="15.75">
      <c r="A115" s="233"/>
      <c r="B115" s="228"/>
      <c r="C115" s="228"/>
      <c r="D115" s="228"/>
      <c r="E115" s="228"/>
      <c r="F115" s="228"/>
      <c r="G115" s="228"/>
      <c r="H115" s="228"/>
      <c r="I115" s="228"/>
      <c r="W115" s="413"/>
      <c r="Z115" s="215">
        <f>Z129/X129-1</f>
        <v>2.0655370396303052E-2</v>
      </c>
      <c r="AK115" s="161">
        <v>2022</v>
      </c>
    </row>
    <row r="116" spans="1:73">
      <c r="A116" s="216" t="s">
        <v>234</v>
      </c>
      <c r="B116" s="232">
        <f>AVERAGE(Z$31:AB$31)</f>
        <v>9629.6666666666661</v>
      </c>
      <c r="C116" s="232">
        <f>AVERAGE(AC$31:AE$31)</f>
        <v>10430.333333333334</v>
      </c>
      <c r="D116" s="232">
        <f>AVERAGE(AF$31:AH$31)</f>
        <v>10731.686666666666</v>
      </c>
      <c r="E116" s="232">
        <f>AVERAGE(AI$31:AK$31)</f>
        <v>11223.363333333333</v>
      </c>
      <c r="AK116" s="161">
        <v>12</v>
      </c>
      <c r="AX116" s="232">
        <f>AW131</f>
        <v>535.24038449333057</v>
      </c>
    </row>
    <row r="117" spans="1:73" ht="18">
      <c r="A117" s="216" t="s">
        <v>229</v>
      </c>
      <c r="F117" s="215">
        <v>0.13500000000000001</v>
      </c>
      <c r="G117" s="215">
        <v>0.21099999999999999</v>
      </c>
      <c r="H117" s="215">
        <v>0.16400000000000001</v>
      </c>
      <c r="I117" s="215">
        <v>0.13900000000000001</v>
      </c>
      <c r="Y117" s="447"/>
      <c r="Z117" s="864"/>
      <c r="AA117" s="865"/>
      <c r="AB117" s="865"/>
      <c r="AC117" s="865"/>
      <c r="AD117" s="865"/>
      <c r="AE117" s="865"/>
      <c r="AF117" s="865"/>
      <c r="AG117" s="865"/>
      <c r="AH117" s="865"/>
      <c r="AI117" s="865"/>
      <c r="AJ117" s="865"/>
      <c r="AK117" s="864">
        <v>2022</v>
      </c>
      <c r="AL117" s="929">
        <v>2023</v>
      </c>
      <c r="AM117" s="930"/>
      <c r="AN117" s="930"/>
      <c r="AO117" s="930"/>
      <c r="AP117" s="930"/>
      <c r="AQ117" s="930"/>
      <c r="AR117" s="930"/>
      <c r="AS117" s="930"/>
      <c r="AT117" s="930"/>
      <c r="AU117" s="930"/>
      <c r="AV117" s="930"/>
      <c r="AW117" s="931"/>
    </row>
    <row r="118" spans="1:73">
      <c r="Y118" s="447"/>
      <c r="Z118" s="447">
        <v>1</v>
      </c>
      <c r="AA118" s="447">
        <v>2</v>
      </c>
      <c r="AB118" s="447">
        <v>3</v>
      </c>
      <c r="AC118" s="447">
        <v>4</v>
      </c>
      <c r="AD118" s="447">
        <v>5</v>
      </c>
      <c r="AE118" s="447">
        <v>6</v>
      </c>
      <c r="AF118" s="447">
        <v>7</v>
      </c>
      <c r="AG118" s="447">
        <v>8</v>
      </c>
      <c r="AH118" s="447">
        <v>9</v>
      </c>
      <c r="AI118" s="447">
        <v>10</v>
      </c>
      <c r="AJ118" s="447">
        <v>11</v>
      </c>
      <c r="AK118" s="447">
        <v>12</v>
      </c>
      <c r="AL118" s="448">
        <v>1</v>
      </c>
      <c r="AM118" s="448">
        <v>2</v>
      </c>
      <c r="AN118" s="448">
        <v>3</v>
      </c>
      <c r="AO118" s="448">
        <v>4</v>
      </c>
      <c r="AP118" s="448">
        <v>5</v>
      </c>
      <c r="AQ118" s="448">
        <v>6</v>
      </c>
      <c r="AR118" s="448">
        <v>7</v>
      </c>
      <c r="AS118" s="448">
        <v>8</v>
      </c>
      <c r="AT118" s="448">
        <v>9</v>
      </c>
      <c r="AU118" s="448">
        <v>10</v>
      </c>
      <c r="AV118" s="448">
        <v>11</v>
      </c>
      <c r="AW118" s="448">
        <v>12</v>
      </c>
    </row>
    <row r="119" spans="1:73" ht="15.75">
      <c r="A119" s="211" t="s">
        <v>235</v>
      </c>
      <c r="F119" s="413">
        <f>B116*(1+F$117)</f>
        <v>10929.671666666665</v>
      </c>
      <c r="G119" s="413">
        <f>C116*(1+G$117)</f>
        <v>12631.133666666668</v>
      </c>
      <c r="H119" s="413">
        <f>D116*(1+H$117)</f>
        <v>12491.683279999999</v>
      </c>
      <c r="I119" s="413">
        <f>E116*(1+I$117)</f>
        <v>12783.410836666666</v>
      </c>
      <c r="J119" s="235">
        <f>AVERAGE(F119:I119)</f>
        <v>12208.974862499999</v>
      </c>
      <c r="Y119" s="547" t="s">
        <v>450</v>
      </c>
      <c r="Z119" s="547">
        <f>'Прогноз Зарплати 2022'!Z112</f>
        <v>14577</v>
      </c>
      <c r="AA119" s="547">
        <f>'Прогноз Зарплати 2022'!AA112</f>
        <v>15272.75537308491</v>
      </c>
      <c r="AB119" s="547">
        <f>'Прогноз Зарплати 2022'!AB112</f>
        <v>14890.936488757787</v>
      </c>
      <c r="AC119" s="547">
        <f>'Прогноз Зарплати 2022'!AC112</f>
        <v>14150.920525117603</v>
      </c>
      <c r="AD119" s="547">
        <f>'Прогноз Зарплати 2022'!AD112</f>
        <v>14142.674067935133</v>
      </c>
      <c r="AE119" s="547">
        <f>'Прогноз Зарплати 2022'!AE112</f>
        <v>14495.210112485704</v>
      </c>
      <c r="AF119" s="547">
        <f>'Прогноз Зарплати 2022'!AF112</f>
        <v>14237.589049670072</v>
      </c>
      <c r="AG119" s="547">
        <f>'Прогноз Зарплати 2022'!AG112</f>
        <v>13565.359088885536</v>
      </c>
      <c r="AH119" s="547">
        <f>'Прогноз Зарплати 2022'!AH112</f>
        <v>14012.170619706394</v>
      </c>
      <c r="AI119" s="547">
        <f>'Прогноз Зарплати 2022'!AI112</f>
        <v>14124.879834688234</v>
      </c>
      <c r="AJ119" s="547">
        <f>'Прогноз Зарплати 2022'!AJ112</f>
        <v>14225.51306235059</v>
      </c>
      <c r="AK119" s="547">
        <f>'Прогноз Зарплати 2022'!AK112</f>
        <v>14995.155987512288</v>
      </c>
      <c r="AL119" s="547">
        <f t="array" ref="AL119:AW119">TRANSPOSE('ІЦВ (Стрим Інфл)+'!AX148:AX159)</f>
        <v>14577</v>
      </c>
      <c r="AM119" s="547">
        <v>15272.75537308491</v>
      </c>
      <c r="AN119" s="547">
        <v>14890.936488757787</v>
      </c>
      <c r="AO119" s="547">
        <v>14150.920525117603</v>
      </c>
      <c r="AP119" s="547">
        <v>14142.674067935133</v>
      </c>
      <c r="AQ119" s="547">
        <v>14495.210112485704</v>
      </c>
      <c r="AR119" s="547">
        <v>14237.589049670072</v>
      </c>
      <c r="AS119" s="547">
        <v>13565.359088885536</v>
      </c>
      <c r="AT119" s="547">
        <v>14012.170619706394</v>
      </c>
      <c r="AU119" s="547">
        <v>14124.879834688234</v>
      </c>
      <c r="AV119" s="547">
        <v>14225.51306235059</v>
      </c>
      <c r="AW119" s="547">
        <v>14995.155987512288</v>
      </c>
    </row>
    <row r="120" spans="1:73">
      <c r="Y120" s="547" t="s">
        <v>5</v>
      </c>
      <c r="Z120" s="867">
        <f>'Прогноз Зарплати 2022'!Z113</f>
        <v>27.981270967741931</v>
      </c>
      <c r="AA120" s="867">
        <f>'Прогноз Зарплати 2022'!AA113</f>
        <v>28.854337931034479</v>
      </c>
      <c r="AB120" s="867">
        <f>'Прогноз Зарплати 2022'!AB113</f>
        <v>33.616935483870961</v>
      </c>
      <c r="AC120" s="867">
        <f>'Прогноз Зарплати 2022'!AC113</f>
        <v>32.454333333333331</v>
      </c>
      <c r="AD120" s="867">
        <f>'Прогноз Зарплати 2022'!AD113</f>
        <v>35.100967741935484</v>
      </c>
      <c r="AE120" s="867">
        <f>'Прогноз Зарплати 2022'!AE113</f>
        <v>35.498333333333335</v>
      </c>
      <c r="AF120" s="867">
        <f>'Прогноз Зарплати 2022'!AF113</f>
        <v>38.5</v>
      </c>
      <c r="AG120" s="867">
        <f>'Прогноз Зарплати 2022'!AG113</f>
        <v>40.4</v>
      </c>
      <c r="AH120" s="867">
        <f>'Прогноз Зарплати 2022'!AH113</f>
        <v>41.1</v>
      </c>
      <c r="AI120" s="867">
        <f>'Прогноз Зарплати 2022'!AI113</f>
        <v>41.1</v>
      </c>
      <c r="AJ120" s="867">
        <f>'Прогноз Зарплати 2022'!AJ113</f>
        <v>41.2</v>
      </c>
      <c r="AK120" s="867">
        <f>'Прогноз Зарплати 2022'!AK113</f>
        <v>41.3</v>
      </c>
      <c r="AL120" s="867">
        <f t="array" ref="AL120:AW120">TRANSPOSE('ІЦВ (Стрим Інфл)+'!AH148:AH159)</f>
        <v>27.98</v>
      </c>
      <c r="AM120" s="867">
        <v>28.41</v>
      </c>
      <c r="AN120" s="867">
        <v>29.25</v>
      </c>
      <c r="AO120" s="867">
        <v>29.25</v>
      </c>
      <c r="AP120" s="867">
        <v>29.25</v>
      </c>
      <c r="AQ120" s="868">
        <v>29.25</v>
      </c>
      <c r="AR120" s="867">
        <v>36.57</v>
      </c>
      <c r="AS120" s="867">
        <v>36.57</v>
      </c>
      <c r="AT120" s="867">
        <v>36.57</v>
      </c>
      <c r="AU120" s="867">
        <v>36.57</v>
      </c>
      <c r="AV120" s="867">
        <v>36.57</v>
      </c>
      <c r="AW120" s="868">
        <v>36.57</v>
      </c>
      <c r="AX120" s="161">
        <f>(AW120/AQ120)^(1/6)</f>
        <v>1.037926295970506</v>
      </c>
    </row>
    <row r="121" spans="1:73">
      <c r="Y121" s="161" t="s">
        <v>451</v>
      </c>
      <c r="Z121" s="547">
        <f>'Прогноз Зарплати 2022'!Z114</f>
        <v>520.97927090779126</v>
      </c>
      <c r="AA121" s="547">
        <f>'Прогноз Зарплати 2022'!AA114</f>
        <v>537.58378645142238</v>
      </c>
      <c r="AB121" s="547">
        <f>'Прогноз Зарплати 2022'!AB114</f>
        <v>509.09184576949696</v>
      </c>
      <c r="AC121" s="547">
        <f>'Прогноз Зарплати 2022'!AC114</f>
        <v>483.79215470487532</v>
      </c>
      <c r="AD121" s="547">
        <f>'Прогноз Зарплати 2022'!AD114</f>
        <v>483.5102245447909</v>
      </c>
      <c r="AE121" s="547">
        <f>'Прогноз Зарплати 2022'!AE114</f>
        <v>495.56273888840013</v>
      </c>
      <c r="AF121" s="547">
        <f>'Прогноз Зарплати 2022'!AF114</f>
        <v>389.32428355674244</v>
      </c>
      <c r="AG121" s="547">
        <f>'Прогноз Зарплати 2022'!AG114</f>
        <v>370.94227751942947</v>
      </c>
      <c r="AH121" s="547">
        <f>'Прогноз Зарплати 2022'!AH114</f>
        <v>383.16025758015843</v>
      </c>
      <c r="AI121" s="547">
        <f>'Прогноз Зарплати 2022'!AI114</f>
        <v>386.24227056845046</v>
      </c>
      <c r="AJ121" s="547">
        <f>'Прогноз Зарплати 2022'!AJ114</f>
        <v>388.99406787942547</v>
      </c>
      <c r="AK121" s="547">
        <f>'Прогноз Зарплати 2022'!AK114</f>
        <v>410.03981371376233</v>
      </c>
      <c r="AL121" s="219">
        <f>AL119/AL120</f>
        <v>520.97927090779126</v>
      </c>
      <c r="AM121" s="219">
        <f t="shared" ref="AM121:AV121" si="95">AM119/AM120</f>
        <v>537.58378645142238</v>
      </c>
      <c r="AN121" s="219">
        <f t="shared" si="95"/>
        <v>509.09184576949696</v>
      </c>
      <c r="AO121" s="219">
        <f t="shared" si="95"/>
        <v>483.79215470487532</v>
      </c>
      <c r="AP121" s="219">
        <f t="shared" si="95"/>
        <v>483.5102245447909</v>
      </c>
      <c r="AQ121" s="219">
        <f t="shared" si="95"/>
        <v>495.56273888840013</v>
      </c>
      <c r="AR121" s="219">
        <f t="shared" si="95"/>
        <v>389.32428355674244</v>
      </c>
      <c r="AS121" s="219">
        <f t="shared" si="95"/>
        <v>370.94227751942947</v>
      </c>
      <c r="AT121" s="219">
        <f t="shared" si="95"/>
        <v>383.16025758015843</v>
      </c>
      <c r="AU121" s="219">
        <f t="shared" si="95"/>
        <v>386.24227056845046</v>
      </c>
      <c r="AV121" s="219">
        <f t="shared" si="95"/>
        <v>388.99406787942547</v>
      </c>
      <c r="AW121" s="219">
        <f>AW119/AW120</f>
        <v>410.03981371376233</v>
      </c>
    </row>
    <row r="122" spans="1:73">
      <c r="Z122" s="547"/>
      <c r="AA122" s="547"/>
      <c r="AB122" s="547"/>
      <c r="AC122" s="547"/>
      <c r="AD122" s="547"/>
      <c r="AE122" s="547"/>
      <c r="AF122" s="547"/>
      <c r="AG122" s="547"/>
      <c r="AH122" s="547"/>
      <c r="AI122" s="547"/>
      <c r="AJ122" s="547"/>
      <c r="AK122" s="547"/>
    </row>
    <row r="123" spans="1:73">
      <c r="A123" s="611" t="s">
        <v>492</v>
      </c>
      <c r="Z123" s="546">
        <f>'Прогноз Зарплати 2022'!Z116</f>
        <v>27.98</v>
      </c>
      <c r="AA123" s="546">
        <f>'Прогноз Зарплати 2022'!AA116</f>
        <v>28.41</v>
      </c>
      <c r="AB123" s="546">
        <f>'Прогноз Зарплати 2022'!AB116</f>
        <v>29.25</v>
      </c>
      <c r="AC123" s="546">
        <f>'Прогноз Зарплати 2022'!AC116</f>
        <v>29.25</v>
      </c>
      <c r="AD123" s="546">
        <f>'Прогноз Зарплати 2022'!AD116</f>
        <v>29.25</v>
      </c>
      <c r="AE123" s="546">
        <f>'Прогноз Зарплати 2022'!AE116</f>
        <v>29.25</v>
      </c>
      <c r="AF123" s="546">
        <f>'Прогноз Зарплати 2022'!AF116</f>
        <v>36.57</v>
      </c>
      <c r="AG123" s="546">
        <f>'Прогноз Зарплати 2022'!AG116</f>
        <v>36.57</v>
      </c>
      <c r="AH123" s="546">
        <f>'Прогноз Зарплати 2022'!AH116</f>
        <v>36.57</v>
      </c>
      <c r="AI123" s="546">
        <f>'Прогноз Зарплати 2022'!AI116</f>
        <v>36.57</v>
      </c>
      <c r="AJ123" s="546">
        <f>'Прогноз Зарплати 2022'!AJ116</f>
        <v>36.57</v>
      </c>
      <c r="AK123" s="546">
        <f>'Прогноз Зарплати 2022'!AK116</f>
        <v>36.57</v>
      </c>
      <c r="AL123" s="609">
        <v>36.57</v>
      </c>
      <c r="AM123" s="609">
        <v>36.57</v>
      </c>
      <c r="AN123" s="609">
        <v>36.57</v>
      </c>
      <c r="AO123" s="609">
        <v>36.57</v>
      </c>
      <c r="AP123" s="609">
        <v>36.57</v>
      </c>
      <c r="AQ123" s="609">
        <v>36.57</v>
      </c>
      <c r="AR123" s="609">
        <v>36.57</v>
      </c>
      <c r="AS123" s="609">
        <v>36.57</v>
      </c>
      <c r="AT123" s="609">
        <v>36.57</v>
      </c>
      <c r="AU123" s="609">
        <v>36.51895161290323</v>
      </c>
      <c r="AV123" s="609">
        <v>36.400274280385929</v>
      </c>
      <c r="AW123" s="609">
        <v>36.721500412577541</v>
      </c>
      <c r="AZ123" s="609">
        <f>AVERAGE(AX130:AZ130)</f>
        <v>38.31760852677867</v>
      </c>
      <c r="BC123" s="609">
        <f>AVERAGE(BA130:BC130)</f>
        <v>39.778383891111723</v>
      </c>
      <c r="BF123" s="609">
        <f>AVERAGE(BD130:BF130)</f>
        <v>40.67673988482165</v>
      </c>
      <c r="BI123" s="609">
        <f>AVERAGE(BG130:BI130)</f>
        <v>41.209899135843294</v>
      </c>
    </row>
    <row r="124" spans="1:73">
      <c r="A124" s="611" t="s">
        <v>493</v>
      </c>
      <c r="N124" s="247">
        <f>N129/L129-1</f>
        <v>2.9163088363849399E-2</v>
      </c>
      <c r="Z124" s="547"/>
      <c r="AA124" s="547"/>
      <c r="AB124" s="547"/>
      <c r="AC124" s="547"/>
      <c r="AD124" s="547"/>
      <c r="AE124" s="547"/>
      <c r="AF124" s="547"/>
      <c r="AG124" s="547"/>
      <c r="AH124" s="547"/>
      <c r="AI124" s="547"/>
      <c r="AJ124" s="547"/>
      <c r="AK124" s="547"/>
      <c r="AL124" s="609">
        <v>36.57</v>
      </c>
      <c r="AM124" s="609">
        <v>36.57</v>
      </c>
      <c r="AN124" s="609">
        <v>36.57</v>
      </c>
      <c r="AO124" s="609">
        <v>36.57</v>
      </c>
      <c r="AP124" s="609">
        <v>36.57</v>
      </c>
      <c r="AQ124" s="609">
        <v>36.57</v>
      </c>
      <c r="AR124" s="609">
        <v>38.394483483833042</v>
      </c>
      <c r="AS124" s="609">
        <v>39.166255142974045</v>
      </c>
      <c r="AT124" s="609">
        <v>39.4261890668879</v>
      </c>
      <c r="AU124" s="609">
        <v>40.113278056945582</v>
      </c>
      <c r="AV124" s="609">
        <v>40.275247830244233</v>
      </c>
      <c r="AW124" s="609">
        <v>40.726421363595506</v>
      </c>
    </row>
    <row r="125" spans="1:73">
      <c r="AX125" s="247">
        <f>AX129/AV129-1</f>
        <v>7.346455482797265E-2</v>
      </c>
      <c r="BN125" s="232">
        <f>BN129-BM129</f>
        <v>2308.6280104238158</v>
      </c>
    </row>
    <row r="127" spans="1:73" ht="20.25">
      <c r="B127" s="932">
        <v>2020</v>
      </c>
      <c r="C127" s="932"/>
      <c r="D127" s="932"/>
      <c r="E127" s="932"/>
      <c r="F127" s="932"/>
      <c r="G127" s="932"/>
      <c r="H127" s="932"/>
      <c r="I127" s="932"/>
      <c r="J127" s="932"/>
      <c r="K127" s="932"/>
      <c r="L127" s="932"/>
      <c r="M127" s="932"/>
      <c r="N127" s="937">
        <v>2021</v>
      </c>
      <c r="O127" s="938"/>
      <c r="P127" s="938"/>
      <c r="Q127" s="938"/>
      <c r="R127" s="938"/>
      <c r="S127" s="938"/>
      <c r="T127" s="938"/>
      <c r="U127" s="938"/>
      <c r="V127" s="938"/>
      <c r="W127" s="938"/>
      <c r="X127" s="938"/>
      <c r="Y127" s="939"/>
      <c r="Z127" s="934">
        <v>2022</v>
      </c>
      <c r="AA127" s="935"/>
      <c r="AB127" s="935"/>
      <c r="AC127" s="935"/>
      <c r="AD127" s="935"/>
      <c r="AE127" s="935"/>
      <c r="AF127" s="935"/>
      <c r="AG127" s="935"/>
      <c r="AH127" s="935"/>
      <c r="AI127" s="935"/>
      <c r="AJ127" s="935"/>
      <c r="AK127" s="936"/>
      <c r="AL127" s="929">
        <v>2023</v>
      </c>
      <c r="AM127" s="930"/>
      <c r="AN127" s="930"/>
      <c r="AO127" s="930"/>
      <c r="AP127" s="930"/>
      <c r="AQ127" s="930"/>
      <c r="AR127" s="930"/>
      <c r="AS127" s="930"/>
      <c r="AT127" s="930"/>
      <c r="AU127" s="930"/>
      <c r="AV127" s="930"/>
      <c r="AW127" s="931"/>
      <c r="AX127" s="940">
        <v>2024</v>
      </c>
      <c r="AY127" s="941"/>
      <c r="AZ127" s="941"/>
      <c r="BA127" s="941"/>
      <c r="BB127" s="941"/>
      <c r="BC127" s="941"/>
      <c r="BD127" s="941"/>
      <c r="BE127" s="941"/>
      <c r="BF127" s="941"/>
      <c r="BG127" s="941"/>
      <c r="BH127" s="941"/>
      <c r="BI127" s="942"/>
      <c r="BL127" s="330" t="s">
        <v>1691</v>
      </c>
      <c r="BP127" s="330" t="s">
        <v>1692</v>
      </c>
      <c r="BU127" s="330" t="s">
        <v>1693</v>
      </c>
    </row>
    <row r="128" spans="1:73">
      <c r="B128" s="457">
        <v>1</v>
      </c>
      <c r="C128" s="457">
        <v>2</v>
      </c>
      <c r="D128" s="457">
        <v>3</v>
      </c>
      <c r="E128" s="457">
        <v>4</v>
      </c>
      <c r="F128" s="457">
        <v>5</v>
      </c>
      <c r="G128" s="457">
        <v>6</v>
      </c>
      <c r="H128" s="457">
        <v>7</v>
      </c>
      <c r="I128" s="457">
        <v>8</v>
      </c>
      <c r="J128" s="457">
        <v>9</v>
      </c>
      <c r="K128" s="457">
        <v>10</v>
      </c>
      <c r="L128" s="457">
        <v>11</v>
      </c>
      <c r="M128" s="457">
        <v>12</v>
      </c>
      <c r="N128" s="456">
        <v>1</v>
      </c>
      <c r="O128" s="456">
        <v>2</v>
      </c>
      <c r="P128" s="456">
        <v>3</v>
      </c>
      <c r="Q128" s="456">
        <v>4</v>
      </c>
      <c r="R128" s="456">
        <v>5</v>
      </c>
      <c r="S128" s="456">
        <v>6</v>
      </c>
      <c r="T128" s="456">
        <v>7</v>
      </c>
      <c r="U128" s="456">
        <v>8</v>
      </c>
      <c r="V128" s="456">
        <v>9</v>
      </c>
      <c r="W128" s="456">
        <v>10</v>
      </c>
      <c r="X128" s="456">
        <v>11</v>
      </c>
      <c r="Y128" s="456">
        <v>12</v>
      </c>
      <c r="Z128" s="447">
        <v>1</v>
      </c>
      <c r="AA128" s="447">
        <v>2</v>
      </c>
      <c r="AB128" s="447">
        <v>3</v>
      </c>
      <c r="AC128" s="447">
        <v>4</v>
      </c>
      <c r="AD128" s="447">
        <v>5</v>
      </c>
      <c r="AE128" s="447">
        <v>6</v>
      </c>
      <c r="AF128" s="447">
        <v>7</v>
      </c>
      <c r="AG128" s="447">
        <v>8</v>
      </c>
      <c r="AH128" s="447">
        <v>9</v>
      </c>
      <c r="AI128" s="447">
        <v>10</v>
      </c>
      <c r="AJ128" s="447">
        <v>11</v>
      </c>
      <c r="AK128" s="447">
        <v>12</v>
      </c>
      <c r="AL128" s="448">
        <v>1</v>
      </c>
      <c r="AM128" s="448">
        <v>2</v>
      </c>
      <c r="AN128" s="448">
        <v>3</v>
      </c>
      <c r="AO128" s="448">
        <v>4</v>
      </c>
      <c r="AP128" s="448">
        <v>5</v>
      </c>
      <c r="AQ128" s="448">
        <v>6</v>
      </c>
      <c r="AR128" s="448">
        <v>7</v>
      </c>
      <c r="AS128" s="448">
        <v>8</v>
      </c>
      <c r="AT128" s="448">
        <v>9</v>
      </c>
      <c r="AU128" s="448">
        <v>10</v>
      </c>
      <c r="AV128" s="448">
        <v>11</v>
      </c>
      <c r="AW128" s="448">
        <v>12</v>
      </c>
      <c r="AX128" s="213">
        <v>1</v>
      </c>
      <c r="AY128" s="213">
        <v>2</v>
      </c>
      <c r="AZ128" s="213">
        <v>3</v>
      </c>
      <c r="BA128" s="213">
        <v>4</v>
      </c>
      <c r="BB128" s="213">
        <v>5</v>
      </c>
      <c r="BC128" s="213">
        <v>6</v>
      </c>
      <c r="BD128" s="213">
        <v>7</v>
      </c>
      <c r="BE128" s="213">
        <v>8</v>
      </c>
      <c r="BF128" s="213">
        <v>9</v>
      </c>
      <c r="BG128" s="213">
        <v>10</v>
      </c>
      <c r="BH128" s="213">
        <v>11</v>
      </c>
      <c r="BI128" s="213">
        <v>12</v>
      </c>
      <c r="BL128" s="165">
        <v>2021</v>
      </c>
      <c r="BM128" s="165">
        <v>2022</v>
      </c>
      <c r="BN128" s="165">
        <v>2023</v>
      </c>
      <c r="BO128" s="165">
        <v>2024</v>
      </c>
      <c r="BP128" s="165">
        <v>2021</v>
      </c>
      <c r="BQ128" s="165">
        <v>2022</v>
      </c>
      <c r="BR128" s="165">
        <v>2023</v>
      </c>
      <c r="BS128" s="165">
        <v>2024</v>
      </c>
    </row>
    <row r="129" spans="1:73" ht="21.75">
      <c r="A129" s="222" t="s">
        <v>252</v>
      </c>
      <c r="B129" s="232">
        <f>AL$31</f>
        <v>10727</v>
      </c>
      <c r="C129" s="232">
        <f t="shared" ref="C129:M129" si="96">AM$31</f>
        <v>10847</v>
      </c>
      <c r="D129" s="232">
        <f t="shared" si="96"/>
        <v>11446</v>
      </c>
      <c r="E129" s="232">
        <f t="shared" si="96"/>
        <v>10430</v>
      </c>
      <c r="F129" s="232">
        <f t="shared" si="96"/>
        <v>10542</v>
      </c>
      <c r="G129" s="232">
        <f t="shared" si="96"/>
        <v>11579</v>
      </c>
      <c r="H129" s="232">
        <f t="shared" si="96"/>
        <v>11804</v>
      </c>
      <c r="I129" s="232">
        <f t="shared" si="96"/>
        <v>11446</v>
      </c>
      <c r="J129" s="232">
        <f t="shared" si="96"/>
        <v>11988</v>
      </c>
      <c r="K129" s="232">
        <f>AU$31</f>
        <v>12174</v>
      </c>
      <c r="L129" s="232">
        <f>AV$31</f>
        <v>11987.410099999999</v>
      </c>
      <c r="M129" s="232">
        <f t="shared" si="96"/>
        <v>14179</v>
      </c>
      <c r="N129" s="232">
        <f t="shared" ref="N129:W129" si="97">B$97</f>
        <v>12337</v>
      </c>
      <c r="O129" s="232">
        <f t="shared" si="97"/>
        <v>12549</v>
      </c>
      <c r="P129" s="232">
        <f t="shared" si="97"/>
        <v>13612</v>
      </c>
      <c r="Q129" s="232">
        <f t="shared" si="97"/>
        <v>13543</v>
      </c>
      <c r="R129" s="232">
        <f t="shared" si="97"/>
        <v>13499</v>
      </c>
      <c r="S129" s="232">
        <f t="shared" si="97"/>
        <v>14313</v>
      </c>
      <c r="T129" s="232">
        <f t="shared" si="97"/>
        <v>14345</v>
      </c>
      <c r="U129" s="232">
        <f t="shared" si="97"/>
        <v>13997</v>
      </c>
      <c r="V129" s="232">
        <f t="shared" si="97"/>
        <v>14239</v>
      </c>
      <c r="W129" s="232">
        <f t="shared" si="97"/>
        <v>14045</v>
      </c>
      <c r="X129" s="232">
        <f>L$97</f>
        <v>14282</v>
      </c>
      <c r="Y129" s="232">
        <f>M$97</f>
        <v>17453</v>
      </c>
      <c r="Z129" s="232">
        <f>'Прогноз Зарплати 2022'!Z120</f>
        <v>14577</v>
      </c>
      <c r="AA129" s="232">
        <f>'Прогноз Зарплати 2022'!AA120*0+'Ворк юа (зп)'!J$19</f>
        <v>14462.800828936512</v>
      </c>
      <c r="AB129" s="232">
        <f>'Прогноз Зарплати 2022'!AB120*0+'Ворк юа (зп)'!K$19</f>
        <v>14777.408542094696</v>
      </c>
      <c r="AC129" s="232">
        <f>'Прогноз Зарплати 2022'!AC120*0+'Ворк юа (зп)'!L$19</f>
        <v>13797.94090695452</v>
      </c>
      <c r="AD129" s="232">
        <f>'Прогноз Зарплати 2022'!AD120*0+'Ворк юа (зп)'!M$19</f>
        <v>13641.199935020895</v>
      </c>
      <c r="AE129" s="232">
        <f>'Прогноз Зарплати 2022'!AE120*0+'Ворк юа (зп)'!N$19</f>
        <v>13728.804405739085</v>
      </c>
      <c r="AF129" s="232">
        <f>'Прогноз Зарплати 2022'!AF120*0+'Ворк юа (зп)'!O$19</f>
        <v>14534.250549101282</v>
      </c>
      <c r="AG129" s="232">
        <f>'Прогноз Зарплати 2022'!AG120*0+'Ворк юа (зп)'!P$19</f>
        <v>14680.630116612969</v>
      </c>
      <c r="AH129" s="232">
        <f>'Прогноз Зарплати 2022'!AH120*0+'Ворк юа (зп)'!Q$19</f>
        <v>14642.918770406568</v>
      </c>
      <c r="AI129" s="232">
        <f>'Прогноз Зарплати 2022'!AI120*0+'Ворк юа (зп)'!R$19</f>
        <v>16285.558445404484</v>
      </c>
      <c r="AJ129" s="232">
        <f>'Прогноз Зарплати 2022'!AJ120*0+'Ворк юа (зп)'!S$19</f>
        <v>16447.030750445345</v>
      </c>
      <c r="AK129" s="232">
        <f>'Прогноз Зарплати 2022'!AK120*0+'Ворк юа (зп)'!T$19</f>
        <v>16698.927546309089</v>
      </c>
      <c r="AL129" s="232">
        <f>'Прогноз Зарплати 2022'!AL120*0+'Ворк юа (зп)'!U$19</f>
        <v>15281.249968948276</v>
      </c>
      <c r="AM129" s="232">
        <f>'Прогноз Зарплати 2022'!AM120*0+'Ворк юа (зп)'!V$19</f>
        <v>15442.007209071919</v>
      </c>
      <c r="AN129" s="232">
        <f>'Прогноз Зарплати 2022'!AN120*0+'Ворк юа (зп)'!W$19</f>
        <v>15584.630248327954</v>
      </c>
      <c r="AO129" s="232">
        <f>'Прогноз Зарплати 2022'!AO120*0+'Ворк юа (зп)'!X$19</f>
        <v>16936.777850357194</v>
      </c>
      <c r="AP129" s="232">
        <f>'Прогноз Зарплати 2022'!AP120*0+'Ворк юа (зп)'!Y$19</f>
        <v>17154.146004190199</v>
      </c>
      <c r="AQ129" s="232">
        <f>'Прогноз Зарплати 2022'!AQ120*0+'Ворк юа (зп)'!Z$19</f>
        <v>17436.935641215663</v>
      </c>
      <c r="AR129" s="232">
        <f>'Прогноз Зарплати 2022'!AR120*0+'Ворк юа (зп)'!AA$19</f>
        <v>17518.28</v>
      </c>
      <c r="AS129" s="232">
        <f>'Прогноз Зарплати 2022'!AS120*0+'Ворк юа (зп)'!AB$19</f>
        <v>17439.670000000002</v>
      </c>
      <c r="AT129" s="232">
        <f>'Прогноз Зарплати 2022'!AT120*0+'Ворк юа (зп)'!AC$19</f>
        <v>17755.650000000001</v>
      </c>
      <c r="AU129" s="232">
        <f>'Прогноз Зарплати 2022'!AU120*0+'Ворк юа (зп)'!AD$19</f>
        <v>17963.73</v>
      </c>
      <c r="AV129" s="232">
        <f>'Прогноз Зарплати 2022'!AV120*0+'Ворк юа (зп)'!AE$19</f>
        <v>17810.099999999999</v>
      </c>
      <c r="AW129" s="232">
        <f>'Прогноз Зарплати 2022'!AW120*0+'Ворк юа (зп)'!AF$19</f>
        <v>19654.830000000002</v>
      </c>
      <c r="AX129" s="246">
        <f t="shared" ref="AX129:BI129" si="98">$Z$12*B$86*$AX$132</f>
        <v>19118.511067941676</v>
      </c>
      <c r="AY129" s="246">
        <f t="shared" si="98"/>
        <v>19259.673709713803</v>
      </c>
      <c r="AZ129" s="246">
        <f t="shared" si="98"/>
        <v>19538.927916903838</v>
      </c>
      <c r="BA129" s="246">
        <f>$Z$12*E$86*$AX$132</f>
        <v>19661.395225941844</v>
      </c>
      <c r="BB129" s="246">
        <f t="shared" si="98"/>
        <v>19706.298631327682</v>
      </c>
      <c r="BC129" s="246">
        <f t="shared" si="98"/>
        <v>20589.577773895002</v>
      </c>
      <c r="BD129" s="246">
        <f>$Z$12*H$86*$AX$132</f>
        <v>21008.954504072528</v>
      </c>
      <c r="BE129" s="246">
        <f t="shared" si="98"/>
        <v>20746.773501915468</v>
      </c>
      <c r="BF129" s="246">
        <f t="shared" si="98"/>
        <v>21162.127376373395</v>
      </c>
      <c r="BG129" s="246">
        <f t="shared" si="98"/>
        <v>21983.554257159536</v>
      </c>
      <c r="BH129" s="246">
        <f t="shared" si="98"/>
        <v>21845.506348591651</v>
      </c>
      <c r="BI129" s="246">
        <f t="shared" si="98"/>
        <v>24469.236765408983</v>
      </c>
      <c r="BL129" s="232">
        <f>AVERAGE(N129:Y129)</f>
        <v>14017.833333333334</v>
      </c>
      <c r="BM129" s="232">
        <f>AVERAGE(Z129:AK129)</f>
        <v>14856.205899752118</v>
      </c>
      <c r="BN129" s="232">
        <f>AVERAGE(AL129:AW129)</f>
        <v>17164.833910175934</v>
      </c>
      <c r="BO129" s="232">
        <f>AVERAGE(AX129:BI129)</f>
        <v>20757.54475660378</v>
      </c>
      <c r="BP129" s="215">
        <f>AVERAGE(N129:Y129)/AVERAGE(B129:M129)-1</f>
        <v>0.20887325270809765</v>
      </c>
      <c r="BQ129" s="467">
        <f>BM129/BL129-1</f>
        <v>5.980757129029346E-2</v>
      </c>
      <c r="BR129" s="467">
        <f>BN129/BM129-1</f>
        <v>0.15539822388045499</v>
      </c>
      <c r="BS129" s="467">
        <f>BO129/BN129-1</f>
        <v>0.20930647306164474</v>
      </c>
      <c r="BU129" s="215">
        <f>AW129/AK129-1</f>
        <v>0.17701151439178786</v>
      </c>
    </row>
    <row r="130" spans="1:73" ht="21.75">
      <c r="A130" s="222" t="s">
        <v>432</v>
      </c>
      <c r="B130" s="232">
        <f>AL$45</f>
        <v>400.37685417068008</v>
      </c>
      <c r="C130" s="232">
        <f t="shared" ref="C130:M130" si="99">AM$45</f>
        <v>404.0662114542481</v>
      </c>
      <c r="D130" s="232">
        <f t="shared" si="99"/>
        <v>392.53021503393416</v>
      </c>
      <c r="E130" s="232">
        <f t="shared" si="99"/>
        <v>352.42860364160458</v>
      </c>
      <c r="F130" s="232">
        <f t="shared" si="99"/>
        <v>361.18712240952334</v>
      </c>
      <c r="G130" s="232">
        <f t="shared" si="99"/>
        <v>385.44533044361219</v>
      </c>
      <c r="H130" s="232">
        <f t="shared" si="99"/>
        <v>378.17146093380211</v>
      </c>
      <c r="I130" s="232">
        <f t="shared" si="99"/>
        <v>351.76201216920145</v>
      </c>
      <c r="J130" s="232">
        <f t="shared" si="99"/>
        <v>363.26469141743229</v>
      </c>
      <c r="K130" s="232">
        <f t="shared" si="99"/>
        <v>365.04461372655334</v>
      </c>
      <c r="L130" s="232">
        <f t="shared" si="99"/>
        <v>358.07976697980428</v>
      </c>
      <c r="M130" s="232">
        <f t="shared" si="99"/>
        <v>413.91152697493595</v>
      </c>
      <c r="N130" s="232">
        <f t="shared" ref="N130:Y130" si="100">B$104/N137</f>
        <v>358.77687505658014</v>
      </c>
      <c r="O130" s="232">
        <f t="shared" si="100"/>
        <v>371.89951435409444</v>
      </c>
      <c r="P130" s="232">
        <f t="shared" si="100"/>
        <v>410.74146576880321</v>
      </c>
      <c r="Q130" s="232">
        <f t="shared" si="100"/>
        <v>404.07566535386087</v>
      </c>
      <c r="R130" s="232">
        <f t="shared" si="100"/>
        <v>407.5785024154589</v>
      </c>
      <c r="S130" s="232">
        <f t="shared" si="100"/>
        <v>432.46335140497172</v>
      </c>
      <c r="T130" s="232">
        <f t="shared" si="100"/>
        <v>442.94770860334899</v>
      </c>
      <c r="U130" s="232">
        <f t="shared" si="100"/>
        <v>439.54353041665098</v>
      </c>
      <c r="V130" s="232">
        <f t="shared" si="100"/>
        <v>449.12497409769912</v>
      </c>
      <c r="W130" s="232">
        <f>K$104/W137</f>
        <v>452.13312189792254</v>
      </c>
      <c r="X130" s="232">
        <f t="shared" si="100"/>
        <v>461.90093483031234</v>
      </c>
      <c r="Y130" s="232">
        <f t="shared" si="100"/>
        <v>552.94706560721841</v>
      </c>
      <c r="Z130" s="232">
        <f>'Прогноз Зарплати 2022'!Z121</f>
        <v>463.06682066572336</v>
      </c>
      <c r="AA130" s="232">
        <f>'Прогноз Зарплати 2022'!AA121</f>
        <v>496.51767615203937</v>
      </c>
      <c r="AB130" s="232">
        <f>'Прогноз Зарплати 2022'!AB121</f>
        <v>524.47156344771406</v>
      </c>
      <c r="AC130" s="232">
        <f>'Прогноз Зарплати 2022'!AC121</f>
        <v>501.29827207468946</v>
      </c>
      <c r="AD130" s="232">
        <f>'Прогноз Зарплати 2022'!AD121</f>
        <v>505.4543072603098</v>
      </c>
      <c r="AE130" s="232">
        <f>'Прогноз Зарплати 2022'!AE121</f>
        <v>536.48483456114229</v>
      </c>
      <c r="AF130" s="232">
        <f>'Прогноз Зарплати 2022'!AF121</f>
        <v>528.82310553860054</v>
      </c>
      <c r="AG130" s="232">
        <f>'Прогноз Зарплати 2022'!AG121</f>
        <v>515.45470114986983</v>
      </c>
      <c r="AH130" s="232">
        <f>'Прогноз Зарплати 2022'!AH121</f>
        <v>518.93059916911932</v>
      </c>
      <c r="AI130" s="232">
        <f>'Прогноз Зарплати 2022'!AI121</f>
        <v>524.65882580830589</v>
      </c>
      <c r="AJ130" s="232">
        <f>'Прогноз Зарплати 2022'!AJ121</f>
        <v>515.12391774619198</v>
      </c>
      <c r="AK130" s="232">
        <f>'Прогноз Зарплати 2022'!AK121</f>
        <v>608.67988969015482</v>
      </c>
      <c r="AL130" s="232">
        <f t="shared" ref="AL130:AU130" si="101">N$104/AL137</f>
        <v>463.06682066572336</v>
      </c>
      <c r="AM130" s="232">
        <f t="shared" si="101"/>
        <v>484.85172739156525</v>
      </c>
      <c r="AN130" s="232">
        <f t="shared" si="101"/>
        <v>509.4245681035045</v>
      </c>
      <c r="AO130" s="232">
        <f t="shared" si="101"/>
        <v>489.12334708669124</v>
      </c>
      <c r="AP130" s="232">
        <f t="shared" si="101"/>
        <v>493.1385928789075</v>
      </c>
      <c r="AQ130" s="232">
        <f t="shared" si="101"/>
        <v>520.18049908359797</v>
      </c>
      <c r="AR130" s="232">
        <f t="shared" si="101"/>
        <v>512.86332822058966</v>
      </c>
      <c r="AS130" s="232">
        <f t="shared" si="101"/>
        <v>501.82543292834453</v>
      </c>
      <c r="AT130" s="232">
        <f>V$104/AT137</f>
        <v>504.11164684853276</v>
      </c>
      <c r="AU130" s="232">
        <f t="shared" si="101"/>
        <v>512.21787173462565</v>
      </c>
      <c r="AV130" s="232">
        <f>X$104/AV137</f>
        <v>503.45244011606121</v>
      </c>
      <c r="AW130" s="232">
        <f>Y$104/AW137</f>
        <v>588.87786822006115</v>
      </c>
      <c r="AX130" s="609">
        <v>37.572233277496139</v>
      </c>
      <c r="AY130" s="609">
        <v>38.27478587846511</v>
      </c>
      <c r="AZ130" s="609">
        <v>39.105806424374762</v>
      </c>
      <c r="BA130" s="609">
        <v>39.395705147134706</v>
      </c>
      <c r="BB130" s="609">
        <v>39.781047044824604</v>
      </c>
      <c r="BC130" s="609">
        <v>40.158399481375852</v>
      </c>
      <c r="BD130" s="609">
        <v>40.515635176768157</v>
      </c>
      <c r="BE130" s="609">
        <v>40.64772687713463</v>
      </c>
      <c r="BF130" s="609">
        <v>40.86685760056217</v>
      </c>
      <c r="BG130" s="609">
        <v>41.027007871865493</v>
      </c>
      <c r="BH130" s="609">
        <v>41.200074709472133</v>
      </c>
      <c r="BI130" s="609">
        <v>41.402614826192249</v>
      </c>
      <c r="BL130" s="232"/>
      <c r="BM130" s="232"/>
      <c r="BN130" s="232">
        <f>AVERAGE(AL130:AW130)</f>
        <v>506.92784527318378</v>
      </c>
      <c r="BO130" s="232"/>
      <c r="BP130" s="215">
        <f>AVERAGE(N130:Y130)/AVERAGE(B130:M130)-1</f>
        <v>0.1453436343041099</v>
      </c>
    </row>
    <row r="131" spans="1:73" ht="21.75">
      <c r="A131" s="222" t="s">
        <v>433</v>
      </c>
      <c r="B131" s="232">
        <f>AL$46</f>
        <v>444.74661558734994</v>
      </c>
      <c r="C131" s="232">
        <f t="shared" ref="C131:M131" si="102">AM$46</f>
        <v>440.99727014974906</v>
      </c>
      <c r="D131" s="232">
        <f t="shared" si="102"/>
        <v>433.35880615710346</v>
      </c>
      <c r="E131" s="232">
        <f t="shared" si="102"/>
        <v>383.10864319545681</v>
      </c>
      <c r="F131" s="232">
        <f t="shared" si="102"/>
        <v>393.14800632593904</v>
      </c>
      <c r="G131" s="232">
        <f t="shared" si="102"/>
        <v>433.55117188119181</v>
      </c>
      <c r="H131" s="232">
        <f t="shared" si="102"/>
        <v>432.17770680927566</v>
      </c>
      <c r="I131" s="232">
        <f t="shared" si="102"/>
        <v>415.8942477647908</v>
      </c>
      <c r="J131" s="232">
        <f t="shared" si="102"/>
        <v>428.70052507589355</v>
      </c>
      <c r="K131" s="232">
        <f t="shared" si="102"/>
        <v>433.23843416370107</v>
      </c>
      <c r="L131" s="232">
        <f t="shared" si="102"/>
        <v>426.59822419928821</v>
      </c>
      <c r="M131" s="232">
        <f t="shared" si="102"/>
        <v>502.80141843971631</v>
      </c>
      <c r="N131" s="232">
        <f>B104</f>
        <v>437.17576638387527</v>
      </c>
      <c r="O131" s="232">
        <f t="shared" ref="O131:Y131" si="103">C104</f>
        <v>450.03237186855824</v>
      </c>
      <c r="P131" s="232">
        <f t="shared" si="103"/>
        <v>489.71853590437973</v>
      </c>
      <c r="Q131" s="232">
        <f t="shared" si="103"/>
        <v>484.89079842463303</v>
      </c>
      <c r="R131" s="232">
        <f t="shared" si="103"/>
        <v>489.09420289855069</v>
      </c>
      <c r="S131" s="232">
        <f t="shared" si="103"/>
        <v>525.44297195704064</v>
      </c>
      <c r="T131" s="232">
        <f t="shared" si="103"/>
        <v>527.10777323798527</v>
      </c>
      <c r="U131" s="232">
        <f>I104</f>
        <v>523.05680119581461</v>
      </c>
      <c r="V131" s="232">
        <f t="shared" si="103"/>
        <v>532.66221927987112</v>
      </c>
      <c r="W131" s="232">
        <f t="shared" si="103"/>
        <v>532.61281759575274</v>
      </c>
      <c r="X131" s="232">
        <f t="shared" si="103"/>
        <v>539.96219281663514</v>
      </c>
      <c r="Y131" s="232">
        <f t="shared" si="103"/>
        <v>641.41859610437336</v>
      </c>
      <c r="Z131" s="232">
        <f>Z129/Z123</f>
        <v>520.97927090779126</v>
      </c>
      <c r="AA131" s="232">
        <f t="shared" ref="AA131:AI131" si="104">AA129/AA123</f>
        <v>509.07429880100358</v>
      </c>
      <c r="AB131" s="232">
        <f t="shared" si="104"/>
        <v>505.2105484476819</v>
      </c>
      <c r="AC131" s="232">
        <f t="shared" si="104"/>
        <v>471.7244754514366</v>
      </c>
      <c r="AD131" s="232">
        <f t="shared" si="104"/>
        <v>466.3658097443041</v>
      </c>
      <c r="AE131" s="232">
        <f t="shared" si="104"/>
        <v>469.36083438424225</v>
      </c>
      <c r="AF131" s="232">
        <f t="shared" si="104"/>
        <v>397.43643831285976</v>
      </c>
      <c r="AG131" s="232">
        <f t="shared" si="104"/>
        <v>401.43916096836119</v>
      </c>
      <c r="AH131" s="232">
        <f t="shared" si="104"/>
        <v>400.40795106389305</v>
      </c>
      <c r="AI131" s="232">
        <f t="shared" si="104"/>
        <v>445.3256342741177</v>
      </c>
      <c r="AJ131" s="232">
        <f>AJ129/AJ123</f>
        <v>449.74106509284508</v>
      </c>
      <c r="AK131" s="232">
        <f>AK129/AK123</f>
        <v>456.62913717005983</v>
      </c>
      <c r="AL131" s="294">
        <f>AL129/AL123</f>
        <v>417.86300161192986</v>
      </c>
      <c r="AM131" s="294">
        <f t="shared" ref="AM131:AS131" si="105">AM129/AM123</f>
        <v>422.25887911052553</v>
      </c>
      <c r="AN131" s="294">
        <f t="shared" si="105"/>
        <v>426.1588801839747</v>
      </c>
      <c r="AO131" s="294">
        <f t="shared" si="105"/>
        <v>463.13311048283276</v>
      </c>
      <c r="AP131" s="294">
        <f t="shared" si="105"/>
        <v>469.07700312251023</v>
      </c>
      <c r="AQ131" s="294">
        <f t="shared" si="105"/>
        <v>476.80983432364405</v>
      </c>
      <c r="AR131" s="294">
        <f t="shared" si="105"/>
        <v>479.03418102269615</v>
      </c>
      <c r="AS131" s="294">
        <f t="shared" si="105"/>
        <v>476.88460486737767</v>
      </c>
      <c r="AT131" s="294">
        <f>AT129/AT123</f>
        <v>485.52502050861364</v>
      </c>
      <c r="AU131" s="294">
        <f>AU129/AU123</f>
        <v>491.90158004571197</v>
      </c>
      <c r="AV131" s="294">
        <f>AV129/AV123</f>
        <v>489.28477469184526</v>
      </c>
      <c r="AW131" s="294">
        <f>AW129/AW123</f>
        <v>535.24038449333057</v>
      </c>
      <c r="AX131" s="246">
        <f>AX129/AX130</f>
        <v>508.84681053528681</v>
      </c>
      <c r="AY131" s="246">
        <f t="shared" ref="AY131:BH131" si="106">AY129/AY130</f>
        <v>503.19481265994614</v>
      </c>
      <c r="AZ131" s="246">
        <f t="shared" si="106"/>
        <v>499.64262863852281</v>
      </c>
      <c r="BA131" s="246">
        <f t="shared" si="106"/>
        <v>499.07458573239524</v>
      </c>
      <c r="BB131" s="246">
        <f t="shared" si="106"/>
        <v>495.36902860105619</v>
      </c>
      <c r="BC131" s="246">
        <f>BC129/BC130</f>
        <v>512.7091228683995</v>
      </c>
      <c r="BD131" s="246">
        <f t="shared" si="106"/>
        <v>518.53943329312915</v>
      </c>
      <c r="BE131" s="246">
        <f t="shared" si="106"/>
        <v>510.40427339581566</v>
      </c>
      <c r="BF131" s="246">
        <f t="shared" si="106"/>
        <v>517.83104008668101</v>
      </c>
      <c r="BG131" s="246">
        <f t="shared" si="106"/>
        <v>535.83128279347136</v>
      </c>
      <c r="BH131" s="246">
        <f t="shared" si="106"/>
        <v>530.22977513119031</v>
      </c>
      <c r="BI131" s="246">
        <f>BI129/BI130</f>
        <v>591.00703827839345</v>
      </c>
      <c r="BL131" s="232">
        <f>AVERAGE(N131:Y131)</f>
        <v>514.43125397228926</v>
      </c>
      <c r="BM131" s="232">
        <f>AVERAGE(Z131:AK131)</f>
        <v>457.80788538488304</v>
      </c>
      <c r="BN131" s="232">
        <f>AVERAGE(AL131:AW131)</f>
        <v>469.43093787208267</v>
      </c>
      <c r="BO131" s="232">
        <f>AVERAGE(AX131:BI131)</f>
        <v>518.55665266785729</v>
      </c>
      <c r="BP131" s="215">
        <f>AVERAGE(N131:Y131)/AVERAGE(B131:M131)-1</f>
        <v>0.19442561024304328</v>
      </c>
      <c r="BQ131" s="467">
        <f>BM131/BL131-1</f>
        <v>-0.11006984538784714</v>
      </c>
      <c r="BR131" s="467">
        <f>BN131/BM131-1</f>
        <v>2.5388493423235792E-2</v>
      </c>
      <c r="BS131" s="467">
        <f>BO131/BN131-1</f>
        <v>0.10464950396848605</v>
      </c>
      <c r="BU131" s="215">
        <f>AW131/AK131-1</f>
        <v>0.1721555654780611</v>
      </c>
    </row>
    <row r="132" spans="1:73" ht="15">
      <c r="A132" s="611" t="s">
        <v>1690</v>
      </c>
      <c r="Z132" s="612"/>
      <c r="AA132" s="612"/>
      <c r="AB132" s="612"/>
      <c r="AC132" s="612"/>
      <c r="AD132" s="612"/>
      <c r="AE132" s="612"/>
      <c r="AF132" s="612"/>
      <c r="AG132" s="612"/>
      <c r="AH132" s="612"/>
      <c r="AI132" s="612"/>
      <c r="AJ132" s="612"/>
      <c r="AK132" s="612"/>
      <c r="AL132" s="246">
        <f>AL129/AL124</f>
        <v>417.86300161192986</v>
      </c>
      <c r="AM132" s="246">
        <f t="shared" ref="AM132:AV132" si="107">AM129/AM124</f>
        <v>422.25887911052553</v>
      </c>
      <c r="AN132" s="246">
        <f t="shared" si="107"/>
        <v>426.1588801839747</v>
      </c>
      <c r="AO132" s="246">
        <f t="shared" si="107"/>
        <v>463.13311048283276</v>
      </c>
      <c r="AP132" s="246">
        <f t="shared" si="107"/>
        <v>469.07700312251023</v>
      </c>
      <c r="AQ132" s="246">
        <f>AQ129/AQ124</f>
        <v>476.80983432364405</v>
      </c>
      <c r="AR132" s="246">
        <f t="shared" si="107"/>
        <v>456.27075585940645</v>
      </c>
      <c r="AS132" s="246">
        <f t="shared" si="107"/>
        <v>445.27284868919793</v>
      </c>
      <c r="AT132" s="246">
        <f t="shared" si="107"/>
        <v>450.35166776776026</v>
      </c>
      <c r="AU132" s="246">
        <f t="shared" si="107"/>
        <v>447.82503126516718</v>
      </c>
      <c r="AV132" s="246">
        <f t="shared" si="107"/>
        <v>442.2095693878191</v>
      </c>
      <c r="AW132" s="246">
        <f>AW129/AW124</f>
        <v>482.60636073389554</v>
      </c>
      <c r="AX132" s="165">
        <v>1.1248796598050026</v>
      </c>
      <c r="BN132" s="232">
        <f>AVERAGE(AL132:AW132)</f>
        <v>449.98641187822199</v>
      </c>
      <c r="BO132" s="232"/>
      <c r="BP132" s="215">
        <f>AVERAGE(AL132:AW132)/AVERAGE(Z131:AK131)-1</f>
        <v>-1.7084619457975236E-2</v>
      </c>
      <c r="BR132" s="467">
        <f>BN132/BM131-1</f>
        <v>-1.7084619457975236E-2</v>
      </c>
      <c r="BU132" s="215">
        <f>AW132/AK131-1</f>
        <v>5.6889106386921462E-2</v>
      </c>
    </row>
    <row r="133" spans="1:73">
      <c r="Z133" s="612">
        <f>'Прогноз Зарплати 2022'!Z124</f>
        <v>0.10753413971877743</v>
      </c>
      <c r="AA133" s="612">
        <f>'Прогноз Зарплати 2022'!AA124</f>
        <v>0.10168665436554145</v>
      </c>
      <c r="AB133" s="612">
        <f>'Прогноз Зарплати 2022'!AB124</f>
        <v>9.032515601549207E-2</v>
      </c>
      <c r="AC133" s="612">
        <f>'Прогноз Зарплати 2022'!AC124</f>
        <v>8.7680744663834242E-2</v>
      </c>
      <c r="AD133" s="612">
        <f>'Прогноз Зарплати 2022'!AD124</f>
        <v>8.6362287422788814E-2</v>
      </c>
      <c r="AE133" s="612">
        <f>'Прогноз Зарплати 2022'!AE124</f>
        <v>8.7285370691939645E-2</v>
      </c>
      <c r="AF133" s="612">
        <f>'Прогноз Зарплати 2022'!AF124</f>
        <v>8.1705616894669597E-2</v>
      </c>
      <c r="AG133" s="612">
        <f>'Прогноз Зарплати 2022'!AG124</f>
        <v>8.1243622337514171E-2</v>
      </c>
      <c r="AH133" s="612">
        <f>'Прогноз Зарплати 2022'!AH124</f>
        <v>7.2662570340698424E-2</v>
      </c>
      <c r="AI133" s="612">
        <f>'Прогноз Зарплати 2022'!AI124</f>
        <v>6.8592071923524622E-2</v>
      </c>
      <c r="AJ133" s="612">
        <f>'Прогноз Зарплати 2022'!AJ124</f>
        <v>6.8609878072231373E-2</v>
      </c>
      <c r="AK133" s="612">
        <f>'Прогноз Зарплати 2022'!AK124</f>
        <v>6.0996767454280849E-2</v>
      </c>
      <c r="AX133" s="246">
        <f>AVERAGE(AX129:BI129)</f>
        <v>20757.54475660378</v>
      </c>
      <c r="AY133" s="215">
        <f>AX133/BN129-1</f>
        <v>0.20930647306164474</v>
      </c>
      <c r="AZ133" s="161">
        <v>20757</v>
      </c>
      <c r="BI133" s="215">
        <f>BI129/AW129-1</f>
        <v>0.24494776934773688</v>
      </c>
      <c r="BP133" s="215"/>
    </row>
    <row r="134" spans="1:73">
      <c r="Z134" s="612">
        <f>'Прогноз Зарплати 2022'!Z125</f>
        <v>27.735029229050671</v>
      </c>
      <c r="AA134" s="612">
        <f>'Прогноз Зарплати 2022'!AA125</f>
        <v>27.695781079827103</v>
      </c>
      <c r="AB134" s="612">
        <f>'Прогноз Зарплати 2022'!AB125</f>
        <v>27.996016710223071</v>
      </c>
      <c r="AC134" s="612">
        <f>'Прогноз Зарплати 2022'!AC125</f>
        <v>27.812391454265658</v>
      </c>
      <c r="AD134" s="612">
        <f>'Прогноз Зарплати 2022'!AD125</f>
        <v>27.787267531395827</v>
      </c>
      <c r="AE134" s="612">
        <f>'Прогноз Зарплати 2022'!AE125</f>
        <v>27.832855113802921</v>
      </c>
      <c r="AF134" s="612">
        <f>'Прогноз Зарплати 2022'!AF125</f>
        <v>27.746789232136599</v>
      </c>
      <c r="AG134" s="612">
        <f>'Прогноз Зарплати 2022'!AG125</f>
        <v>27.434862258582381</v>
      </c>
      <c r="AH134" s="612">
        <f>'Прогноз Зарплати 2022'!AH125</f>
        <v>28.095481728182619</v>
      </c>
      <c r="AI134" s="612">
        <f>'Прогноз Зарплати 2022'!AI125</f>
        <v>27.867087272926195</v>
      </c>
      <c r="AJ134" s="612">
        <f>'Прогноз Зарплати 2022'!AJ125</f>
        <v>27.918801151006669</v>
      </c>
      <c r="AK134" s="612">
        <f>'Прогноз Зарплати 2022'!AK125</f>
        <v>27.729707881651237</v>
      </c>
      <c r="AX134" s="246">
        <f>AX133-BN129</f>
        <v>3592.7108464278463</v>
      </c>
      <c r="BI134" s="215">
        <f>BI131/AW131-1</f>
        <v>0.10418992176356934</v>
      </c>
    </row>
    <row r="135" spans="1:73">
      <c r="A135" s="178" t="s">
        <v>248</v>
      </c>
      <c r="B135" s="215">
        <v>3.2000000000000001E-2</v>
      </c>
      <c r="C135" s="215">
        <v>2.4E-2</v>
      </c>
      <c r="D135" s="215">
        <v>2.3E-2</v>
      </c>
      <c r="E135" s="215">
        <v>2.1000000000000001E-2</v>
      </c>
      <c r="F135" s="215">
        <v>1.7000000000000001E-2</v>
      </c>
      <c r="G135" s="215">
        <v>2.4E-2</v>
      </c>
      <c r="H135" s="215">
        <v>2.4E-2</v>
      </c>
      <c r="I135" s="215">
        <v>2.5000000000000001E-2</v>
      </c>
      <c r="J135" s="215">
        <v>2.3057965401838337E-2</v>
      </c>
      <c r="K135" s="215">
        <v>2.5256207969405094E-2</v>
      </c>
      <c r="L135" s="215">
        <v>4.7020283582285924E-2</v>
      </c>
      <c r="M135" s="215">
        <v>3.5797547154679872E-2</v>
      </c>
      <c r="N135" s="215">
        <v>6.0999999999999999E-2</v>
      </c>
      <c r="O135" s="215">
        <v>7.4999999999999997E-2</v>
      </c>
      <c r="P135" s="215">
        <v>8.5000000000000006E-2</v>
      </c>
      <c r="Q135" s="215">
        <v>8.4000000000000005E-2</v>
      </c>
      <c r="R135" s="215">
        <v>9.5000000000000001E-2</v>
      </c>
      <c r="S135" s="215">
        <v>9.5000000000000001E-2</v>
      </c>
      <c r="T135" s="215">
        <v>0.10199999999999999</v>
      </c>
      <c r="U135" s="215">
        <v>0.10199999999999999</v>
      </c>
      <c r="V135" s="215">
        <v>0.11</v>
      </c>
      <c r="W135" s="215">
        <v>0.10845560758231677</v>
      </c>
      <c r="X135" s="215">
        <v>0.11936761119407428</v>
      </c>
      <c r="Y135" s="215">
        <v>0.11606355704200327</v>
      </c>
      <c r="Z135" s="247">
        <f>'Прогноз Зарплати 2022'!Z126</f>
        <v>1.135</v>
      </c>
      <c r="AA135" s="247">
        <f>'Прогноз Зарплати 2022'!AA126</f>
        <v>1.1359054704592697</v>
      </c>
      <c r="AB135" s="247">
        <f>'Прогноз Зарплати 2022'!AB126</f>
        <v>1.1368116632769119</v>
      </c>
      <c r="AC135" s="247">
        <f>'Прогноз Зарплати 2022'!AC126</f>
        <v>1.137718579029203</v>
      </c>
      <c r="AD135" s="247">
        <f>'Прогноз Зарплати 2022'!AD126</f>
        <v>1.1386262182928799</v>
      </c>
      <c r="AE135" s="247">
        <f>'Прогноз Зарплати 2022'!AE126</f>
        <v>1.1395345816451392</v>
      </c>
      <c r="AF135" s="247">
        <f>'Прогноз Зарплати 2022'!AF126</f>
        <v>1.140443669663638</v>
      </c>
      <c r="AG135" s="247">
        <f>'Прогноз Зарплати 2022'!AG126</f>
        <v>1.141353482926494</v>
      </c>
      <c r="AH135" s="247">
        <f>'Прогноз Зарплати 2022'!AH126</f>
        <v>1.1422640220122866</v>
      </c>
      <c r="AI135" s="247">
        <f>'Прогноз Зарплати 2022'!AI126</f>
        <v>1.1431752875000565</v>
      </c>
      <c r="AJ135" s="247">
        <f>'Прогноз Зарплати 2022'!AJ126</f>
        <v>1.1440872799693063</v>
      </c>
      <c r="AK135" s="247">
        <f>'Прогноз Зарплати 2022'!AK126</f>
        <v>1.145</v>
      </c>
      <c r="AL135" s="215">
        <v>0.10753413971877743</v>
      </c>
      <c r="AM135" s="215">
        <v>0.10168665436554145</v>
      </c>
      <c r="AN135" s="215">
        <v>9.032515601549207E-2</v>
      </c>
      <c r="AO135" s="215">
        <v>8.7680744663834242E-2</v>
      </c>
      <c r="AP135" s="215">
        <v>8.6362287422788814E-2</v>
      </c>
      <c r="AQ135" s="215">
        <v>8.7285370691939645E-2</v>
      </c>
      <c r="AR135" s="215">
        <v>8.1705616894669597E-2</v>
      </c>
      <c r="AS135" s="215">
        <v>8.1243622337514171E-2</v>
      </c>
      <c r="AT135" s="215">
        <v>7.2662570340698424E-2</v>
      </c>
      <c r="AU135" s="215">
        <v>6.8592071923524622E-2</v>
      </c>
      <c r="AV135" s="215">
        <v>6.8609878072231401E-2</v>
      </c>
      <c r="AW135" s="215">
        <v>6.0996767454280849E-2</v>
      </c>
      <c r="AX135" s="884">
        <f>AVERAGE(AX130:BI130)</f>
        <v>39.995657859638833</v>
      </c>
      <c r="AZ135" s="161">
        <v>40.700000000000003</v>
      </c>
    </row>
    <row r="136" spans="1:73">
      <c r="A136" s="178" t="s">
        <v>434</v>
      </c>
      <c r="B136" s="218">
        <f>AL$39</f>
        <v>24.119351612903227</v>
      </c>
      <c r="C136" s="218">
        <f t="shared" ref="C136:M136" si="108">AM$39</f>
        <v>24.596524137931045</v>
      </c>
      <c r="D136" s="218">
        <f t="shared" si="108"/>
        <v>26.412293548387101</v>
      </c>
      <c r="E136" s="218">
        <f t="shared" si="108"/>
        <v>27.224653333333325</v>
      </c>
      <c r="F136" s="218">
        <f t="shared" si="108"/>
        <v>26.814329032258055</v>
      </c>
      <c r="G136" s="218">
        <f t="shared" si="108"/>
        <v>26.707343333333327</v>
      </c>
      <c r="H136" s="218">
        <f t="shared" si="108"/>
        <v>27.312838709677415</v>
      </c>
      <c r="I136" s="218">
        <f t="shared" si="108"/>
        <v>27.521419354838709</v>
      </c>
      <c r="J136" s="218">
        <f t="shared" si="108"/>
        <v>27.963576666666654</v>
      </c>
      <c r="K136" s="218">
        <f t="shared" si="108"/>
        <v>28.1</v>
      </c>
      <c r="L136" s="218">
        <f t="shared" si="108"/>
        <v>28.1</v>
      </c>
      <c r="M136" s="218">
        <f t="shared" si="108"/>
        <v>28.2</v>
      </c>
      <c r="N136" s="218">
        <f t="shared" ref="N136:Y136" si="109">B$102</f>
        <v>28.219770967741901</v>
      </c>
      <c r="O136" s="218">
        <f t="shared" si="109"/>
        <v>27.884660714285701</v>
      </c>
      <c r="P136" s="218">
        <f t="shared" si="109"/>
        <v>27.795558064516101</v>
      </c>
      <c r="Q136" s="218">
        <f t="shared" si="109"/>
        <v>27.93</v>
      </c>
      <c r="R136" s="218">
        <f t="shared" si="109"/>
        <v>27.6</v>
      </c>
      <c r="S136" s="218">
        <f t="shared" si="109"/>
        <v>27.239873333333321</v>
      </c>
      <c r="T136" s="218">
        <f t="shared" si="109"/>
        <v>27.214548387096801</v>
      </c>
      <c r="U136" s="218">
        <f t="shared" si="109"/>
        <v>26.76</v>
      </c>
      <c r="V136" s="218">
        <f t="shared" si="109"/>
        <v>26.731762615434441</v>
      </c>
      <c r="W136" s="218">
        <f t="shared" si="109"/>
        <v>26.37</v>
      </c>
      <c r="X136" s="218">
        <f t="shared" si="109"/>
        <v>26.45</v>
      </c>
      <c r="Y136" s="218">
        <f t="shared" si="109"/>
        <v>27.21</v>
      </c>
      <c r="Z136" s="612">
        <f>'Прогноз Зарплати 2022'!Z127</f>
        <v>31.479258174972511</v>
      </c>
      <c r="AA136" s="612">
        <f>'Прогноз Зарплати 2022'!AA127</f>
        <v>31.459789237217947</v>
      </c>
      <c r="AB136" s="612">
        <f>'Прогноз Зарплати 2022'!AB127</f>
        <v>31.826198321476905</v>
      </c>
      <c r="AC136" s="612">
        <f>'Прогноз Зарплати 2022'!AC127</f>
        <v>31.642674484751073</v>
      </c>
      <c r="AD136" s="612">
        <f>'Прогноз Зарплати 2022'!AD127</f>
        <v>31.639311345965758</v>
      </c>
      <c r="AE136" s="612">
        <f>'Прогноз Зарплати 2022'!AE127</f>
        <v>31.716500908097185</v>
      </c>
      <c r="AF136" s="612">
        <f>'Прогноз Зарплати 2022'!AF127</f>
        <v>31.64365013328138</v>
      </c>
      <c r="AG136" s="612">
        <f>'Прогноз Зарплати 2022'!AG127</f>
        <v>31.312875592441621</v>
      </c>
      <c r="AH136" s="612">
        <f>'Прогноз Зарплати 2022'!AH127</f>
        <v>32.092457959206591</v>
      </c>
      <c r="AI136" s="612">
        <f>'Прогноз Зарплати 2022'!AI127</f>
        <v>31.856965505016568</v>
      </c>
      <c r="AJ136" s="612">
        <f>'Прогноз Зарплати 2022'!AJ127</f>
        <v>31.941545268859155</v>
      </c>
      <c r="AK136" s="612">
        <f>'Прогноз Зарплати 2022'!AK127</f>
        <v>31.750515524490666</v>
      </c>
      <c r="AL136" s="218">
        <f t="shared" ref="AL136:AW136" si="110">N$102</f>
        <v>27.735029229050671</v>
      </c>
      <c r="AM136" s="218">
        <f t="shared" si="110"/>
        <v>27.695781079827103</v>
      </c>
      <c r="AN136" s="218">
        <f t="shared" si="110"/>
        <v>27.996016710223071</v>
      </c>
      <c r="AO136" s="218">
        <f t="shared" si="110"/>
        <v>27.812391454265658</v>
      </c>
      <c r="AP136" s="218">
        <f t="shared" si="110"/>
        <v>27.787267531395827</v>
      </c>
      <c r="AQ136" s="218">
        <f t="shared" si="110"/>
        <v>27.832855113802921</v>
      </c>
      <c r="AR136" s="218">
        <f t="shared" si="110"/>
        <v>27.746789232136599</v>
      </c>
      <c r="AS136" s="218">
        <f t="shared" si="110"/>
        <v>27.434862258582381</v>
      </c>
      <c r="AT136" s="218">
        <f t="shared" si="110"/>
        <v>28.095481728182619</v>
      </c>
      <c r="AU136" s="218">
        <f t="shared" si="110"/>
        <v>27.867087272926195</v>
      </c>
      <c r="AV136" s="218">
        <f t="shared" si="110"/>
        <v>27.918801151006669</v>
      </c>
      <c r="AW136" s="218">
        <f t="shared" si="110"/>
        <v>27.729707881651237</v>
      </c>
      <c r="AX136" s="246">
        <f>AX133/AX135</f>
        <v>518.99495763891468</v>
      </c>
      <c r="AY136" s="215">
        <f>AX136/BN131-1</f>
        <v>0.10558319822614237</v>
      </c>
      <c r="AZ136" s="161">
        <f>AZ133/AZ135</f>
        <v>509.99999999999994</v>
      </c>
    </row>
    <row r="137" spans="1:73">
      <c r="A137" s="161" t="s">
        <v>435</v>
      </c>
      <c r="B137" s="453">
        <f>B138/B136</f>
        <v>1.1108199960973646</v>
      </c>
      <c r="C137" s="453">
        <f t="shared" ref="C137:M137" si="111">C138/C136</f>
        <v>1.0913985323409863</v>
      </c>
      <c r="D137" s="453">
        <f t="shared" si="111"/>
        <v>1.1040138811215838</v>
      </c>
      <c r="E137" s="453">
        <f t="shared" si="111"/>
        <v>1.0870532052076329</v>
      </c>
      <c r="F137" s="453">
        <f t="shared" si="111"/>
        <v>1.0884884369719516</v>
      </c>
      <c r="G137" s="453">
        <f t="shared" si="111"/>
        <v>1.1248058742395821</v>
      </c>
      <c r="H137" s="453">
        <f t="shared" si="111"/>
        <v>1.1428088881750049</v>
      </c>
      <c r="I137" s="453">
        <f t="shared" si="111"/>
        <v>1.1823171160527166</v>
      </c>
      <c r="J137" s="453">
        <f t="shared" si="111"/>
        <v>1.1801326558965459</v>
      </c>
      <c r="K137" s="453">
        <f t="shared" si="111"/>
        <v>1.1868095511422341</v>
      </c>
      <c r="L137" s="453">
        <f t="shared" si="111"/>
        <v>1.1913497034400953</v>
      </c>
      <c r="M137" s="453">
        <f t="shared" si="111"/>
        <v>1.2147557767101349</v>
      </c>
      <c r="N137" s="430">
        <v>1.2185171252047151</v>
      </c>
      <c r="O137" s="430">
        <v>1.2100913136446627</v>
      </c>
      <c r="P137" s="430">
        <v>1.1922792722856739</v>
      </c>
      <c r="Q137" s="430">
        <v>1.2</v>
      </c>
      <c r="R137" s="430">
        <v>1.2</v>
      </c>
      <c r="S137" s="430">
        <v>1.2150000000000001</v>
      </c>
      <c r="T137" s="430">
        <v>1.19</v>
      </c>
      <c r="U137" s="430">
        <v>1.19</v>
      </c>
      <c r="V137" s="430">
        <v>1.1859999999999999</v>
      </c>
      <c r="W137" s="430">
        <v>1.1779999999999999</v>
      </c>
      <c r="X137" s="430">
        <v>1.169</v>
      </c>
      <c r="Y137" s="430">
        <v>1.1599999999999999</v>
      </c>
      <c r="Z137" s="612">
        <f>'Прогноз Зарплати 2022'!Z128</f>
        <v>0</v>
      </c>
      <c r="AA137" s="612"/>
      <c r="AB137" s="612"/>
      <c r="AC137" s="612"/>
      <c r="AD137" s="612"/>
      <c r="AE137" s="612"/>
      <c r="AF137" s="612"/>
      <c r="AG137" s="612"/>
      <c r="AH137" s="612"/>
      <c r="AI137" s="612"/>
      <c r="AJ137" s="612"/>
      <c r="AK137" s="612"/>
      <c r="AL137" s="454">
        <v>1.135</v>
      </c>
      <c r="AM137" s="430">
        <f t="shared" ref="AM137:AV137" si="112">AL137*$AW$139</f>
        <v>1.1359054704592697</v>
      </c>
      <c r="AN137" s="430">
        <f t="shared" si="112"/>
        <v>1.1368116632769119</v>
      </c>
      <c r="AO137" s="430">
        <f t="shared" si="112"/>
        <v>1.137718579029203</v>
      </c>
      <c r="AP137" s="430">
        <f t="shared" si="112"/>
        <v>1.1386262182928799</v>
      </c>
      <c r="AQ137" s="430">
        <f t="shared" si="112"/>
        <v>1.1395345816451392</v>
      </c>
      <c r="AR137" s="430">
        <f t="shared" si="112"/>
        <v>1.140443669663638</v>
      </c>
      <c r="AS137" s="430">
        <f t="shared" si="112"/>
        <v>1.141353482926494</v>
      </c>
      <c r="AT137" s="430">
        <f t="shared" si="112"/>
        <v>1.1422640220122866</v>
      </c>
      <c r="AU137" s="430">
        <f t="shared" si="112"/>
        <v>1.1431752875000565</v>
      </c>
      <c r="AV137" s="430">
        <f t="shared" si="112"/>
        <v>1.1440872799693063</v>
      </c>
      <c r="AW137" s="454">
        <v>1.145</v>
      </c>
      <c r="BL137" s="455">
        <f>AVERAGE(AL137:AW137)</f>
        <v>1.1399933545645988</v>
      </c>
      <c r="BT137" s="161">
        <v>440</v>
      </c>
      <c r="BU137" s="247">
        <f>BT137/BM131-1</f>
        <v>-3.8898162205991293E-2</v>
      </c>
    </row>
    <row r="138" spans="1:73">
      <c r="A138" s="178" t="s">
        <v>436</v>
      </c>
      <c r="B138" s="453">
        <v>26.792258064516126</v>
      </c>
      <c r="C138" s="453">
        <v>26.844610344827586</v>
      </c>
      <c r="D138" s="453">
        <v>29.15953870967741</v>
      </c>
      <c r="E138" s="453">
        <v>29.594646666666662</v>
      </c>
      <c r="F138" s="453">
        <v>29.187087096774192</v>
      </c>
      <c r="G138" s="453">
        <v>30.04057666666667</v>
      </c>
      <c r="H138" s="453">
        <v>31.21335483870968</v>
      </c>
      <c r="I138" s="453">
        <v>32.539045161290318</v>
      </c>
      <c r="J138" s="453">
        <v>33.000729999999997</v>
      </c>
      <c r="K138" s="453">
        <v>33.349348387096782</v>
      </c>
      <c r="L138" s="453">
        <v>33.476926666666678</v>
      </c>
      <c r="M138" s="453">
        <v>34.256112903225805</v>
      </c>
      <c r="N138" s="274">
        <f>N136*N137</f>
        <v>34.386274193548346</v>
      </c>
      <c r="O138" s="274">
        <f t="shared" ref="O138:AW138" si="113">O136*O137</f>
        <v>33.742985714285702</v>
      </c>
      <c r="P138" s="274">
        <f t="shared" si="113"/>
        <v>33.140067741935454</v>
      </c>
      <c r="Q138" s="274">
        <f t="shared" si="113"/>
        <v>33.515999999999998</v>
      </c>
      <c r="R138" s="274">
        <f t="shared" si="113"/>
        <v>33.119999999999997</v>
      </c>
      <c r="S138" s="274">
        <f t="shared" si="113"/>
        <v>33.096446099999987</v>
      </c>
      <c r="T138" s="274">
        <f t="shared" si="113"/>
        <v>32.385312580645191</v>
      </c>
      <c r="U138" s="274">
        <f t="shared" si="113"/>
        <v>31.8444</v>
      </c>
      <c r="V138" s="274">
        <f t="shared" si="113"/>
        <v>31.703870461905247</v>
      </c>
      <c r="W138" s="274">
        <f t="shared" si="113"/>
        <v>31.063859999999998</v>
      </c>
      <c r="X138" s="274">
        <f t="shared" si="113"/>
        <v>30.92005</v>
      </c>
      <c r="Y138" s="274">
        <f t="shared" si="113"/>
        <v>31.563599999999997</v>
      </c>
      <c r="Z138" s="612">
        <f>'Прогноз Зарплати 2022'!Z129</f>
        <v>13009.474845319381</v>
      </c>
      <c r="AA138" s="612"/>
      <c r="AB138" s="612"/>
      <c r="AC138" s="612"/>
      <c r="AD138" s="612"/>
      <c r="AE138" s="612"/>
      <c r="AF138" s="612"/>
      <c r="AG138" s="612"/>
      <c r="AH138" s="612"/>
      <c r="AI138" s="612"/>
      <c r="AJ138" s="612"/>
      <c r="AK138" s="612"/>
      <c r="AL138" s="274">
        <f t="shared" si="113"/>
        <v>31.479258174972511</v>
      </c>
      <c r="AM138" s="274">
        <f t="shared" si="113"/>
        <v>31.459789237217947</v>
      </c>
      <c r="AN138" s="274">
        <f t="shared" si="113"/>
        <v>31.826198321476905</v>
      </c>
      <c r="AO138" s="274">
        <f t="shared" si="113"/>
        <v>31.642674484751073</v>
      </c>
      <c r="AP138" s="274">
        <f t="shared" si="113"/>
        <v>31.639311345965758</v>
      </c>
      <c r="AQ138" s="274">
        <f t="shared" si="113"/>
        <v>31.716500908097185</v>
      </c>
      <c r="AR138" s="274">
        <f t="shared" si="113"/>
        <v>31.64365013328138</v>
      </c>
      <c r="AS138" s="274">
        <f t="shared" si="113"/>
        <v>31.312875592441621</v>
      </c>
      <c r="AT138" s="274">
        <f t="shared" si="113"/>
        <v>32.092457959206591</v>
      </c>
      <c r="AU138" s="274">
        <f t="shared" si="113"/>
        <v>31.856965505016568</v>
      </c>
      <c r="AV138" s="274">
        <f t="shared" si="113"/>
        <v>31.941545268859155</v>
      </c>
      <c r="AW138" s="274">
        <f t="shared" si="113"/>
        <v>31.750515524490666</v>
      </c>
      <c r="BT138" s="161">
        <v>420</v>
      </c>
      <c r="BU138" s="247">
        <f>BT138/BM131-1</f>
        <v>-8.258460937844625E-2</v>
      </c>
    </row>
    <row r="139" spans="1:73">
      <c r="Z139" s="612">
        <f>'Прогноз Зарплати 2022'!Z130</f>
        <v>469.06295781699725</v>
      </c>
      <c r="AA139" s="612"/>
      <c r="AB139" s="612"/>
      <c r="AC139" s="612"/>
      <c r="AD139" s="612"/>
      <c r="AE139" s="612"/>
      <c r="AF139" s="612"/>
      <c r="AG139" s="612"/>
      <c r="AH139" s="612"/>
      <c r="AI139" s="612"/>
      <c r="AJ139" s="612"/>
      <c r="AK139" s="612"/>
      <c r="AW139" s="161">
        <f>(AW137/AL137)^(1/11)</f>
        <v>1.0007977713297531</v>
      </c>
      <c r="AX139" s="866">
        <f>BN129/AW123</f>
        <v>467.43280414263188</v>
      </c>
      <c r="BP139" s="215">
        <f>AK129/Y129-1</f>
        <v>-4.3205893181167188E-2</v>
      </c>
      <c r="BR139" s="232"/>
    </row>
    <row r="140" spans="1:73" ht="21.75">
      <c r="A140" s="439" t="s">
        <v>250</v>
      </c>
      <c r="B140" s="246">
        <f t="shared" ref="B140:AL140" si="114">B129*(1-B$135)</f>
        <v>10383.735999999999</v>
      </c>
      <c r="C140" s="246">
        <f t="shared" si="114"/>
        <v>10586.672</v>
      </c>
      <c r="D140" s="246">
        <f t="shared" si="114"/>
        <v>11182.742</v>
      </c>
      <c r="E140" s="246">
        <f t="shared" si="114"/>
        <v>10210.969999999999</v>
      </c>
      <c r="F140" s="246">
        <f t="shared" si="114"/>
        <v>10362.786</v>
      </c>
      <c r="G140" s="246">
        <f t="shared" si="114"/>
        <v>11301.103999999999</v>
      </c>
      <c r="H140" s="246">
        <f t="shared" si="114"/>
        <v>11520.704</v>
      </c>
      <c r="I140" s="246">
        <f t="shared" si="114"/>
        <v>11159.85</v>
      </c>
      <c r="J140" s="246">
        <f t="shared" si="114"/>
        <v>11711.581110762761</v>
      </c>
      <c r="K140" s="246">
        <f t="shared" si="114"/>
        <v>11866.530924180463</v>
      </c>
      <c r="L140" s="246">
        <f t="shared" si="114"/>
        <v>11423.75867768084</v>
      </c>
      <c r="M140" s="246">
        <f t="shared" si="114"/>
        <v>13671.426578893794</v>
      </c>
      <c r="N140" s="246">
        <f t="shared" si="114"/>
        <v>11584.443000000001</v>
      </c>
      <c r="O140" s="246">
        <f t="shared" si="114"/>
        <v>11607.825000000001</v>
      </c>
      <c r="P140" s="246">
        <f t="shared" si="114"/>
        <v>12454.980000000001</v>
      </c>
      <c r="Q140" s="246">
        <f t="shared" si="114"/>
        <v>12405.388000000001</v>
      </c>
      <c r="R140" s="246">
        <f t="shared" si="114"/>
        <v>12216.595000000001</v>
      </c>
      <c r="S140" s="246">
        <f t="shared" si="114"/>
        <v>12953.265000000001</v>
      </c>
      <c r="T140" s="246">
        <f t="shared" si="114"/>
        <v>12881.81</v>
      </c>
      <c r="U140" s="246">
        <f t="shared" si="114"/>
        <v>12569.306</v>
      </c>
      <c r="V140" s="246">
        <f t="shared" si="114"/>
        <v>12672.710000000001</v>
      </c>
      <c r="W140" s="246">
        <f t="shared" si="114"/>
        <v>12521.740991506362</v>
      </c>
      <c r="X140" s="246">
        <f t="shared" si="114"/>
        <v>12577.191776926231</v>
      </c>
      <c r="Y140" s="246">
        <f t="shared" si="114"/>
        <v>15427.342738945918</v>
      </c>
      <c r="Z140" s="612"/>
      <c r="AA140" s="612"/>
      <c r="AB140" s="612"/>
      <c r="AC140" s="612"/>
      <c r="AD140" s="612"/>
      <c r="AE140" s="612"/>
      <c r="AF140" s="612"/>
      <c r="AG140" s="612"/>
      <c r="AH140" s="612"/>
      <c r="AI140" s="612"/>
      <c r="AJ140" s="612"/>
      <c r="AK140" s="612"/>
      <c r="AL140" s="246">
        <f t="shared" si="114"/>
        <v>13637.993899709829</v>
      </c>
      <c r="AN140" s="247">
        <f t="shared" ref="AN140:AW140" si="115">AN131/AB131-1</f>
        <v>-0.15647271915957151</v>
      </c>
      <c r="AO140" s="247">
        <f t="shared" si="115"/>
        <v>-1.8212675864193728E-2</v>
      </c>
      <c r="AP140" s="247">
        <f t="shared" si="115"/>
        <v>5.8134479877343104E-3</v>
      </c>
      <c r="AQ140" s="247">
        <f t="shared" si="115"/>
        <v>1.5870518785774168E-2</v>
      </c>
      <c r="AR140" s="247">
        <f t="shared" si="115"/>
        <v>0.20531016998900098</v>
      </c>
      <c r="AS140" s="247">
        <f t="shared" si="115"/>
        <v>0.18793742921598677</v>
      </c>
      <c r="AT140" s="247">
        <f t="shared" si="115"/>
        <v>0.21257587222871721</v>
      </c>
      <c r="AU140" s="247">
        <f t="shared" si="115"/>
        <v>0.10458851273521041</v>
      </c>
      <c r="AV140" s="247">
        <f t="shared" si="115"/>
        <v>8.7925503513531122E-2</v>
      </c>
      <c r="AW140" s="910">
        <f t="shared" si="115"/>
        <v>0.1721555654780611</v>
      </c>
      <c r="AX140" s="910">
        <f t="shared" ref="AX140" si="116">AX131/AL131-1</f>
        <v>0.21773597703644931</v>
      </c>
      <c r="AY140" s="910">
        <f t="shared" ref="AY140" si="117">AY131/AM131-1</f>
        <v>0.19167372802179905</v>
      </c>
      <c r="AZ140" s="910">
        <f t="shared" ref="AZ140" si="118">AZ131/AN131-1</f>
        <v>0.17243275189484453</v>
      </c>
      <c r="BA140" s="910">
        <f t="shared" ref="BA140" si="119">BA131/AO131-1</f>
        <v>7.7605065230797798E-2</v>
      </c>
      <c r="BB140" s="910">
        <f t="shared" ref="BB140" si="120">BB131/AP131-1</f>
        <v>5.605055311500573E-2</v>
      </c>
      <c r="BC140" s="910">
        <f t="shared" ref="BC140" si="121">BC131/AQ131-1</f>
        <v>7.5290579095707466E-2</v>
      </c>
      <c r="BD140" s="910">
        <f t="shared" ref="BD140" si="122">BD131/AR131-1</f>
        <v>8.2468545743630939E-2</v>
      </c>
      <c r="BE140" s="910">
        <f t="shared" ref="BE140" si="123">BE131/AS131-1</f>
        <v>7.0288845952072299E-2</v>
      </c>
      <c r="BF140" s="910">
        <f t="shared" ref="BF140" si="124">BF131/AT131-1</f>
        <v>6.6538320814496954E-2</v>
      </c>
      <c r="BG140" s="910">
        <f t="shared" ref="BG140" si="125">BG131/AU131-1</f>
        <v>8.9305878512683456E-2</v>
      </c>
      <c r="BH140" s="910">
        <f t="shared" ref="BH140" si="126">BH131/AV131-1</f>
        <v>8.3683373277111395E-2</v>
      </c>
      <c r="BI140" s="910">
        <f>BI131/AW131-1</f>
        <v>0.10418992176356934</v>
      </c>
    </row>
    <row r="141" spans="1:73" ht="21.75">
      <c r="A141" s="439" t="s">
        <v>249</v>
      </c>
      <c r="B141" s="246">
        <f t="shared" ref="B141:AL141" si="127">B$140/B$136</f>
        <v>430.51472388855467</v>
      </c>
      <c r="C141" s="246">
        <f t="shared" si="127"/>
        <v>430.41333566615509</v>
      </c>
      <c r="D141" s="246">
        <f t="shared" si="127"/>
        <v>423.39155361549007</v>
      </c>
      <c r="E141" s="246">
        <f t="shared" si="127"/>
        <v>375.06336168835219</v>
      </c>
      <c r="F141" s="246">
        <f t="shared" si="127"/>
        <v>386.46449021839805</v>
      </c>
      <c r="G141" s="246">
        <f t="shared" si="127"/>
        <v>423.14594375604321</v>
      </c>
      <c r="H141" s="246">
        <f t="shared" si="127"/>
        <v>421.80544184585301</v>
      </c>
      <c r="I141" s="246">
        <f t="shared" si="127"/>
        <v>405.4968915706711</v>
      </c>
      <c r="J141" s="246">
        <f t="shared" si="127"/>
        <v>418.81556320094364</v>
      </c>
      <c r="K141" s="246">
        <f t="shared" si="127"/>
        <v>422.29647417012319</v>
      </c>
      <c r="L141" s="246">
        <f t="shared" si="127"/>
        <v>406.53945472173808</v>
      </c>
      <c r="M141" s="246">
        <f t="shared" si="127"/>
        <v>484.80236095368065</v>
      </c>
      <c r="N141" s="246">
        <f t="shared" si="127"/>
        <v>410.50804463445894</v>
      </c>
      <c r="O141" s="246">
        <f t="shared" si="127"/>
        <v>416.27994397841644</v>
      </c>
      <c r="P141" s="246">
        <f t="shared" si="127"/>
        <v>448.09246035250754</v>
      </c>
      <c r="Q141" s="246">
        <f t="shared" si="127"/>
        <v>444.15997135696387</v>
      </c>
      <c r="R141" s="246">
        <f t="shared" si="127"/>
        <v>442.63025362318842</v>
      </c>
      <c r="S141" s="246">
        <f t="shared" si="127"/>
        <v>475.52588962112185</v>
      </c>
      <c r="T141" s="246">
        <f t="shared" si="127"/>
        <v>473.34278036771082</v>
      </c>
      <c r="U141" s="246">
        <f t="shared" si="127"/>
        <v>469.70500747384153</v>
      </c>
      <c r="V141" s="246">
        <f t="shared" si="127"/>
        <v>474.06937515908527</v>
      </c>
      <c r="W141" s="246">
        <f>W$140/W$136</f>
        <v>474.84797085727575</v>
      </c>
      <c r="X141" s="246">
        <f>X$140/X$136</f>
        <v>475.50819572499927</v>
      </c>
      <c r="Y141" s="246">
        <f t="shared" si="127"/>
        <v>566.97327228761185</v>
      </c>
      <c r="Z141" s="612"/>
      <c r="AA141" s="612"/>
      <c r="AB141" s="612"/>
      <c r="AC141" s="612"/>
      <c r="AD141" s="612"/>
      <c r="AE141" s="612"/>
      <c r="AF141" s="612"/>
      <c r="AG141" s="612"/>
      <c r="AH141" s="612"/>
      <c r="AI141" s="612"/>
      <c r="AJ141" s="612"/>
      <c r="AK141" s="612"/>
      <c r="AL141" s="246">
        <f t="shared" si="127"/>
        <v>491.72451873333171</v>
      </c>
    </row>
    <row r="142" spans="1:73">
      <c r="Z142" s="612"/>
      <c r="AA142" s="612"/>
      <c r="AB142" s="612"/>
      <c r="AC142" s="612"/>
      <c r="AD142" s="612"/>
      <c r="AE142" s="612"/>
      <c r="AF142" s="612"/>
      <c r="AG142" s="612"/>
      <c r="AH142" s="612"/>
      <c r="AI142" s="612"/>
      <c r="AJ142" s="612"/>
      <c r="AK142" s="612"/>
      <c r="BQ142" s="232">
        <f>BN129*1.18</f>
        <v>20254.504014007602</v>
      </c>
    </row>
    <row r="143" spans="1:73">
      <c r="A143" s="176" t="s">
        <v>254</v>
      </c>
      <c r="Z143" s="612"/>
      <c r="AA143" s="612"/>
      <c r="AB143" s="612"/>
      <c r="AC143" s="612"/>
      <c r="AD143" s="612"/>
      <c r="AE143" s="612"/>
      <c r="AF143" s="612"/>
      <c r="AG143" s="612"/>
      <c r="AH143" s="612"/>
      <c r="AI143" s="612"/>
      <c r="AJ143" s="612"/>
      <c r="AK143" s="612"/>
      <c r="AX143" s="888">
        <v>38</v>
      </c>
      <c r="AY143" s="889">
        <f t="shared" ref="AY143:BH143" si="128">AX143*$BJ$143</f>
        <v>38.263405499668728</v>
      </c>
      <c r="AZ143" s="889">
        <f t="shared" si="128"/>
        <v>38.528636853475767</v>
      </c>
      <c r="BA143" s="889">
        <f t="shared" si="128"/>
        <v>38.795706717737474</v>
      </c>
      <c r="BB143" s="889">
        <f t="shared" si="128"/>
        <v>39.064627836500293</v>
      </c>
      <c r="BC143" s="889">
        <f t="shared" si="128"/>
        <v>39.335413042148879</v>
      </c>
      <c r="BD143" s="889">
        <f t="shared" si="128"/>
        <v>39.608075256018431</v>
      </c>
      <c r="BE143" s="889">
        <f t="shared" si="128"/>
        <v>39.882627489011277</v>
      </c>
      <c r="BF143" s="889">
        <f t="shared" si="128"/>
        <v>40.159082842217721</v>
      </c>
      <c r="BG143" s="889">
        <f t="shared" si="128"/>
        <v>40.437454507541204</v>
      </c>
      <c r="BH143" s="889">
        <f t="shared" si="128"/>
        <v>40.717755768327791</v>
      </c>
      <c r="BI143" s="888">
        <v>41</v>
      </c>
      <c r="BJ143" s="161">
        <f>(BI143/AX143)^(1/11)</f>
        <v>1.0069317236754929</v>
      </c>
      <c r="BM143" s="247">
        <f>BN129/AVERAGE(N129:Y129)-1</f>
        <v>0.22449978552386374</v>
      </c>
    </row>
    <row r="144" spans="1:73">
      <c r="A144" s="176" t="s">
        <v>437</v>
      </c>
      <c r="Z144" s="247">
        <f>'Прогноз Зарплати 2022'!Z135</f>
        <v>0.18156764205236287</v>
      </c>
      <c r="AA144" s="247">
        <f>'Прогноз Зарплати 2022'!AA135</f>
        <v>0.21704959543269675</v>
      </c>
      <c r="AB144" s="247">
        <f>'Прогноз Зарплати 2022'!AB135</f>
        <v>9.3956544869070457E-2</v>
      </c>
      <c r="AC144" s="247">
        <f>'Прогноз Зарплати 2022'!AC135</f>
        <v>4.4888172865509945E-2</v>
      </c>
      <c r="AD144" s="247">
        <f>'Прогноз Зарплати 2022'!AD135</f>
        <v>4.7683092668726168E-2</v>
      </c>
      <c r="AE144" s="247">
        <f>'Прогноз Зарплати 2022'!AE135</f>
        <v>1.2730392823705916E-2</v>
      </c>
      <c r="AF144" s="247">
        <f>'Прогноз Зарплати 2022'!AF135</f>
        <v>-7.4876925988098808E-3</v>
      </c>
      <c r="AG144" s="247">
        <f>'Прогноз Зарплати 2022'!AG135</f>
        <v>-3.0838101815707897E-2</v>
      </c>
      <c r="AH144" s="247">
        <f>'Прогноз Зарплати 2022'!AH135</f>
        <v>-1.5930148205183348E-2</v>
      </c>
      <c r="AI144" s="247">
        <f>'Прогноз Зарплати 2022'!AI135</f>
        <v>5.6874214801163614E-3</v>
      </c>
      <c r="AJ144" s="247">
        <f>'Прогноз Зарплати 2022'!AJ135</f>
        <v>-3.9551139650896294E-3</v>
      </c>
      <c r="AK144" s="247">
        <f>'Прогноз Зарплати 2022'!AK135</f>
        <v>-0.14082644889060403</v>
      </c>
      <c r="AM144" s="215">
        <f t="shared" ref="AM144" si="129">AM131/AA131-1</f>
        <v>-0.17053585281156391</v>
      </c>
      <c r="AN144" s="215">
        <f t="shared" ref="AN144:AO144" si="130">AN131/AB131-1</f>
        <v>-0.15647271915957151</v>
      </c>
      <c r="AO144" s="215">
        <f t="shared" si="130"/>
        <v>-1.8212675864193728E-2</v>
      </c>
      <c r="AP144" s="215">
        <f t="shared" ref="AP144" si="131">AP131/AD131-1</f>
        <v>5.8134479877343104E-3</v>
      </c>
      <c r="AQ144" s="215">
        <f t="shared" ref="AQ144:AR144" si="132">AQ131/AE131-1</f>
        <v>1.5870518785774168E-2</v>
      </c>
      <c r="AR144" s="215">
        <f t="shared" si="132"/>
        <v>0.20531016998900098</v>
      </c>
      <c r="AS144" s="215">
        <f t="shared" ref="AS144" si="133">AS131/AG131-1</f>
        <v>0.18793742921598677</v>
      </c>
      <c r="AT144" s="215">
        <f>AT131/AH131-1</f>
        <v>0.21257587222871721</v>
      </c>
      <c r="AU144" s="215">
        <f>AU131/AI131-1</f>
        <v>0.10458851273521041</v>
      </c>
      <c r="AV144" s="215">
        <f>AV131/AJ131-1</f>
        <v>8.7925503513531122E-2</v>
      </c>
      <c r="AW144" s="215">
        <f>AW131/AK131-1</f>
        <v>0.1721555654780611</v>
      </c>
    </row>
    <row r="145" spans="1:50" ht="21.75">
      <c r="A145" s="222" t="s">
        <v>258</v>
      </c>
      <c r="Z145" s="247">
        <f>'Прогноз Зарплати 2022'!Z136</f>
        <v>0.29068190527245208</v>
      </c>
      <c r="AA145" s="247">
        <f>'Прогноз Зарплати 2022'!AA136</f>
        <v>0.33508557281764273</v>
      </c>
      <c r="AB145" s="247">
        <f>'Прогноз Зарплати 2022'!AB136</f>
        <v>0.2768897400364414</v>
      </c>
      <c r="AC145" s="247">
        <f>'Прогноз Зарплати 2022'!AC136</f>
        <v>0.24060495361849599</v>
      </c>
      <c r="AD145" s="247">
        <f>'Прогноз Зарплати 2022'!AD136</f>
        <v>0.24013976268326997</v>
      </c>
      <c r="AE145" s="247">
        <f>'Прогноз Зарплати 2022'!AE136</f>
        <v>0.24053248169637786</v>
      </c>
      <c r="AF145" s="247">
        <f>'Прогноз Зарплати 2022'!AF136</f>
        <v>0.1938725390543814</v>
      </c>
      <c r="AG145" s="247">
        <f>'Прогноз Зарплати 2022'!AG136</f>
        <v>0.17270455706915167</v>
      </c>
      <c r="AH145" s="247">
        <f>'Прогноз Зарплати 2022'!AH136</f>
        <v>0.15542583712175251</v>
      </c>
      <c r="AI145" s="247">
        <f>'Прогноз Зарплати 2022'!AI136</f>
        <v>0.1604078542309435</v>
      </c>
      <c r="AJ145" s="247">
        <f>'Прогноз Зарплати 2022'!AJ136</f>
        <v>0.11522596925557638</v>
      </c>
      <c r="AK145" s="247">
        <f>'Прогноз Зарплати 2022'!AK136</f>
        <v>0.10079233176096758</v>
      </c>
    </row>
    <row r="146" spans="1:50">
      <c r="A146" s="176" t="s">
        <v>254</v>
      </c>
      <c r="B146" s="247">
        <f>B$129/Z$31-1</f>
        <v>0.16307058440854383</v>
      </c>
      <c r="C146" s="247">
        <f t="shared" ref="C146:M146" si="134">C$129/AA$31-1</f>
        <v>0.15038710361650232</v>
      </c>
      <c r="D146" s="247">
        <f t="shared" si="134"/>
        <v>0.11810100615414676</v>
      </c>
      <c r="E146" s="247">
        <f t="shared" si="134"/>
        <v>1.5678254942058656E-2</v>
      </c>
      <c r="F146" s="247">
        <f t="shared" si="134"/>
        <v>2.9592733665396942E-2</v>
      </c>
      <c r="G146" s="247">
        <f t="shared" si="134"/>
        <v>7.381990169711572E-2</v>
      </c>
      <c r="H146" s="247">
        <f t="shared" si="134"/>
        <v>7.5927445082490275E-2</v>
      </c>
      <c r="I146" s="247">
        <f t="shared" si="134"/>
        <v>8.6267438549871844E-2</v>
      </c>
      <c r="J146" s="247">
        <f t="shared" si="134"/>
        <v>0.12173039170735445</v>
      </c>
      <c r="K146" s="247">
        <f t="shared" si="134"/>
        <v>0.13485728987801271</v>
      </c>
      <c r="L146" s="247">
        <f t="shared" si="134"/>
        <v>0.12250706517566012</v>
      </c>
      <c r="M146" s="247">
        <f t="shared" si="134"/>
        <v>0.15618484279914302</v>
      </c>
      <c r="N146" s="247">
        <f>N$129/AL$31-1</f>
        <v>0.1500885615735994</v>
      </c>
      <c r="O146" s="247">
        <f t="shared" ref="O146:Y146" si="135">O$129/AM$31-1</f>
        <v>0.15690974462985152</v>
      </c>
      <c r="P146" s="247">
        <f t="shared" si="135"/>
        <v>0.18923641446793638</v>
      </c>
      <c r="Q146" s="247">
        <f t="shared" si="135"/>
        <v>0.29846596356663468</v>
      </c>
      <c r="R146" s="247">
        <f t="shared" si="135"/>
        <v>0.28049705938152147</v>
      </c>
      <c r="S146" s="247">
        <f t="shared" si="135"/>
        <v>0.23611710855859736</v>
      </c>
      <c r="T146" s="247">
        <f t="shared" si="135"/>
        <v>0.21526601152151814</v>
      </c>
      <c r="U146" s="247">
        <f t="shared" si="135"/>
        <v>0.22287261925563517</v>
      </c>
      <c r="V146" s="247">
        <f t="shared" si="135"/>
        <v>0.18777110443777101</v>
      </c>
      <c r="W146" s="247">
        <f t="shared" si="135"/>
        <v>0.15368818794151462</v>
      </c>
      <c r="X146" s="247">
        <f t="shared" si="135"/>
        <v>0.19141665137492891</v>
      </c>
      <c r="Y146" s="247">
        <f t="shared" si="135"/>
        <v>0.23090485929896332</v>
      </c>
      <c r="Z146" s="247">
        <f>'Прогноз Зарплати 2022'!Z137</f>
        <v>0.19169293215198446</v>
      </c>
      <c r="AA146" s="247">
        <f>'Прогноз Зарплати 2022'!AA137</f>
        <v>0.19454470401617119</v>
      </c>
      <c r="AB146" s="247">
        <f>'Прогноз Зарплати 2022'!AB137</f>
        <v>3.9560091041560996E-2</v>
      </c>
      <c r="AC146" s="247">
        <f>'Прогноз Зарплати 2022'!AC137</f>
        <v>-2.2657549356002171E-3</v>
      </c>
      <c r="AD146" s="247">
        <f>'Прогноз Зарплати 2022'!AD137</f>
        <v>-1.1416979225407076E-2</v>
      </c>
      <c r="AE146" s="247">
        <f>'Прогноз Зарплати 2022'!AE137</f>
        <v>-5.6866747988558952E-2</v>
      </c>
      <c r="AF146" s="247">
        <f>'Прогноз Зарплати 2022'!AF137</f>
        <v>-0.26139529082420609</v>
      </c>
      <c r="AG146" s="247">
        <f>'Прогноз Зарплати 2022'!AG137</f>
        <v>-0.29081836490534163</v>
      </c>
      <c r="AH146" s="247">
        <f>'Прогноз Зарплати 2022'!AH137</f>
        <v>-0.28066935534085902</v>
      </c>
      <c r="AI146" s="247">
        <f>'Прогноз Зарплати 2022'!AI137</f>
        <v>-0.27481604308365692</v>
      </c>
      <c r="AJ146" s="247">
        <f>'Прогноз Зарплати 2022'!AJ137</f>
        <v>-0.27959017676720321</v>
      </c>
      <c r="AK146" s="247">
        <f>'Прогноз Зарплати 2022'!AK137</f>
        <v>-0.36072976960113023</v>
      </c>
      <c r="AL146" s="247">
        <f t="shared" ref="AL146:AS146" si="136">AL$129/AX$31-1</f>
        <v>0.23865201985476814</v>
      </c>
      <c r="AM146" s="247">
        <f t="shared" si="136"/>
        <v>0.23053687218678132</v>
      </c>
      <c r="AN146" s="247">
        <f t="shared" si="136"/>
        <v>0.14491847254833634</v>
      </c>
      <c r="AO146" s="247">
        <f t="shared" si="136"/>
        <v>0.25059276750773041</v>
      </c>
      <c r="AP146" s="247">
        <f t="shared" si="136"/>
        <v>0.27077161302246089</v>
      </c>
      <c r="AQ146" s="247">
        <f t="shared" si="136"/>
        <v>0.21825862091914083</v>
      </c>
      <c r="AR146" s="247">
        <f t="shared" si="136"/>
        <v>0.22121157197629837</v>
      </c>
      <c r="AS146" s="247">
        <f t="shared" si="136"/>
        <v>0.2459577052225479</v>
      </c>
      <c r="AT146" s="247">
        <f>AT$129/J$97-1</f>
        <v>0.24697310204368295</v>
      </c>
      <c r="AU146" s="247">
        <f>AU$129/K$97-1</f>
        <v>0.27901245995016022</v>
      </c>
      <c r="AV146" s="247">
        <f>AV$129/L$97-1</f>
        <v>0.247031228119311</v>
      </c>
      <c r="AW146" s="247">
        <f>AW$129/M$97-1</f>
        <v>0.12615768062797228</v>
      </c>
    </row>
    <row r="147" spans="1:50">
      <c r="A147" s="176" t="s">
        <v>437</v>
      </c>
      <c r="B147" s="247">
        <f>B$130/Z$45-1</f>
        <v>0.38121767636783921</v>
      </c>
      <c r="C147" s="247">
        <f t="shared" ref="C147:Y147" si="137">C$130/AA$45-1</f>
        <v>0.32196283991980579</v>
      </c>
      <c r="D147" s="247">
        <f t="shared" si="137"/>
        <v>0.16583608774660497</v>
      </c>
      <c r="E147" s="247">
        <f t="shared" si="137"/>
        <v>3.3524164309874926E-2</v>
      </c>
      <c r="F147" s="247">
        <f t="shared" si="137"/>
        <v>4.0762321022438153E-2</v>
      </c>
      <c r="G147" s="247">
        <f t="shared" si="137"/>
        <v>6.8467655666253791E-2</v>
      </c>
      <c r="H147" s="247">
        <f t="shared" si="137"/>
        <v>-3.3471075449019727E-3</v>
      </c>
      <c r="I147" s="247">
        <f t="shared" si="137"/>
        <v>-6.2388576762097081E-2</v>
      </c>
      <c r="J147" s="247">
        <f t="shared" si="137"/>
        <v>-7.2838194670614254E-2</v>
      </c>
      <c r="K147" s="247">
        <f t="shared" si="137"/>
        <v>-6.7559140587113209E-2</v>
      </c>
      <c r="L147" s="247">
        <f t="shared" si="137"/>
        <v>-9.6062495675782844E-2</v>
      </c>
      <c r="M147" s="247">
        <f t="shared" si="137"/>
        <v>-0.11548471831041507</v>
      </c>
      <c r="N147" s="247">
        <f t="shared" si="137"/>
        <v>-0.1039020579755241</v>
      </c>
      <c r="O147" s="247">
        <f t="shared" si="137"/>
        <v>-7.9607490525833935E-2</v>
      </c>
      <c r="P147" s="247">
        <f t="shared" si="137"/>
        <v>4.6394519548755397E-2</v>
      </c>
      <c r="Q147" s="247">
        <f t="shared" si="137"/>
        <v>0.14654616900726292</v>
      </c>
      <c r="R147" s="247">
        <f t="shared" si="137"/>
        <v>0.12844140094600554</v>
      </c>
      <c r="S147" s="247">
        <f t="shared" si="137"/>
        <v>0.12198363100480702</v>
      </c>
      <c r="T147" s="247">
        <f t="shared" si="137"/>
        <v>0.17128803826073424</v>
      </c>
      <c r="U147" s="247">
        <f t="shared" si="137"/>
        <v>0.24954803307534434</v>
      </c>
      <c r="V147" s="247">
        <f t="shared" si="137"/>
        <v>0.23635735789582601</v>
      </c>
      <c r="W147" s="247">
        <f t="shared" si="137"/>
        <v>0.23856949232130087</v>
      </c>
      <c r="X147" s="247">
        <f t="shared" si="137"/>
        <v>0.28993866010967206</v>
      </c>
      <c r="Y147" s="247">
        <f t="shared" si="137"/>
        <v>0.33590641857312087</v>
      </c>
      <c r="Z147" s="612"/>
      <c r="AA147" s="612"/>
      <c r="AB147" s="612"/>
      <c r="AC147" s="612"/>
      <c r="AD147" s="612"/>
      <c r="AE147" s="612"/>
      <c r="AF147" s="612"/>
      <c r="AG147" s="612"/>
      <c r="AH147" s="612"/>
      <c r="AI147" s="612"/>
      <c r="AJ147" s="612"/>
      <c r="AK147" s="612"/>
      <c r="AL147" s="247">
        <f t="shared" ref="AL147:AW147" si="138">AL$130/AX$45-1</f>
        <v>0.29068190527245208</v>
      </c>
      <c r="AM147" s="247">
        <f t="shared" si="138"/>
        <v>0.30371702214681107</v>
      </c>
      <c r="AN147" s="247">
        <f t="shared" si="138"/>
        <v>0.24025600178932915</v>
      </c>
      <c r="AO147" s="247">
        <f t="shared" si="138"/>
        <v>0.21047464379809067</v>
      </c>
      <c r="AP147" s="247">
        <f t="shared" si="138"/>
        <v>0.20992297178675567</v>
      </c>
      <c r="AQ147" s="247">
        <f t="shared" si="138"/>
        <v>0.20283140153646273</v>
      </c>
      <c r="AR147" s="247">
        <f t="shared" si="138"/>
        <v>0.15784170063254277</v>
      </c>
      <c r="AS147" s="247">
        <f t="shared" si="138"/>
        <v>0.14169677904860856</v>
      </c>
      <c r="AT147" s="247">
        <f t="shared" si="138"/>
        <v>0.12243067280171394</v>
      </c>
      <c r="AU147" s="247">
        <f t="shared" si="138"/>
        <v>0.13289172353594658</v>
      </c>
      <c r="AV147" s="247">
        <f t="shared" si="138"/>
        <v>8.9957612449980129E-2</v>
      </c>
      <c r="AW147" s="247">
        <f t="shared" si="138"/>
        <v>6.4980546688289564E-2</v>
      </c>
    </row>
    <row r="148" spans="1:50">
      <c r="A148" s="611" t="s">
        <v>1689</v>
      </c>
      <c r="B148" s="176" t="s">
        <v>492</v>
      </c>
      <c r="C148" s="176" t="s">
        <v>492</v>
      </c>
      <c r="D148" s="176" t="s">
        <v>492</v>
      </c>
      <c r="E148" s="176" t="s">
        <v>492</v>
      </c>
      <c r="F148" s="176" t="s">
        <v>492</v>
      </c>
      <c r="G148" s="176" t="s">
        <v>492</v>
      </c>
      <c r="H148" s="176" t="s">
        <v>492</v>
      </c>
      <c r="I148" s="176" t="s">
        <v>492</v>
      </c>
      <c r="J148" s="176" t="s">
        <v>492</v>
      </c>
      <c r="K148" s="176" t="s">
        <v>492</v>
      </c>
      <c r="L148" s="176" t="s">
        <v>492</v>
      </c>
      <c r="M148" s="176" t="s">
        <v>492</v>
      </c>
      <c r="N148" s="176" t="s">
        <v>492</v>
      </c>
      <c r="O148" s="176" t="s">
        <v>492</v>
      </c>
      <c r="P148" s="176" t="s">
        <v>492</v>
      </c>
      <c r="Q148" s="176" t="s">
        <v>492</v>
      </c>
      <c r="R148" s="176" t="s">
        <v>492</v>
      </c>
      <c r="S148" s="176" t="s">
        <v>492</v>
      </c>
      <c r="T148" s="176" t="s">
        <v>492</v>
      </c>
      <c r="U148" s="176" t="s">
        <v>492</v>
      </c>
      <c r="V148" s="176" t="s">
        <v>492</v>
      </c>
      <c r="W148" s="176" t="s">
        <v>492</v>
      </c>
      <c r="X148" s="247">
        <f>X$131/AV$46-1</f>
        <v>0.2657394292489792</v>
      </c>
      <c r="Y148" s="247">
        <f>Y$131/AW$46-1</f>
        <v>0.27568971085008309</v>
      </c>
      <c r="Z148" s="612"/>
      <c r="AA148" s="612"/>
      <c r="AB148" s="612"/>
      <c r="AC148" s="612"/>
      <c r="AD148" s="612"/>
      <c r="AE148" s="612"/>
      <c r="AF148" s="612"/>
      <c r="AG148" s="612"/>
      <c r="AH148" s="612"/>
      <c r="AI148" s="612"/>
      <c r="AJ148" s="612"/>
      <c r="AK148" s="612"/>
      <c r="AL148" s="247">
        <f t="shared" ref="AL148:AS148" si="139">AL$131/AX$46-1</f>
        <v>-4.4176201557767136E-2</v>
      </c>
      <c r="AM148" s="247">
        <f t="shared" si="139"/>
        <v>-6.1714433214472342E-2</v>
      </c>
      <c r="AN148" s="247">
        <f t="shared" si="139"/>
        <v>-0.12978813555224589</v>
      </c>
      <c r="AO148" s="247">
        <f t="shared" si="139"/>
        <v>-4.4871315381708743E-2</v>
      </c>
      <c r="AP148" s="247">
        <f t="shared" si="139"/>
        <v>-4.0927084511350187E-2</v>
      </c>
      <c r="AQ148" s="247">
        <f t="shared" si="139"/>
        <v>-9.2556452800690914E-2</v>
      </c>
      <c r="AR148" s="247">
        <f t="shared" si="139"/>
        <v>-9.1202586370480732E-2</v>
      </c>
      <c r="AS148" s="247">
        <f t="shared" si="139"/>
        <v>-8.8273771075871421E-2</v>
      </c>
      <c r="AT148" s="247">
        <f>AT$131/J$104-1</f>
        <v>-8.8493602634300395E-2</v>
      </c>
      <c r="AU148" s="247">
        <f>AU$131/K$104-1</f>
        <v>-7.6436834047317603E-2</v>
      </c>
      <c r="AV148" s="247">
        <f>AV$131/L$104-1</f>
        <v>-9.3853641604865756E-2</v>
      </c>
      <c r="AW148" s="247">
        <f>AW$131/M$104-1</f>
        <v>-0.16553653457494266</v>
      </c>
    </row>
    <row r="149" spans="1:50">
      <c r="B149" s="176" t="s">
        <v>492</v>
      </c>
      <c r="C149" s="176" t="s">
        <v>492</v>
      </c>
      <c r="D149" s="176" t="s">
        <v>492</v>
      </c>
      <c r="E149" s="176" t="s">
        <v>492</v>
      </c>
      <c r="F149" s="176" t="s">
        <v>492</v>
      </c>
      <c r="G149" s="176" t="s">
        <v>492</v>
      </c>
      <c r="H149" s="176" t="s">
        <v>492</v>
      </c>
      <c r="I149" s="176" t="s">
        <v>492</v>
      </c>
      <c r="J149" s="176" t="s">
        <v>492</v>
      </c>
      <c r="K149" s="176" t="s">
        <v>492</v>
      </c>
      <c r="L149" s="176" t="s">
        <v>492</v>
      </c>
      <c r="M149" s="176" t="s">
        <v>492</v>
      </c>
      <c r="N149" s="176" t="s">
        <v>492</v>
      </c>
      <c r="O149" s="176" t="s">
        <v>492</v>
      </c>
      <c r="P149" s="176" t="s">
        <v>492</v>
      </c>
      <c r="Q149" s="176" t="s">
        <v>492</v>
      </c>
      <c r="R149" s="176" t="s">
        <v>492</v>
      </c>
      <c r="S149" s="176" t="s">
        <v>492</v>
      </c>
      <c r="T149" s="176" t="s">
        <v>492</v>
      </c>
      <c r="U149" s="176" t="s">
        <v>492</v>
      </c>
      <c r="V149" s="176" t="s">
        <v>492</v>
      </c>
      <c r="W149" s="176" t="s">
        <v>492</v>
      </c>
      <c r="Z149" s="612"/>
      <c r="AA149" s="612"/>
      <c r="AB149" s="612"/>
      <c r="AC149" s="612"/>
      <c r="AD149" s="612"/>
      <c r="AE149" s="612"/>
      <c r="AF149" s="612"/>
      <c r="AG149" s="612"/>
      <c r="AH149" s="612"/>
      <c r="AI149" s="612"/>
      <c r="AJ149" s="612"/>
      <c r="AK149" s="612"/>
    </row>
    <row r="150" spans="1:50">
      <c r="A150" s="611" t="s">
        <v>1681</v>
      </c>
      <c r="Z150" s="612"/>
      <c r="AA150" s="612"/>
      <c r="AB150" s="612"/>
      <c r="AC150" s="612"/>
      <c r="AD150" s="612"/>
      <c r="AE150" s="612"/>
      <c r="AF150" s="612"/>
      <c r="AG150" s="612"/>
      <c r="AH150" s="612"/>
      <c r="AI150" s="612"/>
      <c r="AJ150" s="612"/>
      <c r="AK150" s="612"/>
      <c r="AX150" s="219">
        <f>'[33]Прогноз Зарплати 2023'!$BJ$133</f>
        <v>18829.106578095776</v>
      </c>
    </row>
    <row r="151" spans="1:50">
      <c r="Z151" s="612"/>
      <c r="AA151" s="612"/>
      <c r="AB151" s="612"/>
      <c r="AC151" s="612"/>
      <c r="AD151" s="612"/>
      <c r="AE151" s="612"/>
      <c r="AF151" s="612"/>
      <c r="AG151" s="612"/>
      <c r="AH151" s="612"/>
      <c r="AI151" s="612"/>
      <c r="AJ151" s="612"/>
      <c r="AK151" s="612"/>
      <c r="AX151" s="215">
        <f>AX133/AX150-1</f>
        <v>0.10241793313504255</v>
      </c>
    </row>
    <row r="154" spans="1:50">
      <c r="AK154" s="247">
        <f>AK129/Y129-1</f>
        <v>-4.3205893181167188E-2</v>
      </c>
    </row>
    <row r="155" spans="1:50">
      <c r="AK155" s="247">
        <f>AK131/Y131-1</f>
        <v>-0.28809495087392833</v>
      </c>
    </row>
    <row r="166" spans="18:28">
      <c r="R166" s="161" t="s">
        <v>438</v>
      </c>
    </row>
    <row r="171" spans="18:28">
      <c r="AB171" s="161" t="s">
        <v>1694</v>
      </c>
    </row>
    <row r="185" spans="13:13">
      <c r="M185" s="161" t="s">
        <v>439</v>
      </c>
    </row>
    <row r="201" spans="48:48">
      <c r="AV201" s="161" t="s">
        <v>1683</v>
      </c>
    </row>
  </sheetData>
  <mergeCells count="23">
    <mergeCell ref="BV29:CG29"/>
    <mergeCell ref="AL117:AW117"/>
    <mergeCell ref="B127:M127"/>
    <mergeCell ref="AL127:AW127"/>
    <mergeCell ref="AL29:AW29"/>
    <mergeCell ref="AX29:BI29"/>
    <mergeCell ref="BJ29:BU29"/>
    <mergeCell ref="B112:E112"/>
    <mergeCell ref="F112:I112"/>
    <mergeCell ref="B29:M29"/>
    <mergeCell ref="N29:Y29"/>
    <mergeCell ref="Z29:AK29"/>
    <mergeCell ref="Z127:AK127"/>
    <mergeCell ref="N127:Y127"/>
    <mergeCell ref="AX127:BI127"/>
    <mergeCell ref="AJ107:AM107"/>
    <mergeCell ref="AR107:AU107"/>
    <mergeCell ref="AN107:AQ107"/>
    <mergeCell ref="A90:A91"/>
    <mergeCell ref="B90:M90"/>
    <mergeCell ref="N90:Y90"/>
    <mergeCell ref="Z90:Z91"/>
    <mergeCell ref="AA90:AA91"/>
  </mergeCells>
  <phoneticPr fontId="34" type="noConversion"/>
  <conditionalFormatting sqref="B64:M67">
    <cfRule type="colorScale" priority="3">
      <colorScale>
        <cfvo type="min"/>
        <cfvo type="percentile" val="50"/>
        <cfvo type="max"/>
        <color rgb="FFF8696B"/>
        <color rgb="FFFCFCFF"/>
        <color rgb="FF63BE7B"/>
      </colorScale>
    </cfRule>
  </conditionalFormatting>
  <conditionalFormatting sqref="B68:M68">
    <cfRule type="colorScale" priority="2">
      <colorScale>
        <cfvo type="min"/>
        <cfvo type="percentile" val="50"/>
        <cfvo type="max"/>
        <color rgb="FFF8696B"/>
        <color rgb="FFFCFCFF"/>
        <color rgb="FF63BE7B"/>
      </colorScale>
    </cfRule>
  </conditionalFormatting>
  <conditionalFormatting sqref="B49:BU49">
    <cfRule type="colorScale" priority="1">
      <colorScale>
        <cfvo type="min"/>
        <cfvo type="percentile" val="50"/>
        <cfvo type="max"/>
        <color rgb="FFF8696B"/>
        <color rgb="FFFCFCFF"/>
        <color rgb="FF63BE7B"/>
      </colorScale>
    </cfRule>
  </conditionalFormatting>
  <hyperlinks>
    <hyperlink ref="A1" location="'1'!A1" display="to title" xr:uid="{00000000-0004-0000-0200-000000000000}"/>
  </hyperlinks>
  <printOptions horizontalCentered="1"/>
  <pageMargins left="0.39370078740157483" right="0.31496062992125984" top="0.36" bottom="0.35433070866141736" header="0.23622047244094491" footer="0.19685039370078741"/>
  <pageSetup paperSize="8" orientation="landscape" horizontalDpi="4294967295" verticalDpi="4294967295"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E9579-33EA-4253-9E46-1E75C2723047}">
  <dimension ref="A1:AS123"/>
  <sheetViews>
    <sheetView topLeftCell="P1" zoomScale="85" zoomScaleNormal="85" workbookViewId="0">
      <selection activeCell="AG14" sqref="AG14"/>
    </sheetView>
  </sheetViews>
  <sheetFormatPr defaultRowHeight="18"/>
  <cols>
    <col min="4" max="4" width="22.796875" style="751" customWidth="1"/>
    <col min="8" max="8" width="21.5" customWidth="1"/>
    <col min="9" max="9" width="11.19921875" bestFit="1" customWidth="1"/>
    <col min="24" max="24" width="12" customWidth="1"/>
    <col min="25" max="25" width="10.59765625" customWidth="1"/>
    <col min="33" max="33" width="11.19921875" bestFit="1" customWidth="1"/>
  </cols>
  <sheetData>
    <row r="1" spans="1:45">
      <c r="D1" s="771" t="s">
        <v>1721</v>
      </c>
    </row>
    <row r="2" spans="1:45" ht="71.25" customHeight="1">
      <c r="D2" s="772" t="s">
        <v>1719</v>
      </c>
      <c r="F2" s="860" t="s">
        <v>1769</v>
      </c>
    </row>
    <row r="3" spans="1:45">
      <c r="D3" s="772" t="s">
        <v>1720</v>
      </c>
      <c r="I3" t="str">
        <f>$I$5&amp;I6</f>
        <v>20221</v>
      </c>
      <c r="J3" t="str">
        <f t="shared" ref="J3:T3" si="0">$I$5&amp;J6</f>
        <v>20222</v>
      </c>
      <c r="K3" t="str">
        <f t="shared" si="0"/>
        <v>20223</v>
      </c>
      <c r="L3" t="str">
        <f t="shared" si="0"/>
        <v>20224</v>
      </c>
      <c r="M3" t="str">
        <f t="shared" si="0"/>
        <v>20225</v>
      </c>
      <c r="N3" t="str">
        <f t="shared" si="0"/>
        <v>20226</v>
      </c>
      <c r="O3" t="str">
        <f t="shared" si="0"/>
        <v>20227</v>
      </c>
      <c r="P3" t="str">
        <f t="shared" si="0"/>
        <v>20228</v>
      </c>
      <c r="Q3" t="str">
        <f t="shared" si="0"/>
        <v>20229</v>
      </c>
      <c r="R3" t="str">
        <f t="shared" si="0"/>
        <v>202210</v>
      </c>
      <c r="S3" t="str">
        <f t="shared" si="0"/>
        <v>202211</v>
      </c>
      <c r="T3" t="str">
        <f t="shared" si="0"/>
        <v>202212</v>
      </c>
      <c r="U3" t="str">
        <f>$U$5&amp;U6</f>
        <v>20231</v>
      </c>
      <c r="V3" t="str">
        <f t="shared" ref="V3:AF3" si="1">$U$5&amp;V6</f>
        <v>20232</v>
      </c>
      <c r="W3" t="str">
        <f t="shared" si="1"/>
        <v>20233</v>
      </c>
      <c r="X3" t="str">
        <f t="shared" si="1"/>
        <v>20234</v>
      </c>
      <c r="Y3" t="str">
        <f t="shared" si="1"/>
        <v>20235</v>
      </c>
      <c r="Z3" t="str">
        <f t="shared" si="1"/>
        <v>20236</v>
      </c>
      <c r="AA3" t="str">
        <f t="shared" si="1"/>
        <v>20237</v>
      </c>
      <c r="AB3" t="str">
        <f t="shared" si="1"/>
        <v>20238</v>
      </c>
      <c r="AC3" t="str">
        <f t="shared" si="1"/>
        <v>20239</v>
      </c>
      <c r="AD3" t="str">
        <f t="shared" si="1"/>
        <v>202310</v>
      </c>
      <c r="AE3" t="str">
        <f t="shared" si="1"/>
        <v>202311</v>
      </c>
      <c r="AF3" t="str">
        <f t="shared" si="1"/>
        <v>202312</v>
      </c>
      <c r="AG3" t="str">
        <f>$AG$5&amp;AG6</f>
        <v>20241</v>
      </c>
      <c r="AH3" t="str">
        <f t="shared" ref="AH3:AR3" si="2">$AG$5&amp;AH6</f>
        <v>20242</v>
      </c>
      <c r="AI3" t="str">
        <f t="shared" si="2"/>
        <v>20243</v>
      </c>
      <c r="AJ3" t="str">
        <f t="shared" si="2"/>
        <v>20244</v>
      </c>
      <c r="AK3" t="str">
        <f t="shared" si="2"/>
        <v>20245</v>
      </c>
      <c r="AL3" t="str">
        <f t="shared" si="2"/>
        <v>20246</v>
      </c>
      <c r="AM3" t="str">
        <f t="shared" si="2"/>
        <v>20247</v>
      </c>
      <c r="AN3" t="str">
        <f t="shared" si="2"/>
        <v>20248</v>
      </c>
      <c r="AO3" t="str">
        <f t="shared" si="2"/>
        <v>20249</v>
      </c>
      <c r="AP3" t="str">
        <f t="shared" si="2"/>
        <v>202410</v>
      </c>
      <c r="AQ3" t="str">
        <f t="shared" si="2"/>
        <v>202411</v>
      </c>
      <c r="AR3" t="str">
        <f t="shared" si="2"/>
        <v>202412</v>
      </c>
    </row>
    <row r="5" spans="1:45">
      <c r="D5" s="773" t="s">
        <v>1724</v>
      </c>
      <c r="E5" t="s">
        <v>1722</v>
      </c>
      <c r="F5" t="s">
        <v>1723</v>
      </c>
      <c r="I5" s="943">
        <v>2022</v>
      </c>
      <c r="J5" s="943"/>
      <c r="K5" s="943"/>
      <c r="L5" s="943"/>
      <c r="M5" s="943"/>
      <c r="N5" s="943"/>
      <c r="O5" s="943"/>
      <c r="P5" s="943"/>
      <c r="Q5" s="943"/>
      <c r="R5" s="943"/>
      <c r="S5" s="943"/>
      <c r="T5" s="943"/>
      <c r="U5" s="943">
        <v>2023</v>
      </c>
      <c r="V5" s="943"/>
      <c r="W5" s="943"/>
      <c r="X5" s="943"/>
      <c r="Y5" s="943"/>
      <c r="Z5" s="943"/>
      <c r="AA5" s="943"/>
      <c r="AB5" s="943"/>
      <c r="AC5" s="943"/>
      <c r="AD5" s="943"/>
      <c r="AE5" s="943"/>
      <c r="AF5" s="943"/>
      <c r="AG5" s="943">
        <v>2024</v>
      </c>
      <c r="AH5" s="943"/>
      <c r="AI5" s="943"/>
      <c r="AJ5" s="943"/>
      <c r="AK5" s="943"/>
      <c r="AL5" s="943"/>
      <c r="AM5" s="943"/>
      <c r="AN5" s="943"/>
      <c r="AO5" s="943"/>
      <c r="AP5" s="943"/>
      <c r="AQ5" s="943"/>
      <c r="AR5" s="943"/>
    </row>
    <row r="6" spans="1:45">
      <c r="A6" t="str">
        <f>B6&amp;C6</f>
        <v>20221</v>
      </c>
      <c r="B6">
        <v>2022</v>
      </c>
      <c r="C6">
        <v>1</v>
      </c>
      <c r="D6" s="770" t="s">
        <v>1725</v>
      </c>
      <c r="E6" t="str">
        <f>LEFT(D6,5)</f>
        <v>14127</v>
      </c>
      <c r="F6" t="str">
        <f>LEFT(D7,5)</f>
        <v>15642</v>
      </c>
      <c r="I6" s="608">
        <v>1</v>
      </c>
      <c r="J6" s="608">
        <v>2</v>
      </c>
      <c r="K6" s="608">
        <v>3</v>
      </c>
      <c r="L6" s="608">
        <v>4</v>
      </c>
      <c r="M6" s="608">
        <v>5</v>
      </c>
      <c r="N6" s="608">
        <v>6</v>
      </c>
      <c r="O6" s="608">
        <v>7</v>
      </c>
      <c r="P6" s="608">
        <v>8</v>
      </c>
      <c r="Q6" s="608">
        <v>9</v>
      </c>
      <c r="R6" s="608">
        <v>10</v>
      </c>
      <c r="S6" s="608">
        <v>11</v>
      </c>
      <c r="T6" s="608">
        <v>12</v>
      </c>
      <c r="U6" s="608">
        <v>1</v>
      </c>
      <c r="V6" s="608">
        <v>2</v>
      </c>
      <c r="W6" s="608">
        <v>3</v>
      </c>
      <c r="X6" s="608">
        <v>4</v>
      </c>
      <c r="Y6" s="608">
        <v>5</v>
      </c>
      <c r="Z6" s="608">
        <v>6</v>
      </c>
      <c r="AA6" s="608">
        <v>7</v>
      </c>
      <c r="AB6" s="608">
        <v>8</v>
      </c>
      <c r="AC6" s="608">
        <v>9</v>
      </c>
      <c r="AD6" s="608">
        <v>10</v>
      </c>
      <c r="AE6" s="608">
        <v>11</v>
      </c>
      <c r="AF6" s="608">
        <v>12</v>
      </c>
      <c r="AG6" s="917">
        <v>1</v>
      </c>
      <c r="AH6" s="917">
        <v>2</v>
      </c>
      <c r="AI6" s="917">
        <v>3</v>
      </c>
      <c r="AJ6" s="917">
        <v>4</v>
      </c>
      <c r="AK6" s="917">
        <v>5</v>
      </c>
      <c r="AL6" s="917">
        <v>6</v>
      </c>
      <c r="AM6" s="917">
        <v>7</v>
      </c>
      <c r="AN6" s="917">
        <v>8</v>
      </c>
      <c r="AO6" s="917">
        <v>9</v>
      </c>
      <c r="AP6" s="917">
        <v>10</v>
      </c>
      <c r="AQ6" s="917">
        <v>11</v>
      </c>
      <c r="AR6" s="917">
        <v>12</v>
      </c>
    </row>
    <row r="7" spans="1:45">
      <c r="D7" s="770" t="s">
        <v>1726</v>
      </c>
      <c r="H7" t="s">
        <v>1722</v>
      </c>
      <c r="I7" s="8" t="str">
        <f>VLOOKUP(I$3,$A$6:$F$1048576,5,0)</f>
        <v>14127</v>
      </c>
      <c r="J7" s="8" t="str">
        <f t="shared" ref="J7:AG7" si="3">VLOOKUP(J$3,$A$6:$F$1048576,5,0)</f>
        <v>14413</v>
      </c>
      <c r="K7" s="8" t="str">
        <f t="shared" si="3"/>
        <v>14802</v>
      </c>
      <c r="L7" s="8" t="str">
        <f t="shared" si="3"/>
        <v>13476</v>
      </c>
      <c r="M7" s="8" t="str">
        <f t="shared" si="3"/>
        <v>13395</v>
      </c>
      <c r="N7" s="8" t="str">
        <f t="shared" si="3"/>
        <v>13635</v>
      </c>
      <c r="O7" s="8" t="str">
        <f t="shared" si="3"/>
        <v>13674</v>
      </c>
      <c r="P7" s="8" t="str">
        <f t="shared" si="3"/>
        <v>13879</v>
      </c>
      <c r="Q7" s="8" t="str">
        <f t="shared" si="3"/>
        <v>13766</v>
      </c>
      <c r="R7" s="8" t="str">
        <f t="shared" si="3"/>
        <v>14290</v>
      </c>
      <c r="S7" s="8" t="str">
        <f t="shared" si="3"/>
        <v>14455</v>
      </c>
      <c r="T7" s="8" t="str">
        <f t="shared" si="3"/>
        <v>14712</v>
      </c>
      <c r="U7" s="8" t="str">
        <f t="shared" si="3"/>
        <v>14715</v>
      </c>
      <c r="V7" s="8" t="str">
        <f t="shared" si="3"/>
        <v>15049</v>
      </c>
      <c r="W7" s="8" t="str">
        <f t="shared" si="3"/>
        <v>15235</v>
      </c>
      <c r="X7" s="8" t="str">
        <f t="shared" si="3"/>
        <v>15321</v>
      </c>
      <c r="Y7" s="8" t="str">
        <f t="shared" si="3"/>
        <v>15430</v>
      </c>
      <c r="Z7" s="8" t="str">
        <f>VLOOKUP(Z$3,$A$6:$F$1048576,5,0)</f>
        <v>15800</v>
      </c>
      <c r="AA7" s="8" t="str">
        <f t="shared" si="3"/>
        <v>16318</v>
      </c>
      <c r="AB7" s="8" t="str">
        <f t="shared" si="3"/>
        <v>16550</v>
      </c>
      <c r="AC7" s="8" t="str">
        <f t="shared" si="3"/>
        <v>16709</v>
      </c>
      <c r="AD7" s="8" t="str">
        <f t="shared" si="3"/>
        <v>17104</v>
      </c>
      <c r="AE7" s="8" t="str">
        <f t="shared" si="3"/>
        <v>17504</v>
      </c>
      <c r="AF7" s="8" t="str">
        <f t="shared" si="3"/>
        <v>17783</v>
      </c>
      <c r="AG7" s="8" t="str">
        <f t="shared" si="3"/>
        <v>17853</v>
      </c>
    </row>
    <row r="8" spans="1:45">
      <c r="H8" t="s">
        <v>1723</v>
      </c>
      <c r="I8" s="8" t="str">
        <f>VLOOKUP(I$3,$A$6:$F$1048576,6,0)</f>
        <v>15642</v>
      </c>
      <c r="J8" s="8" t="str">
        <f t="shared" ref="J8:AG8" si="4">VLOOKUP(J$3,$A$6:$F$1048576,6,0)</f>
        <v>15606</v>
      </c>
      <c r="K8" s="8" t="str">
        <f t="shared" si="4"/>
        <v>15870</v>
      </c>
      <c r="L8" s="8" t="str">
        <f t="shared" si="4"/>
        <v>15662</v>
      </c>
      <c r="M8" s="8" t="str">
        <f t="shared" si="4"/>
        <v>15412</v>
      </c>
      <c r="N8" s="8" t="str">
        <f t="shared" si="4"/>
        <v>15357</v>
      </c>
      <c r="O8" s="8" t="str">
        <f t="shared" si="4"/>
        <v>15617</v>
      </c>
      <c r="P8" s="8" t="str">
        <f t="shared" si="4"/>
        <v>15707</v>
      </c>
      <c r="Q8" s="8" t="str">
        <f t="shared" si="4"/>
        <v>15744</v>
      </c>
      <c r="R8" s="8" t="str">
        <f t="shared" si="4"/>
        <v>15967</v>
      </c>
      <c r="S8" s="8" t="str">
        <f t="shared" si="4"/>
        <v>16102</v>
      </c>
      <c r="T8" s="8" t="str">
        <f t="shared" si="4"/>
        <v>16313</v>
      </c>
      <c r="U8" s="8" t="str">
        <f t="shared" si="4"/>
        <v>16464</v>
      </c>
      <c r="V8" s="8" t="str">
        <f t="shared" si="4"/>
        <v>16458</v>
      </c>
      <c r="W8" s="8" t="str">
        <f t="shared" si="4"/>
        <v>16563</v>
      </c>
      <c r="X8" s="8" t="str">
        <f t="shared" si="4"/>
        <v>16781</v>
      </c>
      <c r="Y8" s="8" t="str">
        <f t="shared" si="4"/>
        <v>17084</v>
      </c>
      <c r="Z8" s="8" t="str">
        <f t="shared" si="4"/>
        <v>17250</v>
      </c>
      <c r="AA8" s="8" t="str">
        <f t="shared" si="4"/>
        <v>17371</v>
      </c>
      <c r="AB8" s="8" t="str">
        <f t="shared" si="4"/>
        <v>17984</v>
      </c>
      <c r="AC8" s="8" t="str">
        <f t="shared" si="4"/>
        <v>18106</v>
      </c>
      <c r="AD8" s="8" t="str">
        <f t="shared" si="4"/>
        <v>18119</v>
      </c>
      <c r="AE8" s="8" t="str">
        <f t="shared" si="4"/>
        <v>18476</v>
      </c>
      <c r="AF8" s="8" t="str">
        <f t="shared" si="4"/>
        <v>18955</v>
      </c>
      <c r="AG8" s="8" t="str">
        <f t="shared" si="4"/>
        <v>19137</v>
      </c>
    </row>
    <row r="9" spans="1:45">
      <c r="D9" s="773" t="s">
        <v>1727</v>
      </c>
      <c r="I9" s="8"/>
    </row>
    <row r="10" spans="1:45">
      <c r="A10" t="str">
        <f>B10&amp;C10</f>
        <v>20222</v>
      </c>
      <c r="B10">
        <v>2022</v>
      </c>
      <c r="C10">
        <v>2</v>
      </c>
      <c r="D10" s="770" t="s">
        <v>1728</v>
      </c>
      <c r="E10" t="str">
        <f>LEFT(D10,5)</f>
        <v>14413</v>
      </c>
      <c r="F10" t="str">
        <f>LEFT(D11,5)</f>
        <v>15606</v>
      </c>
      <c r="I10" s="8"/>
    </row>
    <row r="11" spans="1:45">
      <c r="D11" s="770" t="s">
        <v>1729</v>
      </c>
      <c r="I11" s="8"/>
    </row>
    <row r="12" spans="1:45">
      <c r="H12" s="605" t="s">
        <v>1770</v>
      </c>
      <c r="I12" s="774">
        <f>(I7+I8)/2</f>
        <v>14884.5</v>
      </c>
      <c r="J12" s="774">
        <f t="shared" ref="J12:X12" si="5">(J7+J8)/2</f>
        <v>15009.5</v>
      </c>
      <c r="K12" s="774">
        <f t="shared" si="5"/>
        <v>15336</v>
      </c>
      <c r="L12" s="774">
        <f t="shared" si="5"/>
        <v>14569</v>
      </c>
      <c r="M12" s="774">
        <f t="shared" si="5"/>
        <v>14403.5</v>
      </c>
      <c r="N12" s="774">
        <f t="shared" si="5"/>
        <v>14496</v>
      </c>
      <c r="O12" s="774">
        <f t="shared" si="5"/>
        <v>14645.5</v>
      </c>
      <c r="P12" s="774">
        <f t="shared" si="5"/>
        <v>14793</v>
      </c>
      <c r="Q12" s="774">
        <f t="shared" si="5"/>
        <v>14755</v>
      </c>
      <c r="R12" s="774">
        <f t="shared" si="5"/>
        <v>15128.5</v>
      </c>
      <c r="S12" s="774">
        <f t="shared" si="5"/>
        <v>15278.5</v>
      </c>
      <c r="T12" s="774">
        <f>(T7+T8)/2</f>
        <v>15512.5</v>
      </c>
      <c r="U12" s="774">
        <f t="shared" si="5"/>
        <v>15589.5</v>
      </c>
      <c r="V12" s="774">
        <f t="shared" si="5"/>
        <v>15753.5</v>
      </c>
      <c r="W12" s="774">
        <f t="shared" si="5"/>
        <v>15899</v>
      </c>
      <c r="X12" s="774">
        <f t="shared" si="5"/>
        <v>16051</v>
      </c>
      <c r="Y12" s="774">
        <f t="shared" ref="Y12:AD12" si="6">(Y7+Y8)/2</f>
        <v>16257</v>
      </c>
      <c r="Z12" s="774">
        <f t="shared" si="6"/>
        <v>16525</v>
      </c>
      <c r="AA12" s="774">
        <f t="shared" si="6"/>
        <v>16844.5</v>
      </c>
      <c r="AB12" s="774">
        <f t="shared" si="6"/>
        <v>17267</v>
      </c>
      <c r="AC12" s="774">
        <f t="shared" si="6"/>
        <v>17407.5</v>
      </c>
      <c r="AD12" s="774">
        <f t="shared" si="6"/>
        <v>17611.5</v>
      </c>
      <c r="AE12" s="774">
        <f>(AE7+AE8)/2</f>
        <v>17990</v>
      </c>
      <c r="AF12" s="774">
        <f>(AF7+AF8)/2</f>
        <v>18369</v>
      </c>
      <c r="AG12" s="774">
        <f>(AG7+AG8)/2</f>
        <v>18495</v>
      </c>
    </row>
    <row r="13" spans="1:45">
      <c r="D13" s="773" t="s">
        <v>1730</v>
      </c>
    </row>
    <row r="14" spans="1:45">
      <c r="A14" t="str">
        <f>B14&amp;C14</f>
        <v>20223</v>
      </c>
      <c r="B14">
        <v>2022</v>
      </c>
      <c r="C14">
        <v>3</v>
      </c>
      <c r="D14" s="770" t="s">
        <v>1731</v>
      </c>
      <c r="E14" t="str">
        <f>LEFT(D14,5)</f>
        <v>14802</v>
      </c>
      <c r="F14" t="str">
        <f>LEFT(D15,5)</f>
        <v>15870</v>
      </c>
      <c r="H14" s="605" t="s">
        <v>1973</v>
      </c>
      <c r="I14" s="140">
        <f>'Прогноз Зарплати 2022'!Z120</f>
        <v>14577</v>
      </c>
      <c r="J14" s="140">
        <f>'Прогноз Зарплати 2022'!AA120</f>
        <v>15272.75537308491</v>
      </c>
      <c r="K14" s="140">
        <f>'Прогноз Зарплати 2022'!AB120</f>
        <v>14890.936488757787</v>
      </c>
      <c r="L14" s="140">
        <f>'Прогноз Зарплати 2022'!AC120</f>
        <v>14150.920525117603</v>
      </c>
      <c r="M14" s="140">
        <f>'Прогноз Зарплати 2022'!AD120</f>
        <v>14142.674067935133</v>
      </c>
      <c r="N14" s="140">
        <f>'Прогноз Зарплати 2022'!AE120</f>
        <v>14495.210112485704</v>
      </c>
      <c r="O14" s="140">
        <f>'Прогноз Зарплати 2022'!AF120</f>
        <v>14237.589049670072</v>
      </c>
      <c r="P14" s="140">
        <f>'Прогноз Зарплати 2022'!AG120</f>
        <v>13565.359088885536</v>
      </c>
      <c r="Q14" s="140">
        <f>'Прогноз Зарплати 2022'!AH120</f>
        <v>14012.170619706394</v>
      </c>
      <c r="R14" s="140">
        <f>'Прогноз Зарплати 2022'!AI120</f>
        <v>14124.879834688234</v>
      </c>
      <c r="S14" s="140">
        <f>'Прогноз Зарплати 2022'!AJ120</f>
        <v>14225.51306235059</v>
      </c>
      <c r="T14" s="140">
        <f>'Прогноз Зарплати 2022'!AK120</f>
        <v>14995.155987512288</v>
      </c>
      <c r="U14" s="140">
        <f t="array" ref="U14:AF14">TRANSPOSE('ІЦВ (Стрим Інфл)+'!AX165:AX176)</f>
        <v>13923.239283774847</v>
      </c>
      <c r="V14" s="140">
        <v>14119.703357108936</v>
      </c>
      <c r="W14" s="140">
        <v>15103.00912193074</v>
      </c>
      <c r="X14" s="140">
        <v>14389.214131271798</v>
      </c>
      <c r="Y14" s="140">
        <v>14439.506637335338</v>
      </c>
      <c r="Z14" s="140">
        <v>15577.166266833558</v>
      </c>
      <c r="AA14" s="140">
        <v>15744.439932792207</v>
      </c>
      <c r="AB14" s="140">
        <v>15314.83440659275</v>
      </c>
      <c r="AC14" s="140">
        <v>15808.5138858223</v>
      </c>
      <c r="AD14" s="140">
        <v>15825.501007894374</v>
      </c>
      <c r="AE14" s="140">
        <v>15841.771490582814</v>
      </c>
      <c r="AF14" s="140">
        <v>18618.478603682084</v>
      </c>
    </row>
    <row r="15" spans="1:45">
      <c r="D15" s="770" t="s">
        <v>1732</v>
      </c>
    </row>
    <row r="16" spans="1:45">
      <c r="I16" s="82">
        <f>I12/I14</f>
        <v>1.0210948754887836</v>
      </c>
      <c r="J16" s="82">
        <f t="shared" ref="J16:T16" si="7">J12/J14</f>
        <v>0.98276307276230956</v>
      </c>
      <c r="K16" s="82">
        <f t="shared" si="7"/>
        <v>1.0298882149942834</v>
      </c>
      <c r="L16" s="82">
        <f t="shared" si="7"/>
        <v>1.0295443306419758</v>
      </c>
      <c r="M16" s="82">
        <f>M12/M14</f>
        <v>1.0184424763529143</v>
      </c>
      <c r="N16" s="82">
        <f t="shared" si="7"/>
        <v>1.0000544930020445</v>
      </c>
      <c r="O16" s="82">
        <f t="shared" si="7"/>
        <v>1.0286502826361168</v>
      </c>
      <c r="P16" s="82">
        <f t="shared" si="7"/>
        <v>1.0904982244163595</v>
      </c>
      <c r="Q16" s="82">
        <f t="shared" si="7"/>
        <v>1.0530131555241633</v>
      </c>
      <c r="R16" s="82">
        <f t="shared" si="7"/>
        <v>1.0710533595370526</v>
      </c>
      <c r="S16" s="82">
        <f t="shared" si="7"/>
        <v>1.0740210165379733</v>
      </c>
      <c r="T16" s="82">
        <f t="shared" si="7"/>
        <v>1.0345007423009502</v>
      </c>
      <c r="U16" s="82">
        <f t="shared" ref="U16:AD16" si="8">U12/U14</f>
        <v>1.119674788478777</v>
      </c>
      <c r="V16" s="82">
        <f t="shared" si="8"/>
        <v>1.115710408467504</v>
      </c>
      <c r="W16" s="82">
        <f t="shared" si="8"/>
        <v>1.0527041248298936</v>
      </c>
      <c r="X16" s="82">
        <f t="shared" si="8"/>
        <v>1.115488299330863</v>
      </c>
      <c r="Y16" s="82">
        <f t="shared" si="8"/>
        <v>1.1258694918263539</v>
      </c>
      <c r="Z16" s="82">
        <f t="shared" si="8"/>
        <v>1.0608476353741272</v>
      </c>
      <c r="AA16" s="82">
        <f t="shared" si="8"/>
        <v>1.0698697490608484</v>
      </c>
      <c r="AB16" s="82">
        <f t="shared" si="8"/>
        <v>1.1274689325120537</v>
      </c>
      <c r="AC16" s="82">
        <f t="shared" si="8"/>
        <v>1.1011471492972995</v>
      </c>
      <c r="AD16" s="82">
        <f t="shared" si="8"/>
        <v>1.1128557630633431</v>
      </c>
      <c r="AE16" s="82">
        <f>AE12/AE14</f>
        <v>1.1356053210775201</v>
      </c>
      <c r="AF16" s="82">
        <f>AF12/AF14</f>
        <v>0.98660048390673838</v>
      </c>
      <c r="AS16">
        <f>(AF16/AB16)^(1/4)</f>
        <v>0.96718418189270072</v>
      </c>
    </row>
    <row r="17" spans="1:32">
      <c r="D17" s="773" t="s">
        <v>1733</v>
      </c>
    </row>
    <row r="18" spans="1:32">
      <c r="A18" t="str">
        <f>B18&amp;C18</f>
        <v>20224</v>
      </c>
      <c r="B18">
        <v>2022</v>
      </c>
      <c r="C18">
        <v>4</v>
      </c>
      <c r="D18" s="770" t="s">
        <v>1734</v>
      </c>
      <c r="E18" t="str">
        <f>LEFT(D18,5)</f>
        <v>13476</v>
      </c>
      <c r="F18" t="str">
        <f>LEFT(D19,5)</f>
        <v>15662</v>
      </c>
      <c r="I18" s="887">
        <v>0.96357645683976889</v>
      </c>
      <c r="J18" s="98">
        <f>I18</f>
        <v>0.96357645683976889</v>
      </c>
      <c r="K18" s="98">
        <f>J18</f>
        <v>0.96357645683976889</v>
      </c>
      <c r="L18" s="887">
        <f>$K$28</f>
        <v>0.94707535911555496</v>
      </c>
      <c r="M18" s="98">
        <f>L18</f>
        <v>0.94707535911555496</v>
      </c>
      <c r="N18" s="98">
        <f>M18</f>
        <v>0.94707535911555496</v>
      </c>
      <c r="O18" s="887">
        <f>$L$28</f>
        <v>0.9924038475368735</v>
      </c>
      <c r="P18" s="98">
        <f>O18</f>
        <v>0.9924038475368735</v>
      </c>
      <c r="Q18" s="98">
        <f>P18</f>
        <v>0.9924038475368735</v>
      </c>
      <c r="R18" s="887">
        <f>$M$28</f>
        <v>1.076482033605743</v>
      </c>
      <c r="S18" s="98">
        <f>R18</f>
        <v>1.076482033605743</v>
      </c>
      <c r="T18" s="98">
        <f>S18</f>
        <v>1.076482033605743</v>
      </c>
      <c r="U18" s="887">
        <f>$N$28</f>
        <v>0.98022707392464647</v>
      </c>
      <c r="V18" s="98">
        <f>U18</f>
        <v>0.98022707392464647</v>
      </c>
      <c r="W18" s="98">
        <f>V18</f>
        <v>0.98022707392464647</v>
      </c>
      <c r="X18" s="887">
        <f>$O$28</f>
        <v>1.0551852127815833</v>
      </c>
      <c r="Y18" s="98">
        <f>X18</f>
        <v>1.0551852127815833</v>
      </c>
      <c r="Z18" s="98">
        <f>Y18</f>
        <v>1.0551852127815833</v>
      </c>
      <c r="AA18" s="887">
        <v>1.04</v>
      </c>
      <c r="AB18" s="887">
        <v>1.01</v>
      </c>
      <c r="AC18" s="887">
        <v>1.02</v>
      </c>
      <c r="AD18" s="887">
        <v>1.02</v>
      </c>
      <c r="AE18" s="887">
        <v>0.99</v>
      </c>
      <c r="AF18" s="549">
        <v>1.07</v>
      </c>
    </row>
    <row r="19" spans="1:32">
      <c r="D19" s="770" t="s">
        <v>1735</v>
      </c>
      <c r="H19" s="902" t="s">
        <v>1974</v>
      </c>
      <c r="I19" s="903" t="str">
        <f>I7</f>
        <v>14127</v>
      </c>
      <c r="J19" s="904">
        <f>J12*J$18</f>
        <v>14462.800828936512</v>
      </c>
      <c r="K19" s="904">
        <f t="shared" ref="K19:AE19" si="9">K12*K$18</f>
        <v>14777.408542094696</v>
      </c>
      <c r="L19" s="904">
        <f t="shared" si="9"/>
        <v>13797.94090695452</v>
      </c>
      <c r="M19" s="904">
        <f t="shared" si="9"/>
        <v>13641.199935020895</v>
      </c>
      <c r="N19" s="904">
        <f t="shared" si="9"/>
        <v>13728.804405739085</v>
      </c>
      <c r="O19" s="904">
        <f t="shared" si="9"/>
        <v>14534.250549101282</v>
      </c>
      <c r="P19" s="904">
        <f t="shared" si="9"/>
        <v>14680.630116612969</v>
      </c>
      <c r="Q19" s="904">
        <f t="shared" si="9"/>
        <v>14642.918770406568</v>
      </c>
      <c r="R19" s="904">
        <f t="shared" si="9"/>
        <v>16285.558445404484</v>
      </c>
      <c r="S19" s="904">
        <f t="shared" si="9"/>
        <v>16447.030750445345</v>
      </c>
      <c r="T19" s="904">
        <f t="shared" si="9"/>
        <v>16698.927546309089</v>
      </c>
      <c r="U19" s="904">
        <f t="shared" si="9"/>
        <v>15281.249968948276</v>
      </c>
      <c r="V19" s="904">
        <f t="shared" si="9"/>
        <v>15442.007209071919</v>
      </c>
      <c r="W19" s="904">
        <f t="shared" si="9"/>
        <v>15584.630248327954</v>
      </c>
      <c r="X19" s="904">
        <f t="shared" si="9"/>
        <v>16936.777850357194</v>
      </c>
      <c r="Y19" s="904">
        <f t="shared" si="9"/>
        <v>17154.146004190199</v>
      </c>
      <c r="Z19" s="904">
        <f t="shared" si="9"/>
        <v>17436.935641215663</v>
      </c>
      <c r="AA19" s="904">
        <f t="shared" si="9"/>
        <v>17518.28</v>
      </c>
      <c r="AB19" s="904">
        <f t="shared" si="9"/>
        <v>17439.670000000002</v>
      </c>
      <c r="AC19" s="904">
        <f t="shared" si="9"/>
        <v>17755.650000000001</v>
      </c>
      <c r="AD19" s="904">
        <f t="shared" si="9"/>
        <v>17963.73</v>
      </c>
      <c r="AE19" s="904">
        <f t="shared" si="9"/>
        <v>17810.099999999999</v>
      </c>
      <c r="AF19" s="904">
        <f>AF12*AF$18</f>
        <v>19654.830000000002</v>
      </c>
    </row>
    <row r="20" spans="1:32">
      <c r="H20" t="s">
        <v>1975</v>
      </c>
    </row>
    <row r="21" spans="1:32">
      <c r="D21" s="773" t="s">
        <v>1736</v>
      </c>
    </row>
    <row r="22" spans="1:32">
      <c r="A22" t="str">
        <f>B22&amp;C22</f>
        <v>20225</v>
      </c>
      <c r="B22">
        <v>2022</v>
      </c>
      <c r="C22">
        <v>5</v>
      </c>
      <c r="D22" s="770" t="s">
        <v>1737</v>
      </c>
      <c r="E22" t="str">
        <f>LEFT(D22,5)</f>
        <v>13395</v>
      </c>
      <c r="F22" t="str">
        <f>LEFT(D23,5)</f>
        <v>15412</v>
      </c>
      <c r="T22" s="905" t="s">
        <v>243</v>
      </c>
    </row>
    <row r="23" spans="1:32">
      <c r="D23" s="770" t="s">
        <v>1738</v>
      </c>
      <c r="U23">
        <v>1</v>
      </c>
      <c r="V23">
        <v>2</v>
      </c>
      <c r="W23">
        <v>3</v>
      </c>
      <c r="X23">
        <v>4</v>
      </c>
      <c r="Y23">
        <v>5</v>
      </c>
      <c r="Z23">
        <v>6</v>
      </c>
      <c r="AA23">
        <v>7</v>
      </c>
      <c r="AB23">
        <v>8</v>
      </c>
      <c r="AC23">
        <v>9</v>
      </c>
      <c r="AD23">
        <v>10</v>
      </c>
      <c r="AE23">
        <v>11</v>
      </c>
      <c r="AF23">
        <v>12</v>
      </c>
    </row>
    <row r="24" spans="1:32">
      <c r="I24" s="212"/>
      <c r="J24" s="923">
        <v>2022</v>
      </c>
      <c r="K24" s="923"/>
      <c r="L24" s="923"/>
      <c r="M24" s="923"/>
      <c r="N24" s="923">
        <v>2023</v>
      </c>
      <c r="O24" s="923"/>
      <c r="P24" s="923"/>
      <c r="Q24" s="923"/>
      <c r="T24">
        <v>2018</v>
      </c>
      <c r="U24" s="82">
        <f>'Прогноз Зарплати 2023'!B78</f>
        <v>0.86963873173103601</v>
      </c>
      <c r="V24" s="82">
        <f>'Прогноз Зарплати 2023'!C78</f>
        <v>0.88279810907487499</v>
      </c>
      <c r="W24" s="82">
        <f>'Прогноз Зарплати 2023'!D78</f>
        <v>0.94524904733411919</v>
      </c>
      <c r="X24" s="82">
        <f>'Прогноз Зарплати 2023'!E78</f>
        <v>0.95633454560217446</v>
      </c>
      <c r="Y24" s="82">
        <f>'Прогноз Зарплати 2023'!F78</f>
        <v>0.98390845385774128</v>
      </c>
      <c r="Z24" s="82">
        <f>'Прогноз Зарплати 2023'!G78</f>
        <v>1.0308690152899245</v>
      </c>
      <c r="AA24" s="82">
        <f>'Прогноз Зарплати 2023'!H78</f>
        <v>1.0341518113691015</v>
      </c>
      <c r="AB24" s="82">
        <f>'Прогноз Зарплати 2023'!I78</f>
        <v>1.0123867944236826</v>
      </c>
      <c r="AC24" s="82">
        <f>'Прогноз Зарплати 2023'!J78</f>
        <v>1.019685405287452</v>
      </c>
      <c r="AD24" s="82">
        <f>'Прогноз Зарплати 2023'!K78</f>
        <v>1.0395332963879378</v>
      </c>
      <c r="AE24" s="82">
        <f>'Прогноз Зарплати 2023'!L78</f>
        <v>1.0331052862019849</v>
      </c>
      <c r="AF24" s="82">
        <f>'Прогноз Зарплати 2023'!M78</f>
        <v>1.1923395034399724</v>
      </c>
    </row>
    <row r="25" spans="1:32">
      <c r="D25" s="773" t="s">
        <v>1739</v>
      </c>
      <c r="I25" s="497"/>
      <c r="J25" s="896" t="s">
        <v>472</v>
      </c>
      <c r="K25" s="896" t="s">
        <v>473</v>
      </c>
      <c r="L25" s="896" t="s">
        <v>474</v>
      </c>
      <c r="M25" s="896" t="s">
        <v>475</v>
      </c>
      <c r="N25" s="896" t="s">
        <v>472</v>
      </c>
      <c r="O25" s="896" t="s">
        <v>473</v>
      </c>
      <c r="P25" s="896" t="s">
        <v>474</v>
      </c>
      <c r="Q25" s="896" t="s">
        <v>475</v>
      </c>
      <c r="T25">
        <v>2019</v>
      </c>
      <c r="U25" s="82">
        <f>'Прогноз Зарплати 2023'!B79</f>
        <v>0.87806631195250284</v>
      </c>
      <c r="V25" s="82">
        <f>'Прогноз Зарплати 2023'!C79</f>
        <v>0.89767833193105817</v>
      </c>
      <c r="W25" s="82">
        <f>'Прогноз Зарплати 2023'!D79</f>
        <v>0.97460314815762461</v>
      </c>
      <c r="X25" s="82">
        <f>'Прогноз Зарплати 2023'!E79</f>
        <v>0.97764967553293414</v>
      </c>
      <c r="Y25" s="82">
        <f>'Прогноз Зарплати 2023'!F79</f>
        <v>0.97479355611858143</v>
      </c>
      <c r="Z25" s="82">
        <f>'Прогноз Зарплати 2023'!G79</f>
        <v>1.026584521498844</v>
      </c>
      <c r="AA25" s="82">
        <f>'Прогноз Зарплати 2023'!H79</f>
        <v>1.0444828698287876</v>
      </c>
      <c r="AB25" s="82">
        <f>'Прогноз Зарплати 2023'!I79</f>
        <v>1.0031643423011518</v>
      </c>
      <c r="AC25" s="82">
        <f>'Прогноз Зарплати 2023'!J79</f>
        <v>1.0174506516117439</v>
      </c>
      <c r="AD25" s="82">
        <f>'Прогноз Зарплати 2023'!K79</f>
        <v>1.0212854679454149</v>
      </c>
      <c r="AE25" s="82">
        <f>'Прогноз Зарплати 2023'!L79</f>
        <v>1.0166966360863547</v>
      </c>
      <c r="AF25" s="82">
        <f>'Прогноз Зарплати 2023'!M79</f>
        <v>1.1675444870350031</v>
      </c>
    </row>
    <row r="26" spans="1:32" ht="33">
      <c r="A26" t="str">
        <f>B26&amp;C26</f>
        <v>20226</v>
      </c>
      <c r="B26">
        <v>2022</v>
      </c>
      <c r="C26">
        <v>6</v>
      </c>
      <c r="D26" s="770" t="s">
        <v>1740</v>
      </c>
      <c r="E26" t="str">
        <f>LEFT(D26,5)</f>
        <v>13635</v>
      </c>
      <c r="F26" t="str">
        <f>LEFT(D27,5)</f>
        <v>15357</v>
      </c>
      <c r="I26" s="897" t="s">
        <v>1971</v>
      </c>
      <c r="J26" s="898">
        <v>14619.760813126997</v>
      </c>
      <c r="K26" s="898">
        <v>13722.648415904834</v>
      </c>
      <c r="L26" s="898">
        <v>14619.266478706939</v>
      </c>
      <c r="M26" s="898">
        <v>16477.172247386305</v>
      </c>
      <c r="N26" s="898">
        <v>15435.962475449383</v>
      </c>
      <c r="O26" s="898">
        <v>17175.953165254352</v>
      </c>
      <c r="P26" s="497"/>
      <c r="Q26" s="497"/>
      <c r="T26">
        <v>2020</v>
      </c>
      <c r="U26" s="82">
        <f>'Прогноз Зарплати 2023'!B80</f>
        <v>0.92507758320708833</v>
      </c>
      <c r="V26" s="82">
        <f>'Прогноз Зарплати 2023'!C80</f>
        <v>0.93542617181386101</v>
      </c>
      <c r="W26" s="82">
        <f>'Прогноз Зарплати 2023'!D80</f>
        <v>0.98708287660933469</v>
      </c>
      <c r="X26" s="82">
        <f>'Прогноз Зарплати 2023'!E80</f>
        <v>0.89946482640532599</v>
      </c>
      <c r="Y26" s="82">
        <f>'Прогноз Зарплати 2023'!F80</f>
        <v>0.90912350910498052</v>
      </c>
      <c r="Z26" s="82">
        <f>'Прогноз Зарплати 2023'!G80</f>
        <v>0.99855256231517442</v>
      </c>
      <c r="AA26" s="82">
        <f>'Прогноз Зарплати 2023'!H80</f>
        <v>1.0179561659528733</v>
      </c>
      <c r="AB26" s="82">
        <f>'Прогноз Зарплати 2023'!I80</f>
        <v>0.98708287660933469</v>
      </c>
      <c r="AC26" s="82">
        <f>'Прогноз Зарплати 2023'!J80</f>
        <v>1.0338240018165914</v>
      </c>
      <c r="AD26" s="82">
        <f>'Прогноз Зарплати 2023'!K80</f>
        <v>1.0498643141570889</v>
      </c>
      <c r="AE26" s="82">
        <f>'Прогноз Зарплати 2023'!L80</f>
        <v>1.0337731298797652</v>
      </c>
      <c r="AF26" s="82">
        <f>'Прогноз Зарплати 2023'!M80</f>
        <v>1.2227719821285827</v>
      </c>
    </row>
    <row r="27" spans="1:32">
      <c r="D27" s="770" t="s">
        <v>1741</v>
      </c>
      <c r="I27" s="897" t="s">
        <v>1972</v>
      </c>
      <c r="J27" s="899">
        <f>AVERAGE(I12:K12)</f>
        <v>15076.666666666666</v>
      </c>
      <c r="K27" s="899">
        <f>AVERAGE(L12:N12)</f>
        <v>14489.5</v>
      </c>
      <c r="L27" s="899">
        <f>AVERAGE(O12:Q12)</f>
        <v>14731.166666666666</v>
      </c>
      <c r="M27" s="899">
        <f>AVERAGE(R12:T12)</f>
        <v>15306.5</v>
      </c>
      <c r="N27" s="899">
        <f>AVERAGE(U12:W12)</f>
        <v>15747.333333333334</v>
      </c>
      <c r="O27" s="899">
        <f>AVERAGE(X12:Z12)</f>
        <v>16277.666666666666</v>
      </c>
      <c r="P27" s="899">
        <f>AVERAGE(AA12:AC12)</f>
        <v>17173</v>
      </c>
      <c r="Q27" s="899">
        <f>AVERAGE(AD12:AF12)</f>
        <v>17990.166666666668</v>
      </c>
      <c r="T27">
        <v>2021</v>
      </c>
      <c r="U27" s="82">
        <f>'Прогноз Зарплати 2023'!B81</f>
        <v>0.87968370412179064</v>
      </c>
      <c r="V27" s="82">
        <f>'Прогноз Зарплати 2023'!C81</f>
        <v>0.89480025962749055</v>
      </c>
      <c r="W27" s="82">
        <f>'Прогноз Зарплати 2023'!D81</f>
        <v>0.97059695067729712</v>
      </c>
      <c r="X27" s="82">
        <f>'Прогноз Зарплати 2023'!E81</f>
        <v>0.96567693968723445</v>
      </c>
      <c r="Y27" s="82">
        <f>'Прогноз Зарплати 2023'!F81</f>
        <v>0.96253954137473063</v>
      </c>
      <c r="Z27" s="82">
        <f>'Прогноз Зарплати 2023'!G81</f>
        <v>1.02058141015605</v>
      </c>
      <c r="AA27" s="82">
        <f>'Прогноз Зарплати 2023'!H81</f>
        <v>1.0228631543833255</v>
      </c>
      <c r="AB27" s="82">
        <f>'Прогноз Зарплати 2023'!I81</f>
        <v>0.99804918591170499</v>
      </c>
      <c r="AC27" s="82">
        <f>'Прогноз Зарплати 2023'!J81</f>
        <v>1.0153048766304755</v>
      </c>
      <c r="AD27" s="82">
        <f>'Прогноз Зарплати 2023'!K81</f>
        <v>1.0345221790726946</v>
      </c>
      <c r="AE27" s="82">
        <f>'Прогноз Зарплати 2023'!L81</f>
        <v>1.0221498709120072</v>
      </c>
      <c r="AF27" s="82">
        <f>'Прогноз Зарплати 2023'!M81</f>
        <v>1.2132319274452008</v>
      </c>
    </row>
    <row r="28" spans="1:32">
      <c r="I28" s="497" t="s">
        <v>1977</v>
      </c>
      <c r="J28" s="900">
        <f t="shared" ref="J28:O28" si="10">J26/J27</f>
        <v>0.9696945045187042</v>
      </c>
      <c r="K28" s="900">
        <f t="shared" si="10"/>
        <v>0.94707535911555496</v>
      </c>
      <c r="L28" s="900">
        <f t="shared" si="10"/>
        <v>0.9924038475368735</v>
      </c>
      <c r="M28" s="900">
        <f t="shared" si="10"/>
        <v>1.076482033605743</v>
      </c>
      <c r="N28" s="900">
        <f t="shared" si="10"/>
        <v>0.98022707392464647</v>
      </c>
      <c r="O28" s="900">
        <f t="shared" si="10"/>
        <v>1.0551852127815833</v>
      </c>
      <c r="P28" s="497"/>
      <c r="Q28" s="497"/>
      <c r="T28">
        <v>2022</v>
      </c>
      <c r="U28" s="82">
        <f t="shared" ref="U28:AF28" si="11">I19/AVERAGE($I$19:$T$19)</f>
        <v>0.94929383602195361</v>
      </c>
      <c r="V28" s="82">
        <f t="shared" si="11"/>
        <v>0.97185868751487448</v>
      </c>
      <c r="W28" s="82">
        <f t="shared" si="11"/>
        <v>0.99299942248096973</v>
      </c>
      <c r="X28" s="82">
        <f t="shared" si="11"/>
        <v>0.92718200982282795</v>
      </c>
      <c r="Y28" s="82">
        <f t="shared" si="11"/>
        <v>0.91664946657170032</v>
      </c>
      <c r="Z28" s="82">
        <f t="shared" si="11"/>
        <v>0.92253623545828234</v>
      </c>
      <c r="AA28" s="82">
        <f t="shared" si="11"/>
        <v>0.97665990355068599</v>
      </c>
      <c r="AB28" s="82">
        <f t="shared" si="11"/>
        <v>0.98649619017618362</v>
      </c>
      <c r="AC28" s="82">
        <f t="shared" si="11"/>
        <v>0.98396209599469953</v>
      </c>
      <c r="AD28" s="82">
        <f t="shared" si="11"/>
        <v>1.0943427655126883</v>
      </c>
      <c r="AE28" s="82">
        <f t="shared" si="11"/>
        <v>1.1051932407631693</v>
      </c>
      <c r="AF28" s="82">
        <f t="shared" si="11"/>
        <v>1.1221199821539198</v>
      </c>
    </row>
    <row r="29" spans="1:32">
      <c r="D29" s="773" t="s">
        <v>1742</v>
      </c>
      <c r="T29" s="617">
        <v>2023</v>
      </c>
      <c r="U29" s="906">
        <f t="shared" ref="U29:AF29" si="12">U19/AVERAGE($U$19:$AF$19)</f>
        <v>0.89026494802778133</v>
      </c>
      <c r="V29" s="906">
        <f t="shared" si="12"/>
        <v>0.89963044733671083</v>
      </c>
      <c r="W29" s="906">
        <f t="shared" si="12"/>
        <v>0.90793947263823049</v>
      </c>
      <c r="X29" s="906">
        <f t="shared" si="12"/>
        <v>0.98671376250931619</v>
      </c>
      <c r="Y29" s="906">
        <f t="shared" si="12"/>
        <v>0.99937733705775045</v>
      </c>
      <c r="Z29" s="906">
        <f t="shared" si="12"/>
        <v>1.0158522787032864</v>
      </c>
      <c r="AA29" s="906">
        <f t="shared" si="12"/>
        <v>1.0205912909891035</v>
      </c>
      <c r="AB29" s="906">
        <f t="shared" si="12"/>
        <v>1.0160115787465402</v>
      </c>
      <c r="AC29" s="906">
        <f t="shared" si="12"/>
        <v>1.034420146033211</v>
      </c>
      <c r="AD29" s="906">
        <f t="shared" si="12"/>
        <v>1.0465426053059828</v>
      </c>
      <c r="AE29" s="906">
        <f t="shared" si="12"/>
        <v>1.0375923293636724</v>
      </c>
      <c r="AF29" s="906">
        <f t="shared" si="12"/>
        <v>1.1450638032884144</v>
      </c>
    </row>
    <row r="30" spans="1:32">
      <c r="A30" t="str">
        <f>B30&amp;C30</f>
        <v>20227</v>
      </c>
      <c r="B30">
        <v>2022</v>
      </c>
      <c r="C30">
        <v>7</v>
      </c>
      <c r="D30" s="770" t="s">
        <v>1743</v>
      </c>
      <c r="E30" t="str">
        <f>LEFT(D30,5)</f>
        <v>13674</v>
      </c>
      <c r="F30" t="str">
        <f>LEFT(D31,5)</f>
        <v>15617</v>
      </c>
    </row>
    <row r="31" spans="1:32">
      <c r="D31" s="770" t="s">
        <v>1744</v>
      </c>
      <c r="I31" s="605" t="s">
        <v>1976</v>
      </c>
      <c r="J31" s="901">
        <f>AVERAGE(I19:K19)</f>
        <v>14620.104685515604</v>
      </c>
      <c r="K31" s="901">
        <f>AVERAGE(L19:N19)</f>
        <v>13722.648415904834</v>
      </c>
      <c r="L31" s="901">
        <f>AVERAGE(O19:Q19)</f>
        <v>14619.266478706939</v>
      </c>
      <c r="M31" s="901">
        <f>AVERAGE(R19:T19)</f>
        <v>16477.172247386305</v>
      </c>
      <c r="N31" s="901">
        <f>AVERAGE(U19:W19)</f>
        <v>15435.962475449383</v>
      </c>
      <c r="O31" s="901">
        <f>AVERAGE(X19:Z19)</f>
        <v>17175.953165254352</v>
      </c>
      <c r="P31" s="901">
        <f>AVERAGE(AA19:AC19)</f>
        <v>17571.2</v>
      </c>
      <c r="Q31" s="901">
        <f>AVERAGE(AD19:AF19)</f>
        <v>18476.22</v>
      </c>
      <c r="U31" s="98">
        <f t="shared" ref="U31:AE31" si="13">AVERAGE(U24:U27)</f>
        <v>0.88811658275310446</v>
      </c>
      <c r="V31" s="98">
        <f t="shared" si="13"/>
        <v>0.90267571811182123</v>
      </c>
      <c r="W31" s="98">
        <f t="shared" si="13"/>
        <v>0.96938300569459401</v>
      </c>
      <c r="X31" s="98">
        <f t="shared" si="13"/>
        <v>0.94978149680691726</v>
      </c>
      <c r="Y31" s="98">
        <f t="shared" si="13"/>
        <v>0.95759126511400838</v>
      </c>
      <c r="Z31" s="98">
        <f t="shared" si="13"/>
        <v>1.0191468773149983</v>
      </c>
      <c r="AA31" s="98">
        <f t="shared" si="13"/>
        <v>1.0298635003835221</v>
      </c>
      <c r="AB31" s="98">
        <f t="shared" si="13"/>
        <v>1.0001707998114684</v>
      </c>
      <c r="AC31" s="98">
        <f t="shared" si="13"/>
        <v>1.0215662338365656</v>
      </c>
      <c r="AD31" s="98">
        <f t="shared" si="13"/>
        <v>1.036301314390784</v>
      </c>
      <c r="AE31" s="98">
        <f t="shared" si="13"/>
        <v>1.0264312307700281</v>
      </c>
      <c r="AF31" s="98">
        <f>AVERAGE(AF24:AF27)</f>
        <v>1.1989719750121899</v>
      </c>
    </row>
    <row r="33" spans="1:32">
      <c r="D33" s="773" t="s">
        <v>1745</v>
      </c>
      <c r="I33" s="497" t="s">
        <v>1977</v>
      </c>
      <c r="J33" s="560">
        <f>J26/J31</f>
        <v>0.99997647948520185</v>
      </c>
      <c r="K33" s="560">
        <f t="shared" ref="K33:Q33" si="14">K26/K31</f>
        <v>1</v>
      </c>
      <c r="L33" s="560">
        <f t="shared" si="14"/>
        <v>1</v>
      </c>
      <c r="M33" s="560">
        <f t="shared" si="14"/>
        <v>1</v>
      </c>
      <c r="N33" s="560">
        <f t="shared" si="14"/>
        <v>1</v>
      </c>
      <c r="O33" s="560">
        <f t="shared" si="14"/>
        <v>1</v>
      </c>
      <c r="P33" s="560">
        <f t="shared" si="14"/>
        <v>0</v>
      </c>
      <c r="Q33" s="560">
        <f t="shared" si="14"/>
        <v>0</v>
      </c>
    </row>
    <row r="34" spans="1:32">
      <c r="A34" t="str">
        <f>B34&amp;C34</f>
        <v>20228</v>
      </c>
      <c r="B34">
        <v>2022</v>
      </c>
      <c r="C34">
        <v>8</v>
      </c>
      <c r="D34" s="770" t="s">
        <v>1746</v>
      </c>
      <c r="E34" t="str">
        <f>LEFT(D34,5)</f>
        <v>13879</v>
      </c>
      <c r="F34" t="str">
        <f>LEFT(D35,5)</f>
        <v>15707</v>
      </c>
      <c r="T34" s="617">
        <v>2023</v>
      </c>
      <c r="U34" s="82">
        <f>'Прогноз Зарплати 2023'!AX129/AVERAGE('Прогноз Зарплати 2023'!$AX$129:$BI$129)</f>
        <v>0.9210391350286905</v>
      </c>
      <c r="V34" s="82">
        <f>'Прогноз Зарплати 2023'!AY129/AVERAGE('Прогноз Зарплати 2023'!$AX$129:$BI$129)</f>
        <v>0.92783968121213145</v>
      </c>
      <c r="W34" s="82">
        <f>'Прогноз Зарплати 2023'!AZ129/AVERAGE('Прогноз Зарплати 2023'!$AX$129:$BI$129)</f>
        <v>0.94129282369427369</v>
      </c>
      <c r="X34" s="82">
        <f>'Прогноз Зарплати 2023'!BA129/AVERAGE('Прогноз Зарплати 2023'!$AX$129:$BI$129)</f>
        <v>0.94719271746658729</v>
      </c>
      <c r="Y34" s="82">
        <f>'Прогноз Зарплати 2023'!BB129/AVERAGE('Прогноз Зарплати 2023'!$AX$129:$BI$129)</f>
        <v>0.94935595044584176</v>
      </c>
      <c r="Z34" s="82">
        <f>'Прогноз Зарплати 2023'!BC129/AVERAGE('Прогноз Зарплати 2023'!$AX$129:$BI$129)</f>
        <v>0.99190814787209647</v>
      </c>
      <c r="AA34" s="82">
        <f>'Прогноз Зарплати 2023'!BD129/AVERAGE('Прогноз Зарплати 2023'!$AX$129:$BI$129)</f>
        <v>1.0121117285505918</v>
      </c>
      <c r="AB34" s="82">
        <f>'Прогноз Зарплати 2023'!BE129/AVERAGE('Прогноз Зарплати 2023'!$AX$129:$BI$129)</f>
        <v>0.9994810920648558</v>
      </c>
      <c r="AC34" s="82">
        <f>'Прогноз Зарплати 2023'!BF129/AVERAGE('Прогноз Зарплати 2023'!$AX$129:$BI$129)</f>
        <v>1.0194908706455228</v>
      </c>
      <c r="AD34" s="82">
        <f>'Прогноз Зарплати 2023'!BG129/AVERAGE('Прогноз Зарплати 2023'!$AX$129:$BI$129)</f>
        <v>1.0590633196233727</v>
      </c>
      <c r="AE34" s="82">
        <f>'Прогноз Зарплати 2023'!BH129/AVERAGE('Прогноз Зарплати 2023'!$AX$129:$BI$129)</f>
        <v>1.0524128265045289</v>
      </c>
      <c r="AF34" s="82">
        <f>'Прогноз Зарплати 2023'!BI129/AVERAGE('Прогноз Зарплати 2023'!$AX$129:$BI$129)</f>
        <v>1.1788117068915085</v>
      </c>
    </row>
    <row r="35" spans="1:32">
      <c r="D35" s="770" t="s">
        <v>1747</v>
      </c>
      <c r="K35" s="82">
        <f>K31/J31-1</f>
        <v>-6.1385078213557209E-2</v>
      </c>
      <c r="L35" s="82">
        <f t="shared" ref="L35:Q35" si="15">L31/K31-1</f>
        <v>6.5338558245280565E-2</v>
      </c>
      <c r="M35" s="82">
        <f t="shared" si="15"/>
        <v>0.12708611416211735</v>
      </c>
      <c r="N35" s="82">
        <f t="shared" si="15"/>
        <v>-6.3191047365671826E-2</v>
      </c>
      <c r="O35" s="82">
        <f t="shared" si="15"/>
        <v>0.11272317437752211</v>
      </c>
      <c r="P35" s="82">
        <f t="shared" si="15"/>
        <v>2.301163905972925E-2</v>
      </c>
      <c r="Q35" s="82">
        <f t="shared" si="15"/>
        <v>5.1505873247131628E-2</v>
      </c>
    </row>
    <row r="37" spans="1:32">
      <c r="D37" s="773" t="s">
        <v>1748</v>
      </c>
    </row>
    <row r="38" spans="1:32">
      <c r="A38" t="str">
        <f>B38&amp;C38</f>
        <v>20229</v>
      </c>
      <c r="B38">
        <v>2022</v>
      </c>
      <c r="C38">
        <v>9</v>
      </c>
      <c r="D38" s="770" t="s">
        <v>1749</v>
      </c>
      <c r="E38" t="str">
        <f>LEFT(D38,5)</f>
        <v>13766</v>
      </c>
      <c r="F38" t="str">
        <f>LEFT(D39,5)</f>
        <v>15744</v>
      </c>
    </row>
    <row r="39" spans="1:32">
      <c r="D39" s="770" t="s">
        <v>1750</v>
      </c>
    </row>
    <row r="41" spans="1:32">
      <c r="D41" s="773" t="s">
        <v>1751</v>
      </c>
    </row>
    <row r="42" spans="1:32">
      <c r="A42" t="str">
        <f>B42&amp;C42</f>
        <v>202210</v>
      </c>
      <c r="B42">
        <v>2022</v>
      </c>
      <c r="C42">
        <v>10</v>
      </c>
      <c r="D42" s="770" t="s">
        <v>1752</v>
      </c>
      <c r="E42" t="str">
        <f>LEFT(D42,5)</f>
        <v>14290</v>
      </c>
      <c r="F42" t="str">
        <f>LEFT(D43,5)</f>
        <v>15967</v>
      </c>
    </row>
    <row r="43" spans="1:32">
      <c r="D43" s="770" t="s">
        <v>1753</v>
      </c>
    </row>
    <row r="45" spans="1:32">
      <c r="D45" s="773" t="s">
        <v>1754</v>
      </c>
    </row>
    <row r="46" spans="1:32">
      <c r="A46" t="str">
        <f>B46&amp;C46</f>
        <v>202211</v>
      </c>
      <c r="B46">
        <v>2022</v>
      </c>
      <c r="C46">
        <v>11</v>
      </c>
      <c r="D46" s="770" t="s">
        <v>1755</v>
      </c>
      <c r="E46" t="str">
        <f>LEFT(D46,5)</f>
        <v>14455</v>
      </c>
      <c r="F46" t="str">
        <f>LEFT(D47,5)</f>
        <v>16102</v>
      </c>
    </row>
    <row r="47" spans="1:32">
      <c r="D47" s="770" t="s">
        <v>1756</v>
      </c>
    </row>
    <row r="49" spans="1:6">
      <c r="D49" s="773" t="s">
        <v>1757</v>
      </c>
    </row>
    <row r="50" spans="1:6">
      <c r="A50" t="str">
        <f>B50&amp;C50</f>
        <v>202212</v>
      </c>
      <c r="B50">
        <v>2022</v>
      </c>
      <c r="C50">
        <v>12</v>
      </c>
      <c r="D50" s="770" t="s">
        <v>1758</v>
      </c>
      <c r="E50" t="str">
        <f>LEFT(D50,5)</f>
        <v>14712</v>
      </c>
      <c r="F50" t="str">
        <f>LEFT(D51,5)</f>
        <v>16313</v>
      </c>
    </row>
    <row r="51" spans="1:6">
      <c r="D51" s="770" t="s">
        <v>1759</v>
      </c>
    </row>
    <row r="53" spans="1:6">
      <c r="D53" s="769" t="s">
        <v>1760</v>
      </c>
    </row>
    <row r="54" spans="1:6">
      <c r="A54" t="str">
        <f>B54&amp;C54</f>
        <v>20231</v>
      </c>
      <c r="B54">
        <v>2023</v>
      </c>
      <c r="C54">
        <v>1</v>
      </c>
      <c r="D54" s="770" t="s">
        <v>1761</v>
      </c>
      <c r="E54" t="str">
        <f>LEFT(D54,5)</f>
        <v>14715</v>
      </c>
      <c r="F54" t="str">
        <f>LEFT(D55,5)</f>
        <v>16464</v>
      </c>
    </row>
    <row r="55" spans="1:6">
      <c r="D55" s="770" t="s">
        <v>1762</v>
      </c>
    </row>
    <row r="56" spans="1:6">
      <c r="D56"/>
    </row>
    <row r="57" spans="1:6">
      <c r="D57" s="769" t="s">
        <v>1763</v>
      </c>
    </row>
    <row r="58" spans="1:6">
      <c r="A58" t="str">
        <f>B58&amp;C58</f>
        <v>20232</v>
      </c>
      <c r="B58">
        <v>2023</v>
      </c>
      <c r="C58">
        <v>2</v>
      </c>
      <c r="D58" s="770" t="s">
        <v>1764</v>
      </c>
      <c r="E58" t="str">
        <f>LEFT(D58,5)</f>
        <v>15049</v>
      </c>
      <c r="F58" t="str">
        <f>LEFT(D59,5)</f>
        <v>16458</v>
      </c>
    </row>
    <row r="59" spans="1:6">
      <c r="D59" s="770" t="s">
        <v>1765</v>
      </c>
    </row>
    <row r="60" spans="1:6">
      <c r="D60"/>
    </row>
    <row r="61" spans="1:6">
      <c r="D61" s="769" t="s">
        <v>1766</v>
      </c>
    </row>
    <row r="62" spans="1:6">
      <c r="A62" t="str">
        <f>B62&amp;C62</f>
        <v>20233</v>
      </c>
      <c r="B62">
        <v>2023</v>
      </c>
      <c r="C62">
        <v>3</v>
      </c>
      <c r="D62" s="770" t="s">
        <v>1767</v>
      </c>
      <c r="E62" t="str">
        <f>LEFT(D62,5)</f>
        <v>15235</v>
      </c>
      <c r="F62" t="str">
        <f>LEFT(D63,5)</f>
        <v>16563</v>
      </c>
    </row>
    <row r="63" spans="1:6">
      <c r="D63" s="770" t="s">
        <v>1768</v>
      </c>
    </row>
    <row r="64" spans="1:6">
      <c r="D64" s="769" t="s">
        <v>1802</v>
      </c>
    </row>
    <row r="65" spans="1:6">
      <c r="A65" t="str">
        <f>B65&amp;C65</f>
        <v>20233</v>
      </c>
      <c r="B65">
        <v>2023</v>
      </c>
      <c r="C65">
        <v>3</v>
      </c>
      <c r="D65" s="770" t="s">
        <v>1810</v>
      </c>
      <c r="E65" t="str">
        <f>LEFT(D65,5)</f>
        <v>15381</v>
      </c>
      <c r="F65" t="str">
        <f>LEFT(D66,5)</f>
        <v>16903</v>
      </c>
    </row>
    <row r="66" spans="1:6">
      <c r="D66" s="770" t="s">
        <v>1811</v>
      </c>
    </row>
    <row r="67" spans="1:6">
      <c r="D67"/>
    </row>
    <row r="68" spans="1:6">
      <c r="D68" s="769" t="s">
        <v>1803</v>
      </c>
    </row>
    <row r="69" spans="1:6">
      <c r="A69" t="str">
        <f>B69&amp;C69</f>
        <v>20233</v>
      </c>
      <c r="B69">
        <v>2023</v>
      </c>
      <c r="C69">
        <v>3</v>
      </c>
      <c r="D69" s="770" t="s">
        <v>1812</v>
      </c>
      <c r="E69" t="str">
        <f>LEFT(D69,5)</f>
        <v>15418</v>
      </c>
      <c r="F69" t="str">
        <f>LEFT(D70,5)</f>
        <v>16752</v>
      </c>
    </row>
    <row r="70" spans="1:6">
      <c r="D70" s="770" t="s">
        <v>1813</v>
      </c>
    </row>
    <row r="71" spans="1:6">
      <c r="D71"/>
    </row>
    <row r="72" spans="1:6">
      <c r="D72" s="769" t="s">
        <v>1804</v>
      </c>
    </row>
    <row r="73" spans="1:6">
      <c r="A73" t="str">
        <f>B73&amp;C73</f>
        <v>20233</v>
      </c>
      <c r="B73">
        <v>2023</v>
      </c>
      <c r="C73">
        <v>3</v>
      </c>
      <c r="D73" s="770" t="s">
        <v>1814</v>
      </c>
      <c r="E73" t="str">
        <f>LEFT(D73,5)</f>
        <v>15317</v>
      </c>
      <c r="F73" t="str">
        <f>LEFT(D74,5)</f>
        <v>16811</v>
      </c>
    </row>
    <row r="74" spans="1:6">
      <c r="D74" s="770" t="s">
        <v>1815</v>
      </c>
    </row>
    <row r="75" spans="1:6">
      <c r="D75"/>
    </row>
    <row r="76" spans="1:6">
      <c r="D76" s="769" t="s">
        <v>1805</v>
      </c>
    </row>
    <row r="77" spans="1:6">
      <c r="A77" t="str">
        <f>B77&amp;C77</f>
        <v>20234</v>
      </c>
      <c r="B77">
        <v>2023</v>
      </c>
      <c r="C77">
        <v>4</v>
      </c>
      <c r="D77" s="770" t="s">
        <v>1816</v>
      </c>
      <c r="E77" t="str">
        <f>LEFT(D77,5)</f>
        <v>15321</v>
      </c>
      <c r="F77" t="str">
        <f>LEFT(D78,5)</f>
        <v>16781</v>
      </c>
    </row>
    <row r="78" spans="1:6">
      <c r="D78" s="770" t="s">
        <v>1817</v>
      </c>
    </row>
    <row r="79" spans="1:6">
      <c r="D79"/>
    </row>
    <row r="80" spans="1:6">
      <c r="D80" s="769" t="s">
        <v>1806</v>
      </c>
    </row>
    <row r="81" spans="1:6">
      <c r="A81" t="str">
        <f>B81&amp;C81</f>
        <v>20234</v>
      </c>
      <c r="B81">
        <v>2023</v>
      </c>
      <c r="C81">
        <v>4</v>
      </c>
      <c r="D81" s="770" t="s">
        <v>1818</v>
      </c>
      <c r="E81" t="str">
        <f>LEFT(D81,5)</f>
        <v>15312</v>
      </c>
      <c r="F81" t="str">
        <f>LEFT(D82,5)</f>
        <v>17043</v>
      </c>
    </row>
    <row r="82" spans="1:6">
      <c r="D82" s="770" t="s">
        <v>1819</v>
      </c>
    </row>
    <row r="83" spans="1:6">
      <c r="D83"/>
    </row>
    <row r="84" spans="1:6">
      <c r="D84" s="769" t="s">
        <v>1807</v>
      </c>
    </row>
    <row r="85" spans="1:6">
      <c r="A85" t="str">
        <f>B85&amp;C85</f>
        <v>20234</v>
      </c>
      <c r="B85">
        <v>2023</v>
      </c>
      <c r="C85">
        <v>4</v>
      </c>
      <c r="D85" s="770" t="s">
        <v>1820</v>
      </c>
      <c r="E85" t="str">
        <f>LEFT(D85,5)</f>
        <v>15555</v>
      </c>
      <c r="F85" t="str">
        <f>LEFT(D86,5)</f>
        <v>17183</v>
      </c>
    </row>
    <row r="86" spans="1:6">
      <c r="D86" s="770" t="s">
        <v>1821</v>
      </c>
    </row>
    <row r="87" spans="1:6">
      <c r="D87"/>
    </row>
    <row r="88" spans="1:6">
      <c r="D88" s="769" t="s">
        <v>1808</v>
      </c>
    </row>
    <row r="89" spans="1:6">
      <c r="A89" t="str">
        <f>B89&amp;C89</f>
        <v>20234</v>
      </c>
      <c r="B89">
        <v>2023</v>
      </c>
      <c r="C89">
        <v>4</v>
      </c>
      <c r="D89" s="770" t="s">
        <v>1822</v>
      </c>
      <c r="E89" t="str">
        <f>LEFT(D89,5)</f>
        <v>15438</v>
      </c>
      <c r="F89" t="str">
        <f>LEFT(D90,5)</f>
        <v>17272</v>
      </c>
    </row>
    <row r="90" spans="1:6">
      <c r="D90" s="770" t="s">
        <v>1823</v>
      </c>
    </row>
    <row r="91" spans="1:6">
      <c r="D91"/>
    </row>
    <row r="92" spans="1:6">
      <c r="D92" s="769" t="s">
        <v>1809</v>
      </c>
    </row>
    <row r="93" spans="1:6">
      <c r="A93" t="str">
        <f>B93&amp;C93</f>
        <v>20235</v>
      </c>
      <c r="B93">
        <v>2023</v>
      </c>
      <c r="C93">
        <v>5</v>
      </c>
      <c r="D93" s="770" t="s">
        <v>1824</v>
      </c>
      <c r="E93" t="str">
        <f>LEFT(D93,5)</f>
        <v>15430</v>
      </c>
      <c r="F93" t="str">
        <f>LEFT(D94,5)</f>
        <v>17084</v>
      </c>
    </row>
    <row r="94" spans="1:6">
      <c r="D94" s="770" t="s">
        <v>1825</v>
      </c>
    </row>
    <row r="96" spans="1:6">
      <c r="D96" s="769" t="s">
        <v>1918</v>
      </c>
    </row>
    <row r="97" spans="1:6">
      <c r="A97" t="str">
        <f>B97&amp;C97</f>
        <v>20236</v>
      </c>
      <c r="B97">
        <v>2023</v>
      </c>
      <c r="C97">
        <v>6</v>
      </c>
      <c r="D97" s="770" t="s">
        <v>1919</v>
      </c>
      <c r="E97" t="str">
        <f>LEFT(D97,5)</f>
        <v>15800</v>
      </c>
      <c r="F97" t="str">
        <f>LEFT(D98,5)</f>
        <v>17250</v>
      </c>
    </row>
    <row r="98" spans="1:6">
      <c r="D98" s="770" t="s">
        <v>1920</v>
      </c>
    </row>
    <row r="100" spans="1:6">
      <c r="D100" s="769" t="s">
        <v>1925</v>
      </c>
    </row>
    <row r="101" spans="1:6">
      <c r="A101" t="str">
        <f>B101&amp;C101</f>
        <v>20237</v>
      </c>
      <c r="B101">
        <v>2023</v>
      </c>
      <c r="C101">
        <v>7</v>
      </c>
      <c r="D101" s="770">
        <v>16318</v>
      </c>
      <c r="E101" t="str">
        <f>LEFT(D101,5)</f>
        <v>16318</v>
      </c>
      <c r="F101" t="str">
        <f>LEFT(D102,5)</f>
        <v>17371</v>
      </c>
    </row>
    <row r="102" spans="1:6">
      <c r="D102" s="770">
        <v>17371</v>
      </c>
    </row>
    <row r="104" spans="1:6">
      <c r="D104" s="769" t="s">
        <v>1926</v>
      </c>
    </row>
    <row r="105" spans="1:6">
      <c r="A105" t="str">
        <f>B105&amp;C105</f>
        <v>20238</v>
      </c>
      <c r="B105">
        <v>2023</v>
      </c>
      <c r="C105">
        <v>8</v>
      </c>
      <c r="D105" s="770">
        <v>16550</v>
      </c>
      <c r="E105" t="str">
        <f>LEFT(D105,5)</f>
        <v>16550</v>
      </c>
      <c r="F105" t="str">
        <f>LEFT(D106,5)</f>
        <v>17984</v>
      </c>
    </row>
    <row r="106" spans="1:6">
      <c r="D106" s="770">
        <v>17984</v>
      </c>
    </row>
    <row r="108" spans="1:6">
      <c r="D108" s="769" t="s">
        <v>1927</v>
      </c>
    </row>
    <row r="109" spans="1:6">
      <c r="A109" t="str">
        <f>B109&amp;C109</f>
        <v>20239</v>
      </c>
      <c r="B109">
        <v>2023</v>
      </c>
      <c r="C109">
        <v>9</v>
      </c>
      <c r="D109" s="770">
        <v>16709</v>
      </c>
      <c r="E109" t="str">
        <f>LEFT(D109,5)</f>
        <v>16709</v>
      </c>
      <c r="F109" t="str">
        <f>LEFT(D110,5)</f>
        <v>18106</v>
      </c>
    </row>
    <row r="110" spans="1:6">
      <c r="D110" s="770">
        <v>18106</v>
      </c>
    </row>
    <row r="112" spans="1:6">
      <c r="D112" s="769" t="s">
        <v>1955</v>
      </c>
    </row>
    <row r="113" spans="1:6">
      <c r="A113" t="str">
        <f>B113&amp;C113</f>
        <v>202310</v>
      </c>
      <c r="B113">
        <v>2023</v>
      </c>
      <c r="C113">
        <v>10</v>
      </c>
      <c r="D113" s="770">
        <v>17104</v>
      </c>
      <c r="E113" t="str">
        <f>LEFT(D113,5)</f>
        <v>17104</v>
      </c>
      <c r="F113" t="str">
        <f>LEFT(D114,5)</f>
        <v>18119</v>
      </c>
    </row>
    <row r="114" spans="1:6">
      <c r="D114" s="770">
        <v>18119</v>
      </c>
    </row>
    <row r="115" spans="1:6">
      <c r="D115" s="769" t="s">
        <v>1968</v>
      </c>
    </row>
    <row r="116" spans="1:6">
      <c r="A116" t="str">
        <f>B116&amp;C116</f>
        <v>202311</v>
      </c>
      <c r="B116">
        <v>2023</v>
      </c>
      <c r="C116">
        <v>11</v>
      </c>
      <c r="D116" s="770">
        <v>17504</v>
      </c>
      <c r="E116" t="str">
        <f>LEFT(D116,5)</f>
        <v>17504</v>
      </c>
      <c r="F116" t="str">
        <f>LEFT(D117,5)</f>
        <v>18476</v>
      </c>
    </row>
    <row r="117" spans="1:6">
      <c r="D117" s="770">
        <v>18476</v>
      </c>
    </row>
    <row r="118" spans="1:6">
      <c r="D118" s="769" t="s">
        <v>1985</v>
      </c>
    </row>
    <row r="119" spans="1:6">
      <c r="A119" t="str">
        <f>B119&amp;C119</f>
        <v>202312</v>
      </c>
      <c r="B119">
        <v>2023</v>
      </c>
      <c r="C119">
        <v>12</v>
      </c>
      <c r="D119" s="770">
        <v>17783</v>
      </c>
      <c r="E119" t="str">
        <f>LEFT(D119,5)</f>
        <v>17783</v>
      </c>
      <c r="F119" t="str">
        <f>LEFT(D120,5)</f>
        <v>18955</v>
      </c>
    </row>
    <row r="120" spans="1:6">
      <c r="D120" s="770">
        <v>18955</v>
      </c>
    </row>
    <row r="121" spans="1:6">
      <c r="D121" s="769" t="s">
        <v>1998</v>
      </c>
    </row>
    <row r="122" spans="1:6">
      <c r="A122" t="str">
        <f>B122&amp;C122</f>
        <v>20241</v>
      </c>
      <c r="B122">
        <v>2024</v>
      </c>
      <c r="C122">
        <v>1</v>
      </c>
      <c r="D122" s="770">
        <v>17853</v>
      </c>
      <c r="E122" t="str">
        <f>LEFT(D122,5)</f>
        <v>17853</v>
      </c>
      <c r="F122" t="str">
        <f>LEFT(D123,5)</f>
        <v>19137</v>
      </c>
    </row>
    <row r="123" spans="1:6">
      <c r="D123" s="770">
        <v>19137</v>
      </c>
    </row>
  </sheetData>
  <mergeCells count="5">
    <mergeCell ref="I5:T5"/>
    <mergeCell ref="U5:AF5"/>
    <mergeCell ref="J24:M24"/>
    <mergeCell ref="N24:Q24"/>
    <mergeCell ref="AG5:AR5"/>
  </mergeCells>
  <conditionalFormatting sqref="I16:AF16">
    <cfRule type="colorScale" priority="3">
      <colorScale>
        <cfvo type="min"/>
        <cfvo type="percentile" val="50"/>
        <cfvo type="max"/>
        <color rgb="FFF8696B"/>
        <color rgb="FFFCFCFF"/>
        <color rgb="FF63BE7B"/>
      </colorScale>
    </cfRule>
  </conditionalFormatting>
  <conditionalFormatting sqref="U24:AF29">
    <cfRule type="colorScale" priority="2">
      <colorScale>
        <cfvo type="min"/>
        <cfvo type="percentile" val="50"/>
        <cfvo type="max"/>
        <color rgb="FFF8696B"/>
        <color rgb="FFFCFCFF"/>
        <color rgb="FF63BE7B"/>
      </colorScale>
    </cfRule>
  </conditionalFormatting>
  <conditionalFormatting sqref="U31:AF31">
    <cfRule type="colorScale" priority="1">
      <colorScale>
        <cfvo type="min"/>
        <cfvo type="percentile" val="50"/>
        <cfvo type="max"/>
        <color rgb="FFF8696B"/>
        <color rgb="FFFCFCFF"/>
        <color rgb="FF63BE7B"/>
      </colorScale>
    </cfRule>
  </conditionalFormatting>
  <hyperlinks>
    <hyperlink ref="D1" r:id="rId1" display="javascript:;" xr:uid="{B763A075-BCDE-4AD2-81AD-3394A363B708}"/>
    <hyperlink ref="F2" r:id="rId2" xr:uid="{816699C9-2590-4E77-BD1A-F44E4B822D2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DA825-610C-421F-91CB-C496B9F1F3D8}">
  <dimension ref="A1:AU90"/>
  <sheetViews>
    <sheetView topLeftCell="K1" zoomScaleNormal="100" workbookViewId="0">
      <selection activeCell="W15" sqref="W15"/>
    </sheetView>
  </sheetViews>
  <sheetFormatPr defaultRowHeight="18"/>
  <cols>
    <col min="1" max="1" width="9" bestFit="1" customWidth="1"/>
    <col min="6" max="6" width="29.296875" customWidth="1"/>
    <col min="11" max="11" width="13" bestFit="1" customWidth="1"/>
  </cols>
  <sheetData>
    <row r="1" spans="1:47">
      <c r="D1" s="860" t="s">
        <v>1928</v>
      </c>
    </row>
    <row r="2" spans="1:47">
      <c r="K2" t="str">
        <f>$I$5&amp;K5</f>
        <v/>
      </c>
      <c r="L2" t="str">
        <f>$L$4&amp;L5</f>
        <v>20221</v>
      </c>
      <c r="M2" t="str">
        <f t="shared" ref="M2:W2" si="0">$L$4&amp;M5</f>
        <v>20222</v>
      </c>
      <c r="N2" t="str">
        <f t="shared" si="0"/>
        <v>20223</v>
      </c>
      <c r="O2" t="str">
        <f t="shared" si="0"/>
        <v>20224</v>
      </c>
      <c r="P2" t="str">
        <f t="shared" si="0"/>
        <v>20225</v>
      </c>
      <c r="Q2" t="str">
        <f t="shared" si="0"/>
        <v>20226</v>
      </c>
      <c r="R2" t="str">
        <f t="shared" si="0"/>
        <v>20227</v>
      </c>
      <c r="S2" t="str">
        <f t="shared" si="0"/>
        <v>20228</v>
      </c>
      <c r="T2" t="str">
        <f t="shared" si="0"/>
        <v>20229</v>
      </c>
      <c r="U2" t="str">
        <f t="shared" si="0"/>
        <v>202210</v>
      </c>
      <c r="V2" t="str">
        <f t="shared" si="0"/>
        <v>202211</v>
      </c>
      <c r="W2" t="str">
        <f t="shared" si="0"/>
        <v>202212</v>
      </c>
      <c r="X2" t="str">
        <f>$X$4&amp;X5</f>
        <v>20231</v>
      </c>
      <c r="Y2" t="str">
        <f>$X$4&amp;Y5</f>
        <v>20232</v>
      </c>
      <c r="Z2" t="str">
        <f>$X$4&amp;Z5</f>
        <v>20233</v>
      </c>
      <c r="AA2" t="str">
        <f>$X$4&amp;AA5</f>
        <v>20234</v>
      </c>
      <c r="AB2" t="str">
        <f>$X$4&amp;AB5</f>
        <v>20235</v>
      </c>
      <c r="AC2" t="str">
        <f t="shared" ref="AC2:AI2" si="1">$X$4&amp;AC5</f>
        <v>20236</v>
      </c>
      <c r="AD2" t="str">
        <f t="shared" si="1"/>
        <v>20237</v>
      </c>
      <c r="AE2" t="str">
        <f t="shared" si="1"/>
        <v>20238</v>
      </c>
      <c r="AF2" t="str">
        <f t="shared" si="1"/>
        <v>20239</v>
      </c>
      <c r="AG2" t="str">
        <f t="shared" si="1"/>
        <v>202310</v>
      </c>
      <c r="AH2" t="str">
        <f t="shared" si="1"/>
        <v>202311</v>
      </c>
      <c r="AI2" t="str">
        <f t="shared" si="1"/>
        <v>202312</v>
      </c>
      <c r="AJ2" t="str">
        <f>$AJ$4&amp;AJ5</f>
        <v>20241</v>
      </c>
      <c r="AK2" t="str">
        <f t="shared" ref="AK2:AU2" si="2">$AJ$4&amp;AK5</f>
        <v>20242</v>
      </c>
      <c r="AL2" t="str">
        <f t="shared" si="2"/>
        <v>20243</v>
      </c>
      <c r="AM2" t="str">
        <f t="shared" si="2"/>
        <v>20244</v>
      </c>
      <c r="AN2" t="str">
        <f t="shared" si="2"/>
        <v>20245</v>
      </c>
      <c r="AO2" t="str">
        <f t="shared" si="2"/>
        <v>20246</v>
      </c>
      <c r="AP2" t="str">
        <f t="shared" si="2"/>
        <v>20247</v>
      </c>
      <c r="AQ2" t="str">
        <f t="shared" si="2"/>
        <v>20248</v>
      </c>
      <c r="AR2" t="str">
        <f t="shared" si="2"/>
        <v>20249</v>
      </c>
      <c r="AS2" t="str">
        <f t="shared" si="2"/>
        <v>202410</v>
      </c>
      <c r="AT2" t="str">
        <f t="shared" si="2"/>
        <v>202411</v>
      </c>
      <c r="AU2" t="str">
        <f t="shared" si="2"/>
        <v>202412</v>
      </c>
    </row>
    <row r="3" spans="1:47">
      <c r="K3" t="s">
        <v>1788</v>
      </c>
    </row>
    <row r="4" spans="1:47">
      <c r="F4" s="775" t="s">
        <v>1771</v>
      </c>
      <c r="K4" s="497"/>
      <c r="L4" s="944">
        <v>2022</v>
      </c>
      <c r="M4" s="944"/>
      <c r="N4" s="944"/>
      <c r="O4" s="944"/>
      <c r="P4" s="944"/>
      <c r="Q4" s="944"/>
      <c r="R4" s="944"/>
      <c r="S4" s="944"/>
      <c r="T4" s="944"/>
      <c r="U4" s="944"/>
      <c r="V4" s="944"/>
      <c r="W4" s="944"/>
      <c r="X4" s="497">
        <v>2023</v>
      </c>
      <c r="Y4" s="497"/>
      <c r="Z4" s="497"/>
      <c r="AJ4" s="497">
        <v>2024</v>
      </c>
      <c r="AK4" s="497"/>
      <c r="AL4" s="497"/>
    </row>
    <row r="5" spans="1:47">
      <c r="C5" t="s">
        <v>236</v>
      </c>
      <c r="D5" t="s">
        <v>1786</v>
      </c>
      <c r="E5" t="s">
        <v>1785</v>
      </c>
      <c r="F5" s="775" t="s">
        <v>1772</v>
      </c>
      <c r="G5" t="s">
        <v>1787</v>
      </c>
      <c r="K5" s="497"/>
      <c r="L5" s="497">
        <v>1</v>
      </c>
      <c r="M5" s="497">
        <v>2</v>
      </c>
      <c r="N5" s="497">
        <v>3</v>
      </c>
      <c r="O5" s="497">
        <v>4</v>
      </c>
      <c r="P5" s="497">
        <v>5</v>
      </c>
      <c r="Q5" s="497">
        <v>6</v>
      </c>
      <c r="R5" s="497">
        <v>7</v>
      </c>
      <c r="S5" s="497">
        <v>8</v>
      </c>
      <c r="T5" s="497">
        <v>9</v>
      </c>
      <c r="U5" s="497">
        <v>10</v>
      </c>
      <c r="V5" s="497">
        <v>11</v>
      </c>
      <c r="W5" s="497">
        <v>12</v>
      </c>
      <c r="X5" s="497">
        <v>1</v>
      </c>
      <c r="Y5" s="497">
        <v>2</v>
      </c>
      <c r="Z5" s="497">
        <v>3</v>
      </c>
      <c r="AA5" s="497">
        <v>4</v>
      </c>
      <c r="AB5" s="497">
        <v>5</v>
      </c>
      <c r="AC5" s="497">
        <v>6</v>
      </c>
      <c r="AD5" s="497">
        <v>7</v>
      </c>
      <c r="AE5" s="497">
        <v>8</v>
      </c>
      <c r="AF5" s="497">
        <v>9</v>
      </c>
      <c r="AG5" s="497">
        <v>10</v>
      </c>
      <c r="AH5" s="497">
        <v>11</v>
      </c>
      <c r="AI5" s="497">
        <v>12</v>
      </c>
      <c r="AJ5" s="497">
        <v>1</v>
      </c>
      <c r="AK5" s="497">
        <v>2</v>
      </c>
      <c r="AL5" s="497">
        <v>3</v>
      </c>
      <c r="AM5" s="497">
        <v>4</v>
      </c>
      <c r="AN5" s="497">
        <v>5</v>
      </c>
      <c r="AO5" s="497">
        <v>6</v>
      </c>
      <c r="AP5" s="497">
        <v>7</v>
      </c>
      <c r="AQ5" s="497">
        <v>8</v>
      </c>
      <c r="AR5" s="497">
        <v>9</v>
      </c>
      <c r="AS5" s="497">
        <v>10</v>
      </c>
      <c r="AT5" s="497">
        <v>11</v>
      </c>
      <c r="AU5" s="497">
        <v>12</v>
      </c>
    </row>
    <row r="6" spans="1:47">
      <c r="G6" s="605" t="s">
        <v>1722</v>
      </c>
      <c r="H6" s="605" t="s">
        <v>1723</v>
      </c>
      <c r="K6" s="778" t="str">
        <f>INDEX($K$17:$M$17,MATCH($O$16,$K$16:$M$16,0))</f>
        <v>Вакансії</v>
      </c>
      <c r="L6" s="779">
        <v>40.381</v>
      </c>
      <c r="M6" s="779">
        <v>58.487000000000002</v>
      </c>
      <c r="N6" s="779">
        <v>43.033000000000001</v>
      </c>
      <c r="O6" s="779">
        <f>VLOOKUP(O$2,$B$7:$H$51,6,0)/1000</f>
        <v>8.6690000000000005</v>
      </c>
      <c r="P6" s="779">
        <f t="shared" ref="P6:Z6" si="3">VLOOKUP(P$2,$B$7:$H$51,6,0)/1000</f>
        <v>10.782</v>
      </c>
      <c r="Q6" s="779">
        <f t="shared" si="3"/>
        <v>15.028</v>
      </c>
      <c r="R6" s="779">
        <f t="shared" si="3"/>
        <v>19.501000000000001</v>
      </c>
      <c r="S6" s="779">
        <f t="shared" si="3"/>
        <v>21.385999999999999</v>
      </c>
      <c r="T6" s="779">
        <f t="shared" si="3"/>
        <v>28.579000000000001</v>
      </c>
      <c r="U6" s="779">
        <f t="shared" si="3"/>
        <v>30.204000000000001</v>
      </c>
      <c r="V6" s="779">
        <f t="shared" si="3"/>
        <v>27.495000000000001</v>
      </c>
      <c r="W6" s="779">
        <f t="shared" si="3"/>
        <v>29.016999999999999</v>
      </c>
      <c r="X6" s="779">
        <f t="shared" si="3"/>
        <v>23.998999999999999</v>
      </c>
      <c r="Y6" s="779">
        <f t="shared" si="3"/>
        <v>37.073</v>
      </c>
      <c r="Z6" s="779">
        <f t="shared" si="3"/>
        <v>41.246000000000002</v>
      </c>
      <c r="AA6" s="779">
        <f>VLOOKUP(AA$2,$B$7:$H$74,6,0)/1000</f>
        <v>44.970999999999997</v>
      </c>
      <c r="AB6" s="779">
        <f>VLOOKUP(AB$2,$B$7:$H$74,6,0)/1000</f>
        <v>47.929000000000002</v>
      </c>
      <c r="AC6" s="779">
        <f>VLOOKUP(AC$2,$B$7:$H$74,6,0)/1000</f>
        <v>54.924999999999997</v>
      </c>
      <c r="AD6" s="779">
        <f>VLOOKUP(AD$2,$B$7:$H$74,6,0)/1000</f>
        <v>52.889000000000003</v>
      </c>
      <c r="AE6" s="779">
        <f t="shared" ref="AE6:AJ6" si="4">VLOOKUP(AE$2,$B$7:$H$363,6,0)/1000</f>
        <v>51.746000000000002</v>
      </c>
      <c r="AF6" s="779">
        <f t="shared" si="4"/>
        <v>60.482999999999997</v>
      </c>
      <c r="AG6" s="779">
        <f t="shared" si="4"/>
        <v>58.685000000000002</v>
      </c>
      <c r="AH6" s="779">
        <f t="shared" si="4"/>
        <v>58.533999999999999</v>
      </c>
      <c r="AI6" s="779">
        <f t="shared" si="4"/>
        <v>53.444000000000003</v>
      </c>
      <c r="AJ6" s="779">
        <f t="shared" si="4"/>
        <v>38.594000000000001</v>
      </c>
    </row>
    <row r="7" spans="1:47">
      <c r="A7" s="777">
        <f>DATE(C7,D7,E7)</f>
        <v>44656</v>
      </c>
      <c r="B7" t="str">
        <f>C7&amp;D7</f>
        <v>20224</v>
      </c>
      <c r="C7">
        <v>2022</v>
      </c>
      <c r="D7">
        <v>4</v>
      </c>
      <c r="E7">
        <v>5</v>
      </c>
      <c r="F7" s="769" t="s">
        <v>1773</v>
      </c>
      <c r="G7" s="37">
        <f>F8</f>
        <v>8669</v>
      </c>
      <c r="H7" s="37">
        <f>F9</f>
        <v>99315</v>
      </c>
      <c r="K7" s="778" t="str">
        <f>INDEX($K$18:$M$18,MATCH($O$16,$K$16:$M$16,0))</f>
        <v>Резюме</v>
      </c>
      <c r="L7" s="779">
        <v>79.98</v>
      </c>
      <c r="M7" s="779">
        <v>124.209</v>
      </c>
      <c r="N7" s="779">
        <v>54.927</v>
      </c>
      <c r="O7" s="779">
        <f>VLOOKUP(O$2,$B$7:$H$51,7,0)/1000</f>
        <v>99.314999999999998</v>
      </c>
      <c r="P7" s="779">
        <f t="shared" ref="P7:Z7" si="5">VLOOKUP(P$2,$B$7:$H$51,7,0)/1000</f>
        <v>131.221</v>
      </c>
      <c r="Q7" s="779">
        <f t="shared" si="5"/>
        <v>152.328</v>
      </c>
      <c r="R7" s="779">
        <f t="shared" si="5"/>
        <v>152.80000000000001</v>
      </c>
      <c r="S7" s="779">
        <f t="shared" si="5"/>
        <v>141.55799999999999</v>
      </c>
      <c r="T7" s="779">
        <f t="shared" si="5"/>
        <v>136.57900000000001</v>
      </c>
      <c r="U7" s="779">
        <f t="shared" si="5"/>
        <v>125.685</v>
      </c>
      <c r="V7" s="779">
        <f t="shared" si="5"/>
        <v>113.485</v>
      </c>
      <c r="W7" s="779">
        <f t="shared" si="5"/>
        <v>104.94199999999999</v>
      </c>
      <c r="X7" s="779">
        <f t="shared" si="5"/>
        <v>84.114000000000004</v>
      </c>
      <c r="Y7" s="779">
        <f t="shared" si="5"/>
        <v>114.64700000000001</v>
      </c>
      <c r="Z7" s="779">
        <f t="shared" si="5"/>
        <v>114.04300000000001</v>
      </c>
      <c r="AA7" s="779">
        <f>VLOOKUP(AA$2,$B$7:$H$74,7,0)/1000</f>
        <v>104.616</v>
      </c>
      <c r="AB7" s="779">
        <f>VLOOKUP(AB$2,$B$7:$H$74,7,0)/1000</f>
        <v>93.132000000000005</v>
      </c>
      <c r="AC7" s="779">
        <f>VLOOKUP(AC$2,$B$7:$H$74,7,0)/1000</f>
        <v>91.554000000000002</v>
      </c>
      <c r="AD7" s="779">
        <f>VLOOKUP(AD$2,$B$7:$H$74,7,0)/1000</f>
        <v>97.444000000000003</v>
      </c>
      <c r="AE7" s="779">
        <f t="shared" ref="AE7:AJ7" si="6">VLOOKUP(AE$2,$B$7:$H$363,7,0)/1000</f>
        <v>89.995999999999995</v>
      </c>
      <c r="AF7" s="779">
        <f t="shared" si="6"/>
        <v>89.701999999999998</v>
      </c>
      <c r="AG7" s="779">
        <f t="shared" si="6"/>
        <v>88.165000000000006</v>
      </c>
      <c r="AH7" s="779">
        <f t="shared" si="6"/>
        <v>88.247</v>
      </c>
      <c r="AI7" s="779">
        <f t="shared" si="6"/>
        <v>83.915000000000006</v>
      </c>
      <c r="AJ7" s="779">
        <f t="shared" si="6"/>
        <v>59.853000000000002</v>
      </c>
    </row>
    <row r="8" spans="1:47">
      <c r="F8" s="776">
        <v>8669</v>
      </c>
    </row>
    <row r="9" spans="1:47">
      <c r="F9" s="776">
        <v>99315</v>
      </c>
      <c r="X9" s="82">
        <f t="shared" ref="X9:AD10" si="7">X6/L6-1</f>
        <v>-0.40568584235160099</v>
      </c>
      <c r="Y9" s="82">
        <f t="shared" si="7"/>
        <v>-0.36613264486125119</v>
      </c>
      <c r="Z9" s="82">
        <f t="shared" si="7"/>
        <v>-4.1526270536564991E-2</v>
      </c>
      <c r="AA9" s="82">
        <f t="shared" si="7"/>
        <v>4.1875648863767436</v>
      </c>
      <c r="AB9" s="82">
        <f t="shared" si="7"/>
        <v>3.4452791689853459</v>
      </c>
      <c r="AC9" s="82">
        <f t="shared" si="7"/>
        <v>2.6548442906574392</v>
      </c>
      <c r="AD9" s="82">
        <f t="shared" si="7"/>
        <v>1.7121173273165478</v>
      </c>
      <c r="AE9" s="82">
        <f t="shared" ref="AE9:AJ10" si="8">AE6/S6-1</f>
        <v>1.4196203123538766</v>
      </c>
      <c r="AF9" s="82">
        <f t="shared" si="8"/>
        <v>1.1163441687952691</v>
      </c>
      <c r="AG9" s="82">
        <f>AG6/U6-1</f>
        <v>0.94295457555290696</v>
      </c>
      <c r="AH9" s="82">
        <f>AH6/V6-1</f>
        <v>1.128896162938716</v>
      </c>
      <c r="AI9" s="82">
        <f>AI6/W6-1</f>
        <v>0.84181686597511818</v>
      </c>
      <c r="AJ9" s="82">
        <f>AJ6/X6-1</f>
        <v>0.60815033959748344</v>
      </c>
    </row>
    <row r="10" spans="1:47">
      <c r="X10" s="82">
        <f t="shared" si="7"/>
        <v>5.16879219804951E-2</v>
      </c>
      <c r="Y10" s="82">
        <f t="shared" si="7"/>
        <v>-7.6983149369208359E-2</v>
      </c>
      <c r="Z10" s="82">
        <f t="shared" si="7"/>
        <v>1.0762648606332044</v>
      </c>
      <c r="AA10" s="82">
        <f t="shared" si="7"/>
        <v>5.3375623017670959E-2</v>
      </c>
      <c r="AB10" s="82">
        <f t="shared" si="7"/>
        <v>-0.29026603973449372</v>
      </c>
      <c r="AC10" s="82">
        <f t="shared" si="7"/>
        <v>-0.39896801638569401</v>
      </c>
      <c r="AD10" s="82">
        <f t="shared" si="7"/>
        <v>-0.36227748691099482</v>
      </c>
      <c r="AE10" s="82">
        <f t="shared" si="8"/>
        <v>-0.36424645728252736</v>
      </c>
      <c r="AF10" s="82">
        <f t="shared" si="8"/>
        <v>-0.3432226037677828</v>
      </c>
      <c r="AG10" s="82">
        <f t="shared" si="8"/>
        <v>-0.29852408799777219</v>
      </c>
      <c r="AH10" s="82">
        <f t="shared" si="8"/>
        <v>-0.22239062431158307</v>
      </c>
      <c r="AI10" s="82">
        <f t="shared" si="8"/>
        <v>-0.20036782222561023</v>
      </c>
      <c r="AJ10" s="82">
        <f t="shared" si="8"/>
        <v>-0.28842998787360008</v>
      </c>
    </row>
    <row r="11" spans="1:47">
      <c r="A11" s="777">
        <f>DATE(C11,D11,E11)</f>
        <v>44684</v>
      </c>
      <c r="B11" t="str">
        <f>C11&amp;D11</f>
        <v>20225</v>
      </c>
      <c r="C11">
        <v>2022</v>
      </c>
      <c r="D11">
        <v>5</v>
      </c>
      <c r="E11">
        <v>3</v>
      </c>
      <c r="F11" s="769" t="s">
        <v>1774</v>
      </c>
      <c r="G11" s="37">
        <f>F12</f>
        <v>10782</v>
      </c>
      <c r="H11" s="37">
        <f>F13</f>
        <v>131221</v>
      </c>
    </row>
    <row r="12" spans="1:47">
      <c r="F12" s="776">
        <v>10782</v>
      </c>
    </row>
    <row r="13" spans="1:47">
      <c r="F13" s="776">
        <v>131221</v>
      </c>
      <c r="AF13" s="33">
        <f>AF6/AE6-1</f>
        <v>0.16884396861593154</v>
      </c>
      <c r="AG13" s="33">
        <f>AG6/AF6-1</f>
        <v>-2.972736140733756E-2</v>
      </c>
      <c r="AH13" s="33">
        <f>AH6/AG6-1</f>
        <v>-2.5730595552526658E-3</v>
      </c>
      <c r="AI13" s="33">
        <f t="shared" ref="AI13:AJ13" si="9">AI6/AH6-1</f>
        <v>-8.6958007311989549E-2</v>
      </c>
      <c r="AJ13" s="33">
        <f t="shared" si="9"/>
        <v>-0.2778609385525036</v>
      </c>
    </row>
    <row r="14" spans="1:47">
      <c r="AF14" s="33">
        <f>AF7/AD7-1</f>
        <v>-7.9450761462994124E-2</v>
      </c>
      <c r="AG14" s="33">
        <f>AG7/AE7-1</f>
        <v>-2.0345348682163533E-2</v>
      </c>
      <c r="AH14" s="33">
        <f>AH7/AF7-1</f>
        <v>-1.6220374127667192E-2</v>
      </c>
      <c r="AI14" s="33">
        <f t="shared" ref="AI14:AJ14" si="10">AI7/AG7-1</f>
        <v>-4.8205070039131215E-2</v>
      </c>
      <c r="AJ14" s="33">
        <f t="shared" si="10"/>
        <v>-0.32175598037327047</v>
      </c>
    </row>
    <row r="15" spans="1:47">
      <c r="A15" s="777">
        <f>DATE(C15,D15,E15)</f>
        <v>44719</v>
      </c>
      <c r="B15" t="str">
        <f>C15&amp;D15</f>
        <v>20226</v>
      </c>
      <c r="C15">
        <v>2022</v>
      </c>
      <c r="D15">
        <v>6</v>
      </c>
      <c r="E15">
        <v>7</v>
      </c>
      <c r="F15" s="769" t="s">
        <v>1775</v>
      </c>
      <c r="G15" s="37">
        <f>F16</f>
        <v>15028</v>
      </c>
      <c r="H15" s="37">
        <f>F17</f>
        <v>152328</v>
      </c>
    </row>
    <row r="16" spans="1:47">
      <c r="F16" s="776">
        <v>15028</v>
      </c>
      <c r="K16" t="s">
        <v>502</v>
      </c>
      <c r="L16" s="6" t="s">
        <v>501</v>
      </c>
      <c r="M16" t="s">
        <v>500</v>
      </c>
      <c r="O16" s="617" t="str">
        <f>'Чарти 5-7'!$B$1</f>
        <v>UKR</v>
      </c>
    </row>
    <row r="17" spans="1:13">
      <c r="F17" s="776">
        <v>152328</v>
      </c>
      <c r="K17" s="778" t="s">
        <v>1722</v>
      </c>
      <c r="L17" t="s">
        <v>1790</v>
      </c>
      <c r="M17" t="s">
        <v>1791</v>
      </c>
    </row>
    <row r="18" spans="1:13">
      <c r="K18" s="778" t="s">
        <v>1723</v>
      </c>
      <c r="L18" t="s">
        <v>1984</v>
      </c>
      <c r="M18" t="s">
        <v>1723</v>
      </c>
    </row>
    <row r="19" spans="1:13">
      <c r="A19" s="777">
        <f>DATE(C19,D19,E19)</f>
        <v>44747</v>
      </c>
      <c r="B19" t="str">
        <f>C19&amp;D19</f>
        <v>20227</v>
      </c>
      <c r="C19">
        <v>2022</v>
      </c>
      <c r="D19">
        <v>7</v>
      </c>
      <c r="E19">
        <v>5</v>
      </c>
      <c r="F19" s="769" t="s">
        <v>1776</v>
      </c>
      <c r="G19" s="37">
        <f>F20</f>
        <v>19501</v>
      </c>
      <c r="H19" s="37">
        <f>F21</f>
        <v>152800</v>
      </c>
    </row>
    <row r="20" spans="1:13">
      <c r="F20" s="776">
        <v>19501</v>
      </c>
    </row>
    <row r="21" spans="1:13">
      <c r="F21" s="776">
        <v>152800</v>
      </c>
    </row>
    <row r="23" spans="1:13">
      <c r="A23" s="777">
        <f>DATE(C23,D23,E23)</f>
        <v>44775</v>
      </c>
      <c r="B23" t="str">
        <f>C23&amp;D23</f>
        <v>20228</v>
      </c>
      <c r="C23">
        <v>2022</v>
      </c>
      <c r="D23">
        <v>8</v>
      </c>
      <c r="E23">
        <v>2</v>
      </c>
      <c r="F23" s="769" t="s">
        <v>1777</v>
      </c>
      <c r="G23" s="37">
        <f>F24</f>
        <v>21386</v>
      </c>
      <c r="H23" s="37">
        <f>F25</f>
        <v>141558</v>
      </c>
    </row>
    <row r="24" spans="1:13">
      <c r="F24" s="776">
        <v>21386</v>
      </c>
    </row>
    <row r="25" spans="1:13">
      <c r="F25" s="776">
        <v>141558</v>
      </c>
    </row>
    <row r="27" spans="1:13">
      <c r="A27" s="777">
        <f>DATE(C27,D27,E27)</f>
        <v>44810</v>
      </c>
      <c r="B27" t="str">
        <f>C27&amp;D27</f>
        <v>20229</v>
      </c>
      <c r="C27">
        <v>2022</v>
      </c>
      <c r="D27">
        <v>9</v>
      </c>
      <c r="E27">
        <v>6</v>
      </c>
      <c r="F27" s="769" t="s">
        <v>1778</v>
      </c>
      <c r="G27" s="37">
        <f>F28</f>
        <v>28579</v>
      </c>
      <c r="H27" s="37">
        <f>F29</f>
        <v>136579</v>
      </c>
    </row>
    <row r="28" spans="1:13">
      <c r="F28" s="776">
        <v>28579</v>
      </c>
    </row>
    <row r="29" spans="1:13">
      <c r="F29" s="776">
        <v>136579</v>
      </c>
    </row>
    <row r="31" spans="1:13">
      <c r="A31" s="777">
        <f>DATE(C31,D31,E31)</f>
        <v>44838</v>
      </c>
      <c r="B31" t="str">
        <f>C31&amp;D31</f>
        <v>202210</v>
      </c>
      <c r="C31">
        <v>2022</v>
      </c>
      <c r="D31">
        <v>10</v>
      </c>
      <c r="E31">
        <v>4</v>
      </c>
      <c r="F31" s="769" t="s">
        <v>1779</v>
      </c>
      <c r="G31" s="37">
        <f>F32</f>
        <v>30204</v>
      </c>
      <c r="H31" s="37">
        <f>F33</f>
        <v>125685</v>
      </c>
    </row>
    <row r="32" spans="1:13">
      <c r="F32" s="776">
        <v>30204</v>
      </c>
    </row>
    <row r="33" spans="1:8">
      <c r="F33" s="776">
        <v>125685</v>
      </c>
    </row>
    <row r="35" spans="1:8">
      <c r="A35" s="777">
        <f>DATE(C35,D35,E35)</f>
        <v>44866</v>
      </c>
      <c r="B35" t="str">
        <f>C35&amp;D35</f>
        <v>202211</v>
      </c>
      <c r="C35">
        <v>2022</v>
      </c>
      <c r="D35">
        <v>11</v>
      </c>
      <c r="E35">
        <v>1</v>
      </c>
      <c r="F35" s="769" t="s">
        <v>1780</v>
      </c>
      <c r="G35" s="37">
        <f>F36</f>
        <v>27495</v>
      </c>
      <c r="H35" s="37">
        <f>F37</f>
        <v>113485</v>
      </c>
    </row>
    <row r="36" spans="1:8">
      <c r="F36" s="776">
        <v>27495</v>
      </c>
    </row>
    <row r="37" spans="1:8">
      <c r="F37" s="776">
        <v>113485</v>
      </c>
    </row>
    <row r="39" spans="1:8">
      <c r="A39" s="777">
        <f>DATE(C39,D39,E39)</f>
        <v>44901</v>
      </c>
      <c r="B39" t="str">
        <f>C39&amp;D39</f>
        <v>202212</v>
      </c>
      <c r="C39">
        <v>2022</v>
      </c>
      <c r="D39">
        <v>12</v>
      </c>
      <c r="E39">
        <v>6</v>
      </c>
      <c r="F39" s="769" t="s">
        <v>1781</v>
      </c>
      <c r="G39" s="37">
        <f>F40</f>
        <v>29017</v>
      </c>
      <c r="H39" s="37">
        <f>F41</f>
        <v>104942</v>
      </c>
    </row>
    <row r="40" spans="1:8">
      <c r="F40" s="776">
        <v>29017</v>
      </c>
    </row>
    <row r="41" spans="1:8">
      <c r="F41" s="776">
        <v>104942</v>
      </c>
    </row>
    <row r="43" spans="1:8">
      <c r="A43" s="777">
        <f>DATE(C43,D43,E43)</f>
        <v>44929</v>
      </c>
      <c r="B43" t="str">
        <f>C43&amp;D43</f>
        <v>20231</v>
      </c>
      <c r="C43">
        <v>2023</v>
      </c>
      <c r="D43">
        <v>1</v>
      </c>
      <c r="E43">
        <v>3</v>
      </c>
      <c r="F43" s="769" t="s">
        <v>1782</v>
      </c>
      <c r="G43" s="37">
        <f>F44</f>
        <v>23999</v>
      </c>
      <c r="H43" s="37">
        <f>F45</f>
        <v>84114</v>
      </c>
    </row>
    <row r="44" spans="1:8">
      <c r="F44" s="776">
        <v>23999</v>
      </c>
    </row>
    <row r="45" spans="1:8">
      <c r="F45" s="776">
        <v>84114</v>
      </c>
    </row>
    <row r="47" spans="1:8">
      <c r="A47" s="777">
        <f>DATE(C47,D47,E47)</f>
        <v>44964</v>
      </c>
      <c r="B47" t="str">
        <f>C47&amp;D47</f>
        <v>20232</v>
      </c>
      <c r="C47">
        <v>2023</v>
      </c>
      <c r="D47">
        <v>2</v>
      </c>
      <c r="E47">
        <v>7</v>
      </c>
      <c r="F47" s="769" t="s">
        <v>1783</v>
      </c>
      <c r="G47" s="37">
        <f>F48</f>
        <v>37073</v>
      </c>
      <c r="H47" s="37">
        <f>F49</f>
        <v>114647</v>
      </c>
    </row>
    <row r="48" spans="1:8">
      <c r="F48" s="776">
        <v>37073</v>
      </c>
    </row>
    <row r="49" spans="1:8">
      <c r="F49" s="776">
        <v>114647</v>
      </c>
    </row>
    <row r="51" spans="1:8">
      <c r="A51" s="777">
        <f>DATE(C51,D51,E51)</f>
        <v>44992</v>
      </c>
      <c r="B51" t="str">
        <f>C51&amp;D51</f>
        <v>20233</v>
      </c>
      <c r="C51">
        <v>2023</v>
      </c>
      <c r="D51">
        <v>3</v>
      </c>
      <c r="E51">
        <v>7</v>
      </c>
      <c r="F51" s="769" t="s">
        <v>1784</v>
      </c>
      <c r="G51" s="37">
        <f>F52</f>
        <v>41246</v>
      </c>
      <c r="H51" s="37">
        <f>F53</f>
        <v>114043</v>
      </c>
    </row>
    <row r="52" spans="1:8">
      <c r="F52" s="776">
        <v>41246</v>
      </c>
    </row>
    <row r="53" spans="1:8">
      <c r="F53" s="776">
        <v>114043</v>
      </c>
    </row>
    <row r="55" spans="1:8">
      <c r="A55" s="777">
        <f>DATE(C55,D55,E55)</f>
        <v>45020</v>
      </c>
      <c r="B55" t="str">
        <f>C55&amp;D55</f>
        <v>20234</v>
      </c>
      <c r="C55">
        <v>2023</v>
      </c>
      <c r="D55">
        <v>4</v>
      </c>
      <c r="E55">
        <v>4</v>
      </c>
      <c r="F55" s="769" t="s">
        <v>1805</v>
      </c>
      <c r="G55" s="37">
        <f>F56</f>
        <v>44971</v>
      </c>
      <c r="H55" s="37">
        <f>F57</f>
        <v>104616</v>
      </c>
    </row>
    <row r="56" spans="1:8">
      <c r="F56" s="776">
        <v>44971</v>
      </c>
    </row>
    <row r="57" spans="1:8">
      <c r="F57" s="776">
        <v>104616</v>
      </c>
    </row>
    <row r="59" spans="1:8">
      <c r="A59" s="777">
        <f>DATE(C59,D59,E59)</f>
        <v>45048</v>
      </c>
      <c r="B59" t="str">
        <f>C59&amp;D59</f>
        <v>20235</v>
      </c>
      <c r="C59">
        <v>2023</v>
      </c>
      <c r="D59">
        <v>5</v>
      </c>
      <c r="E59">
        <v>2</v>
      </c>
      <c r="F59" s="769" t="s">
        <v>1809</v>
      </c>
      <c r="G59" s="37">
        <f>F60</f>
        <v>47929</v>
      </c>
      <c r="H59" s="37">
        <f>F61</f>
        <v>93132</v>
      </c>
    </row>
    <row r="60" spans="1:8">
      <c r="F60" s="776">
        <v>47929</v>
      </c>
    </row>
    <row r="61" spans="1:8">
      <c r="F61" s="776">
        <v>93132</v>
      </c>
    </row>
    <row r="63" spans="1:8">
      <c r="A63" s="777">
        <f>DATE(C63,D63,E63)</f>
        <v>45083</v>
      </c>
      <c r="B63" t="str">
        <f>C63&amp;D63</f>
        <v>20236</v>
      </c>
      <c r="C63">
        <v>2023</v>
      </c>
      <c r="D63">
        <v>6</v>
      </c>
      <c r="E63">
        <v>6</v>
      </c>
      <c r="F63" s="769" t="s">
        <v>1918</v>
      </c>
      <c r="G63" s="37">
        <f>F64</f>
        <v>54925</v>
      </c>
      <c r="H63" s="37">
        <f>F65</f>
        <v>91554</v>
      </c>
    </row>
    <row r="64" spans="1:8">
      <c r="F64" s="776">
        <v>54925</v>
      </c>
    </row>
    <row r="65" spans="1:8">
      <c r="F65" s="776">
        <v>91554</v>
      </c>
    </row>
    <row r="67" spans="1:8">
      <c r="A67" s="777">
        <f>DATE(C67,D67,E67)</f>
        <v>45111</v>
      </c>
      <c r="B67" t="str">
        <f>C67&amp;D67</f>
        <v>20237</v>
      </c>
      <c r="C67">
        <v>2023</v>
      </c>
      <c r="D67">
        <v>7</v>
      </c>
      <c r="E67">
        <v>4</v>
      </c>
      <c r="F67" s="769" t="s">
        <v>1925</v>
      </c>
      <c r="G67" s="37">
        <f>F68</f>
        <v>52889</v>
      </c>
      <c r="H67" s="37">
        <f>F69</f>
        <v>97444</v>
      </c>
    </row>
    <row r="68" spans="1:8">
      <c r="F68" s="776">
        <v>52889</v>
      </c>
    </row>
    <row r="69" spans="1:8">
      <c r="F69" s="776">
        <v>97444</v>
      </c>
    </row>
    <row r="71" spans="1:8">
      <c r="A71" s="777">
        <f>DATE(C71,D71,E71)</f>
        <v>45139</v>
      </c>
      <c r="B71" t="str">
        <f>C71&amp;D71</f>
        <v>20238</v>
      </c>
      <c r="C71">
        <v>2023</v>
      </c>
      <c r="D71">
        <v>8</v>
      </c>
      <c r="E71">
        <v>1</v>
      </c>
      <c r="F71" s="769" t="s">
        <v>1926</v>
      </c>
      <c r="G71" s="37">
        <f>F72</f>
        <v>51746</v>
      </c>
      <c r="H71" s="37">
        <f>F73</f>
        <v>89996</v>
      </c>
    </row>
    <row r="72" spans="1:8">
      <c r="F72" s="776">
        <v>51746</v>
      </c>
    </row>
    <row r="73" spans="1:8">
      <c r="F73" s="776">
        <v>89996</v>
      </c>
    </row>
    <row r="75" spans="1:8">
      <c r="A75" s="777">
        <f>DATE(C75,D75,E75)</f>
        <v>45174</v>
      </c>
      <c r="B75" t="str">
        <f>C75&amp;D75</f>
        <v>20239</v>
      </c>
      <c r="C75">
        <v>2023</v>
      </c>
      <c r="D75">
        <v>9</v>
      </c>
      <c r="E75">
        <v>5</v>
      </c>
      <c r="F75" s="769" t="s">
        <v>1929</v>
      </c>
      <c r="G75" s="37">
        <f>F76</f>
        <v>60483</v>
      </c>
      <c r="H75" s="37">
        <f>F77</f>
        <v>89702</v>
      </c>
    </row>
    <row r="76" spans="1:8">
      <c r="F76" s="776">
        <v>60483</v>
      </c>
    </row>
    <row r="77" spans="1:8">
      <c r="F77" s="776">
        <v>89702</v>
      </c>
    </row>
    <row r="79" spans="1:8">
      <c r="A79" s="777">
        <f>DATE(C79,D79,E79)</f>
        <v>45202</v>
      </c>
      <c r="B79" t="str">
        <f>C79&amp;D79</f>
        <v>202310</v>
      </c>
      <c r="C79">
        <v>2023</v>
      </c>
      <c r="D79">
        <v>10</v>
      </c>
      <c r="E79">
        <v>3</v>
      </c>
      <c r="F79" s="769" t="s">
        <v>1955</v>
      </c>
      <c r="G79" s="37">
        <f>F80</f>
        <v>58685</v>
      </c>
      <c r="H79" s="37">
        <f>F81</f>
        <v>88165</v>
      </c>
    </row>
    <row r="80" spans="1:8">
      <c r="F80" s="776">
        <v>58685</v>
      </c>
    </row>
    <row r="81" spans="1:8">
      <c r="F81" s="776">
        <v>88165</v>
      </c>
    </row>
    <row r="82" spans="1:8">
      <c r="A82" s="777">
        <f>DATE(C82,D82,E82)</f>
        <v>45237</v>
      </c>
      <c r="B82" t="str">
        <f>C82&amp;D82</f>
        <v>202311</v>
      </c>
      <c r="C82">
        <v>2023</v>
      </c>
      <c r="D82">
        <v>11</v>
      </c>
      <c r="E82">
        <v>7</v>
      </c>
      <c r="F82" s="769" t="s">
        <v>1968</v>
      </c>
      <c r="G82" s="37">
        <f>F83</f>
        <v>58534</v>
      </c>
      <c r="H82" s="37">
        <f>F84</f>
        <v>88247</v>
      </c>
    </row>
    <row r="83" spans="1:8">
      <c r="F83" s="776">
        <v>58534</v>
      </c>
    </row>
    <row r="84" spans="1:8">
      <c r="F84" s="776">
        <v>88247</v>
      </c>
    </row>
    <row r="85" spans="1:8">
      <c r="A85" s="777">
        <f>DATE(C85,D85,E85)</f>
        <v>45265</v>
      </c>
      <c r="B85" t="str">
        <f>C85&amp;D85</f>
        <v>202312</v>
      </c>
      <c r="C85">
        <v>2023</v>
      </c>
      <c r="D85">
        <v>12</v>
      </c>
      <c r="E85">
        <v>5</v>
      </c>
      <c r="F85" s="769" t="s">
        <v>1985</v>
      </c>
      <c r="G85" s="37">
        <f>F86</f>
        <v>53444</v>
      </c>
      <c r="H85" s="37">
        <f>F87</f>
        <v>83915</v>
      </c>
    </row>
    <row r="86" spans="1:8">
      <c r="F86" s="776">
        <v>53444</v>
      </c>
    </row>
    <row r="87" spans="1:8">
      <c r="F87" s="776">
        <v>83915</v>
      </c>
    </row>
    <row r="88" spans="1:8">
      <c r="A88" s="777">
        <f>DATE(C88,D88,E88)</f>
        <v>45293</v>
      </c>
      <c r="B88" t="str">
        <f>C88&amp;D88</f>
        <v>20241</v>
      </c>
      <c r="C88">
        <v>2024</v>
      </c>
      <c r="D88">
        <v>1</v>
      </c>
      <c r="E88">
        <v>2</v>
      </c>
      <c r="F88" s="769" t="s">
        <v>1998</v>
      </c>
      <c r="G88" s="37">
        <f>F89</f>
        <v>38594</v>
      </c>
      <c r="H88" s="37">
        <f>F90</f>
        <v>59853</v>
      </c>
    </row>
    <row r="89" spans="1:8">
      <c r="F89" s="776">
        <v>38594</v>
      </c>
    </row>
    <row r="90" spans="1:8">
      <c r="F90" s="776">
        <v>59853</v>
      </c>
    </row>
  </sheetData>
  <mergeCells count="1">
    <mergeCell ref="L4:W4"/>
  </mergeCells>
  <hyperlinks>
    <hyperlink ref="D1" r:id="rId1" xr:uid="{C4392047-C0E3-4086-BB20-4B38883BD714}"/>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C787E-DD68-4031-8039-C64F94056A8F}">
  <dimension ref="A2:D29"/>
  <sheetViews>
    <sheetView topLeftCell="A6" zoomScale="115" zoomScaleNormal="115" workbookViewId="0">
      <selection activeCell="L19" sqref="L19"/>
    </sheetView>
  </sheetViews>
  <sheetFormatPr defaultRowHeight="18"/>
  <cols>
    <col min="1" max="1" width="6.09765625" customWidth="1"/>
    <col min="2" max="2" width="3.796875" customWidth="1"/>
    <col min="3" max="3" width="19.59765625" customWidth="1"/>
    <col min="4" max="4" width="21.59765625" customWidth="1"/>
  </cols>
  <sheetData>
    <row r="2" spans="1:4">
      <c r="A2" t="s">
        <v>1946</v>
      </c>
    </row>
    <row r="5" spans="1:4">
      <c r="C5" t="s">
        <v>1947</v>
      </c>
      <c r="D5" t="s">
        <v>1948</v>
      </c>
    </row>
    <row r="6" spans="1:4">
      <c r="A6">
        <v>2022</v>
      </c>
      <c r="B6">
        <v>1</v>
      </c>
      <c r="C6" s="33">
        <v>0.105</v>
      </c>
      <c r="D6" s="33">
        <v>0.159</v>
      </c>
    </row>
    <row r="7" spans="1:4">
      <c r="B7">
        <v>2</v>
      </c>
      <c r="C7" s="33">
        <v>8.5999999999999993E-2</v>
      </c>
      <c r="D7" s="33">
        <v>0.114</v>
      </c>
    </row>
    <row r="8" spans="1:4">
      <c r="B8">
        <v>3</v>
      </c>
      <c r="C8" s="33">
        <v>0.29499999999999998</v>
      </c>
      <c r="D8" s="33">
        <v>0.221</v>
      </c>
    </row>
    <row r="9" spans="1:4">
      <c r="B9">
        <v>4</v>
      </c>
      <c r="C9" s="33">
        <v>0.27200000000000002</v>
      </c>
      <c r="D9" s="33">
        <v>0.22800000000000001</v>
      </c>
    </row>
    <row r="10" spans="1:4">
      <c r="B10">
        <v>5</v>
      </c>
      <c r="C10" s="33">
        <v>0.307</v>
      </c>
      <c r="D10" s="33">
        <v>0.30299999999999999</v>
      </c>
    </row>
    <row r="11" spans="1:4">
      <c r="B11">
        <v>6</v>
      </c>
      <c r="C11" s="33">
        <v>0.26</v>
      </c>
      <c r="D11" s="33">
        <v>0.26600000000000001</v>
      </c>
    </row>
    <row r="12" spans="1:4">
      <c r="B12">
        <v>7</v>
      </c>
      <c r="C12" s="33">
        <v>0.28199999999999997</v>
      </c>
      <c r="D12" s="33">
        <v>0.26700000000000002</v>
      </c>
    </row>
    <row r="13" spans="1:4">
      <c r="B13">
        <v>8</v>
      </c>
      <c r="C13" s="33">
        <v>0.26</v>
      </c>
      <c r="D13" s="33">
        <v>0.222</v>
      </c>
    </row>
    <row r="14" spans="1:4">
      <c r="B14">
        <v>9</v>
      </c>
      <c r="C14" s="33">
        <v>0.215</v>
      </c>
      <c r="D14" s="33">
        <v>0.19400000000000001</v>
      </c>
    </row>
    <row r="15" spans="1:4">
      <c r="B15">
        <v>10</v>
      </c>
      <c r="C15" s="33">
        <v>0.22900000000000001</v>
      </c>
      <c r="D15" s="33">
        <v>0.219</v>
      </c>
    </row>
    <row r="16" spans="1:4">
      <c r="B16">
        <v>11</v>
      </c>
      <c r="C16" s="33">
        <v>0.19700000000000001</v>
      </c>
      <c r="D16" s="33">
        <v>0.217</v>
      </c>
    </row>
    <row r="17" spans="1:4">
      <c r="B17">
        <v>12</v>
      </c>
      <c r="C17" s="33">
        <v>0.223</v>
      </c>
      <c r="D17" s="33">
        <v>0.22700000000000001</v>
      </c>
    </row>
    <row r="18" spans="1:4">
      <c r="A18">
        <v>2023</v>
      </c>
      <c r="B18">
        <v>1</v>
      </c>
      <c r="C18" s="33">
        <v>0.216</v>
      </c>
      <c r="D18" s="33">
        <v>0.19</v>
      </c>
    </row>
    <row r="19" spans="1:4">
      <c r="B19">
        <v>2</v>
      </c>
      <c r="C19" s="33">
        <v>0.24199999999999999</v>
      </c>
      <c r="D19" s="33">
        <v>0.22</v>
      </c>
    </row>
    <row r="20" spans="1:4">
      <c r="B20">
        <v>3</v>
      </c>
      <c r="C20" s="33">
        <v>0.20499999999999999</v>
      </c>
      <c r="D20" s="33">
        <v>0.24099999999999999</v>
      </c>
    </row>
    <row r="21" spans="1:4">
      <c r="B21">
        <v>4</v>
      </c>
      <c r="C21" s="33">
        <v>0.20799999999999999</v>
      </c>
      <c r="D21" s="33">
        <v>0.2</v>
      </c>
    </row>
    <row r="22" spans="1:4">
      <c r="B22">
        <v>5</v>
      </c>
      <c r="C22" s="33">
        <v>0.17699999999999999</v>
      </c>
      <c r="D22" s="33">
        <v>0.22900000000000001</v>
      </c>
    </row>
    <row r="23" spans="1:4">
      <c r="B23">
        <v>6</v>
      </c>
      <c r="C23" s="33">
        <v>0.214</v>
      </c>
      <c r="D23" s="33">
        <v>0.26400000000000001</v>
      </c>
    </row>
    <row r="24" spans="1:4">
      <c r="B24">
        <v>7</v>
      </c>
      <c r="C24" s="33">
        <v>0.16600000000000001</v>
      </c>
      <c r="D24" s="33">
        <v>0.23</v>
      </c>
    </row>
    <row r="25" spans="1:4">
      <c r="B25">
        <v>8</v>
      </c>
      <c r="C25" s="33">
        <v>0.151</v>
      </c>
      <c r="D25" s="33">
        <v>0.20799999999999999</v>
      </c>
    </row>
    <row r="26" spans="1:4">
      <c r="B26">
        <v>9</v>
      </c>
      <c r="C26" s="33">
        <v>0.159</v>
      </c>
      <c r="D26" s="33">
        <v>0.247</v>
      </c>
    </row>
    <row r="27" spans="1:4">
      <c r="B27">
        <v>10</v>
      </c>
      <c r="C27" s="33">
        <v>0.184</v>
      </c>
      <c r="D27" s="33">
        <v>0.215</v>
      </c>
    </row>
    <row r="28" spans="1:4">
      <c r="B28">
        <v>11</v>
      </c>
      <c r="C28" s="33">
        <v>0.2</v>
      </c>
      <c r="D28" s="33">
        <v>0.17699999999999999</v>
      </c>
    </row>
    <row r="29" spans="1:4">
      <c r="B29">
        <v>12</v>
      </c>
      <c r="C29" s="33">
        <v>0.161</v>
      </c>
      <c r="D29" s="33">
        <v>0.23100000000000001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5637E-E445-4FC9-B2AA-C3CEFC00B7A6}">
  <sheetPr>
    <tabColor theme="7" tint="0.79998168889431442"/>
  </sheetPr>
  <dimension ref="A1:P138"/>
  <sheetViews>
    <sheetView topLeftCell="A4" zoomScale="115" zoomScaleNormal="115" workbookViewId="0">
      <selection activeCell="B1" sqref="B1"/>
    </sheetView>
  </sheetViews>
  <sheetFormatPr defaultColWidth="5.8984375" defaultRowHeight="18"/>
  <cols>
    <col min="1" max="7" width="5.8984375" style="789"/>
    <col min="8" max="8" width="5.8984375" style="800"/>
    <col min="9" max="16384" width="5.8984375" style="789"/>
  </cols>
  <sheetData>
    <row r="1" spans="1:16">
      <c r="A1" s="784" t="s">
        <v>1832</v>
      </c>
      <c r="B1" s="785" t="str">
        <f t="shared" ref="B1:G1" si="0">INDEX(B$23:B$25,MATCH($A$22,$A$23:$A$25,0))</f>
        <v>С/г</v>
      </c>
      <c r="C1" s="785" t="str">
        <f t="shared" si="0"/>
        <v>Промисловість</v>
      </c>
      <c r="D1" s="785" t="str">
        <f t="shared" si="0"/>
        <v>Будівництво</v>
      </c>
      <c r="E1" s="785" t="str">
        <f t="shared" si="0"/>
        <v>Торгівля</v>
      </c>
      <c r="F1" s="785" t="str">
        <f t="shared" si="0"/>
        <v>Транспорт</v>
      </c>
      <c r="G1" s="785" t="str">
        <f t="shared" si="0"/>
        <v>Послуги</v>
      </c>
      <c r="H1" s="786"/>
      <c r="I1" s="787"/>
      <c r="J1" s="785" t="str">
        <f>IF([34]Content!$E$1=1,J2,J3)</f>
        <v>Очікування щодо зміни кількості працівників у наступні 12 міс. за видами діяльності (баланс відповідей), в. п.</v>
      </c>
      <c r="K1" s="787"/>
      <c r="L1" s="787"/>
      <c r="M1" s="788"/>
      <c r="N1" s="788"/>
      <c r="O1" s="788"/>
      <c r="P1" s="788"/>
    </row>
    <row r="2" spans="1:16" ht="20.25" customHeight="1">
      <c r="A2" s="790"/>
      <c r="B2" s="791"/>
      <c r="C2" s="791"/>
      <c r="D2" s="791"/>
      <c r="E2" s="791"/>
      <c r="F2" s="791"/>
      <c r="G2" s="791"/>
      <c r="H2" s="786"/>
      <c r="I2" s="787"/>
      <c r="J2" s="787" t="s">
        <v>1836</v>
      </c>
      <c r="K2" s="787"/>
      <c r="L2" s="787"/>
      <c r="M2" s="788"/>
      <c r="N2" s="788"/>
      <c r="O2" s="788"/>
      <c r="P2" s="788"/>
    </row>
    <row r="3" spans="1:16" ht="21" customHeight="1">
      <c r="A3" s="787"/>
      <c r="B3" s="787"/>
      <c r="C3" s="787"/>
      <c r="D3" s="787"/>
      <c r="E3" s="787"/>
      <c r="F3" s="787"/>
      <c r="G3" s="787"/>
      <c r="H3" s="792"/>
      <c r="I3" s="787"/>
      <c r="J3" s="787" t="s">
        <v>1842</v>
      </c>
      <c r="K3" s="787"/>
      <c r="L3" s="787"/>
      <c r="M3" s="788"/>
      <c r="N3" s="788"/>
      <c r="O3" s="788"/>
      <c r="P3" s="788"/>
    </row>
    <row r="4" spans="1:16">
      <c r="A4" s="793" t="s">
        <v>1843</v>
      </c>
      <c r="B4" s="794">
        <v>-7</v>
      </c>
      <c r="C4" s="794">
        <v>5.9</v>
      </c>
      <c r="D4" s="794">
        <v>21.1</v>
      </c>
      <c r="E4" s="794">
        <v>15.4</v>
      </c>
      <c r="F4" s="794">
        <v>-1.2</v>
      </c>
      <c r="G4" s="794">
        <v>6.3</v>
      </c>
      <c r="H4" s="795" t="s">
        <v>1843</v>
      </c>
      <c r="I4" s="787"/>
      <c r="J4" s="787"/>
      <c r="K4" s="787"/>
      <c r="L4" s="787"/>
      <c r="M4" s="788"/>
      <c r="N4" s="788"/>
      <c r="O4" s="788"/>
    </row>
    <row r="5" spans="1:16">
      <c r="A5" s="793" t="s">
        <v>1844</v>
      </c>
      <c r="B5" s="794">
        <v>-6</v>
      </c>
      <c r="C5" s="794">
        <v>-3.4</v>
      </c>
      <c r="D5" s="794">
        <v>11.1</v>
      </c>
      <c r="E5" s="794">
        <v>15.7</v>
      </c>
      <c r="F5" s="794">
        <v>11.1</v>
      </c>
      <c r="G5" s="794">
        <v>8.4</v>
      </c>
      <c r="H5" s="795"/>
      <c r="I5" s="787"/>
      <c r="J5" s="787"/>
      <c r="K5" s="787"/>
      <c r="L5" s="787"/>
      <c r="M5" s="788"/>
      <c r="N5" s="788"/>
      <c r="O5" s="788"/>
    </row>
    <row r="6" spans="1:16">
      <c r="A6" s="793" t="s">
        <v>1845</v>
      </c>
      <c r="B6" s="794">
        <v>-16.399999999999999</v>
      </c>
      <c r="C6" s="794">
        <v>-2</v>
      </c>
      <c r="D6" s="794">
        <v>16.7</v>
      </c>
      <c r="E6" s="794">
        <v>11.1</v>
      </c>
      <c r="F6" s="794">
        <v>11</v>
      </c>
      <c r="G6" s="794">
        <v>8.1999999999999993</v>
      </c>
      <c r="H6" s="795" t="s">
        <v>1846</v>
      </c>
      <c r="I6" s="787"/>
      <c r="J6" s="787"/>
      <c r="K6" s="787"/>
      <c r="L6" s="787"/>
      <c r="M6" s="788"/>
      <c r="N6" s="788"/>
      <c r="O6" s="788"/>
    </row>
    <row r="7" spans="1:16">
      <c r="A7" s="793" t="s">
        <v>1847</v>
      </c>
      <c r="B7" s="794">
        <v>-20.3</v>
      </c>
      <c r="C7" s="794">
        <v>-9.4</v>
      </c>
      <c r="D7" s="794">
        <v>11.1</v>
      </c>
      <c r="E7" s="794">
        <v>10.9</v>
      </c>
      <c r="F7" s="794">
        <v>-1.1000000000000001</v>
      </c>
      <c r="G7" s="794">
        <v>13.1</v>
      </c>
      <c r="H7" s="795"/>
      <c r="I7" s="787"/>
      <c r="J7" s="787"/>
      <c r="K7" s="787"/>
      <c r="L7" s="787"/>
      <c r="M7" s="788"/>
      <c r="N7" s="788"/>
      <c r="O7" s="788"/>
    </row>
    <row r="8" spans="1:16">
      <c r="A8" s="793" t="s">
        <v>1848</v>
      </c>
      <c r="B8" s="794">
        <v>-26.5</v>
      </c>
      <c r="C8" s="794">
        <v>-6.1</v>
      </c>
      <c r="D8" s="794">
        <v>30</v>
      </c>
      <c r="E8" s="794">
        <v>0.7</v>
      </c>
      <c r="F8" s="794">
        <v>-1.1000000000000001</v>
      </c>
      <c r="G8" s="794">
        <v>5.9</v>
      </c>
      <c r="H8" s="795" t="s">
        <v>1848</v>
      </c>
      <c r="I8" s="787"/>
      <c r="J8" s="787"/>
      <c r="K8" s="787"/>
      <c r="L8" s="787"/>
      <c r="M8" s="788"/>
      <c r="N8" s="788"/>
      <c r="O8" s="788"/>
    </row>
    <row r="9" spans="1:16">
      <c r="A9" s="793" t="s">
        <v>1849</v>
      </c>
      <c r="B9" s="794">
        <v>-11.8</v>
      </c>
      <c r="C9" s="794">
        <v>-20.9</v>
      </c>
      <c r="D9" s="794">
        <v>0</v>
      </c>
      <c r="E9" s="794">
        <v>-19.899999999999999</v>
      </c>
      <c r="F9" s="794">
        <v>-15.7</v>
      </c>
      <c r="G9" s="794">
        <v>-16.5</v>
      </c>
      <c r="H9" s="795"/>
      <c r="I9" s="787"/>
      <c r="J9" s="787"/>
      <c r="K9" s="787"/>
      <c r="L9" s="787"/>
      <c r="M9" s="788"/>
      <c r="N9" s="788"/>
      <c r="O9" s="788"/>
    </row>
    <row r="10" spans="1:16">
      <c r="A10" s="793" t="s">
        <v>1850</v>
      </c>
      <c r="B10" s="794">
        <v>-22.9</v>
      </c>
      <c r="C10" s="794">
        <v>-8.6999999999999993</v>
      </c>
      <c r="D10" s="794">
        <v>-9.1</v>
      </c>
      <c r="E10" s="794">
        <v>0</v>
      </c>
      <c r="F10" s="794">
        <v>-21.5</v>
      </c>
      <c r="G10" s="794">
        <v>-8.4</v>
      </c>
      <c r="H10" s="795" t="s">
        <v>1851</v>
      </c>
      <c r="I10" s="787"/>
      <c r="J10" s="787"/>
      <c r="K10" s="787"/>
      <c r="L10" s="787"/>
      <c r="M10" s="788"/>
      <c r="N10" s="788"/>
      <c r="O10" s="788"/>
    </row>
    <row r="11" spans="1:16">
      <c r="A11" s="793" t="s">
        <v>1852</v>
      </c>
      <c r="B11" s="794">
        <v>-20.2</v>
      </c>
      <c r="C11" s="794">
        <v>-10.7</v>
      </c>
      <c r="D11" s="794">
        <v>-9.1</v>
      </c>
      <c r="E11" s="794">
        <v>-4.9000000000000004</v>
      </c>
      <c r="F11" s="794">
        <v>-14.6</v>
      </c>
      <c r="G11" s="794">
        <v>-2.5</v>
      </c>
      <c r="H11" s="795"/>
      <c r="I11" s="787"/>
      <c r="J11" s="787"/>
      <c r="K11" s="787"/>
      <c r="L11" s="787"/>
      <c r="M11" s="788"/>
      <c r="N11" s="788"/>
      <c r="O11" s="788"/>
    </row>
    <row r="12" spans="1:16">
      <c r="A12" s="793" t="s">
        <v>1853</v>
      </c>
      <c r="B12" s="794">
        <v>-11.8</v>
      </c>
      <c r="C12" s="794">
        <v>-1</v>
      </c>
      <c r="D12" s="794">
        <v>0</v>
      </c>
      <c r="E12" s="794">
        <v>10.1</v>
      </c>
      <c r="F12" s="794">
        <v>-14.9</v>
      </c>
      <c r="G12" s="794">
        <v>0</v>
      </c>
      <c r="H12" s="795" t="s">
        <v>1853</v>
      </c>
      <c r="I12" s="787"/>
      <c r="J12" s="794"/>
      <c r="K12" s="787"/>
      <c r="L12" s="787"/>
      <c r="M12" s="788"/>
      <c r="N12" s="788"/>
      <c r="O12" s="788"/>
    </row>
    <row r="13" spans="1:16">
      <c r="A13" s="796" t="s">
        <v>1854</v>
      </c>
      <c r="B13" s="794">
        <v>-7.1</v>
      </c>
      <c r="C13" s="794">
        <v>1</v>
      </c>
      <c r="D13" s="794">
        <v>5</v>
      </c>
      <c r="E13" s="794">
        <v>8</v>
      </c>
      <c r="F13" s="794">
        <v>-14.6</v>
      </c>
      <c r="G13" s="794">
        <v>-0.8</v>
      </c>
      <c r="H13" s="795"/>
      <c r="I13" s="787"/>
      <c r="K13" s="787"/>
      <c r="L13" s="787"/>
      <c r="M13" s="788"/>
      <c r="N13" s="788"/>
      <c r="O13" s="788"/>
    </row>
    <row r="14" spans="1:16">
      <c r="A14" s="793" t="s">
        <v>1855</v>
      </c>
      <c r="B14" s="794">
        <v>-8.8000000000000007</v>
      </c>
      <c r="C14" s="794">
        <v>-2</v>
      </c>
      <c r="D14" s="794">
        <v>13.6</v>
      </c>
      <c r="E14" s="794">
        <v>12.6</v>
      </c>
      <c r="F14" s="794">
        <v>-1.1000000000000001</v>
      </c>
      <c r="G14" s="794">
        <v>6.7</v>
      </c>
      <c r="H14" s="795" t="s">
        <v>1855</v>
      </c>
      <c r="I14" s="787"/>
      <c r="K14" s="787"/>
      <c r="L14" s="787"/>
      <c r="M14" s="788"/>
      <c r="N14" s="788"/>
      <c r="O14" s="788"/>
    </row>
    <row r="15" spans="1:16">
      <c r="A15" s="793" t="s">
        <v>1856</v>
      </c>
      <c r="B15" s="794">
        <v>-6.9</v>
      </c>
      <c r="C15" s="794">
        <v>1</v>
      </c>
      <c r="D15" s="794">
        <v>4.5</v>
      </c>
      <c r="E15" s="794">
        <v>11.3</v>
      </c>
      <c r="F15" s="794">
        <v>2.2000000000000002</v>
      </c>
      <c r="G15" s="794">
        <v>4.8</v>
      </c>
      <c r="H15" s="795"/>
      <c r="I15" s="787"/>
      <c r="K15" s="787"/>
      <c r="L15" s="787"/>
      <c r="M15" s="788"/>
      <c r="N15" s="788"/>
      <c r="O15" s="788"/>
    </row>
    <row r="16" spans="1:16">
      <c r="A16" s="794" t="s">
        <v>1857</v>
      </c>
      <c r="B16" s="794">
        <v>3.8</v>
      </c>
      <c r="C16" s="794">
        <v>-3.3</v>
      </c>
      <c r="D16" s="794">
        <v>5</v>
      </c>
      <c r="E16" s="794">
        <v>6.9</v>
      </c>
      <c r="F16" s="794">
        <v>-8.6</v>
      </c>
      <c r="G16" s="794">
        <v>9.1999999999999993</v>
      </c>
      <c r="H16" s="795" t="s">
        <v>1857</v>
      </c>
      <c r="I16" s="787"/>
      <c r="K16" s="787"/>
      <c r="L16" s="787"/>
      <c r="M16" s="788"/>
      <c r="N16" s="788"/>
      <c r="O16" s="788"/>
    </row>
    <row r="17" spans="1:16">
      <c r="A17" s="794" t="s">
        <v>1858</v>
      </c>
      <c r="B17" s="794">
        <v>-10.9</v>
      </c>
      <c r="C17" s="794">
        <v>-33</v>
      </c>
      <c r="D17" s="794">
        <v>-50</v>
      </c>
      <c r="E17" s="794">
        <v>-31.1</v>
      </c>
      <c r="F17" s="794">
        <v>-27.1</v>
      </c>
      <c r="G17" s="794">
        <v>-33.700000000000003</v>
      </c>
      <c r="H17" s="795"/>
      <c r="I17" s="787"/>
      <c r="K17" s="787"/>
      <c r="L17" s="787"/>
      <c r="M17" s="788"/>
      <c r="N17" s="788"/>
      <c r="O17" s="788"/>
    </row>
    <row r="18" spans="1:16">
      <c r="A18" s="797" t="s">
        <v>1859</v>
      </c>
      <c r="B18" s="794">
        <v>-24.5</v>
      </c>
      <c r="C18" s="794">
        <v>-26.6</v>
      </c>
      <c r="D18" s="794">
        <v>-21.1</v>
      </c>
      <c r="E18" s="794">
        <v>-21.3</v>
      </c>
      <c r="F18" s="794">
        <v>-32.9</v>
      </c>
      <c r="G18" s="794">
        <v>-25</v>
      </c>
      <c r="H18" s="795" t="s">
        <v>1859</v>
      </c>
      <c r="I18" s="787"/>
      <c r="J18" s="785" t="str">
        <f>IF([34]Content!$E$1=1,J19,J20)</f>
        <v>Джерело: НБУ.</v>
      </c>
      <c r="K18" s="787"/>
      <c r="L18" s="787"/>
      <c r="M18" s="788"/>
      <c r="N18" s="788"/>
      <c r="O18" s="788"/>
    </row>
    <row r="19" spans="1:16">
      <c r="A19" s="797" t="s">
        <v>1860</v>
      </c>
      <c r="B19" s="794">
        <v>-26.1</v>
      </c>
      <c r="C19" s="794">
        <v>-25.9</v>
      </c>
      <c r="D19" s="794">
        <v>-5.3</v>
      </c>
      <c r="E19" s="794">
        <v>-5.3</v>
      </c>
      <c r="F19" s="794">
        <v>-28.9</v>
      </c>
      <c r="G19" s="794">
        <v>-18.8</v>
      </c>
      <c r="H19" s="795"/>
      <c r="I19" s="787"/>
      <c r="J19" s="798" t="s">
        <v>1861</v>
      </c>
      <c r="K19" s="787"/>
      <c r="L19" s="787"/>
      <c r="M19" s="788"/>
      <c r="N19" s="788"/>
      <c r="O19" s="788"/>
    </row>
    <row r="20" spans="1:16">
      <c r="A20" s="794" t="s">
        <v>1862</v>
      </c>
      <c r="B20" s="799">
        <v>-6.5</v>
      </c>
      <c r="C20" s="799">
        <v>-16.399999999999999</v>
      </c>
      <c r="D20" s="799">
        <v>-33.299999999999997</v>
      </c>
      <c r="E20" s="799">
        <v>-10.4</v>
      </c>
      <c r="F20" s="799">
        <v>-31.8</v>
      </c>
      <c r="G20" s="799">
        <v>-17</v>
      </c>
      <c r="H20" s="800" t="s">
        <v>1862</v>
      </c>
      <c r="I20" s="787"/>
      <c r="J20" s="798" t="s">
        <v>1863</v>
      </c>
      <c r="K20" s="787"/>
      <c r="L20" s="787"/>
      <c r="M20" s="788"/>
      <c r="N20" s="788"/>
      <c r="O20" s="788"/>
    </row>
    <row r="21" spans="1:16">
      <c r="B21" s="799"/>
      <c r="C21" s="799"/>
      <c r="D21" s="799"/>
      <c r="E21" s="799"/>
      <c r="F21" s="799"/>
      <c r="G21" s="799"/>
      <c r="I21" s="787"/>
      <c r="K21" s="787"/>
      <c r="L21" s="787"/>
      <c r="M21" s="788"/>
      <c r="N21" s="788"/>
      <c r="O21" s="788"/>
      <c r="P21" s="788"/>
    </row>
    <row r="22" spans="1:16" ht="18.75">
      <c r="A22" s="801" t="str">
        <f>'Чарти 5-7'!$B$1</f>
        <v>UKR</v>
      </c>
      <c r="I22" s="787"/>
      <c r="K22" s="787"/>
      <c r="L22" s="787"/>
      <c r="M22" s="788"/>
      <c r="N22" s="788"/>
      <c r="O22" s="788"/>
      <c r="P22" s="788"/>
    </row>
    <row r="23" spans="1:16">
      <c r="A23" s="6" t="s">
        <v>502</v>
      </c>
      <c r="B23" s="799" t="s">
        <v>1833</v>
      </c>
      <c r="C23" s="799" t="s">
        <v>307</v>
      </c>
      <c r="D23" s="799" t="s">
        <v>308</v>
      </c>
      <c r="E23" s="799" t="s">
        <v>1834</v>
      </c>
      <c r="F23" s="799" t="s">
        <v>336</v>
      </c>
      <c r="G23" s="799" t="s">
        <v>1835</v>
      </c>
      <c r="I23" s="787"/>
      <c r="K23" s="787"/>
      <c r="L23" s="787"/>
      <c r="M23" s="788"/>
      <c r="N23" s="788"/>
      <c r="O23" s="788"/>
      <c r="P23" s="788"/>
    </row>
    <row r="24" spans="1:16">
      <c r="A24" s="6" t="s">
        <v>500</v>
      </c>
      <c r="B24" s="799" t="s">
        <v>355</v>
      </c>
      <c r="C24" s="799" t="s">
        <v>1869</v>
      </c>
      <c r="D24" s="799" t="s">
        <v>334</v>
      </c>
      <c r="E24" s="799" t="s">
        <v>335</v>
      </c>
      <c r="F24" s="799" t="s">
        <v>336</v>
      </c>
      <c r="G24" s="799" t="s">
        <v>1868</v>
      </c>
      <c r="J24" s="787"/>
    </row>
    <row r="25" spans="1:16">
      <c r="A25" s="6" t="s">
        <v>501</v>
      </c>
      <c r="B25" s="787" t="s">
        <v>1837</v>
      </c>
      <c r="C25" s="787" t="s">
        <v>1838</v>
      </c>
      <c r="D25" s="787" t="s">
        <v>386</v>
      </c>
      <c r="E25" s="787" t="s">
        <v>1839</v>
      </c>
      <c r="F25" s="787" t="s">
        <v>1840</v>
      </c>
      <c r="G25" s="787" t="s">
        <v>1841</v>
      </c>
    </row>
    <row r="26" spans="1:16">
      <c r="B26" s="799"/>
      <c r="C26" s="799"/>
      <c r="D26" s="799"/>
      <c r="E26" s="799"/>
      <c r="F26" s="799"/>
      <c r="G26" s="799"/>
    </row>
    <row r="27" spans="1:16">
      <c r="B27" s="799"/>
      <c r="C27" s="799"/>
      <c r="D27" s="799"/>
      <c r="E27" s="799"/>
      <c r="F27" s="799"/>
      <c r="G27" s="799"/>
    </row>
    <row r="28" spans="1:16">
      <c r="B28" s="799"/>
      <c r="C28" s="799"/>
      <c r="D28" s="799"/>
      <c r="E28" s="799"/>
      <c r="F28" s="799"/>
      <c r="G28" s="799"/>
    </row>
    <row r="29" spans="1:16">
      <c r="B29" s="799"/>
      <c r="C29" s="799"/>
      <c r="D29" s="799"/>
      <c r="E29" s="799"/>
      <c r="F29" s="799"/>
      <c r="G29" s="799"/>
    </row>
    <row r="30" spans="1:16">
      <c r="B30" s="799"/>
      <c r="C30" s="799"/>
      <c r="D30" s="799"/>
      <c r="E30" s="799"/>
      <c r="F30" s="799"/>
      <c r="G30" s="799"/>
    </row>
    <row r="31" spans="1:16">
      <c r="B31" s="799"/>
      <c r="C31" s="799"/>
      <c r="D31" s="799"/>
      <c r="E31" s="799"/>
      <c r="F31" s="799"/>
      <c r="G31" s="799"/>
    </row>
    <row r="32" spans="1:16">
      <c r="B32" s="799"/>
      <c r="C32" s="799"/>
      <c r="D32" s="799"/>
      <c r="E32" s="799"/>
      <c r="F32" s="799"/>
      <c r="G32" s="799"/>
    </row>
    <row r="33" spans="2:7">
      <c r="B33" s="799"/>
      <c r="C33" s="799"/>
      <c r="D33" s="799"/>
      <c r="E33" s="799"/>
      <c r="F33" s="799"/>
      <c r="G33" s="799"/>
    </row>
    <row r="34" spans="2:7">
      <c r="B34" s="799"/>
      <c r="C34" s="799"/>
      <c r="D34" s="799"/>
      <c r="E34" s="799"/>
      <c r="F34" s="799"/>
      <c r="G34" s="799"/>
    </row>
    <row r="35" spans="2:7">
      <c r="B35" s="799"/>
      <c r="C35" s="799"/>
      <c r="D35" s="799"/>
      <c r="E35" s="799"/>
      <c r="F35" s="799"/>
      <c r="G35" s="799"/>
    </row>
    <row r="36" spans="2:7">
      <c r="B36" s="799"/>
      <c r="C36" s="799"/>
      <c r="D36" s="799"/>
      <c r="E36" s="799"/>
      <c r="F36" s="799"/>
      <c r="G36" s="799"/>
    </row>
    <row r="37" spans="2:7">
      <c r="B37" s="799"/>
      <c r="C37" s="799"/>
      <c r="D37" s="799"/>
      <c r="E37" s="799"/>
      <c r="F37" s="799"/>
      <c r="G37" s="799"/>
    </row>
    <row r="38" spans="2:7">
      <c r="B38" s="799"/>
      <c r="C38" s="799"/>
      <c r="D38" s="799"/>
      <c r="E38" s="799"/>
      <c r="F38" s="799"/>
      <c r="G38" s="799"/>
    </row>
    <row r="39" spans="2:7">
      <c r="B39" s="799"/>
      <c r="C39" s="799"/>
      <c r="D39" s="799"/>
      <c r="E39" s="799"/>
      <c r="F39" s="799"/>
      <c r="G39" s="799"/>
    </row>
    <row r="40" spans="2:7">
      <c r="B40" s="799"/>
      <c r="C40" s="799"/>
      <c r="D40" s="799"/>
      <c r="E40" s="799"/>
      <c r="F40" s="799"/>
      <c r="G40" s="799"/>
    </row>
    <row r="41" spans="2:7">
      <c r="B41" s="799"/>
      <c r="C41" s="799"/>
      <c r="D41" s="799"/>
      <c r="E41" s="799"/>
      <c r="F41" s="799"/>
      <c r="G41" s="799"/>
    </row>
    <row r="42" spans="2:7">
      <c r="B42" s="799"/>
      <c r="C42" s="799"/>
      <c r="D42" s="799"/>
      <c r="E42" s="799"/>
      <c r="F42" s="799"/>
      <c r="G42" s="799"/>
    </row>
    <row r="43" spans="2:7">
      <c r="B43" s="799"/>
      <c r="C43" s="799"/>
      <c r="D43" s="799"/>
      <c r="E43" s="799"/>
      <c r="F43" s="799"/>
      <c r="G43" s="799"/>
    </row>
    <row r="44" spans="2:7">
      <c r="B44" s="799"/>
      <c r="C44" s="799"/>
      <c r="D44" s="799"/>
      <c r="E44" s="799"/>
      <c r="F44" s="799"/>
      <c r="G44" s="799"/>
    </row>
    <row r="45" spans="2:7">
      <c r="B45" s="799"/>
      <c r="C45" s="799"/>
      <c r="D45" s="799"/>
      <c r="E45" s="799"/>
      <c r="F45" s="799"/>
      <c r="G45" s="799"/>
    </row>
    <row r="46" spans="2:7">
      <c r="B46" s="799"/>
      <c r="C46" s="799"/>
      <c r="D46" s="799"/>
      <c r="E46" s="799"/>
      <c r="F46" s="799"/>
      <c r="G46" s="799"/>
    </row>
    <row r="47" spans="2:7">
      <c r="B47" s="799"/>
      <c r="C47" s="799"/>
      <c r="D47" s="799"/>
      <c r="E47" s="799"/>
      <c r="F47" s="799"/>
      <c r="G47" s="799"/>
    </row>
    <row r="48" spans="2:7">
      <c r="B48" s="799"/>
      <c r="C48" s="799"/>
      <c r="D48" s="799"/>
      <c r="E48" s="799"/>
      <c r="F48" s="799"/>
      <c r="G48" s="799"/>
    </row>
    <row r="49" spans="2:7">
      <c r="B49" s="799"/>
      <c r="C49" s="799"/>
      <c r="D49" s="799"/>
      <c r="E49" s="799"/>
      <c r="F49" s="799"/>
      <c r="G49" s="799"/>
    </row>
    <row r="50" spans="2:7">
      <c r="B50" s="799"/>
      <c r="C50" s="799"/>
      <c r="D50" s="799"/>
      <c r="E50" s="799"/>
      <c r="F50" s="799"/>
      <c r="G50" s="799"/>
    </row>
    <row r="51" spans="2:7">
      <c r="B51" s="799"/>
      <c r="C51" s="799"/>
      <c r="D51" s="799"/>
      <c r="E51" s="799"/>
      <c r="F51" s="799"/>
      <c r="G51" s="799"/>
    </row>
    <row r="52" spans="2:7">
      <c r="B52" s="799"/>
      <c r="C52" s="799"/>
      <c r="D52" s="799"/>
      <c r="E52" s="799"/>
      <c r="F52" s="799"/>
      <c r="G52" s="799"/>
    </row>
    <row r="53" spans="2:7">
      <c r="B53" s="799"/>
      <c r="C53" s="799"/>
      <c r="D53" s="799"/>
      <c r="E53" s="799"/>
      <c r="F53" s="799"/>
      <c r="G53" s="799"/>
    </row>
    <row r="54" spans="2:7">
      <c r="B54" s="799"/>
      <c r="C54" s="799"/>
      <c r="D54" s="799"/>
      <c r="E54" s="799"/>
      <c r="F54" s="799"/>
      <c r="G54" s="799"/>
    </row>
    <row r="55" spans="2:7">
      <c r="B55" s="799"/>
      <c r="C55" s="799"/>
      <c r="D55" s="799"/>
      <c r="E55" s="799"/>
      <c r="F55" s="799"/>
      <c r="G55" s="799"/>
    </row>
    <row r="56" spans="2:7">
      <c r="B56" s="799"/>
      <c r="C56" s="799"/>
      <c r="D56" s="799"/>
      <c r="E56" s="799"/>
      <c r="F56" s="799"/>
      <c r="G56" s="799"/>
    </row>
    <row r="57" spans="2:7">
      <c r="B57" s="799"/>
      <c r="C57" s="799"/>
      <c r="D57" s="799"/>
      <c r="E57" s="799"/>
      <c r="F57" s="799"/>
      <c r="G57" s="799"/>
    </row>
    <row r="58" spans="2:7">
      <c r="B58" s="799"/>
      <c r="C58" s="799"/>
      <c r="D58" s="799"/>
      <c r="E58" s="799"/>
      <c r="F58" s="799"/>
      <c r="G58" s="799"/>
    </row>
    <row r="59" spans="2:7">
      <c r="B59" s="799"/>
      <c r="C59" s="799"/>
      <c r="D59" s="799"/>
      <c r="E59" s="799"/>
      <c r="F59" s="799"/>
      <c r="G59" s="799"/>
    </row>
    <row r="60" spans="2:7">
      <c r="B60" s="799"/>
      <c r="C60" s="799"/>
      <c r="D60" s="799"/>
      <c r="E60" s="799"/>
      <c r="F60" s="799"/>
      <c r="G60" s="799"/>
    </row>
    <row r="61" spans="2:7">
      <c r="B61" s="799"/>
      <c r="C61" s="799"/>
      <c r="D61" s="799"/>
      <c r="E61" s="799"/>
      <c r="F61" s="799"/>
      <c r="G61" s="799"/>
    </row>
    <row r="62" spans="2:7">
      <c r="B62" s="799"/>
      <c r="C62" s="799"/>
      <c r="D62" s="799"/>
      <c r="E62" s="799"/>
      <c r="F62" s="799"/>
      <c r="G62" s="799"/>
    </row>
    <row r="63" spans="2:7">
      <c r="B63" s="799"/>
      <c r="C63" s="799"/>
      <c r="D63" s="799"/>
      <c r="E63" s="799"/>
      <c r="F63" s="799"/>
      <c r="G63" s="799"/>
    </row>
    <row r="64" spans="2:7">
      <c r="B64" s="799"/>
      <c r="C64" s="799"/>
      <c r="D64" s="799"/>
      <c r="E64" s="799"/>
      <c r="F64" s="799"/>
      <c r="G64" s="799"/>
    </row>
    <row r="65" spans="2:7">
      <c r="B65" s="799"/>
      <c r="C65" s="799"/>
      <c r="D65" s="799"/>
      <c r="E65" s="799"/>
      <c r="F65" s="799"/>
      <c r="G65" s="799"/>
    </row>
    <row r="66" spans="2:7">
      <c r="B66" s="799"/>
      <c r="C66" s="799"/>
      <c r="D66" s="799"/>
      <c r="E66" s="799"/>
      <c r="F66" s="799"/>
      <c r="G66" s="799"/>
    </row>
    <row r="67" spans="2:7">
      <c r="B67" s="799"/>
      <c r="C67" s="799"/>
      <c r="D67" s="799"/>
      <c r="E67" s="799"/>
      <c r="F67" s="799"/>
      <c r="G67" s="799"/>
    </row>
    <row r="68" spans="2:7">
      <c r="B68" s="799"/>
      <c r="C68" s="799"/>
      <c r="D68" s="799"/>
      <c r="E68" s="799"/>
      <c r="F68" s="799"/>
      <c r="G68" s="799"/>
    </row>
    <row r="69" spans="2:7">
      <c r="B69" s="799"/>
      <c r="C69" s="799"/>
      <c r="D69" s="799"/>
      <c r="E69" s="799"/>
      <c r="F69" s="799"/>
      <c r="G69" s="799"/>
    </row>
    <row r="70" spans="2:7">
      <c r="B70" s="799"/>
      <c r="C70" s="799"/>
      <c r="D70" s="799"/>
      <c r="E70" s="799"/>
      <c r="F70" s="799"/>
      <c r="G70" s="799"/>
    </row>
    <row r="71" spans="2:7">
      <c r="B71" s="799"/>
      <c r="C71" s="799"/>
      <c r="D71" s="799"/>
      <c r="E71" s="799"/>
      <c r="F71" s="799"/>
      <c r="G71" s="799"/>
    </row>
    <row r="72" spans="2:7">
      <c r="B72" s="799"/>
      <c r="C72" s="799"/>
      <c r="D72" s="799"/>
      <c r="E72" s="799"/>
      <c r="F72" s="799"/>
      <c r="G72" s="799"/>
    </row>
    <row r="73" spans="2:7">
      <c r="B73" s="799"/>
      <c r="C73" s="799"/>
      <c r="D73" s="799"/>
      <c r="E73" s="799"/>
      <c r="F73" s="799"/>
      <c r="G73" s="799"/>
    </row>
    <row r="74" spans="2:7">
      <c r="B74" s="799"/>
      <c r="C74" s="799"/>
      <c r="D74" s="799"/>
      <c r="E74" s="799"/>
      <c r="F74" s="799"/>
      <c r="G74" s="799"/>
    </row>
    <row r="75" spans="2:7">
      <c r="B75" s="799"/>
      <c r="C75" s="799"/>
      <c r="D75" s="799"/>
      <c r="E75" s="799"/>
      <c r="F75" s="799"/>
      <c r="G75" s="799"/>
    </row>
    <row r="76" spans="2:7">
      <c r="B76" s="799"/>
      <c r="C76" s="799"/>
      <c r="D76" s="799"/>
      <c r="E76" s="799"/>
      <c r="F76" s="799"/>
      <c r="G76" s="799"/>
    </row>
    <row r="77" spans="2:7">
      <c r="B77" s="799"/>
      <c r="C77" s="799"/>
      <c r="D77" s="799"/>
      <c r="E77" s="799"/>
      <c r="F77" s="799"/>
      <c r="G77" s="799"/>
    </row>
    <row r="78" spans="2:7">
      <c r="B78" s="799"/>
      <c r="C78" s="799"/>
      <c r="D78" s="799"/>
      <c r="E78" s="799"/>
      <c r="F78" s="799"/>
      <c r="G78" s="799"/>
    </row>
    <row r="79" spans="2:7">
      <c r="B79" s="799"/>
      <c r="C79" s="799"/>
      <c r="D79" s="799"/>
      <c r="E79" s="799"/>
      <c r="F79" s="799"/>
      <c r="G79" s="799"/>
    </row>
    <row r="80" spans="2:7">
      <c r="B80" s="799"/>
      <c r="C80" s="799"/>
      <c r="D80" s="799"/>
      <c r="E80" s="799"/>
      <c r="F80" s="799"/>
      <c r="G80" s="799"/>
    </row>
    <row r="81" spans="2:7">
      <c r="B81" s="799"/>
      <c r="C81" s="799"/>
      <c r="D81" s="799"/>
      <c r="E81" s="799"/>
      <c r="F81" s="799"/>
      <c r="G81" s="799"/>
    </row>
    <row r="82" spans="2:7">
      <c r="B82" s="799"/>
      <c r="C82" s="799"/>
      <c r="D82" s="799"/>
      <c r="E82" s="799"/>
      <c r="F82" s="799"/>
      <c r="G82" s="799"/>
    </row>
    <row r="83" spans="2:7">
      <c r="B83" s="799"/>
      <c r="C83" s="799"/>
      <c r="D83" s="799"/>
      <c r="E83" s="799"/>
      <c r="F83" s="799"/>
      <c r="G83" s="799"/>
    </row>
    <row r="84" spans="2:7">
      <c r="B84" s="799"/>
      <c r="C84" s="799"/>
      <c r="D84" s="799"/>
      <c r="E84" s="799"/>
      <c r="F84" s="799"/>
      <c r="G84" s="799"/>
    </row>
    <row r="85" spans="2:7">
      <c r="B85" s="799"/>
      <c r="C85" s="799"/>
      <c r="D85" s="799"/>
      <c r="E85" s="799"/>
      <c r="F85" s="799"/>
      <c r="G85" s="799"/>
    </row>
    <row r="86" spans="2:7">
      <c r="B86" s="799"/>
      <c r="C86" s="799"/>
      <c r="D86" s="799"/>
      <c r="E86" s="799"/>
      <c r="F86" s="799"/>
      <c r="G86" s="799"/>
    </row>
    <row r="87" spans="2:7">
      <c r="B87" s="799"/>
      <c r="C87" s="799"/>
      <c r="D87" s="799"/>
      <c r="E87" s="799"/>
      <c r="F87" s="799"/>
      <c r="G87" s="799"/>
    </row>
    <row r="88" spans="2:7">
      <c r="B88" s="799"/>
      <c r="C88" s="799"/>
      <c r="D88" s="799"/>
      <c r="E88" s="799"/>
      <c r="F88" s="799"/>
      <c r="G88" s="799"/>
    </row>
    <row r="89" spans="2:7">
      <c r="B89" s="799"/>
      <c r="C89" s="799"/>
      <c r="D89" s="799"/>
      <c r="E89" s="799"/>
      <c r="F89" s="799"/>
      <c r="G89" s="799"/>
    </row>
    <row r="90" spans="2:7">
      <c r="B90" s="799"/>
      <c r="C90" s="799"/>
      <c r="D90" s="799"/>
      <c r="E90" s="799"/>
      <c r="F90" s="799"/>
      <c r="G90" s="799"/>
    </row>
    <row r="91" spans="2:7">
      <c r="B91" s="799"/>
      <c r="C91" s="799"/>
      <c r="D91" s="799"/>
      <c r="E91" s="799"/>
      <c r="F91" s="799"/>
      <c r="G91" s="799"/>
    </row>
    <row r="92" spans="2:7">
      <c r="B92" s="799"/>
      <c r="C92" s="799"/>
      <c r="D92" s="799"/>
      <c r="E92" s="799"/>
      <c r="F92" s="799"/>
      <c r="G92" s="799"/>
    </row>
    <row r="93" spans="2:7">
      <c r="B93" s="799"/>
      <c r="C93" s="799"/>
      <c r="D93" s="799"/>
      <c r="E93" s="799"/>
      <c r="F93" s="799"/>
      <c r="G93" s="799"/>
    </row>
    <row r="94" spans="2:7">
      <c r="B94" s="799"/>
      <c r="C94" s="799"/>
      <c r="D94" s="799"/>
      <c r="E94" s="799"/>
      <c r="F94" s="799"/>
      <c r="G94" s="799"/>
    </row>
    <row r="95" spans="2:7">
      <c r="B95" s="799"/>
      <c r="C95" s="799"/>
      <c r="D95" s="799"/>
      <c r="E95" s="799"/>
      <c r="F95" s="799"/>
      <c r="G95" s="799"/>
    </row>
    <row r="96" spans="2:7">
      <c r="B96" s="799"/>
      <c r="C96" s="799"/>
      <c r="D96" s="799"/>
      <c r="E96" s="799"/>
      <c r="F96" s="799"/>
      <c r="G96" s="799"/>
    </row>
    <row r="97" spans="2:7">
      <c r="B97" s="799"/>
      <c r="C97" s="799"/>
      <c r="D97" s="799"/>
      <c r="E97" s="799"/>
      <c r="F97" s="799"/>
      <c r="G97" s="799"/>
    </row>
    <row r="98" spans="2:7">
      <c r="B98" s="799"/>
      <c r="C98" s="799"/>
      <c r="D98" s="799"/>
      <c r="E98" s="799"/>
      <c r="F98" s="799"/>
      <c r="G98" s="799"/>
    </row>
    <row r="99" spans="2:7">
      <c r="B99" s="799"/>
      <c r="C99" s="799"/>
      <c r="D99" s="799"/>
      <c r="E99" s="799"/>
      <c r="F99" s="799"/>
      <c r="G99" s="799"/>
    </row>
    <row r="100" spans="2:7">
      <c r="B100" s="799"/>
      <c r="C100" s="799"/>
      <c r="D100" s="799"/>
      <c r="E100" s="799"/>
      <c r="F100" s="799"/>
      <c r="G100" s="799"/>
    </row>
    <row r="101" spans="2:7">
      <c r="B101" s="799"/>
      <c r="C101" s="799"/>
      <c r="D101" s="799"/>
      <c r="E101" s="799"/>
      <c r="F101" s="799"/>
      <c r="G101" s="799"/>
    </row>
    <row r="102" spans="2:7">
      <c r="B102" s="799"/>
      <c r="C102" s="799"/>
      <c r="D102" s="799"/>
      <c r="E102" s="799"/>
      <c r="F102" s="799"/>
      <c r="G102" s="799"/>
    </row>
    <row r="103" spans="2:7">
      <c r="B103" s="799"/>
      <c r="C103" s="799"/>
      <c r="D103" s="799"/>
      <c r="E103" s="799"/>
      <c r="F103" s="799"/>
      <c r="G103" s="799"/>
    </row>
    <row r="104" spans="2:7">
      <c r="B104" s="799"/>
      <c r="C104" s="799"/>
      <c r="D104" s="799"/>
      <c r="E104" s="799"/>
      <c r="F104" s="799"/>
      <c r="G104" s="799"/>
    </row>
    <row r="105" spans="2:7">
      <c r="B105" s="799"/>
      <c r="C105" s="799"/>
      <c r="D105" s="799"/>
      <c r="E105" s="799"/>
      <c r="F105" s="799"/>
      <c r="G105" s="799"/>
    </row>
    <row r="106" spans="2:7">
      <c r="B106" s="799"/>
      <c r="C106" s="799"/>
      <c r="D106" s="799"/>
      <c r="E106" s="799"/>
      <c r="F106" s="799"/>
      <c r="G106" s="799"/>
    </row>
    <row r="107" spans="2:7">
      <c r="B107" s="799"/>
      <c r="C107" s="799"/>
      <c r="D107" s="799"/>
      <c r="E107" s="799"/>
      <c r="F107" s="799"/>
      <c r="G107" s="799"/>
    </row>
    <row r="108" spans="2:7">
      <c r="B108" s="799"/>
      <c r="C108" s="799"/>
      <c r="D108" s="799"/>
      <c r="E108" s="799"/>
      <c r="F108" s="799"/>
      <c r="G108" s="799"/>
    </row>
    <row r="109" spans="2:7">
      <c r="B109" s="799"/>
      <c r="C109" s="799"/>
      <c r="D109" s="799"/>
      <c r="E109" s="799"/>
      <c r="F109" s="799"/>
      <c r="G109" s="799"/>
    </row>
    <row r="110" spans="2:7">
      <c r="B110" s="799"/>
      <c r="C110" s="799"/>
      <c r="D110" s="799"/>
      <c r="E110" s="799"/>
      <c r="F110" s="799"/>
      <c r="G110" s="799"/>
    </row>
    <row r="111" spans="2:7">
      <c r="B111" s="799"/>
      <c r="C111" s="799"/>
      <c r="D111" s="799"/>
      <c r="E111" s="799"/>
      <c r="F111" s="799"/>
      <c r="G111" s="799"/>
    </row>
    <row r="112" spans="2:7">
      <c r="B112" s="799"/>
      <c r="C112" s="799"/>
      <c r="D112" s="799"/>
      <c r="E112" s="799"/>
      <c r="F112" s="799"/>
      <c r="G112" s="799"/>
    </row>
    <row r="113" spans="2:7">
      <c r="B113" s="799"/>
      <c r="C113" s="799"/>
      <c r="D113" s="799"/>
      <c r="E113" s="799"/>
      <c r="F113" s="799"/>
      <c r="G113" s="799"/>
    </row>
    <row r="114" spans="2:7">
      <c r="B114" s="799"/>
      <c r="C114" s="799"/>
      <c r="D114" s="799"/>
      <c r="E114" s="799"/>
      <c r="F114" s="799"/>
      <c r="G114" s="799"/>
    </row>
    <row r="115" spans="2:7">
      <c r="B115" s="799"/>
      <c r="C115" s="799"/>
      <c r="D115" s="799"/>
      <c r="E115" s="799"/>
      <c r="F115" s="799"/>
      <c r="G115" s="799"/>
    </row>
    <row r="116" spans="2:7">
      <c r="B116" s="799"/>
      <c r="C116" s="799"/>
      <c r="D116" s="799"/>
      <c r="E116" s="799"/>
      <c r="F116" s="799"/>
      <c r="G116" s="799"/>
    </row>
    <row r="117" spans="2:7">
      <c r="B117" s="799"/>
      <c r="C117" s="799"/>
      <c r="D117" s="799"/>
      <c r="E117" s="799"/>
      <c r="F117" s="799"/>
      <c r="G117" s="799"/>
    </row>
    <row r="118" spans="2:7">
      <c r="B118" s="799"/>
      <c r="C118" s="799"/>
      <c r="D118" s="799"/>
      <c r="E118" s="799"/>
      <c r="F118" s="799"/>
      <c r="G118" s="799"/>
    </row>
    <row r="119" spans="2:7">
      <c r="B119" s="799"/>
      <c r="C119" s="799"/>
      <c r="D119" s="799"/>
      <c r="E119" s="799"/>
      <c r="F119" s="799"/>
      <c r="G119" s="799"/>
    </row>
    <row r="120" spans="2:7">
      <c r="B120" s="799"/>
      <c r="C120" s="799"/>
      <c r="D120" s="799"/>
      <c r="E120" s="799"/>
      <c r="F120" s="799"/>
      <c r="G120" s="799"/>
    </row>
    <row r="121" spans="2:7">
      <c r="B121" s="799"/>
      <c r="C121" s="799"/>
      <c r="D121" s="799"/>
      <c r="E121" s="799"/>
      <c r="F121" s="799"/>
      <c r="G121" s="799"/>
    </row>
    <row r="122" spans="2:7">
      <c r="B122" s="799"/>
      <c r="C122" s="799"/>
      <c r="D122" s="799"/>
      <c r="E122" s="799"/>
      <c r="F122" s="799"/>
      <c r="G122" s="799"/>
    </row>
    <row r="123" spans="2:7">
      <c r="B123" s="799"/>
      <c r="C123" s="799"/>
      <c r="D123" s="799"/>
      <c r="E123" s="799"/>
      <c r="F123" s="799"/>
      <c r="G123" s="799"/>
    </row>
    <row r="124" spans="2:7">
      <c r="B124" s="799"/>
      <c r="C124" s="799"/>
      <c r="D124" s="799"/>
      <c r="E124" s="799"/>
      <c r="F124" s="799"/>
      <c r="G124" s="799"/>
    </row>
    <row r="125" spans="2:7">
      <c r="B125" s="799"/>
      <c r="C125" s="799"/>
      <c r="D125" s="799"/>
      <c r="E125" s="799"/>
      <c r="F125" s="799"/>
      <c r="G125" s="799"/>
    </row>
    <row r="126" spans="2:7">
      <c r="B126" s="799"/>
      <c r="C126" s="799"/>
      <c r="D126" s="799"/>
      <c r="E126" s="799"/>
      <c r="F126" s="799"/>
      <c r="G126" s="799"/>
    </row>
    <row r="127" spans="2:7">
      <c r="B127" s="799"/>
      <c r="C127" s="799"/>
      <c r="D127" s="799"/>
      <c r="E127" s="799"/>
      <c r="F127" s="799"/>
      <c r="G127" s="799"/>
    </row>
    <row r="128" spans="2:7">
      <c r="B128" s="799"/>
      <c r="C128" s="799"/>
      <c r="D128" s="799"/>
      <c r="E128" s="799"/>
      <c r="F128" s="799"/>
      <c r="G128" s="799"/>
    </row>
    <row r="129" spans="2:7">
      <c r="B129" s="799"/>
      <c r="C129" s="799"/>
      <c r="D129" s="799"/>
      <c r="E129" s="799"/>
      <c r="F129" s="799"/>
      <c r="G129" s="799"/>
    </row>
    <row r="130" spans="2:7">
      <c r="B130" s="799"/>
      <c r="C130" s="799"/>
      <c r="D130" s="799"/>
      <c r="E130" s="799"/>
      <c r="F130" s="799"/>
      <c r="G130" s="799"/>
    </row>
    <row r="131" spans="2:7">
      <c r="B131" s="799"/>
      <c r="C131" s="799"/>
      <c r="D131" s="799"/>
      <c r="E131" s="799"/>
      <c r="F131" s="799"/>
      <c r="G131" s="799"/>
    </row>
    <row r="132" spans="2:7">
      <c r="B132" s="799"/>
      <c r="C132" s="799"/>
      <c r="D132" s="799"/>
      <c r="E132" s="799"/>
      <c r="F132" s="799"/>
      <c r="G132" s="799"/>
    </row>
    <row r="133" spans="2:7">
      <c r="B133" s="799"/>
      <c r="C133" s="799"/>
      <c r="D133" s="799"/>
      <c r="E133" s="799"/>
      <c r="F133" s="799"/>
      <c r="G133" s="799"/>
    </row>
    <row r="134" spans="2:7">
      <c r="B134" s="799"/>
      <c r="C134" s="799"/>
      <c r="D134" s="799"/>
      <c r="E134" s="799"/>
      <c r="F134" s="799"/>
      <c r="G134" s="799"/>
    </row>
    <row r="135" spans="2:7">
      <c r="B135" s="799"/>
      <c r="C135" s="799"/>
      <c r="D135" s="799"/>
      <c r="E135" s="799"/>
      <c r="F135" s="799"/>
      <c r="G135" s="799"/>
    </row>
    <row r="136" spans="2:7">
      <c r="B136" s="799"/>
      <c r="C136" s="799"/>
      <c r="D136" s="799"/>
      <c r="E136" s="799"/>
      <c r="F136" s="799"/>
      <c r="G136" s="799"/>
    </row>
    <row r="137" spans="2:7">
      <c r="B137" s="799"/>
      <c r="C137" s="799"/>
      <c r="D137" s="799"/>
      <c r="E137" s="799"/>
      <c r="F137" s="799"/>
      <c r="G137" s="799"/>
    </row>
    <row r="138" spans="2:7">
      <c r="B138" s="799"/>
      <c r="C138" s="799"/>
      <c r="D138" s="799"/>
      <c r="E138" s="799"/>
      <c r="F138" s="799"/>
      <c r="G138" s="799"/>
    </row>
  </sheetData>
  <hyperlinks>
    <hyperlink ref="A1" location="Content!A1" display="&lt;&lt;" xr:uid="{D8EE1472-6EEA-49CC-BBD9-E627E15EC4D2}"/>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D0508-8F6E-4ED2-A56E-280DB4F038D5}">
  <sheetPr>
    <tabColor theme="5" tint="0.59999389629810485"/>
  </sheetPr>
  <dimension ref="A1:L24"/>
  <sheetViews>
    <sheetView workbookViewId="0">
      <selection activeCell="I3" sqref="I3"/>
    </sheetView>
  </sheetViews>
  <sheetFormatPr defaultColWidth="6.3984375" defaultRowHeight="12.75"/>
  <cols>
    <col min="1" max="16384" width="6.3984375" style="804"/>
  </cols>
  <sheetData>
    <row r="1" spans="1:9">
      <c r="A1" s="802" t="s">
        <v>1832</v>
      </c>
      <c r="B1" s="785" t="str">
        <f>INDEX(B$19:B$21,MATCH($A$18,$A$19:$A$21,0))</f>
        <v>Не працюю</v>
      </c>
      <c r="C1" s="785" t="str">
        <f>INDEX(C$19:C$21,MATCH($A$18,$A$19:$A$21,0))</f>
        <v>Інше</v>
      </c>
      <c r="D1" s="785" t="str">
        <f>INDEX(D$19:D$21,MATCH($A$18,$A$19:$A$21,0))</f>
        <v>Працюю на новій роботі</v>
      </c>
      <c r="E1" s="785" t="str">
        <f>INDEX(E$19:E$21,MATCH($A$18,$A$19:$A$21,0))</f>
        <v>Працюю частково</v>
      </c>
      <c r="F1" s="785" t="str">
        <f>INDEX(F$19:F$21,MATCH($A$18,$A$19:$A$21,0))</f>
        <v>Працюю у звичайному режимі</v>
      </c>
      <c r="I1" s="803" t="str">
        <f>IF([34]Content!$E$1=1,I2,I3)</f>
        <v>Поточний статус тих, хто мав роботу до 24.02.2022, % відповідей</v>
      </c>
    </row>
    <row r="2" spans="1:9" ht="23.25" customHeight="1">
      <c r="I2" s="804" t="s">
        <v>1875</v>
      </c>
    </row>
    <row r="3" spans="1:9" ht="27" customHeight="1">
      <c r="B3" s="805"/>
      <c r="C3" s="805"/>
      <c r="D3" s="805"/>
      <c r="E3" s="805"/>
      <c r="F3" s="805"/>
      <c r="I3" s="804" t="s">
        <v>1881</v>
      </c>
    </row>
    <row r="4" spans="1:9">
      <c r="A4" s="804" t="s">
        <v>1882</v>
      </c>
      <c r="B4" s="806">
        <v>53</v>
      </c>
      <c r="C4" s="806">
        <v>1</v>
      </c>
      <c r="D4" s="806">
        <v>2</v>
      </c>
      <c r="E4" s="806">
        <v>21</v>
      </c>
      <c r="F4" s="806">
        <v>23</v>
      </c>
    </row>
    <row r="5" spans="1:9">
      <c r="A5" s="804" t="s">
        <v>1883</v>
      </c>
      <c r="B5" s="806">
        <v>41</v>
      </c>
      <c r="C5" s="806">
        <v>1</v>
      </c>
      <c r="D5" s="806">
        <v>3</v>
      </c>
      <c r="E5" s="806">
        <v>26</v>
      </c>
      <c r="F5" s="806">
        <v>29</v>
      </c>
    </row>
    <row r="6" spans="1:9">
      <c r="A6" s="804" t="s">
        <v>1883</v>
      </c>
      <c r="B6" s="806">
        <v>39.39</v>
      </c>
      <c r="C6" s="806">
        <v>1.01</v>
      </c>
      <c r="D6" s="806">
        <v>3.03</v>
      </c>
      <c r="E6" s="806">
        <v>24.24</v>
      </c>
      <c r="F6" s="806">
        <v>32.32</v>
      </c>
    </row>
    <row r="7" spans="1:9">
      <c r="A7" s="804" t="s">
        <v>1884</v>
      </c>
      <c r="B7" s="806">
        <v>35.35</v>
      </c>
      <c r="C7" s="806">
        <v>1.01</v>
      </c>
      <c r="D7" s="806">
        <v>7.07</v>
      </c>
      <c r="E7" s="806">
        <v>18.18</v>
      </c>
      <c r="F7" s="806">
        <v>38.380000000000003</v>
      </c>
    </row>
    <row r="8" spans="1:9">
      <c r="A8" s="804" t="s">
        <v>1885</v>
      </c>
      <c r="B8" s="806">
        <v>39.39</v>
      </c>
      <c r="C8" s="806">
        <v>1.01</v>
      </c>
      <c r="D8" s="806">
        <v>6.06</v>
      </c>
      <c r="E8" s="806">
        <v>19.190000000000001</v>
      </c>
      <c r="F8" s="806">
        <v>34.340000000000003</v>
      </c>
    </row>
    <row r="9" spans="1:9">
      <c r="A9" s="804" t="s">
        <v>1886</v>
      </c>
      <c r="B9" s="806">
        <v>36.729999999999997</v>
      </c>
      <c r="C9" s="806">
        <v>1.02</v>
      </c>
      <c r="D9" s="806">
        <v>6.12</v>
      </c>
      <c r="E9" s="806">
        <v>19.39</v>
      </c>
      <c r="F9" s="806">
        <v>36.729999999999997</v>
      </c>
    </row>
    <row r="10" spans="1:9">
      <c r="A10" s="804" t="s">
        <v>1887</v>
      </c>
      <c r="B10" s="806">
        <v>34.69</v>
      </c>
      <c r="C10" s="806">
        <v>1.02</v>
      </c>
      <c r="D10" s="806">
        <v>7.14</v>
      </c>
      <c r="E10" s="806">
        <v>18.37</v>
      </c>
      <c r="F10" s="806">
        <v>38.78</v>
      </c>
    </row>
    <row r="11" spans="1:9">
      <c r="A11" s="804" t="s">
        <v>1888</v>
      </c>
      <c r="B11" s="806">
        <v>33.33</v>
      </c>
      <c r="C11" s="806">
        <v>1.01</v>
      </c>
      <c r="D11" s="806">
        <v>8.08</v>
      </c>
      <c r="E11" s="806">
        <v>17.170000000000002</v>
      </c>
      <c r="F11" s="806">
        <v>40.4</v>
      </c>
    </row>
    <row r="12" spans="1:9">
      <c r="A12" s="804" t="s">
        <v>1889</v>
      </c>
      <c r="B12" s="806">
        <v>36.729999999999997</v>
      </c>
      <c r="C12" s="806">
        <v>1.02</v>
      </c>
      <c r="D12" s="806">
        <v>8.16</v>
      </c>
      <c r="E12" s="806">
        <v>17.350000000000001</v>
      </c>
      <c r="F12" s="806">
        <v>36.729999999999997</v>
      </c>
    </row>
    <row r="16" spans="1:9">
      <c r="B16" s="806"/>
      <c r="C16" s="806"/>
      <c r="D16" s="806"/>
      <c r="E16" s="806"/>
      <c r="F16" s="806"/>
    </row>
    <row r="17" spans="1:12">
      <c r="B17" s="806"/>
      <c r="C17" s="806"/>
      <c r="D17" s="806"/>
      <c r="E17" s="806"/>
      <c r="F17" s="806"/>
    </row>
    <row r="18" spans="1:12" ht="18.75">
      <c r="A18" s="801" t="str">
        <f>'Чарти 5-7'!$B$1</f>
        <v>UKR</v>
      </c>
      <c r="B18" s="806"/>
      <c r="C18" s="806"/>
      <c r="D18" s="806"/>
      <c r="E18" s="806"/>
      <c r="F18" s="806"/>
      <c r="K18" s="807" t="str">
        <f>IF([34]Content!$E$1=1,K19,K20)</f>
        <v>Джерело: Рейтинг.</v>
      </c>
    </row>
    <row r="19" spans="1:12" ht="18">
      <c r="A19" s="6" t="s">
        <v>502</v>
      </c>
      <c r="B19" s="804" t="s">
        <v>1870</v>
      </c>
      <c r="C19" s="804" t="s">
        <v>1871</v>
      </c>
      <c r="D19" s="804" t="s">
        <v>1872</v>
      </c>
      <c r="E19" s="804" t="s">
        <v>1873</v>
      </c>
      <c r="F19" s="804" t="s">
        <v>1874</v>
      </c>
      <c r="K19" s="808" t="s">
        <v>1890</v>
      </c>
      <c r="L19" s="809"/>
    </row>
    <row r="20" spans="1:12" ht="18">
      <c r="A20" s="6" t="s">
        <v>500</v>
      </c>
      <c r="B20" s="804" t="s">
        <v>1892</v>
      </c>
      <c r="C20" s="804" t="s">
        <v>1893</v>
      </c>
      <c r="D20" s="804" t="s">
        <v>1894</v>
      </c>
      <c r="E20" s="804" t="s">
        <v>1895</v>
      </c>
      <c r="F20" s="804" t="s">
        <v>1896</v>
      </c>
      <c r="K20" s="808" t="s">
        <v>1891</v>
      </c>
      <c r="L20" s="809"/>
    </row>
    <row r="21" spans="1:12" ht="18">
      <c r="A21" s="6" t="s">
        <v>501</v>
      </c>
      <c r="B21" s="805" t="s">
        <v>1876</v>
      </c>
      <c r="C21" s="805" t="s">
        <v>1877</v>
      </c>
      <c r="D21" s="805" t="s">
        <v>1878</v>
      </c>
      <c r="E21" s="805" t="s">
        <v>1879</v>
      </c>
      <c r="F21" s="805" t="s">
        <v>1880</v>
      </c>
    </row>
    <row r="22" spans="1:12">
      <c r="B22" s="806"/>
      <c r="C22" s="806"/>
      <c r="D22" s="806"/>
      <c r="E22" s="806"/>
      <c r="F22" s="806"/>
    </row>
    <row r="23" spans="1:12">
      <c r="B23" s="806"/>
      <c r="C23" s="806"/>
      <c r="D23" s="806"/>
      <c r="E23" s="806"/>
      <c r="F23" s="806"/>
    </row>
    <row r="24" spans="1:12">
      <c r="B24" s="806"/>
      <c r="C24" s="806"/>
      <c r="D24" s="806"/>
      <c r="E24" s="806"/>
      <c r="F24" s="806"/>
    </row>
  </sheetData>
  <hyperlinks>
    <hyperlink ref="A1" location="Content!A1" display="&lt;&lt;" xr:uid="{913F359E-F7B2-4FF2-A58C-EAC69EEE3921}"/>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43"/>
  <sheetViews>
    <sheetView workbookViewId="0">
      <selection activeCell="C29" sqref="C29"/>
    </sheetView>
  </sheetViews>
  <sheetFormatPr defaultColWidth="8.796875" defaultRowHeight="18"/>
  <cols>
    <col min="1" max="1" width="10.09765625" style="726" customWidth="1"/>
    <col min="2" max="16384" width="8.796875" style="726"/>
  </cols>
  <sheetData>
    <row r="1" spans="1:7">
      <c r="B1" s="726" t="str">
        <f>INDEX(F1:F3,MATCH('Чарти 5-7'!$B$1,$E$1:$E$3,0),1)</f>
        <v>РЕОК (06.2015=1)</v>
      </c>
      <c r="C1" s="726" t="str">
        <f>INDEX(G1:G3,MATCH('Чарти 5-7'!$B$1,$E$1:$E$3,0),1)</f>
        <v>Курс НБУ</v>
      </c>
      <c r="E1" t="s">
        <v>500</v>
      </c>
      <c r="F1" t="s">
        <v>1668</v>
      </c>
      <c r="G1" s="726" t="s">
        <v>1661</v>
      </c>
    </row>
    <row r="2" spans="1:7">
      <c r="A2" s="730">
        <v>40574</v>
      </c>
      <c r="B2" s="731">
        <v>1.2671909607454139</v>
      </c>
      <c r="C2" s="726">
        <v>7.9496969999999996</v>
      </c>
      <c r="E2" t="s">
        <v>501</v>
      </c>
      <c r="F2" t="s">
        <v>1669</v>
      </c>
      <c r="G2" s="726" t="s">
        <v>1665</v>
      </c>
    </row>
    <row r="3" spans="1:7">
      <c r="A3" s="730">
        <v>40602</v>
      </c>
      <c r="B3" s="731">
        <v>1.2479034365733277</v>
      </c>
      <c r="C3" s="726">
        <v>7.9407930000000002</v>
      </c>
      <c r="E3" t="s">
        <v>502</v>
      </c>
      <c r="F3" t="s">
        <v>1670</v>
      </c>
      <c r="G3" s="726" t="s">
        <v>1661</v>
      </c>
    </row>
    <row r="4" spans="1:7">
      <c r="A4" s="730">
        <v>40633</v>
      </c>
      <c r="B4" s="731">
        <v>1.2330096726870945</v>
      </c>
      <c r="C4" s="726">
        <v>7.9439649999999995</v>
      </c>
    </row>
    <row r="5" spans="1:7">
      <c r="A5" s="730">
        <v>40663</v>
      </c>
      <c r="B5" s="731">
        <v>1.2161758802629554</v>
      </c>
      <c r="C5" s="726">
        <v>7.96495</v>
      </c>
    </row>
    <row r="6" spans="1:7">
      <c r="A6" s="730">
        <v>40694</v>
      </c>
      <c r="B6" s="731">
        <v>1.2208263580840868</v>
      </c>
      <c r="C6" s="726">
        <v>7.9745970000000002</v>
      </c>
    </row>
    <row r="7" spans="1:7">
      <c r="A7" s="730">
        <v>40724</v>
      </c>
      <c r="B7" s="731">
        <v>1.2377539139495357</v>
      </c>
      <c r="C7" s="726">
        <v>7.9732500000000002</v>
      </c>
    </row>
    <row r="8" spans="1:7">
      <c r="A8" s="730">
        <v>40755</v>
      </c>
      <c r="B8" s="731">
        <v>1.2229262983561704</v>
      </c>
      <c r="C8" s="726">
        <v>7.971203</v>
      </c>
    </row>
    <row r="9" spans="1:7">
      <c r="A9" s="730">
        <v>40786</v>
      </c>
      <c r="B9" s="731">
        <v>1.2276946293983697</v>
      </c>
      <c r="C9" s="726">
        <v>7.971122580645166</v>
      </c>
    </row>
    <row r="10" spans="1:7">
      <c r="A10" s="730">
        <v>40816</v>
      </c>
      <c r="B10" s="731">
        <v>1.2748515857342448</v>
      </c>
      <c r="C10" s="726">
        <v>7.9728299999999992</v>
      </c>
    </row>
    <row r="11" spans="1:7">
      <c r="A11" s="730">
        <v>40847</v>
      </c>
      <c r="B11" s="731">
        <v>1.2924997283942441</v>
      </c>
      <c r="C11" s="726">
        <v>7.9746741935483874</v>
      </c>
    </row>
    <row r="12" spans="1:7">
      <c r="A12" s="730">
        <v>40877</v>
      </c>
      <c r="B12" s="731">
        <v>1.298928254425018</v>
      </c>
      <c r="C12" s="726">
        <v>7.983920000000003</v>
      </c>
    </row>
    <row r="13" spans="1:7">
      <c r="A13" s="730">
        <v>40908</v>
      </c>
      <c r="B13" s="731">
        <v>1.3196177625773104</v>
      </c>
      <c r="C13" s="726">
        <v>7.989751612903226</v>
      </c>
    </row>
    <row r="14" spans="1:7">
      <c r="A14" s="730">
        <v>40939</v>
      </c>
      <c r="B14" s="731">
        <v>1.3197752549264621</v>
      </c>
      <c r="C14" s="726">
        <v>7.9897935483870945</v>
      </c>
    </row>
    <row r="15" spans="1:7">
      <c r="A15" s="730">
        <v>40968</v>
      </c>
      <c r="B15" s="731">
        <v>1.2741126952173254</v>
      </c>
      <c r="C15" s="726">
        <v>7.9884482758620683</v>
      </c>
    </row>
    <row r="16" spans="1:7">
      <c r="A16" s="730">
        <v>40999</v>
      </c>
      <c r="B16" s="731">
        <v>1.2637141688407447</v>
      </c>
      <c r="C16" s="726">
        <v>7.9862419354838687</v>
      </c>
    </row>
    <row r="17" spans="1:3">
      <c r="A17" s="730">
        <v>41029</v>
      </c>
      <c r="B17" s="731">
        <v>1.2609691499526237</v>
      </c>
      <c r="C17" s="726">
        <v>7.9867200000000027</v>
      </c>
    </row>
    <row r="18" spans="1:3">
      <c r="A18" s="730">
        <v>41060</v>
      </c>
      <c r="B18" s="731">
        <v>1.2846078642678935</v>
      </c>
      <c r="C18" s="726">
        <v>7.9907774189999996</v>
      </c>
    </row>
    <row r="19" spans="1:3">
      <c r="A19" s="730">
        <v>41090</v>
      </c>
      <c r="B19" s="731">
        <v>1.320492808253521</v>
      </c>
      <c r="C19" s="726">
        <v>7.9924999999999997</v>
      </c>
    </row>
    <row r="20" spans="1:3">
      <c r="A20" s="730">
        <v>41121</v>
      </c>
      <c r="B20" s="731">
        <v>1.3102599160994606</v>
      </c>
      <c r="C20" s="726">
        <v>7.9928709677419318</v>
      </c>
    </row>
    <row r="21" spans="1:3">
      <c r="A21" s="730">
        <v>41152</v>
      </c>
      <c r="B21" s="731">
        <v>1.2865390495704954</v>
      </c>
      <c r="C21" s="726">
        <v>7.9929999999999959</v>
      </c>
    </row>
    <row r="22" spans="1:3">
      <c r="A22" s="730">
        <v>41182</v>
      </c>
      <c r="B22" s="731">
        <v>1.2562812249865392</v>
      </c>
      <c r="C22" s="726">
        <v>7.9929999999999959</v>
      </c>
    </row>
    <row r="23" spans="1:3">
      <c r="A23" s="730">
        <v>41213</v>
      </c>
      <c r="B23" s="731">
        <v>1.2379145457297358</v>
      </c>
      <c r="C23" s="726">
        <v>7.9929999999999959</v>
      </c>
    </row>
    <row r="24" spans="1:3">
      <c r="A24" s="730">
        <v>41243</v>
      </c>
      <c r="B24" s="731">
        <v>1.2433066207707846</v>
      </c>
      <c r="C24" s="726">
        <v>7.9929999999999959</v>
      </c>
    </row>
    <row r="25" spans="1:3">
      <c r="A25" s="730">
        <v>41274</v>
      </c>
      <c r="B25" s="731">
        <v>1.228678007716697</v>
      </c>
      <c r="C25" s="726">
        <v>7.9929999999999959</v>
      </c>
    </row>
    <row r="26" spans="1:3">
      <c r="A26" s="730">
        <v>41305</v>
      </c>
      <c r="B26" s="731">
        <v>1.2104964261287534</v>
      </c>
      <c r="C26" s="726">
        <v>7.9929999999999959</v>
      </c>
    </row>
    <row r="27" spans="1:3">
      <c r="A27" s="730">
        <v>41333</v>
      </c>
      <c r="B27" s="731">
        <v>1.1993719582164473</v>
      </c>
      <c r="C27" s="726">
        <v>7.9929999999999959</v>
      </c>
    </row>
    <row r="28" spans="1:3">
      <c r="A28" s="730">
        <v>41364</v>
      </c>
      <c r="B28" s="731">
        <v>1.2204415059446641</v>
      </c>
      <c r="C28" s="726">
        <v>7.9929999999999959</v>
      </c>
    </row>
    <row r="29" spans="1:3">
      <c r="A29" s="730">
        <v>41394</v>
      </c>
      <c r="B29" s="731">
        <v>1.2221561062698183</v>
      </c>
      <c r="C29" s="726">
        <v>7.9929999999999959</v>
      </c>
    </row>
    <row r="30" spans="1:3">
      <c r="A30" s="730">
        <v>41425</v>
      </c>
      <c r="B30" s="731">
        <v>1.2201542362967812</v>
      </c>
      <c r="C30" s="726">
        <v>7.9929999999999959</v>
      </c>
    </row>
    <row r="31" spans="1:3">
      <c r="A31" s="730">
        <v>41455</v>
      </c>
      <c r="B31" s="731">
        <v>1.2307118534176065</v>
      </c>
      <c r="C31" s="726">
        <v>7.9929999999999959</v>
      </c>
    </row>
    <row r="32" spans="1:3">
      <c r="A32" s="730">
        <v>41486</v>
      </c>
      <c r="B32" s="731">
        <v>1.237907895756027</v>
      </c>
      <c r="C32" s="726">
        <v>7.9929999999999959</v>
      </c>
    </row>
    <row r="33" spans="1:3">
      <c r="A33" s="730">
        <v>41517</v>
      </c>
      <c r="B33" s="731">
        <v>1.2283020630040051</v>
      </c>
      <c r="C33" s="726">
        <v>7.9929999999999959</v>
      </c>
    </row>
    <row r="34" spans="1:3">
      <c r="A34" s="730">
        <v>41547</v>
      </c>
      <c r="B34" s="731">
        <v>1.2143470650027226</v>
      </c>
      <c r="C34" s="726">
        <v>7.9929999999999959</v>
      </c>
    </row>
    <row r="35" spans="1:3">
      <c r="A35" s="730">
        <v>41578</v>
      </c>
      <c r="B35" s="731">
        <v>1.1944258014586642</v>
      </c>
      <c r="C35" s="726">
        <v>7.9929999999999959</v>
      </c>
    </row>
    <row r="36" spans="1:3">
      <c r="A36" s="730">
        <v>41608</v>
      </c>
      <c r="B36" s="731">
        <v>1.2069356067572317</v>
      </c>
      <c r="C36" s="726">
        <v>7.9929999999999959</v>
      </c>
    </row>
    <row r="37" spans="1:3">
      <c r="A37" s="730">
        <v>41639</v>
      </c>
      <c r="B37" s="731">
        <v>1.2067975241427729</v>
      </c>
      <c r="C37" s="726">
        <v>7.9929999999999959</v>
      </c>
    </row>
    <row r="38" spans="1:3">
      <c r="A38" s="730">
        <v>41670</v>
      </c>
      <c r="B38" s="731">
        <v>1.2191887359154241</v>
      </c>
      <c r="C38" s="726">
        <v>7.9929999999999994</v>
      </c>
    </row>
    <row r="39" spans="1:3">
      <c r="A39" s="730">
        <v>41698</v>
      </c>
      <c r="B39" s="731">
        <v>1.1799266101722563</v>
      </c>
      <c r="C39" s="726">
        <v>8.6548821428571419</v>
      </c>
    </row>
    <row r="40" spans="1:3">
      <c r="A40" s="730">
        <v>41729</v>
      </c>
      <c r="B40" s="731">
        <v>1.0417109546569756</v>
      </c>
      <c r="C40" s="726">
        <v>9.9200290322580624</v>
      </c>
    </row>
    <row r="41" spans="1:3">
      <c r="A41" s="730">
        <v>41759</v>
      </c>
      <c r="B41" s="731">
        <v>0.91455360373966088</v>
      </c>
      <c r="C41" s="726">
        <v>11.634154150000002</v>
      </c>
    </row>
    <row r="42" spans="1:3">
      <c r="A42" s="730">
        <v>41790</v>
      </c>
      <c r="B42" s="731">
        <v>0.92554995442063737</v>
      </c>
      <c r="C42" s="726">
        <v>11.637602903225805</v>
      </c>
    </row>
    <row r="43" spans="1:3">
      <c r="A43" s="730">
        <v>41820</v>
      </c>
      <c r="B43" s="731">
        <v>0.92988524733519673</v>
      </c>
      <c r="C43" s="726">
        <v>11.808719283333335</v>
      </c>
    </row>
    <row r="44" spans="1:3">
      <c r="A44" s="730">
        <v>41851</v>
      </c>
      <c r="B44" s="731">
        <v>0.93909914638766978</v>
      </c>
      <c r="C44" s="726">
        <v>11.754282064516127</v>
      </c>
    </row>
    <row r="45" spans="1:3">
      <c r="A45" s="730">
        <v>41882</v>
      </c>
      <c r="B45" s="731">
        <v>0.87481137385139329</v>
      </c>
      <c r="C45" s="726">
        <v>12.950088209677418</v>
      </c>
    </row>
    <row r="46" spans="1:3">
      <c r="A46" s="730">
        <v>41912</v>
      </c>
      <c r="B46" s="731">
        <v>0.9219045835587335</v>
      </c>
      <c r="C46" s="726">
        <v>13.023321600000001</v>
      </c>
    </row>
    <row r="47" spans="1:3">
      <c r="A47" s="730">
        <v>41943</v>
      </c>
      <c r="B47" s="731">
        <v>0.97837111225669615</v>
      </c>
      <c r="C47" s="726">
        <v>12.949825564516129</v>
      </c>
    </row>
    <row r="48" spans="1:3">
      <c r="A48" s="730">
        <v>41973</v>
      </c>
      <c r="B48" s="731">
        <v>0.91328641977578684</v>
      </c>
      <c r="C48" s="726">
        <v>14.697702416666663</v>
      </c>
    </row>
    <row r="49" spans="1:3">
      <c r="A49" s="730">
        <v>42004</v>
      </c>
      <c r="B49" s="731">
        <v>0.94766636521750403</v>
      </c>
      <c r="C49" s="726">
        <v>15.61630669354839</v>
      </c>
    </row>
    <row r="50" spans="1:3">
      <c r="A50" s="730">
        <v>42035</v>
      </c>
      <c r="B50" s="731">
        <v>1.0155532318647877</v>
      </c>
      <c r="C50" s="726">
        <v>15.812684177419353</v>
      </c>
    </row>
    <row r="51" spans="1:3">
      <c r="A51" s="730">
        <v>42063</v>
      </c>
      <c r="B51" s="731">
        <v>0.70020062632504398</v>
      </c>
      <c r="C51" s="726">
        <v>24.479892803571428</v>
      </c>
    </row>
    <row r="52" spans="1:3">
      <c r="A52" s="730">
        <v>42094</v>
      </c>
      <c r="B52" s="731">
        <v>0.82880415242205219</v>
      </c>
      <c r="C52" s="726">
        <v>23.256215145161285</v>
      </c>
    </row>
    <row r="53" spans="1:3">
      <c r="A53" s="730">
        <v>42124</v>
      </c>
      <c r="B53" s="731">
        <v>0.92270886437778188</v>
      </c>
      <c r="C53" s="726">
        <v>22.709472499999993</v>
      </c>
    </row>
    <row r="54" spans="1:3">
      <c r="A54" s="730">
        <v>42155</v>
      </c>
      <c r="B54" s="731">
        <v>0.98428129016981114</v>
      </c>
      <c r="C54" s="726">
        <v>20.915255677419349</v>
      </c>
    </row>
    <row r="55" spans="1:3">
      <c r="A55" s="730">
        <v>42185</v>
      </c>
      <c r="B55" s="731">
        <v>1</v>
      </c>
      <c r="C55" s="726">
        <v>21.232832466666665</v>
      </c>
    </row>
    <row r="56" spans="1:3">
      <c r="A56" s="730">
        <v>42216</v>
      </c>
      <c r="B56" s="731">
        <v>0.98467836153465316</v>
      </c>
      <c r="C56" s="726">
        <v>21.757373225806454</v>
      </c>
    </row>
    <row r="57" spans="1:3">
      <c r="A57" s="730">
        <v>42247</v>
      </c>
      <c r="B57" s="731">
        <v>1.0299118241536978</v>
      </c>
      <c r="C57" s="726">
        <v>21.626867290322579</v>
      </c>
    </row>
    <row r="58" spans="1:3">
      <c r="A58" s="730">
        <v>42277</v>
      </c>
      <c r="B58" s="731">
        <v>1.0641386670858686</v>
      </c>
      <c r="C58" s="726">
        <v>21.783419200000004</v>
      </c>
    </row>
    <row r="59" spans="1:3">
      <c r="A59" s="730">
        <v>42308</v>
      </c>
      <c r="B59" s="731">
        <v>1.0167751929365385</v>
      </c>
      <c r="C59" s="726">
        <v>21.841307419354838</v>
      </c>
    </row>
    <row r="60" spans="1:3">
      <c r="A60" s="730">
        <v>42338</v>
      </c>
      <c r="B60" s="731">
        <v>1.0007871362088536</v>
      </c>
      <c r="C60" s="726">
        <v>23.312625100000002</v>
      </c>
    </row>
    <row r="61" spans="1:3">
      <c r="A61" s="730">
        <v>42369</v>
      </c>
      <c r="B61" s="731">
        <v>1.0235316330633635</v>
      </c>
      <c r="C61" s="726">
        <v>23.408386193548385</v>
      </c>
    </row>
    <row r="62" spans="1:3">
      <c r="A62" s="730">
        <v>42400</v>
      </c>
      <c r="B62" s="731">
        <v>1.0304007569903944</v>
      </c>
      <c r="C62" s="726">
        <v>24.2596925483871</v>
      </c>
    </row>
    <row r="63" spans="1:3">
      <c r="A63" s="730">
        <v>42429</v>
      </c>
      <c r="B63" s="731">
        <v>0.93639531855586877</v>
      </c>
      <c r="C63" s="726">
        <v>26.393052206896549</v>
      </c>
    </row>
    <row r="64" spans="1:3">
      <c r="A64" s="730">
        <v>42460</v>
      </c>
      <c r="B64" s="731">
        <v>0.92073961103224089</v>
      </c>
      <c r="C64" s="726">
        <v>26.356162161290321</v>
      </c>
    </row>
    <row r="65" spans="1:3">
      <c r="A65" s="730">
        <v>42490</v>
      </c>
      <c r="B65" s="731">
        <v>0.95216444510824716</v>
      </c>
      <c r="C65" s="726">
        <v>25.629497566666668</v>
      </c>
    </row>
    <row r="66" spans="1:3">
      <c r="A66" s="730">
        <v>42521</v>
      </c>
      <c r="B66" s="731">
        <v>0.96165882910428346</v>
      </c>
      <c r="C66" s="726">
        <v>25.206477483870973</v>
      </c>
    </row>
    <row r="67" spans="1:3">
      <c r="A67" s="730">
        <v>42551</v>
      </c>
      <c r="B67" s="731">
        <v>0.97167657455614354</v>
      </c>
      <c r="C67" s="726">
        <v>24.951341333333339</v>
      </c>
    </row>
    <row r="68" spans="1:3">
      <c r="A68" s="730">
        <v>42582</v>
      </c>
      <c r="B68" s="731">
        <v>0.97847453637406467</v>
      </c>
      <c r="C68" s="726">
        <v>24.816780999999992</v>
      </c>
    </row>
    <row r="69" spans="1:3">
      <c r="A69" s="730">
        <v>42613</v>
      </c>
      <c r="B69" s="731">
        <v>0.95752159215079358</v>
      </c>
      <c r="C69" s="726">
        <v>25.064809193548385</v>
      </c>
    </row>
    <row r="70" spans="1:3">
      <c r="A70" s="730">
        <v>42643</v>
      </c>
      <c r="B70" s="731">
        <v>0.93046609826642279</v>
      </c>
      <c r="C70" s="726">
        <v>26.275462199999996</v>
      </c>
    </row>
    <row r="71" spans="1:3">
      <c r="A71" s="730">
        <v>42674</v>
      </c>
      <c r="B71" s="731">
        <v>0.97319066624077499</v>
      </c>
      <c r="C71" s="726">
        <v>25.757272387096783</v>
      </c>
    </row>
    <row r="72" spans="1:3">
      <c r="A72" s="730">
        <v>42704</v>
      </c>
      <c r="B72" s="731">
        <v>1.0265545061673711</v>
      </c>
      <c r="C72" s="726">
        <v>25.700937800000005</v>
      </c>
    </row>
    <row r="73" spans="1:3">
      <c r="A73" s="730">
        <v>42735</v>
      </c>
      <c r="B73" s="731">
        <v>1.0198099840967443</v>
      </c>
      <c r="C73" s="726">
        <v>26.204524935483867</v>
      </c>
    </row>
    <row r="74" spans="1:3">
      <c r="A74" s="730">
        <v>42736</v>
      </c>
      <c r="B74" s="731">
        <v>0.98101283749748525</v>
      </c>
      <c r="C74" s="726">
        <v>27.150611903225798</v>
      </c>
    </row>
    <row r="75" spans="1:3">
      <c r="A75" s="730">
        <v>42767</v>
      </c>
      <c r="B75" s="731">
        <v>0.97776988096622475</v>
      </c>
      <c r="C75" s="726">
        <v>27.027771071428578</v>
      </c>
    </row>
    <row r="76" spans="1:3">
      <c r="A76" s="730">
        <v>42795</v>
      </c>
      <c r="B76" s="731">
        <v>0.99357197029635791</v>
      </c>
      <c r="C76" s="726">
        <v>27.001562419354837</v>
      </c>
    </row>
    <row r="77" spans="1:3">
      <c r="A77" s="730">
        <v>42826</v>
      </c>
      <c r="B77" s="731">
        <v>0.99381481310493547</v>
      </c>
      <c r="C77" s="726">
        <v>26.856827100000014</v>
      </c>
    </row>
    <row r="78" spans="1:3">
      <c r="A78" s="730">
        <v>42856</v>
      </c>
      <c r="B78" s="731">
        <v>1.0077587740335348</v>
      </c>
      <c r="C78" s="726">
        <v>26.423693</v>
      </c>
    </row>
    <row r="79" spans="1:3">
      <c r="A79" s="730">
        <v>42887</v>
      </c>
      <c r="B79" s="731">
        <v>1.0286621640386318</v>
      </c>
      <c r="C79" s="726">
        <v>26.108858166666668</v>
      </c>
    </row>
    <row r="80" spans="1:3">
      <c r="A80" s="730">
        <v>42917</v>
      </c>
      <c r="B80" s="731">
        <v>1.0324657937980253</v>
      </c>
      <c r="C80" s="726">
        <v>25.969315225806444</v>
      </c>
    </row>
    <row r="81" spans="1:3">
      <c r="A81" s="730">
        <v>42948</v>
      </c>
      <c r="B81" s="731">
        <v>1.0295153112863693</v>
      </c>
      <c r="C81" s="726">
        <v>25.635271419354826</v>
      </c>
    </row>
    <row r="82" spans="1:3">
      <c r="A82" s="730">
        <v>42979</v>
      </c>
      <c r="B82" s="731">
        <v>1.0141126238990319</v>
      </c>
      <c r="C82" s="726">
        <v>26.10860709999999</v>
      </c>
    </row>
    <row r="83" spans="1:3">
      <c r="A83" s="730">
        <v>43009</v>
      </c>
      <c r="B83" s="731">
        <v>1.0141834806461241</v>
      </c>
      <c r="C83" s="726">
        <v>26.654977096774203</v>
      </c>
    </row>
    <row r="84" spans="1:3">
      <c r="A84" s="730">
        <v>43040</v>
      </c>
      <c r="B84" s="731">
        <v>1.0271395042559734</v>
      </c>
      <c r="C84" s="726">
        <v>26.705274633333332</v>
      </c>
    </row>
    <row r="85" spans="1:3">
      <c r="A85" s="730">
        <v>43070</v>
      </c>
      <c r="B85" s="731">
        <v>0.99747395660635818</v>
      </c>
      <c r="C85" s="726">
        <v>27.516507935483883</v>
      </c>
    </row>
    <row r="86" spans="1:3">
      <c r="A86" s="730">
        <v>43101</v>
      </c>
      <c r="B86" s="731">
        <v>0.95365367643686383</v>
      </c>
      <c r="C86" s="726">
        <v>28.434328612903219</v>
      </c>
    </row>
    <row r="87" spans="1:3">
      <c r="A87" s="730">
        <v>43132</v>
      </c>
      <c r="B87" s="731">
        <v>0.99813282273344961</v>
      </c>
      <c r="C87" s="726">
        <v>27.171049392857139</v>
      </c>
    </row>
    <row r="88" spans="1:3">
      <c r="A88" s="730">
        <v>43160</v>
      </c>
      <c r="B88" s="731">
        <v>1.040983099801889</v>
      </c>
      <c r="C88" s="726">
        <v>26.341204741935485</v>
      </c>
    </row>
    <row r="89" spans="1:3">
      <c r="A89" s="730">
        <v>43191</v>
      </c>
      <c r="B89" s="731">
        <v>1.0681368612710396</v>
      </c>
      <c r="C89" s="726">
        <v>26.151748566666665</v>
      </c>
    </row>
    <row r="90" spans="1:3">
      <c r="A90" s="730">
        <v>43221</v>
      </c>
      <c r="B90" s="731">
        <v>1.0978629273928693</v>
      </c>
      <c r="C90" s="726">
        <v>26.181224580645161</v>
      </c>
    </row>
    <row r="91" spans="1:3">
      <c r="A91" s="730">
        <v>43252</v>
      </c>
      <c r="B91" s="731">
        <v>1.1041037247591095</v>
      </c>
      <c r="C91" s="726">
        <v>26.202170466666661</v>
      </c>
    </row>
    <row r="92" spans="1:3">
      <c r="A92" s="730">
        <v>43282</v>
      </c>
      <c r="B92" s="731">
        <v>1.0923053989582605</v>
      </c>
      <c r="C92" s="726">
        <v>26.400686419354855</v>
      </c>
    </row>
    <row r="93" spans="1:3">
      <c r="A93" s="730">
        <v>43313</v>
      </c>
      <c r="B93" s="731">
        <v>1.073719671474286</v>
      </c>
      <c r="C93" s="726">
        <v>27.482209032258066</v>
      </c>
    </row>
    <row r="94" spans="1:3">
      <c r="A94" s="730">
        <v>43344</v>
      </c>
      <c r="B94" s="731">
        <v>1.0708650742293291</v>
      </c>
      <c r="C94" s="726">
        <v>28.191267433333341</v>
      </c>
    </row>
    <row r="95" spans="1:3">
      <c r="A95" s="730">
        <v>43374</v>
      </c>
      <c r="B95" s="731">
        <v>1.0873014892010466</v>
      </c>
      <c r="C95" s="726">
        <v>28.127382419354841</v>
      </c>
    </row>
    <row r="96" spans="1:3">
      <c r="A96" s="730">
        <v>43405</v>
      </c>
      <c r="B96" s="731">
        <v>1.1123908836617962</v>
      </c>
      <c r="C96" s="726">
        <v>27.933498133333334</v>
      </c>
    </row>
    <row r="97" spans="1:3">
      <c r="A97" s="730">
        <v>43435</v>
      </c>
      <c r="B97" s="731">
        <v>1.1283314938891951</v>
      </c>
      <c r="C97" s="726">
        <v>27.789138709677424</v>
      </c>
    </row>
    <row r="98" spans="1:3">
      <c r="A98" s="730">
        <v>43466</v>
      </c>
      <c r="B98" s="731">
        <v>1.1287890971818622</v>
      </c>
      <c r="C98" s="726">
        <v>27.879174999999989</v>
      </c>
    </row>
    <row r="99" spans="1:3">
      <c r="A99" s="730">
        <v>43497</v>
      </c>
      <c r="B99" s="731">
        <v>1.160787066705524</v>
      </c>
      <c r="C99" s="726">
        <v>27.160679178571421</v>
      </c>
    </row>
    <row r="100" spans="1:3">
      <c r="A100" s="730">
        <v>43525</v>
      </c>
      <c r="B100" s="731">
        <v>1.1755499002684537</v>
      </c>
      <c r="C100" s="726">
        <v>26.863534580645165</v>
      </c>
    </row>
    <row r="101" spans="1:3">
      <c r="A101" s="730">
        <v>43556</v>
      </c>
      <c r="B101" s="731">
        <v>1.1897686118605195</v>
      </c>
      <c r="C101" s="726">
        <v>26.811495299999994</v>
      </c>
    </row>
    <row r="102" spans="1:3">
      <c r="A102" s="730">
        <v>43586</v>
      </c>
      <c r="B102" s="731">
        <v>1.2224220365026057</v>
      </c>
      <c r="C102" s="726">
        <v>26.378847709677427</v>
      </c>
    </row>
    <row r="103" spans="1:3">
      <c r="A103" s="730">
        <v>43617</v>
      </c>
      <c r="B103" s="731">
        <v>1.2014598739551892</v>
      </c>
      <c r="C103" s="726">
        <v>26.500110633333335</v>
      </c>
    </row>
    <row r="104" spans="1:3">
      <c r="A104" s="730">
        <v>43647</v>
      </c>
      <c r="B104" s="731">
        <v>1.2247947742846068</v>
      </c>
      <c r="C104" s="726">
        <v>25.751355387096766</v>
      </c>
    </row>
    <row r="105" spans="1:3">
      <c r="A105" s="730">
        <v>43678</v>
      </c>
      <c r="B105" s="731">
        <v>1.2591470695697822</v>
      </c>
      <c r="C105" s="726">
        <v>25.246989612903224</v>
      </c>
    </row>
    <row r="106" spans="1:3">
      <c r="A106" s="730">
        <v>43709</v>
      </c>
      <c r="B106" s="731">
        <v>1.302265404550409</v>
      </c>
      <c r="C106" s="726">
        <v>24.769724166666666</v>
      </c>
    </row>
    <row r="107" spans="1:3">
      <c r="A107" s="730">
        <v>43740</v>
      </c>
      <c r="B107" s="731">
        <v>1.2919323085468142</v>
      </c>
      <c r="C107" s="726">
        <v>24.808206516129029</v>
      </c>
    </row>
    <row r="108" spans="1:3">
      <c r="A108" s="730">
        <v>43770</v>
      </c>
      <c r="B108" s="731">
        <v>1.315503845117441</v>
      </c>
      <c r="C108" s="726">
        <v>24.367518633333326</v>
      </c>
    </row>
    <row r="109" spans="1:3">
      <c r="A109" s="730">
        <v>43800</v>
      </c>
      <c r="B109" s="731">
        <v>1.3444064257720703</v>
      </c>
      <c r="C109" s="726">
        <v>23.609435129032253</v>
      </c>
    </row>
    <row r="110" spans="1:3">
      <c r="A110" s="730">
        <v>43831</v>
      </c>
      <c r="B110" s="731">
        <v>1.2969855967231811</v>
      </c>
      <c r="C110" s="726">
        <v>24.119351612903227</v>
      </c>
    </row>
    <row r="111" spans="1:3">
      <c r="A111" s="730">
        <v>43862</v>
      </c>
      <c r="B111" s="731">
        <v>1.2969748882683949</v>
      </c>
      <c r="C111" s="726">
        <v>24.596524137931045</v>
      </c>
    </row>
    <row r="112" spans="1:3">
      <c r="A112" s="730">
        <v>43891</v>
      </c>
      <c r="B112" s="731">
        <v>1.2404912350497157</v>
      </c>
      <c r="C112" s="726">
        <v>26.412293548387101</v>
      </c>
    </row>
    <row r="113" spans="1:3">
      <c r="A113" s="730">
        <v>43922</v>
      </c>
      <c r="B113" s="731">
        <v>1.2532473040637369</v>
      </c>
      <c r="C113" s="726">
        <v>27.224653333333325</v>
      </c>
    </row>
    <row r="114" spans="1:3">
      <c r="A114" s="730">
        <v>43952</v>
      </c>
      <c r="B114" s="731">
        <v>1.2643295528790819</v>
      </c>
      <c r="C114" s="726">
        <v>26.814329032258055</v>
      </c>
    </row>
    <row r="115" spans="1:3">
      <c r="A115" s="730">
        <v>43983</v>
      </c>
      <c r="B115" s="731">
        <v>1.2333965300968133</v>
      </c>
      <c r="C115" s="726">
        <v>26.707343333333327</v>
      </c>
    </row>
    <row r="116" spans="1:3">
      <c r="A116" s="730">
        <v>44013</v>
      </c>
      <c r="B116" s="731">
        <v>1.1886133218773072</v>
      </c>
      <c r="C116" s="726">
        <v>27.312838709677415</v>
      </c>
    </row>
    <row r="117" spans="1:3">
      <c r="A117" s="730">
        <v>44044</v>
      </c>
      <c r="B117" s="731">
        <v>1.1684926450337751</v>
      </c>
      <c r="C117" s="726">
        <v>27.521419354838709</v>
      </c>
    </row>
    <row r="118" spans="1:3">
      <c r="A118" s="730">
        <v>44075</v>
      </c>
      <c r="B118" s="731">
        <v>1.163396940543818</v>
      </c>
      <c r="C118" s="726">
        <v>27.976716666666668</v>
      </c>
    </row>
    <row r="119" spans="1:3">
      <c r="A119" s="730">
        <v>44105</v>
      </c>
      <c r="B119" s="731">
        <v>1.1653229286298099</v>
      </c>
      <c r="C119" s="726">
        <v>28.324951612903224</v>
      </c>
    </row>
    <row r="120" spans="1:3">
      <c r="A120" s="730">
        <v>44136</v>
      </c>
      <c r="B120" s="731">
        <v>1.1732067883668453</v>
      </c>
      <c r="C120" s="726">
        <v>28.310153333333343</v>
      </c>
    </row>
    <row r="121" spans="1:3">
      <c r="A121" s="730">
        <v>44166</v>
      </c>
      <c r="B121" s="731">
        <v>1.1587772885349727</v>
      </c>
      <c r="C121" s="726">
        <v>28.169719354838708</v>
      </c>
    </row>
    <row r="122" spans="1:3">
      <c r="A122" s="730">
        <v>44197</v>
      </c>
      <c r="B122" s="731">
        <v>1.1606296266702854</v>
      </c>
      <c r="C122" s="726">
        <v>28.219770967741937</v>
      </c>
    </row>
    <row r="123" spans="1:3">
      <c r="A123" s="730">
        <v>44228</v>
      </c>
      <c r="B123" s="731">
        <v>1.1787243918759522</v>
      </c>
      <c r="C123" s="726">
        <v>27.884660714285712</v>
      </c>
    </row>
    <row r="124" spans="1:3">
      <c r="A124" s="730">
        <v>44256</v>
      </c>
      <c r="B124" s="731">
        <v>1.2164236659040613</v>
      </c>
      <c r="C124" s="726">
        <v>27.795558064516129</v>
      </c>
    </row>
    <row r="125" spans="1:3">
      <c r="A125" s="730">
        <v>44287</v>
      </c>
      <c r="B125" s="731">
        <v>1.2175970001111991</v>
      </c>
      <c r="C125" s="726">
        <v>27.930006666666667</v>
      </c>
    </row>
    <row r="126" spans="1:3">
      <c r="A126" s="730">
        <v>44317</v>
      </c>
      <c r="B126" s="731">
        <v>1.2253465846792759</v>
      </c>
      <c r="C126" s="726">
        <v>27.602848387096767</v>
      </c>
    </row>
    <row r="127" spans="1:3">
      <c r="A127" s="730">
        <v>44348</v>
      </c>
      <c r="B127" s="731">
        <v>1.240300844097634</v>
      </c>
      <c r="C127" s="726">
        <v>27.239873333333321</v>
      </c>
    </row>
    <row r="128" spans="1:3">
      <c r="A128" s="730">
        <v>44378</v>
      </c>
      <c r="B128" s="731">
        <v>1.2554981172281778</v>
      </c>
      <c r="C128" s="726">
        <v>27.214548387096777</v>
      </c>
    </row>
    <row r="129" spans="1:3">
      <c r="A129" s="730">
        <v>44409</v>
      </c>
      <c r="B129" s="731">
        <v>1.2675480103344705</v>
      </c>
      <c r="C129" s="726">
        <v>26.78485483870967</v>
      </c>
    </row>
    <row r="130" spans="1:3">
      <c r="A130" s="730">
        <v>44440</v>
      </c>
      <c r="B130" s="731">
        <v>1.2784951254078978</v>
      </c>
      <c r="C130" s="726">
        <v>26.727786666666663</v>
      </c>
    </row>
    <row r="131" spans="1:3">
      <c r="A131" s="730">
        <v>44470</v>
      </c>
      <c r="B131" s="731">
        <v>1.3053106122689584</v>
      </c>
      <c r="C131" s="726">
        <v>26.374677419354835</v>
      </c>
    </row>
    <row r="132" spans="1:3">
      <c r="A132" s="730">
        <v>44501</v>
      </c>
      <c r="B132" s="731">
        <v>1.3228737657130758</v>
      </c>
      <c r="C132" s="726">
        <v>26.446223333333332</v>
      </c>
    </row>
    <row r="133" spans="1:3">
      <c r="A133" s="730">
        <v>44531</v>
      </c>
      <c r="B133" s="731">
        <v>1.3074001673261797</v>
      </c>
      <c r="C133" s="726">
        <v>27.21346451612904</v>
      </c>
    </row>
    <row r="134" spans="1:3">
      <c r="A134" s="730">
        <v>44562</v>
      </c>
      <c r="B134" s="731">
        <v>1.2635753789798947</v>
      </c>
      <c r="C134" s="726">
        <v>27.981270967741931</v>
      </c>
    </row>
    <row r="135" spans="1:3">
      <c r="A135" s="730">
        <v>44593</v>
      </c>
      <c r="B135" s="731">
        <v>1.264138421072609</v>
      </c>
      <c r="C135" s="726">
        <v>28.413664285714287</v>
      </c>
    </row>
    <row r="136" spans="1:3">
      <c r="A136" s="730">
        <v>44621</v>
      </c>
      <c r="B136" s="731">
        <v>1.2958978088796422</v>
      </c>
      <c r="C136" s="726">
        <v>29.254900000000013</v>
      </c>
    </row>
    <row r="137" spans="1:3">
      <c r="A137" s="730">
        <v>44652</v>
      </c>
      <c r="B137" s="731">
        <v>1.3332567418812589</v>
      </c>
      <c r="C137" s="726">
        <v>29.254900000000013</v>
      </c>
    </row>
    <row r="138" spans="1:3">
      <c r="A138" s="730">
        <v>44682</v>
      </c>
      <c r="B138" s="731">
        <v>1.3930960056837547</v>
      </c>
      <c r="C138" s="726">
        <v>29.254900000000013</v>
      </c>
    </row>
    <row r="139" spans="1:3">
      <c r="A139" s="730">
        <v>44713</v>
      </c>
      <c r="B139" s="731">
        <v>1.4311907904238237</v>
      </c>
      <c r="C139" s="726">
        <v>29.254900000000013</v>
      </c>
    </row>
    <row r="140" spans="1:3">
      <c r="A140" s="730">
        <v>44743</v>
      </c>
      <c r="B140" s="731">
        <v>1.3600464446205751</v>
      </c>
      <c r="C140" s="726">
        <v>31.850083870967769</v>
      </c>
    </row>
    <row r="141" spans="1:3">
      <c r="A141" s="730">
        <v>44774</v>
      </c>
      <c r="B141" s="731">
        <v>1.1903183552708574</v>
      </c>
      <c r="C141" s="726">
        <v>36.568600000000032</v>
      </c>
    </row>
    <row r="142" spans="1:3">
      <c r="A142" s="730">
        <v>44805</v>
      </c>
      <c r="B142" s="731">
        <v>1.2284947942100792</v>
      </c>
      <c r="C142" s="726">
        <v>36.568600000000032</v>
      </c>
    </row>
    <row r="143" spans="1:3">
      <c r="A143" s="730">
        <v>44835</v>
      </c>
      <c r="B143" s="731">
        <v>1.2639908333854588</v>
      </c>
      <c r="C143" s="726">
        <v>36.568600000000032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24"/>
  <sheetViews>
    <sheetView workbookViewId="0">
      <selection activeCell="G32" sqref="G32"/>
    </sheetView>
  </sheetViews>
  <sheetFormatPr defaultColWidth="8.796875" defaultRowHeight="18"/>
  <cols>
    <col min="1" max="1" width="36.09765625" style="726" customWidth="1"/>
    <col min="2" max="13" width="8.796875" style="726"/>
    <col min="14" max="14" width="17.296875" style="726" customWidth="1"/>
    <col min="15" max="16384" width="8.796875" style="726"/>
  </cols>
  <sheetData>
    <row r="1" spans="1:19">
      <c r="A1" s="725"/>
      <c r="B1" s="945">
        <v>2022</v>
      </c>
      <c r="C1" s="945"/>
      <c r="D1" s="945"/>
      <c r="E1" s="945"/>
      <c r="F1" s="945"/>
      <c r="G1" s="945"/>
      <c r="H1" s="945"/>
      <c r="I1" s="945"/>
      <c r="J1" s="945"/>
      <c r="K1" s="945"/>
      <c r="L1" s="945"/>
      <c r="M1" s="945"/>
      <c r="N1" s="945" t="s">
        <v>1647</v>
      </c>
    </row>
    <row r="2" spans="1:19">
      <c r="A2" s="725"/>
      <c r="B2" s="725">
        <v>1</v>
      </c>
      <c r="C2" s="725">
        <v>2</v>
      </c>
      <c r="D2" s="725">
        <v>3</v>
      </c>
      <c r="E2" s="725">
        <v>4</v>
      </c>
      <c r="F2" s="725">
        <v>5</v>
      </c>
      <c r="G2" s="725">
        <v>6</v>
      </c>
      <c r="H2" s="725">
        <v>7</v>
      </c>
      <c r="I2" s="725">
        <v>8</v>
      </c>
      <c r="J2" s="725">
        <v>9</v>
      </c>
      <c r="K2" s="725">
        <v>10</v>
      </c>
      <c r="L2" s="725">
        <v>11</v>
      </c>
      <c r="M2" s="725">
        <v>12</v>
      </c>
      <c r="N2" s="945"/>
      <c r="Q2" s="727" t="s">
        <v>500</v>
      </c>
      <c r="R2" s="727" t="s">
        <v>501</v>
      </c>
      <c r="S2" s="727" t="s">
        <v>502</v>
      </c>
    </row>
    <row r="3" spans="1:19">
      <c r="A3" s="728" t="str">
        <f>INDEX($Q3:$S3,1,MATCH('Чарти 5-7'!$B$1,$Q$2:$S$2,0))</f>
        <v>Обсяги інтервенцій за місяцями</v>
      </c>
      <c r="B3" s="729">
        <v>-1313.5</v>
      </c>
      <c r="C3" s="729">
        <v>-357.8</v>
      </c>
      <c r="D3" s="729">
        <v>-1728</v>
      </c>
      <c r="E3" s="729">
        <v>-2201</v>
      </c>
      <c r="F3" s="729">
        <v>-3354.2</v>
      </c>
      <c r="G3" s="729">
        <v>-3956.3</v>
      </c>
      <c r="H3" s="729">
        <v>-1195</v>
      </c>
      <c r="I3" s="729">
        <v>-1329.7</v>
      </c>
      <c r="J3" s="729">
        <v>-2737.7</v>
      </c>
      <c r="K3" s="729">
        <v>-2718.1674550207213</v>
      </c>
      <c r="L3" s="729">
        <v>-1545.8769760056684</v>
      </c>
      <c r="M3" s="729">
        <v>-2001.1408585100389</v>
      </c>
      <c r="N3" s="729">
        <v>-24438.385289536429</v>
      </c>
      <c r="Q3" s="727" t="s">
        <v>1648</v>
      </c>
      <c r="R3" s="727" t="s">
        <v>1649</v>
      </c>
      <c r="S3" s="727" t="s">
        <v>1650</v>
      </c>
    </row>
    <row r="4" spans="1:19">
      <c r="A4" s="728" t="str">
        <f>INDEX($Q4:$S4,1,MATCH('Чарти 5-7'!$B$1,$Q$2:$S$2,0))</f>
        <v>Сальдо платіжного балансу</v>
      </c>
      <c r="B4" s="729">
        <v>-1762</v>
      </c>
      <c r="C4" s="729">
        <v>-1658</v>
      </c>
      <c r="D4" s="729">
        <v>679</v>
      </c>
      <c r="E4" s="729">
        <v>-867</v>
      </c>
      <c r="F4" s="729">
        <v>-1921</v>
      </c>
      <c r="G4" s="729">
        <v>-2220</v>
      </c>
      <c r="H4" s="729">
        <v>-299</v>
      </c>
      <c r="I4" s="729">
        <v>3105</v>
      </c>
      <c r="J4" s="729">
        <v>-1375</v>
      </c>
      <c r="K4" s="729">
        <v>752.31773977477394</v>
      </c>
      <c r="L4" s="729">
        <v>3110.6275413402882</v>
      </c>
      <c r="M4" s="729">
        <v>-562.47335851003891</v>
      </c>
      <c r="N4" s="729">
        <v>-3017.5280773949767</v>
      </c>
      <c r="Q4" s="727" t="s">
        <v>1651</v>
      </c>
      <c r="R4" s="727" t="s">
        <v>1652</v>
      </c>
      <c r="S4" s="727" t="s">
        <v>1653</v>
      </c>
    </row>
    <row r="5" spans="1:19">
      <c r="A5" s="728" t="str">
        <f>INDEX($Q5:$S5,1,MATCH('Чарти 5-7'!$B$1,$Q$2:$S$2,0))</f>
        <v>Сальдо операцій приватного сект.</v>
      </c>
      <c r="B5" s="729">
        <v>-1336</v>
      </c>
      <c r="C5" s="729">
        <v>-1281</v>
      </c>
      <c r="D5" s="729">
        <v>-2197</v>
      </c>
      <c r="E5" s="729">
        <v>-2498</v>
      </c>
      <c r="F5" s="729">
        <v>-3519</v>
      </c>
      <c r="G5" s="729">
        <v>-5342</v>
      </c>
      <c r="H5" s="729">
        <v>-2993</v>
      </c>
      <c r="I5" s="729">
        <v>-1474</v>
      </c>
      <c r="J5" s="729">
        <v>-2695</v>
      </c>
      <c r="K5" s="729">
        <v>-2773.640260225226</v>
      </c>
      <c r="L5" s="729">
        <v>-1515.5656627506553</v>
      </c>
      <c r="M5" s="729">
        <v>-2001.1408585100389</v>
      </c>
      <c r="N5" s="729">
        <v>-29625.346781485921</v>
      </c>
      <c r="Q5" s="727" t="s">
        <v>1654</v>
      </c>
      <c r="R5" s="727" t="s">
        <v>1655</v>
      </c>
      <c r="S5" s="727" t="s">
        <v>1656</v>
      </c>
    </row>
    <row r="6" spans="1:19">
      <c r="A6" s="728" t="str">
        <f>INDEX($Q6:$S6,1,MATCH('Чарти 5-7'!$B$1,$Q$2:$S$2,0))</f>
        <v>Обсяг ЗВР</v>
      </c>
      <c r="B6" s="729">
        <v>29086.959999999999</v>
      </c>
      <c r="C6" s="729">
        <v>27552.86</v>
      </c>
      <c r="D6" s="729">
        <v>28107.45</v>
      </c>
      <c r="E6" s="729">
        <v>26945</v>
      </c>
      <c r="F6" s="729">
        <v>25102</v>
      </c>
      <c r="G6" s="729">
        <v>22802</v>
      </c>
      <c r="H6" s="729">
        <v>22387</v>
      </c>
      <c r="I6" s="729">
        <v>25439</v>
      </c>
      <c r="J6" s="729">
        <v>23932</v>
      </c>
      <c r="K6" s="729">
        <v>24739.790544979278</v>
      </c>
      <c r="L6" s="729">
        <v>27720.106773064555</v>
      </c>
      <c r="M6" s="729">
        <v>27157.633414554515</v>
      </c>
      <c r="N6" s="729"/>
      <c r="Q6" s="727" t="s">
        <v>1657</v>
      </c>
      <c r="R6" s="727" t="s">
        <v>1658</v>
      </c>
      <c r="S6" s="727" t="s">
        <v>1659</v>
      </c>
    </row>
    <row r="10" spans="1:19">
      <c r="A10" s="725"/>
      <c r="B10" s="945">
        <v>2023</v>
      </c>
      <c r="C10" s="945"/>
      <c r="D10" s="945"/>
      <c r="E10" s="945"/>
      <c r="F10" s="945"/>
      <c r="G10" s="945"/>
      <c r="H10" s="945"/>
      <c r="I10" s="945"/>
      <c r="J10" s="945"/>
      <c r="K10" s="945"/>
      <c r="L10" s="945"/>
      <c r="M10" s="945"/>
      <c r="N10" s="945" t="s">
        <v>1660</v>
      </c>
    </row>
    <row r="11" spans="1:19">
      <c r="A11" s="725"/>
      <c r="B11" s="725">
        <v>1</v>
      </c>
      <c r="C11" s="725">
        <v>2</v>
      </c>
      <c r="D11" s="725">
        <v>3</v>
      </c>
      <c r="E11" s="725">
        <v>4</v>
      </c>
      <c r="F11" s="725">
        <v>5</v>
      </c>
      <c r="G11" s="725">
        <v>6</v>
      </c>
      <c r="H11" s="725">
        <v>7</v>
      </c>
      <c r="I11" s="725">
        <v>8</v>
      </c>
      <c r="J11" s="725">
        <v>9</v>
      </c>
      <c r="K11" s="725">
        <v>10</v>
      </c>
      <c r="L11" s="725">
        <v>11</v>
      </c>
      <c r="M11" s="725">
        <v>12</v>
      </c>
      <c r="N11" s="945"/>
    </row>
    <row r="12" spans="1:19">
      <c r="A12" s="728" t="str">
        <f>INDEX($Q3:$S3,1,MATCH('[35]Чарти 6-19'!$B$1,$Q$2:$S$2,0))</f>
        <v>Объемы интервенций по месяцам</v>
      </c>
      <c r="B12" s="729">
        <v>-2433.4522817721368</v>
      </c>
      <c r="C12" s="729">
        <v>-1630.8141306489006</v>
      </c>
      <c r="D12" s="729">
        <v>-2338.1902821028239</v>
      </c>
      <c r="E12" s="729">
        <v>-1168.4301578433767</v>
      </c>
      <c r="F12" s="729">
        <v>-1363.7819256903535</v>
      </c>
      <c r="G12" s="729">
        <v>-2636.0858370386914</v>
      </c>
      <c r="H12" s="729">
        <v>-1469.2752498019083</v>
      </c>
      <c r="I12" s="729">
        <v>-1363.0926801135977</v>
      </c>
      <c r="J12" s="729">
        <v>-1575.9285739228806</v>
      </c>
      <c r="K12" s="729">
        <v>-1275.1801271101278</v>
      </c>
      <c r="L12" s="729">
        <v>-1408.2439133804901</v>
      </c>
      <c r="M12" s="729">
        <v>-1904.4017850017035</v>
      </c>
      <c r="N12" s="729">
        <v>-20566.876944426993</v>
      </c>
    </row>
    <row r="13" spans="1:19">
      <c r="A13" s="728" t="str">
        <f>INDEX($Q4:$S4,1,MATCH('[35]Чарти 6-19'!$B$1,$Q$2:$S$2,0))</f>
        <v>Сальдо платежного баланса</v>
      </c>
      <c r="B13" s="729">
        <v>63.001807451405512</v>
      </c>
      <c r="C13" s="729">
        <v>663.43577253040542</v>
      </c>
      <c r="D13" s="729">
        <v>-634.04522639516881</v>
      </c>
      <c r="E13" s="729">
        <v>1187.8815420046367</v>
      </c>
      <c r="F13" s="729">
        <v>932.60056216571377</v>
      </c>
      <c r="G13" s="729">
        <v>-375.03239288283305</v>
      </c>
      <c r="H13" s="729">
        <v>1005.0750262238237</v>
      </c>
      <c r="I13" s="729">
        <v>958.00962420029293</v>
      </c>
      <c r="J13" s="729">
        <v>343.02189053171946</v>
      </c>
      <c r="K13" s="729">
        <v>1192.65568329188</v>
      </c>
      <c r="L13" s="729">
        <v>798.6169856299648</v>
      </c>
      <c r="M13" s="729">
        <v>738.37904210346983</v>
      </c>
      <c r="N13" s="729">
        <v>6873.6003168553098</v>
      </c>
    </row>
    <row r="14" spans="1:19">
      <c r="A14" s="728" t="str">
        <f>INDEX($Q5:$S5,1,MATCH('[35]Чарти 6-19'!$B$1,$Q$2:$S$2,0))</f>
        <v>Сальдо операций частного сект.</v>
      </c>
      <c r="B14" s="729">
        <v>-2508.7136925485947</v>
      </c>
      <c r="C14" s="729">
        <v>-1553.1563149037147</v>
      </c>
      <c r="D14" s="729">
        <v>-2461.2529285292885</v>
      </c>
      <c r="E14" s="729">
        <v>-1229.9264819403966</v>
      </c>
      <c r="F14" s="729">
        <v>-1435.5599217793197</v>
      </c>
      <c r="G14" s="729">
        <v>-2774.8271968828331</v>
      </c>
      <c r="H14" s="729">
        <v>-1399.3097617161031</v>
      </c>
      <c r="I14" s="729">
        <v>-1239.1751637396342</v>
      </c>
      <c r="J14" s="729">
        <v>-1313.2738116024004</v>
      </c>
      <c r="K14" s="729">
        <v>-1342.2948706422399</v>
      </c>
      <c r="L14" s="729">
        <v>-1482.3620140847265</v>
      </c>
      <c r="M14" s="729">
        <v>-2004.63345789653</v>
      </c>
      <c r="N14" s="729">
        <v>-20744.485616265782</v>
      </c>
    </row>
    <row r="15" spans="1:19">
      <c r="A15" s="728" t="str">
        <f>INDEX($Q6:$S6,1,MATCH('[35]Чарти 6-19'!$B$1,$Q$2:$S$2,0))</f>
        <v>Объем ЗВР</v>
      </c>
      <c r="B15" s="729">
        <v>27365.753986850548</v>
      </c>
      <c r="C15" s="729">
        <v>27951.531943635768</v>
      </c>
      <c r="D15" s="729">
        <v>27440.549363667065</v>
      </c>
      <c r="E15" s="729">
        <v>28689.92722976872</v>
      </c>
      <c r="F15" s="729">
        <v>29694.305788023401</v>
      </c>
      <c r="G15" s="729">
        <v>29458.01475498471</v>
      </c>
      <c r="H15" s="729">
        <v>30393.124293122728</v>
      </c>
      <c r="I15" s="729">
        <v>31227.216400949059</v>
      </c>
      <c r="J15" s="729">
        <v>31307.5835291603</v>
      </c>
      <c r="K15" s="729">
        <v>32567.35395598429</v>
      </c>
      <c r="L15" s="729">
        <v>33440.08904231849</v>
      </c>
      <c r="M15" s="729">
        <v>34278.699757316783</v>
      </c>
      <c r="N15" s="729"/>
    </row>
    <row r="19" spans="1:14">
      <c r="A19" s="725"/>
      <c r="B19" s="945">
        <v>2023</v>
      </c>
      <c r="C19" s="945"/>
      <c r="D19" s="945"/>
      <c r="E19" s="945"/>
      <c r="F19" s="945"/>
      <c r="G19" s="945"/>
      <c r="H19" s="945"/>
      <c r="I19" s="945"/>
      <c r="J19" s="945"/>
      <c r="K19" s="945"/>
      <c r="L19" s="945"/>
      <c r="M19" s="945"/>
      <c r="N19" s="945" t="s">
        <v>1660</v>
      </c>
    </row>
    <row r="20" spans="1:14">
      <c r="A20" s="725"/>
      <c r="B20" s="725">
        <v>1</v>
      </c>
      <c r="C20" s="725">
        <v>2</v>
      </c>
      <c r="D20" s="725">
        <v>3</v>
      </c>
      <c r="E20" s="725">
        <v>4</v>
      </c>
      <c r="F20" s="725">
        <v>5</v>
      </c>
      <c r="G20" s="725">
        <v>6</v>
      </c>
      <c r="H20" s="725">
        <v>7</v>
      </c>
      <c r="I20" s="725">
        <v>8</v>
      </c>
      <c r="J20" s="725">
        <v>9</v>
      </c>
      <c r="K20" s="725">
        <v>10</v>
      </c>
      <c r="L20" s="725">
        <v>11</v>
      </c>
      <c r="M20" s="725">
        <v>12</v>
      </c>
      <c r="N20" s="945"/>
    </row>
    <row r="21" spans="1:14">
      <c r="A21" s="728" t="str">
        <f>INDEX($Q3:$S3,1,MATCH('[35]Чарти 6-19'!$B$1,$Q$2:$S$2,0))</f>
        <v>Объемы интервенций по месяцам</v>
      </c>
      <c r="B21" s="729">
        <v>-3892.6300275514668</v>
      </c>
      <c r="C21" s="729">
        <v>-2540.7602345268106</v>
      </c>
      <c r="D21" s="729">
        <v>-4843.0303094676401</v>
      </c>
      <c r="E21" s="729">
        <v>-1690.6078122969834</v>
      </c>
      <c r="F21" s="729">
        <v>-1314.6676242016169</v>
      </c>
      <c r="G21" s="729">
        <v>-3620.3374983067451</v>
      </c>
      <c r="H21" s="729">
        <v>-1574.8075254464584</v>
      </c>
      <c r="I21" s="729">
        <v>-809.04716231417069</v>
      </c>
      <c r="J21" s="729">
        <v>-1133.436004276992</v>
      </c>
      <c r="K21" s="729">
        <v>-1271.9336567906691</v>
      </c>
      <c r="L21" s="729">
        <v>-2247.6746671575484</v>
      </c>
      <c r="M21" s="729">
        <v>-3425.121616278238</v>
      </c>
      <c r="N21" s="729">
        <v>-28364.054138615335</v>
      </c>
    </row>
    <row r="22" spans="1:14">
      <c r="A22" s="728" t="str">
        <f>INDEX($Q4:$S4,1,MATCH('[35]Чарти 6-19'!$B$1,$Q$2:$S$2,0))</f>
        <v>Сальдо платежного баланса</v>
      </c>
      <c r="B22" s="729">
        <v>-1135.5511929061588</v>
      </c>
      <c r="C22" s="729">
        <v>-203.17956449617554</v>
      </c>
      <c r="D22" s="729">
        <v>-2785.202116406489</v>
      </c>
      <c r="E22" s="729">
        <v>807.70534556695384</v>
      </c>
      <c r="F22" s="729">
        <v>1116.0960799434934</v>
      </c>
      <c r="G22" s="729">
        <v>-1048.1456705778523</v>
      </c>
      <c r="H22" s="729">
        <v>904.56809703853787</v>
      </c>
      <c r="I22" s="729">
        <v>1426.6636809740503</v>
      </c>
      <c r="J22" s="729">
        <v>576.83284091793723</v>
      </c>
      <c r="K22" s="729">
        <v>1323.5851665144351</v>
      </c>
      <c r="L22" s="729">
        <v>140.33645956464534</v>
      </c>
      <c r="M22" s="729">
        <v>-519.00808693165504</v>
      </c>
      <c r="N22" s="729">
        <v>604.7010392017221</v>
      </c>
    </row>
    <row r="23" spans="1:14">
      <c r="A23" s="728" t="str">
        <f>INDEX($Q5:$S5,1,MATCH('[35]Чарти 6-19'!$B$1,$Q$2:$S$2,0))</f>
        <v>Сальдо операций частного сект.</v>
      </c>
      <c r="B23" s="729">
        <v>-3707.2666929061588</v>
      </c>
      <c r="C23" s="729">
        <v>-2419.7716519302958</v>
      </c>
      <c r="D23" s="729">
        <v>-4612.4098185406092</v>
      </c>
      <c r="E23" s="729">
        <v>-1610.1026783780794</v>
      </c>
      <c r="F23" s="729">
        <v>-1252.06440400154</v>
      </c>
      <c r="G23" s="729">
        <v>-3447.9404745778525</v>
      </c>
      <c r="H23" s="729">
        <v>-1499.8166909013889</v>
      </c>
      <c r="I23" s="729">
        <v>-770.52110696587681</v>
      </c>
      <c r="J23" s="729">
        <v>-1079.4628612161828</v>
      </c>
      <c r="K23" s="729">
        <v>-1211.3653874196848</v>
      </c>
      <c r="L23" s="729">
        <v>-2140.642540150046</v>
      </c>
      <c r="M23" s="729">
        <v>-3262.0205869316551</v>
      </c>
      <c r="N23" s="729">
        <v>-27013.38489391937</v>
      </c>
    </row>
    <row r="24" spans="1:14">
      <c r="A24" s="728" t="str">
        <f>INDEX($Q6:$S6,1,MATCH('[35]Чарти 6-19'!$B$1,$Q$2:$S$2,0))</f>
        <v>Объем ЗВР</v>
      </c>
      <c r="B24" s="729">
        <v>26125.971021214704</v>
      </c>
      <c r="C24" s="729">
        <v>25801.802874122015</v>
      </c>
      <c r="D24" s="729">
        <v>22785.980266788498</v>
      </c>
      <c r="E24" s="729">
        <v>23513.180478436545</v>
      </c>
      <c r="F24" s="729">
        <v>24566.67333817996</v>
      </c>
      <c r="G24" s="729">
        <v>23346.130643873217</v>
      </c>
      <c r="H24" s="729">
        <v>24175.707906366682</v>
      </c>
      <c r="I24" s="729">
        <v>25563.84553199244</v>
      </c>
      <c r="J24" s="729">
        <v>26086.705229849569</v>
      </c>
      <c r="K24" s="729">
        <v>27349.72212699302</v>
      </c>
      <c r="L24" s="729">
        <v>27383.026459550161</v>
      </c>
      <c r="M24" s="729">
        <v>26700.917343271925</v>
      </c>
      <c r="N24" s="729"/>
    </row>
  </sheetData>
  <mergeCells count="6">
    <mergeCell ref="B1:M1"/>
    <mergeCell ref="N1:N2"/>
    <mergeCell ref="B10:M10"/>
    <mergeCell ref="N10:N11"/>
    <mergeCell ref="B19:M19"/>
    <mergeCell ref="N19:N2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sheetPr>
  <dimension ref="A1:ED269"/>
  <sheetViews>
    <sheetView zoomScale="85" zoomScaleNormal="85" workbookViewId="0">
      <pane xSplit="2" ySplit="1" topLeftCell="Q2" activePane="bottomRight" state="frozen"/>
      <selection pane="topRight" activeCell="C1" sqref="C1"/>
      <selection pane="bottomLeft" activeCell="A2" sqref="A2"/>
      <selection pane="bottomRight" activeCell="Y13" sqref="Y13"/>
    </sheetView>
  </sheetViews>
  <sheetFormatPr defaultColWidth="8.796875" defaultRowHeight="12.75"/>
  <cols>
    <col min="1" max="1" width="7.296875" style="621" customWidth="1"/>
    <col min="2" max="2" width="40.59765625" style="676" customWidth="1"/>
    <col min="3" max="11" width="8.796875" style="621"/>
    <col min="12" max="12" width="7.8984375" style="621" bestFit="1" customWidth="1"/>
    <col min="13" max="16384" width="8.796875" style="621"/>
  </cols>
  <sheetData>
    <row r="1" spans="1:34" ht="15.75">
      <c r="C1" s="677">
        <v>44562</v>
      </c>
      <c r="D1" s="677">
        <v>44593</v>
      </c>
      <c r="E1" s="677">
        <v>44621</v>
      </c>
      <c r="F1" s="677">
        <v>44652</v>
      </c>
      <c r="G1" s="677">
        <v>44682</v>
      </c>
      <c r="H1" s="677">
        <v>44713</v>
      </c>
      <c r="I1" s="677">
        <v>44743</v>
      </c>
      <c r="J1" s="677">
        <v>44774</v>
      </c>
      <c r="K1" s="677">
        <v>44805</v>
      </c>
      <c r="L1" s="677">
        <v>44835</v>
      </c>
      <c r="M1" s="677">
        <v>44866</v>
      </c>
      <c r="N1" s="677">
        <v>44896</v>
      </c>
      <c r="O1" s="820">
        <v>44927</v>
      </c>
      <c r="P1" s="820">
        <v>44958</v>
      </c>
      <c r="Q1" s="820">
        <v>44986</v>
      </c>
      <c r="R1" s="820">
        <v>45017</v>
      </c>
      <c r="S1" s="820">
        <v>45047</v>
      </c>
      <c r="T1" s="820">
        <v>45078</v>
      </c>
      <c r="U1" s="820">
        <v>45108</v>
      </c>
      <c r="V1" s="820">
        <v>45139</v>
      </c>
      <c r="W1" s="820">
        <v>45170</v>
      </c>
      <c r="X1" s="820">
        <v>45200</v>
      </c>
      <c r="Y1" s="820">
        <v>45231</v>
      </c>
      <c r="Z1" s="820">
        <v>45261</v>
      </c>
      <c r="AC1" s="678" t="s">
        <v>1555</v>
      </c>
    </row>
    <row r="2" spans="1:34" ht="29.25" customHeight="1">
      <c r="A2" s="946" t="s">
        <v>1556</v>
      </c>
      <c r="B2" s="946"/>
      <c r="C2" s="679">
        <v>10</v>
      </c>
      <c r="D2" s="679">
        <v>10.7</v>
      </c>
      <c r="E2" s="679">
        <v>13.7</v>
      </c>
      <c r="F2" s="679">
        <v>16.399999999999999</v>
      </c>
      <c r="G2" s="679">
        <v>18</v>
      </c>
      <c r="H2" s="679">
        <v>21.5</v>
      </c>
      <c r="I2" s="679">
        <v>22.2</v>
      </c>
      <c r="J2" s="679">
        <v>23.8</v>
      </c>
      <c r="K2" s="679">
        <v>24.6</v>
      </c>
      <c r="L2" s="679">
        <v>26.6</v>
      </c>
      <c r="M2" s="679">
        <v>26.5</v>
      </c>
      <c r="N2" s="679">
        <v>26.6</v>
      </c>
      <c r="O2" s="679">
        <v>26</v>
      </c>
      <c r="P2" s="679">
        <v>24.9</v>
      </c>
      <c r="Q2" s="679">
        <v>21.3</v>
      </c>
      <c r="R2" s="679">
        <v>17.899999999999999</v>
      </c>
      <c r="S2" s="824">
        <v>15.3</v>
      </c>
      <c r="T2" s="824">
        <v>12.8</v>
      </c>
      <c r="U2" s="824">
        <v>11.3</v>
      </c>
      <c r="V2" s="824">
        <v>8.6</v>
      </c>
      <c r="W2" s="824">
        <v>7.0999999999999943</v>
      </c>
      <c r="X2" s="824">
        <v>5.3</v>
      </c>
      <c r="Y2" s="907">
        <v>5.0999999999999996</v>
      </c>
    </row>
    <row r="3" spans="1:34" ht="18">
      <c r="A3" s="947" t="s">
        <v>1557</v>
      </c>
      <c r="B3" s="680" t="s">
        <v>517</v>
      </c>
      <c r="C3" s="681">
        <v>14</v>
      </c>
      <c r="D3" s="681">
        <v>14.3</v>
      </c>
      <c r="E3" s="681">
        <v>18.899999999999999</v>
      </c>
      <c r="F3" s="681">
        <v>22.4</v>
      </c>
      <c r="G3" s="681">
        <v>23.6</v>
      </c>
      <c r="H3" s="681">
        <v>27.7</v>
      </c>
      <c r="I3" s="681">
        <v>28.9</v>
      </c>
      <c r="J3" s="681">
        <v>30.7</v>
      </c>
      <c r="K3" s="681">
        <v>31.7</v>
      </c>
      <c r="L3" s="681">
        <v>35.700000000000003</v>
      </c>
      <c r="M3" s="681">
        <v>35.1</v>
      </c>
      <c r="N3" s="681">
        <v>34.4</v>
      </c>
      <c r="O3" s="681">
        <v>33</v>
      </c>
      <c r="P3" s="681">
        <v>31.8</v>
      </c>
      <c r="Q3" s="681">
        <v>26.8</v>
      </c>
      <c r="R3" s="681">
        <v>22.2</v>
      </c>
      <c r="S3" s="827">
        <v>20.100000000000001</v>
      </c>
      <c r="T3" s="827">
        <v>16.5</v>
      </c>
      <c r="U3" s="827">
        <v>13.3</v>
      </c>
      <c r="V3" s="827">
        <v>8.4</v>
      </c>
      <c r="W3" s="827">
        <v>5.7999999999999972</v>
      </c>
      <c r="X3" s="827">
        <v>2.6</v>
      </c>
      <c r="Y3" s="908">
        <v>2.8</v>
      </c>
      <c r="AB3" s="682">
        <v>1.05</v>
      </c>
      <c r="AC3" s="644">
        <v>0.435551857324664</v>
      </c>
      <c r="AD3" s="681">
        <v>1</v>
      </c>
      <c r="AE3" s="880">
        <f>AC3*V3/100</f>
        <v>3.6586356015271777E-2</v>
      </c>
    </row>
    <row r="4" spans="1:34" ht="18">
      <c r="A4" s="947"/>
      <c r="B4" s="680" t="s">
        <v>886</v>
      </c>
      <c r="C4" s="681">
        <v>9.3000000000000007</v>
      </c>
      <c r="D4" s="681">
        <v>9.1999999999999993</v>
      </c>
      <c r="E4" s="681">
        <v>9.8000000000000007</v>
      </c>
      <c r="F4" s="681">
        <v>14.1</v>
      </c>
      <c r="G4" s="681">
        <v>17.7</v>
      </c>
      <c r="H4" s="681">
        <v>19.3</v>
      </c>
      <c r="I4" s="681">
        <v>19.899999999999999</v>
      </c>
      <c r="J4" s="681">
        <v>20.9</v>
      </c>
      <c r="K4" s="681">
        <v>21.2</v>
      </c>
      <c r="L4" s="681">
        <v>21.6</v>
      </c>
      <c r="M4" s="681">
        <v>22.1</v>
      </c>
      <c r="N4" s="681">
        <v>22.7</v>
      </c>
      <c r="O4" s="681">
        <v>22.5</v>
      </c>
      <c r="P4" s="681">
        <v>22.4</v>
      </c>
      <c r="Q4" s="681">
        <v>22.1</v>
      </c>
      <c r="R4" s="681">
        <v>17.600000000000001</v>
      </c>
      <c r="S4" s="827">
        <v>14.6</v>
      </c>
      <c r="T4" s="827">
        <v>12.8</v>
      </c>
      <c r="U4" s="827">
        <v>12.5</v>
      </c>
      <c r="V4" s="827">
        <v>12</v>
      </c>
      <c r="W4" s="827">
        <v>11.599999999999994</v>
      </c>
      <c r="X4" s="827">
        <v>11</v>
      </c>
      <c r="Y4" s="908">
        <v>10.199999999999999</v>
      </c>
      <c r="AB4" s="682">
        <v>1.02</v>
      </c>
      <c r="AC4" s="644">
        <v>8.2030630245624583E-2</v>
      </c>
      <c r="AD4" s="681">
        <v>2</v>
      </c>
      <c r="AE4" s="880">
        <f t="shared" ref="AE4:AE14" si="0">AC4*V4/100</f>
        <v>9.843675629474951E-3</v>
      </c>
    </row>
    <row r="5" spans="1:34" ht="18">
      <c r="A5" s="947"/>
      <c r="B5" s="680" t="s">
        <v>924</v>
      </c>
      <c r="C5" s="681">
        <v>-5.3</v>
      </c>
      <c r="D5" s="681">
        <v>-5.9</v>
      </c>
      <c r="E5" s="681">
        <v>-5.7</v>
      </c>
      <c r="F5" s="681">
        <v>-6.1</v>
      </c>
      <c r="G5" s="681">
        <v>-5.7</v>
      </c>
      <c r="H5" s="681">
        <v>-4.3</v>
      </c>
      <c r="I5" s="681">
        <v>-2.6</v>
      </c>
      <c r="J5" s="681">
        <v>-1.6</v>
      </c>
      <c r="K5" s="683">
        <v>0.1</v>
      </c>
      <c r="L5" s="683">
        <v>0.8</v>
      </c>
      <c r="M5" s="683">
        <v>1.3</v>
      </c>
      <c r="N5" s="683">
        <v>2.4</v>
      </c>
      <c r="O5" s="683">
        <v>3</v>
      </c>
      <c r="P5" s="683">
        <v>4.0999999999999996</v>
      </c>
      <c r="Q5" s="683">
        <v>3.6</v>
      </c>
      <c r="R5" s="683">
        <v>3.5</v>
      </c>
      <c r="S5" s="827">
        <v>2.1</v>
      </c>
      <c r="T5" s="827">
        <v>0.4</v>
      </c>
      <c r="U5" s="827">
        <v>-0.9</v>
      </c>
      <c r="V5" s="827">
        <v>-1.2</v>
      </c>
      <c r="W5" s="827">
        <v>-3</v>
      </c>
      <c r="X5" s="827">
        <v>-4.2</v>
      </c>
      <c r="Y5" s="908">
        <v>-5.5</v>
      </c>
      <c r="AB5" s="682">
        <v>3</v>
      </c>
      <c r="AC5" s="644">
        <v>4.993779962547875E-2</v>
      </c>
      <c r="AD5" s="681">
        <v>3</v>
      </c>
      <c r="AE5" s="880">
        <f t="shared" si="0"/>
        <v>-5.9925359550574498E-4</v>
      </c>
    </row>
    <row r="6" spans="1:34" ht="18">
      <c r="A6" s="947"/>
      <c r="B6" s="680" t="s">
        <v>1062</v>
      </c>
      <c r="C6" s="681">
        <v>4.3</v>
      </c>
      <c r="D6" s="681">
        <v>6.4</v>
      </c>
      <c r="E6" s="681">
        <v>6.9</v>
      </c>
      <c r="F6" s="681">
        <v>7.2</v>
      </c>
      <c r="G6" s="681">
        <v>3.5</v>
      </c>
      <c r="H6" s="681">
        <v>3.8</v>
      </c>
      <c r="I6" s="681">
        <v>3.6</v>
      </c>
      <c r="J6" s="681">
        <v>3.9</v>
      </c>
      <c r="K6" s="681">
        <v>4.3</v>
      </c>
      <c r="L6" s="681">
        <v>5.5</v>
      </c>
      <c r="M6" s="681">
        <v>5.7</v>
      </c>
      <c r="N6" s="681">
        <v>6</v>
      </c>
      <c r="O6" s="681">
        <v>5.3</v>
      </c>
      <c r="P6" s="681">
        <v>5.2</v>
      </c>
      <c r="Q6" s="681">
        <v>4.5999999999999996</v>
      </c>
      <c r="R6" s="681">
        <v>4</v>
      </c>
      <c r="S6" s="827">
        <v>3.6</v>
      </c>
      <c r="T6" s="827">
        <v>15.2</v>
      </c>
      <c r="U6" s="827">
        <v>14.7</v>
      </c>
      <c r="V6" s="827">
        <v>14.2</v>
      </c>
      <c r="W6" s="827">
        <v>13.200000000000003</v>
      </c>
      <c r="X6" s="827">
        <v>13.1</v>
      </c>
      <c r="Y6" s="908">
        <v>13</v>
      </c>
      <c r="AB6" s="682">
        <v>1.02</v>
      </c>
      <c r="AC6" s="654">
        <v>8.442405392683909E-2</v>
      </c>
      <c r="AD6" s="681">
        <v>4</v>
      </c>
      <c r="AE6" s="880">
        <f t="shared" si="0"/>
        <v>1.198821565761115E-2</v>
      </c>
      <c r="AF6" s="880">
        <f>AG6*AC6</f>
        <v>7.4866613859649767E-2</v>
      </c>
      <c r="AG6" s="885">
        <f>5/2.65-1</f>
        <v>0.8867924528301887</v>
      </c>
      <c r="AH6" s="885">
        <f>14/9-1</f>
        <v>0.55555555555555558</v>
      </c>
    </row>
    <row r="7" spans="1:34" ht="31.5">
      <c r="A7" s="947"/>
      <c r="B7" s="680" t="s">
        <v>1141</v>
      </c>
      <c r="C7" s="681">
        <v>3.9</v>
      </c>
      <c r="D7" s="681">
        <v>4.0999999999999996</v>
      </c>
      <c r="E7" s="681">
        <v>6.6</v>
      </c>
      <c r="F7" s="681">
        <v>10.6</v>
      </c>
      <c r="G7" s="681">
        <v>12</v>
      </c>
      <c r="H7" s="681">
        <v>14.1</v>
      </c>
      <c r="I7" s="681">
        <v>16.2</v>
      </c>
      <c r="J7" s="681">
        <v>21.6</v>
      </c>
      <c r="K7" s="681">
        <v>24.4</v>
      </c>
      <c r="L7" s="681">
        <v>25.7</v>
      </c>
      <c r="M7" s="681">
        <v>26.4</v>
      </c>
      <c r="N7" s="681">
        <v>26.5</v>
      </c>
      <c r="O7" s="681">
        <v>27.8</v>
      </c>
      <c r="P7" s="681">
        <v>27.9</v>
      </c>
      <c r="Q7" s="681">
        <v>24.9</v>
      </c>
      <c r="R7" s="681">
        <v>20.100000000000001</v>
      </c>
      <c r="S7" s="827">
        <v>18.5</v>
      </c>
      <c r="T7" s="827">
        <v>15.1</v>
      </c>
      <c r="U7" s="827">
        <v>12.7</v>
      </c>
      <c r="V7" s="827">
        <v>7</v>
      </c>
      <c r="W7" s="827">
        <v>4.4000000000000057</v>
      </c>
      <c r="X7" s="827">
        <v>2.5</v>
      </c>
      <c r="Y7" s="908">
        <v>1.2</v>
      </c>
      <c r="AB7" s="682">
        <v>1.1000000000000001</v>
      </c>
      <c r="AC7" s="654">
        <v>4.4788038232974225E-2</v>
      </c>
      <c r="AD7" s="681">
        <v>5</v>
      </c>
      <c r="AE7" s="880">
        <f t="shared" si="0"/>
        <v>3.1351626763081956E-3</v>
      </c>
    </row>
    <row r="8" spans="1:34" ht="18">
      <c r="A8" s="947"/>
      <c r="B8" s="680" t="s">
        <v>1239</v>
      </c>
      <c r="C8" s="681">
        <v>6.2</v>
      </c>
      <c r="D8" s="681">
        <v>6.9</v>
      </c>
      <c r="E8" s="681">
        <v>12.1</v>
      </c>
      <c r="F8" s="681">
        <v>14.7</v>
      </c>
      <c r="G8" s="681">
        <v>13.1</v>
      </c>
      <c r="H8" s="681">
        <v>13.2</v>
      </c>
      <c r="I8" s="681">
        <v>13.6</v>
      </c>
      <c r="J8" s="681">
        <v>16.899999999999999</v>
      </c>
      <c r="K8" s="681">
        <v>18.600000000000001</v>
      </c>
      <c r="L8" s="681">
        <v>18.8</v>
      </c>
      <c r="M8" s="681">
        <v>19.3</v>
      </c>
      <c r="N8" s="681">
        <v>19.899999999999999</v>
      </c>
      <c r="O8" s="681">
        <v>20.7</v>
      </c>
      <c r="P8" s="681">
        <v>20.2</v>
      </c>
      <c r="Q8" s="681">
        <v>14.5</v>
      </c>
      <c r="R8" s="681">
        <v>12.1</v>
      </c>
      <c r="S8" s="827">
        <v>14</v>
      </c>
      <c r="T8" s="827">
        <v>13.8</v>
      </c>
      <c r="U8" s="827">
        <v>13.7</v>
      </c>
      <c r="V8" s="827">
        <v>11.1</v>
      </c>
      <c r="W8" s="827">
        <v>9.9000000000000057</v>
      </c>
      <c r="X8" s="827">
        <v>9.1</v>
      </c>
      <c r="Y8" s="908">
        <v>8.6</v>
      </c>
      <c r="AB8" s="682">
        <v>1.05</v>
      </c>
      <c r="AC8" s="654">
        <v>7.1617673272606472E-2</v>
      </c>
      <c r="AD8" s="681">
        <v>6</v>
      </c>
      <c r="AE8" s="880">
        <f t="shared" si="0"/>
        <v>7.9495617332593187E-3</v>
      </c>
    </row>
    <row r="9" spans="1:34" ht="18">
      <c r="A9" s="947"/>
      <c r="B9" s="680" t="s">
        <v>336</v>
      </c>
      <c r="C9" s="681">
        <v>11.4</v>
      </c>
      <c r="D9" s="681">
        <v>13.7</v>
      </c>
      <c r="E9" s="681">
        <v>16.399999999999999</v>
      </c>
      <c r="F9" s="681">
        <v>18.2</v>
      </c>
      <c r="G9" s="681">
        <v>29.3</v>
      </c>
      <c r="H9" s="681">
        <v>42.4</v>
      </c>
      <c r="I9" s="681">
        <v>40.4</v>
      </c>
      <c r="J9" s="681">
        <v>40.4</v>
      </c>
      <c r="K9" s="681">
        <v>41.1</v>
      </c>
      <c r="L9" s="681">
        <v>40.700000000000003</v>
      </c>
      <c r="M9" s="681">
        <v>40.4</v>
      </c>
      <c r="N9" s="681">
        <v>42.9</v>
      </c>
      <c r="O9" s="681">
        <v>41</v>
      </c>
      <c r="P9" s="681">
        <v>33.6</v>
      </c>
      <c r="Q9" s="681">
        <v>27.1</v>
      </c>
      <c r="R9" s="681">
        <v>23.6</v>
      </c>
      <c r="S9" s="827">
        <v>10.9</v>
      </c>
      <c r="T9" s="827">
        <v>-1.1000000000000001</v>
      </c>
      <c r="U9" s="827">
        <v>1.9</v>
      </c>
      <c r="V9" s="827">
        <v>4.2</v>
      </c>
      <c r="W9" s="827">
        <v>6</v>
      </c>
      <c r="X9" s="827">
        <v>6.8</v>
      </c>
      <c r="Y9" s="908">
        <v>6.6</v>
      </c>
      <c r="AB9" s="682">
        <v>1.02</v>
      </c>
      <c r="AC9" s="654">
        <v>9.2507276181345466E-2</v>
      </c>
      <c r="AD9" s="681">
        <v>7</v>
      </c>
      <c r="AE9" s="880">
        <f t="shared" si="0"/>
        <v>3.8853055996165096E-3</v>
      </c>
      <c r="AG9" s="886">
        <f>V6*AC6</f>
        <v>1.198821565761115</v>
      </c>
    </row>
    <row r="10" spans="1:34" ht="18">
      <c r="A10" s="947"/>
      <c r="B10" s="680" t="s">
        <v>1368</v>
      </c>
      <c r="C10" s="681">
        <v>7.5</v>
      </c>
      <c r="D10" s="681">
        <v>7.6</v>
      </c>
      <c r="E10" s="681">
        <v>8.5</v>
      </c>
      <c r="F10" s="681">
        <v>10.3</v>
      </c>
      <c r="G10" s="681">
        <v>9</v>
      </c>
      <c r="H10" s="681">
        <v>10</v>
      </c>
      <c r="I10" s="681">
        <v>12.2</v>
      </c>
      <c r="J10" s="681">
        <v>14</v>
      </c>
      <c r="K10" s="681">
        <v>13.7</v>
      </c>
      <c r="L10" s="681">
        <v>11.8</v>
      </c>
      <c r="M10" s="681">
        <v>12.5</v>
      </c>
      <c r="N10" s="681">
        <v>13.4</v>
      </c>
      <c r="O10" s="681">
        <v>13.3</v>
      </c>
      <c r="P10" s="681">
        <v>13.2</v>
      </c>
      <c r="Q10" s="681">
        <v>13.2</v>
      </c>
      <c r="R10" s="681">
        <v>11.1</v>
      </c>
      <c r="S10" s="827">
        <v>9.8000000000000007</v>
      </c>
      <c r="T10" s="827">
        <v>9.3000000000000007</v>
      </c>
      <c r="U10" s="827">
        <v>7.4</v>
      </c>
      <c r="V10" s="827">
        <v>5.2</v>
      </c>
      <c r="W10" s="827">
        <v>4.5</v>
      </c>
      <c r="X10" s="827">
        <v>4.5</v>
      </c>
      <c r="Y10" s="908">
        <v>2.7</v>
      </c>
      <c r="AB10" s="682">
        <v>1.01</v>
      </c>
      <c r="AC10" s="654">
        <v>2.9698653223396387E-2</v>
      </c>
      <c r="AD10" s="681">
        <v>8</v>
      </c>
      <c r="AE10" s="880">
        <f t="shared" si="0"/>
        <v>1.5443299676166122E-3</v>
      </c>
    </row>
    <row r="11" spans="1:34" ht="18">
      <c r="A11" s="947"/>
      <c r="B11" s="680" t="s">
        <v>1385</v>
      </c>
      <c r="C11" s="681">
        <v>4.4000000000000004</v>
      </c>
      <c r="D11" s="681">
        <v>4.5</v>
      </c>
      <c r="E11" s="681">
        <v>5.6</v>
      </c>
      <c r="F11" s="681">
        <v>8.4</v>
      </c>
      <c r="G11" s="681">
        <v>9.4</v>
      </c>
      <c r="H11" s="681">
        <v>10.199999999999999</v>
      </c>
      <c r="I11" s="681">
        <v>10.8</v>
      </c>
      <c r="J11" s="681">
        <v>13.6</v>
      </c>
      <c r="K11" s="681">
        <v>15.5</v>
      </c>
      <c r="L11" s="681">
        <v>16.5</v>
      </c>
      <c r="M11" s="681">
        <v>16.100000000000001</v>
      </c>
      <c r="N11" s="681">
        <v>15.9</v>
      </c>
      <c r="O11" s="681">
        <v>16.399999999999999</v>
      </c>
      <c r="P11" s="681">
        <v>16.399999999999999</v>
      </c>
      <c r="Q11" s="681">
        <v>14.8</v>
      </c>
      <c r="R11" s="681">
        <v>11.5</v>
      </c>
      <c r="S11" s="827">
        <v>11.1</v>
      </c>
      <c r="T11" s="827">
        <v>9.1</v>
      </c>
      <c r="U11" s="827">
        <v>7.3</v>
      </c>
      <c r="V11" s="827">
        <v>3.7</v>
      </c>
      <c r="W11" s="827">
        <v>2.7999999999999972</v>
      </c>
      <c r="X11" s="827">
        <v>0.6</v>
      </c>
      <c r="Y11" s="908">
        <v>-0.6</v>
      </c>
      <c r="AB11" s="682">
        <v>1.02</v>
      </c>
      <c r="AC11" s="654">
        <v>3.2585383722231707E-2</v>
      </c>
      <c r="AD11" s="681">
        <v>9</v>
      </c>
      <c r="AE11" s="880">
        <f t="shared" si="0"/>
        <v>1.2056591977225731E-3</v>
      </c>
    </row>
    <row r="12" spans="1:34" ht="18">
      <c r="A12" s="947"/>
      <c r="B12" s="680" t="s">
        <v>324</v>
      </c>
      <c r="C12" s="681">
        <v>17.399999999999999</v>
      </c>
      <c r="D12" s="681">
        <v>17</v>
      </c>
      <c r="E12" s="681">
        <v>16.600000000000001</v>
      </c>
      <c r="F12" s="681">
        <v>16.399999999999999</v>
      </c>
      <c r="G12" s="681">
        <v>16.2</v>
      </c>
      <c r="H12" s="681">
        <v>15.9</v>
      </c>
      <c r="I12" s="681">
        <v>16.100000000000001</v>
      </c>
      <c r="J12" s="681">
        <v>16.2</v>
      </c>
      <c r="K12" s="681">
        <v>9.9</v>
      </c>
      <c r="L12" s="681">
        <v>10</v>
      </c>
      <c r="M12" s="681">
        <v>9.9</v>
      </c>
      <c r="N12" s="681">
        <v>9.8000000000000007</v>
      </c>
      <c r="O12" s="681">
        <v>9.3000000000000007</v>
      </c>
      <c r="P12" s="681">
        <v>9.4</v>
      </c>
      <c r="Q12" s="681">
        <v>9.6</v>
      </c>
      <c r="R12" s="681">
        <v>9.6</v>
      </c>
      <c r="S12" s="827">
        <v>9.6</v>
      </c>
      <c r="T12" s="827">
        <v>9.6</v>
      </c>
      <c r="U12" s="827">
        <v>9.9</v>
      </c>
      <c r="V12" s="827">
        <v>9.8000000000000007</v>
      </c>
      <c r="W12" s="827">
        <v>12.700000000000003</v>
      </c>
      <c r="X12" s="827">
        <v>12.7</v>
      </c>
      <c r="Y12" s="908">
        <v>12.7</v>
      </c>
      <c r="AB12" s="682">
        <v>1.02</v>
      </c>
      <c r="AC12" s="654">
        <v>1.3824650341941896E-2</v>
      </c>
      <c r="AD12" s="681">
        <v>10</v>
      </c>
      <c r="AE12" s="880">
        <f t="shared" si="0"/>
        <v>1.354815733510306E-3</v>
      </c>
    </row>
    <row r="13" spans="1:34" ht="18">
      <c r="A13" s="947"/>
      <c r="B13" s="680" t="s">
        <v>1469</v>
      </c>
      <c r="C13" s="681">
        <v>9.6999999999999993</v>
      </c>
      <c r="D13" s="681">
        <v>10.1</v>
      </c>
      <c r="E13" s="681">
        <v>11.1</v>
      </c>
      <c r="F13" s="681">
        <v>12.2</v>
      </c>
      <c r="G13" s="681">
        <v>15.7</v>
      </c>
      <c r="H13" s="681">
        <v>15.9</v>
      </c>
      <c r="I13" s="681">
        <v>16.399999999999999</v>
      </c>
      <c r="J13" s="681">
        <v>17.2</v>
      </c>
      <c r="K13" s="681">
        <v>19.2</v>
      </c>
      <c r="L13" s="681">
        <v>20.2</v>
      </c>
      <c r="M13" s="681">
        <v>21.8</v>
      </c>
      <c r="N13" s="681">
        <v>22.5</v>
      </c>
      <c r="O13" s="681">
        <v>23.4</v>
      </c>
      <c r="P13" s="681">
        <v>23</v>
      </c>
      <c r="Q13" s="681">
        <v>22.3</v>
      </c>
      <c r="R13" s="681">
        <v>21.9</v>
      </c>
      <c r="S13" s="827">
        <v>19.399999999999999</v>
      </c>
      <c r="T13" s="827">
        <v>19.100000000000001</v>
      </c>
      <c r="U13" s="827">
        <v>18.5</v>
      </c>
      <c r="V13" s="827">
        <v>18</v>
      </c>
      <c r="W13" s="827">
        <v>16.900000000000006</v>
      </c>
      <c r="X13" s="827">
        <v>15.4</v>
      </c>
      <c r="Y13" s="908">
        <v>13.8</v>
      </c>
      <c r="AB13" s="682">
        <v>1.04</v>
      </c>
      <c r="AC13" s="654">
        <v>2.4198414107142924E-2</v>
      </c>
      <c r="AD13" s="681">
        <v>11</v>
      </c>
      <c r="AE13" s="880">
        <f t="shared" si="0"/>
        <v>4.3557145392857264E-3</v>
      </c>
    </row>
    <row r="14" spans="1:34" ht="18.75" thickBot="1">
      <c r="A14" s="948"/>
      <c r="B14" s="684" t="s">
        <v>1492</v>
      </c>
      <c r="C14" s="685">
        <v>8.4</v>
      </c>
      <c r="D14" s="685">
        <v>8.4</v>
      </c>
      <c r="E14" s="685">
        <v>10.1</v>
      </c>
      <c r="F14" s="685">
        <v>11.4</v>
      </c>
      <c r="G14" s="685">
        <v>12.4</v>
      </c>
      <c r="H14" s="685">
        <v>13.9</v>
      </c>
      <c r="I14" s="685">
        <v>15</v>
      </c>
      <c r="J14" s="685">
        <v>16.100000000000001</v>
      </c>
      <c r="K14" s="685">
        <v>17</v>
      </c>
      <c r="L14" s="685">
        <v>17.899999999999999</v>
      </c>
      <c r="M14" s="685">
        <v>18.600000000000001</v>
      </c>
      <c r="N14" s="685">
        <v>17.8</v>
      </c>
      <c r="O14" s="685">
        <v>19.100000000000001</v>
      </c>
      <c r="P14" s="685">
        <v>19.3</v>
      </c>
      <c r="Q14" s="685">
        <v>18.5</v>
      </c>
      <c r="R14" s="685">
        <v>18.100000000000001</v>
      </c>
      <c r="S14" s="829">
        <v>17.899999999999999</v>
      </c>
      <c r="T14" s="829">
        <v>16.8</v>
      </c>
      <c r="U14" s="829">
        <v>15.7</v>
      </c>
      <c r="V14" s="829">
        <v>14.6</v>
      </c>
      <c r="W14" s="829">
        <v>13.5</v>
      </c>
      <c r="X14" s="829">
        <v>12.4</v>
      </c>
      <c r="Y14" s="909">
        <v>11.2</v>
      </c>
      <c r="AB14" s="682">
        <v>1.02</v>
      </c>
      <c r="AC14" s="645">
        <v>3.8835569795754393E-2</v>
      </c>
      <c r="AD14" s="681">
        <v>12</v>
      </c>
      <c r="AE14" s="880">
        <f t="shared" si="0"/>
        <v>5.6699931901801415E-3</v>
      </c>
    </row>
    <row r="15" spans="1:34" ht="13.5" thickTop="1"/>
    <row r="16" spans="1:34" ht="18">
      <c r="C16" s="682">
        <f t="shared" ref="C16:R16" si="1">C2/C18</f>
        <v>1.0204229764548578</v>
      </c>
      <c r="D16" s="682">
        <f t="shared" si="1"/>
        <v>1.0336284058974963</v>
      </c>
      <c r="E16" s="682">
        <f t="shared" si="1"/>
        <v>1.0271210510709374</v>
      </c>
      <c r="F16" s="682">
        <f t="shared" si="1"/>
        <v>1.0268177694116734</v>
      </c>
      <c r="G16" s="682">
        <f t="shared" si="1"/>
        <v>1.0234866371026805</v>
      </c>
      <c r="H16" s="682">
        <f t="shared" si="1"/>
        <v>1.0224964336148268</v>
      </c>
      <c r="I16" s="682">
        <f t="shared" si="1"/>
        <v>1.020829652473122</v>
      </c>
      <c r="J16" s="682">
        <f t="shared" si="1"/>
        <v>1.0181967642028602</v>
      </c>
      <c r="K16" s="682">
        <f t="shared" si="1"/>
        <v>1.0117357385224655</v>
      </c>
      <c r="L16" s="682">
        <f t="shared" si="1"/>
        <v>1.0114772035388382</v>
      </c>
      <c r="M16" s="682">
        <f t="shared" si="1"/>
        <v>1.0102399624370177</v>
      </c>
      <c r="N16" s="682">
        <f t="shared" si="1"/>
        <v>1.0098939351274963</v>
      </c>
      <c r="O16" s="682">
        <f t="shared" si="1"/>
        <v>1.0115740851013384</v>
      </c>
      <c r="P16" s="682">
        <f t="shared" si="1"/>
        <v>1.0163780864470908</v>
      </c>
      <c r="Q16" s="682">
        <f t="shared" si="1"/>
        <v>1.0152766121172039</v>
      </c>
      <c r="R16" s="682">
        <f t="shared" si="1"/>
        <v>1.0144271568763521</v>
      </c>
      <c r="S16" s="682">
        <f t="shared" ref="S16:X16" si="2">S2/S18</f>
        <v>1.009857123780191</v>
      </c>
      <c r="T16" s="682">
        <f t="shared" si="2"/>
        <v>0.99050108612095444</v>
      </c>
      <c r="U16" s="682">
        <f t="shared" si="2"/>
        <v>0.99192914935102305</v>
      </c>
      <c r="V16" s="682">
        <f t="shared" si="2"/>
        <v>0.98942083238101308</v>
      </c>
      <c r="W16" s="682">
        <f t="shared" si="2"/>
        <v>0.98104840388389936</v>
      </c>
      <c r="X16" s="682">
        <f t="shared" si="2"/>
        <v>0.96246156870395994</v>
      </c>
      <c r="Y16" s="682">
        <f t="shared" ref="Y16" si="3">Y2/Y18</f>
        <v>0.98752565719537333</v>
      </c>
    </row>
    <row r="18" spans="3:29">
      <c r="C18" s="686">
        <f t="shared" ref="C18:J18" si="4">SUM(C19:C30)</f>
        <v>9.799857736192779</v>
      </c>
      <c r="D18" s="686">
        <f t="shared" si="4"/>
        <v>10.351882687191848</v>
      </c>
      <c r="E18" s="686">
        <f t="shared" si="4"/>
        <v>13.338252570829471</v>
      </c>
      <c r="F18" s="686">
        <f t="shared" si="4"/>
        <v>15.971675294825253</v>
      </c>
      <c r="G18" s="686">
        <f t="shared" si="4"/>
        <v>17.586941878357091</v>
      </c>
      <c r="H18" s="686">
        <f t="shared" si="4"/>
        <v>21.026968205640731</v>
      </c>
      <c r="I18" s="686">
        <f t="shared" si="4"/>
        <v>21.747017189613345</v>
      </c>
      <c r="J18" s="686">
        <f t="shared" si="4"/>
        <v>23.374656880424158</v>
      </c>
      <c r="K18" s="686">
        <f>SUM(K19:K30)</f>
        <v>24.314649629680709</v>
      </c>
      <c r="L18" s="686">
        <f t="shared" ref="L18:R18" si="5">SUM(L19:L30)</f>
        <v>26.298170543967807</v>
      </c>
      <c r="M18" s="686">
        <f t="shared" si="5"/>
        <v>26.23139153600065</v>
      </c>
      <c r="N18" s="686">
        <f t="shared" si="5"/>
        <v>26.339399688187875</v>
      </c>
      <c r="O18" s="686">
        <f t="shared" si="5"/>
        <v>25.702516882285835</v>
      </c>
      <c r="P18" s="686">
        <f t="shared" si="5"/>
        <v>24.498757236140204</v>
      </c>
      <c r="Q18" s="686">
        <f t="shared" si="5"/>
        <v>20.979504251144043</v>
      </c>
      <c r="R18" s="686">
        <f t="shared" si="5"/>
        <v>17.645426661405732</v>
      </c>
      <c r="S18" s="686">
        <f t="shared" ref="S18:X18" si="6">SUM(S19:S30)</f>
        <v>15.150658087876449</v>
      </c>
      <c r="T18" s="686">
        <f t="shared" si="6"/>
        <v>12.922752109367133</v>
      </c>
      <c r="U18" s="686">
        <f t="shared" si="6"/>
        <v>11.391942667874121</v>
      </c>
      <c r="V18" s="686">
        <f t="shared" si="6"/>
        <v>8.6919536344351513</v>
      </c>
      <c r="W18" s="686">
        <f t="shared" si="6"/>
        <v>7.2371556509256934</v>
      </c>
      <c r="X18" s="686">
        <f t="shared" si="6"/>
        <v>5.5067133819555218</v>
      </c>
      <c r="Y18" s="686">
        <f t="shared" ref="Y18" si="7">SUM(Y19:Y30)</f>
        <v>5.1644227801475839</v>
      </c>
    </row>
    <row r="19" spans="3:29">
      <c r="C19" s="687">
        <f t="shared" ref="C19:K19" si="8">C3*$AC3</f>
        <v>6.0977260025452962</v>
      </c>
      <c r="D19" s="687">
        <f t="shared" si="8"/>
        <v>6.228391559742696</v>
      </c>
      <c r="E19" s="687">
        <f t="shared" si="8"/>
        <v>8.2319301034361487</v>
      </c>
      <c r="F19" s="687">
        <f t="shared" si="8"/>
        <v>9.7563616040724739</v>
      </c>
      <c r="G19" s="687">
        <f t="shared" si="8"/>
        <v>10.279023832862071</v>
      </c>
      <c r="H19" s="687">
        <f t="shared" si="8"/>
        <v>12.064786447893193</v>
      </c>
      <c r="I19" s="687">
        <f t="shared" si="8"/>
        <v>12.58744867668279</v>
      </c>
      <c r="J19" s="687">
        <f t="shared" si="8"/>
        <v>13.371442019867185</v>
      </c>
      <c r="K19" s="687">
        <f t="shared" si="8"/>
        <v>13.806993877191848</v>
      </c>
      <c r="L19" s="687">
        <f t="shared" ref="L19:R19" si="9">L3*$AC3</f>
        <v>15.549201306490506</v>
      </c>
      <c r="M19" s="687">
        <f t="shared" si="9"/>
        <v>15.287870192095706</v>
      </c>
      <c r="N19" s="687">
        <f t="shared" si="9"/>
        <v>14.982983891968441</v>
      </c>
      <c r="O19" s="687">
        <f t="shared" si="9"/>
        <v>14.373211291713913</v>
      </c>
      <c r="P19" s="687">
        <f t="shared" si="9"/>
        <v>13.850549062924316</v>
      </c>
      <c r="Q19" s="687">
        <f t="shared" si="9"/>
        <v>11.672789776300995</v>
      </c>
      <c r="R19" s="687">
        <f t="shared" si="9"/>
        <v>9.6692512326075413</v>
      </c>
      <c r="S19" s="687">
        <f t="shared" ref="S19:W30" si="10">S3*$AC3</f>
        <v>8.754592332225748</v>
      </c>
      <c r="T19" s="687">
        <f t="shared" si="10"/>
        <v>7.1866056458569565</v>
      </c>
      <c r="U19" s="687">
        <f t="shared" si="10"/>
        <v>5.7928397024180311</v>
      </c>
      <c r="V19" s="687">
        <f t="shared" si="10"/>
        <v>3.6586356015271777</v>
      </c>
      <c r="W19" s="687">
        <f t="shared" si="10"/>
        <v>2.5262007724830502</v>
      </c>
      <c r="X19" s="687">
        <f t="shared" ref="X19:Y19" si="11">X3*$AC3</f>
        <v>1.1324348290441264</v>
      </c>
      <c r="Y19" s="687">
        <f t="shared" si="11"/>
        <v>1.2195452005090592</v>
      </c>
    </row>
    <row r="20" spans="3:29">
      <c r="C20" s="687">
        <f t="shared" ref="C20:K20" si="12">C4*$AC4</f>
        <v>0.76288486128430866</v>
      </c>
      <c r="D20" s="687">
        <f t="shared" si="12"/>
        <v>0.75468179825974613</v>
      </c>
      <c r="E20" s="687">
        <f t="shared" si="12"/>
        <v>0.80390017640712097</v>
      </c>
      <c r="F20" s="687">
        <f t="shared" si="12"/>
        <v>1.1566318864633065</v>
      </c>
      <c r="G20" s="687">
        <f t="shared" si="12"/>
        <v>1.4519421553475551</v>
      </c>
      <c r="H20" s="687">
        <f t="shared" si="12"/>
        <v>1.5831911637405545</v>
      </c>
      <c r="I20" s="687">
        <f t="shared" si="12"/>
        <v>1.6324095418879292</v>
      </c>
      <c r="J20" s="687">
        <f t="shared" si="12"/>
        <v>1.7144401721335536</v>
      </c>
      <c r="K20" s="687">
        <f t="shared" si="12"/>
        <v>1.7390493612072411</v>
      </c>
      <c r="L20" s="687">
        <f t="shared" ref="L20:R20" si="13">L4*$AC4</f>
        <v>1.7718616133054912</v>
      </c>
      <c r="M20" s="687">
        <f t="shared" si="13"/>
        <v>1.8128769284283035</v>
      </c>
      <c r="N20" s="687">
        <f t="shared" si="13"/>
        <v>1.862095306575678</v>
      </c>
      <c r="O20" s="687">
        <f t="shared" si="13"/>
        <v>1.8456891805265532</v>
      </c>
      <c r="P20" s="687">
        <f t="shared" si="13"/>
        <v>1.8374861175019905</v>
      </c>
      <c r="Q20" s="687">
        <f t="shared" si="13"/>
        <v>1.8128769284283035</v>
      </c>
      <c r="R20" s="687">
        <f t="shared" si="13"/>
        <v>1.4437390923229927</v>
      </c>
      <c r="S20" s="687">
        <f t="shared" si="10"/>
        <v>1.1976472015861188</v>
      </c>
      <c r="T20" s="687">
        <f t="shared" si="10"/>
        <v>1.0499920671439946</v>
      </c>
      <c r="U20" s="687">
        <f t="shared" si="10"/>
        <v>1.0253828780703074</v>
      </c>
      <c r="V20" s="687">
        <f t="shared" si="10"/>
        <v>0.98436756294749506</v>
      </c>
      <c r="W20" s="687">
        <f t="shared" si="10"/>
        <v>0.95155531084924472</v>
      </c>
      <c r="X20" s="687">
        <f t="shared" ref="X20:Y20" si="14">X4*$AC4</f>
        <v>0.90233693270187043</v>
      </c>
      <c r="Y20" s="687">
        <f t="shared" si="14"/>
        <v>0.83671242850537064</v>
      </c>
    </row>
    <row r="21" spans="3:29">
      <c r="C21" s="687">
        <f t="shared" ref="C21:K21" si="15">C5*$AC5</f>
        <v>-0.26467033801503737</v>
      </c>
      <c r="D21" s="687">
        <f t="shared" si="15"/>
        <v>-0.29463301779032464</v>
      </c>
      <c r="E21" s="687">
        <f t="shared" si="15"/>
        <v>-0.28464545786522888</v>
      </c>
      <c r="F21" s="687">
        <f t="shared" si="15"/>
        <v>-0.30462057771542034</v>
      </c>
      <c r="G21" s="687">
        <f t="shared" si="15"/>
        <v>-0.28464545786522888</v>
      </c>
      <c r="H21" s="687">
        <f t="shared" si="15"/>
        <v>-0.21473253838955861</v>
      </c>
      <c r="I21" s="687">
        <f t="shared" si="15"/>
        <v>-0.12983827902624476</v>
      </c>
      <c r="J21" s="687">
        <f t="shared" si="15"/>
        <v>-7.9900479400766E-2</v>
      </c>
      <c r="K21" s="687">
        <f t="shared" si="15"/>
        <v>4.993779962547875E-3</v>
      </c>
      <c r="L21" s="687">
        <f t="shared" ref="L21:R21" si="16">L5*$AC5</f>
        <v>3.9950239700383E-2</v>
      </c>
      <c r="M21" s="687">
        <f t="shared" si="16"/>
        <v>6.4919139513122379E-2</v>
      </c>
      <c r="N21" s="687">
        <f t="shared" si="16"/>
        <v>0.119850719101149</v>
      </c>
      <c r="O21" s="687">
        <f t="shared" si="16"/>
        <v>0.14981339887643624</v>
      </c>
      <c r="P21" s="687">
        <f t="shared" si="16"/>
        <v>0.20474497846446285</v>
      </c>
      <c r="Q21" s="687">
        <f t="shared" si="16"/>
        <v>0.17977607865172351</v>
      </c>
      <c r="R21" s="687">
        <f t="shared" si="16"/>
        <v>0.17478229868917564</v>
      </c>
      <c r="S21" s="687">
        <f t="shared" si="10"/>
        <v>0.10486937921350538</v>
      </c>
      <c r="T21" s="687">
        <f t="shared" si="10"/>
        <v>1.99751198501915E-2</v>
      </c>
      <c r="U21" s="687">
        <f t="shared" si="10"/>
        <v>-4.4944019662930879E-2</v>
      </c>
      <c r="V21" s="687">
        <f t="shared" si="10"/>
        <v>-5.99253595505745E-2</v>
      </c>
      <c r="W21" s="687">
        <f t="shared" si="10"/>
        <v>-0.14981339887643624</v>
      </c>
      <c r="X21" s="687">
        <f t="shared" ref="X21:Y21" si="17">X5*$AC5</f>
        <v>-0.20973875842701076</v>
      </c>
      <c r="Y21" s="687">
        <f t="shared" si="17"/>
        <v>-0.27465789794013312</v>
      </c>
    </row>
    <row r="22" spans="3:29">
      <c r="C22" s="687">
        <f t="shared" ref="C22:K22" si="18">C6*$AC6</f>
        <v>0.36302343188540809</v>
      </c>
      <c r="D22" s="687">
        <f t="shared" si="18"/>
        <v>0.54031394513177022</v>
      </c>
      <c r="E22" s="687">
        <f t="shared" si="18"/>
        <v>0.58252597209518975</v>
      </c>
      <c r="F22" s="687">
        <f t="shared" si="18"/>
        <v>0.60785318827324142</v>
      </c>
      <c r="G22" s="687">
        <f t="shared" si="18"/>
        <v>0.29548418874393684</v>
      </c>
      <c r="H22" s="687">
        <f t="shared" si="18"/>
        <v>0.32081140492198851</v>
      </c>
      <c r="I22" s="687">
        <f t="shared" si="18"/>
        <v>0.30392659413662071</v>
      </c>
      <c r="J22" s="687">
        <f t="shared" si="18"/>
        <v>0.32925381031467243</v>
      </c>
      <c r="K22" s="687">
        <f t="shared" si="18"/>
        <v>0.36302343188540809</v>
      </c>
      <c r="L22" s="687">
        <f t="shared" ref="L22:R22" si="19">L6*$AC6</f>
        <v>0.46433229659761499</v>
      </c>
      <c r="M22" s="687">
        <f t="shared" si="19"/>
        <v>0.48121710738298284</v>
      </c>
      <c r="N22" s="687">
        <f t="shared" si="19"/>
        <v>0.50654432356103452</v>
      </c>
      <c r="O22" s="687">
        <f t="shared" si="19"/>
        <v>0.44744748581224719</v>
      </c>
      <c r="P22" s="687">
        <f t="shared" si="19"/>
        <v>0.43900508041956326</v>
      </c>
      <c r="Q22" s="687">
        <f t="shared" si="19"/>
        <v>0.38835064806345981</v>
      </c>
      <c r="R22" s="687">
        <f t="shared" si="19"/>
        <v>0.33769621570735636</v>
      </c>
      <c r="S22" s="687">
        <f t="shared" si="10"/>
        <v>0.30392659413662071</v>
      </c>
      <c r="T22" s="687">
        <f t="shared" si="10"/>
        <v>1.283245619687954</v>
      </c>
      <c r="U22" s="687">
        <f t="shared" si="10"/>
        <v>1.2410335927245346</v>
      </c>
      <c r="V22" s="687">
        <f t="shared" si="10"/>
        <v>1.198821565761115</v>
      </c>
      <c r="W22" s="687">
        <f t="shared" si="10"/>
        <v>1.1143975118342762</v>
      </c>
      <c r="X22" s="687">
        <f t="shared" ref="X22:Y22" si="20">X6*$AC6</f>
        <v>1.105955106441592</v>
      </c>
      <c r="Y22" s="687">
        <f t="shared" si="20"/>
        <v>1.0975127010489081</v>
      </c>
      <c r="AC22" s="621">
        <f>100*36.7/1000</f>
        <v>3.6700000000000004</v>
      </c>
    </row>
    <row r="23" spans="3:29" ht="18">
      <c r="C23" s="687">
        <f t="shared" ref="C23:K23" si="21">C7*$AC7</f>
        <v>0.17467334910859947</v>
      </c>
      <c r="D23" s="687">
        <f t="shared" si="21"/>
        <v>0.18363095675519431</v>
      </c>
      <c r="E23" s="687">
        <f t="shared" si="21"/>
        <v>0.2956010523376299</v>
      </c>
      <c r="F23" s="687">
        <f t="shared" si="21"/>
        <v>0.4747532052695268</v>
      </c>
      <c r="G23" s="687">
        <f t="shared" si="21"/>
        <v>0.53745645879569071</v>
      </c>
      <c r="H23" s="687">
        <f t="shared" si="21"/>
        <v>0.63151133908493662</v>
      </c>
      <c r="I23" s="687">
        <f t="shared" si="21"/>
        <v>0.72556621937418242</v>
      </c>
      <c r="J23" s="687">
        <f t="shared" si="21"/>
        <v>0.96742162583224334</v>
      </c>
      <c r="K23" s="687">
        <f t="shared" si="21"/>
        <v>1.092828132884571</v>
      </c>
      <c r="L23" s="687">
        <f t="shared" ref="L23:R23" si="22">L7*$AC7</f>
        <v>1.1510525825874376</v>
      </c>
      <c r="M23" s="687">
        <f t="shared" si="22"/>
        <v>1.1824042093505196</v>
      </c>
      <c r="N23" s="687">
        <f t="shared" si="22"/>
        <v>1.1868830131738171</v>
      </c>
      <c r="O23" s="687">
        <f t="shared" si="22"/>
        <v>1.2451074628766834</v>
      </c>
      <c r="P23" s="687">
        <f t="shared" si="22"/>
        <v>1.2495862666999809</v>
      </c>
      <c r="Q23" s="687">
        <f t="shared" si="22"/>
        <v>1.1152221520010581</v>
      </c>
      <c r="R23" s="687">
        <f t="shared" si="22"/>
        <v>0.90023956848278197</v>
      </c>
      <c r="S23" s="687">
        <f t="shared" si="10"/>
        <v>0.82857870731002314</v>
      </c>
      <c r="T23" s="687">
        <f t="shared" si="10"/>
        <v>0.67629937731791079</v>
      </c>
      <c r="U23" s="687">
        <f t="shared" si="10"/>
        <v>0.5688080855587726</v>
      </c>
      <c r="V23" s="687">
        <f t="shared" si="10"/>
        <v>0.31351626763081958</v>
      </c>
      <c r="W23" s="687">
        <f t="shared" si="10"/>
        <v>0.19706736822508686</v>
      </c>
      <c r="X23" s="687">
        <f t="shared" ref="X23:Y23" si="23">X7*$AC7</f>
        <v>0.11197009558243556</v>
      </c>
      <c r="Y23" s="687">
        <f t="shared" si="23"/>
        <v>5.3745645879569072E-2</v>
      </c>
      <c r="AC23" s="688">
        <f>AC22/45</f>
        <v>8.1555555555555562E-2</v>
      </c>
    </row>
    <row r="24" spans="3:29">
      <c r="C24" s="687">
        <f t="shared" ref="C24:K24" si="24">C8*$AC8</f>
        <v>0.44402957429016016</v>
      </c>
      <c r="D24" s="687">
        <f t="shared" si="24"/>
        <v>0.4941619455809847</v>
      </c>
      <c r="E24" s="687">
        <f t="shared" si="24"/>
        <v>0.86657384659853831</v>
      </c>
      <c r="F24" s="687">
        <f t="shared" si="24"/>
        <v>1.0527797971073152</v>
      </c>
      <c r="G24" s="687">
        <f t="shared" si="24"/>
        <v>0.9381915198711448</v>
      </c>
      <c r="H24" s="687">
        <f t="shared" si="24"/>
        <v>0.94535328719840539</v>
      </c>
      <c r="I24" s="687">
        <f t="shared" si="24"/>
        <v>0.97400035650744798</v>
      </c>
      <c r="J24" s="687">
        <f t="shared" si="24"/>
        <v>1.2103386783070493</v>
      </c>
      <c r="K24" s="687">
        <f t="shared" si="24"/>
        <v>1.3320887228704805</v>
      </c>
      <c r="L24" s="687">
        <f t="shared" ref="L24:R24" si="25">L8*$AC8</f>
        <v>1.3464122575250017</v>
      </c>
      <c r="M24" s="687">
        <f t="shared" si="25"/>
        <v>1.3822210941613049</v>
      </c>
      <c r="N24" s="687">
        <f t="shared" si="25"/>
        <v>1.4251916981248687</v>
      </c>
      <c r="O24" s="687">
        <f t="shared" si="25"/>
        <v>1.4824858367429539</v>
      </c>
      <c r="P24" s="687">
        <f t="shared" si="25"/>
        <v>1.4466770001066507</v>
      </c>
      <c r="Q24" s="687">
        <f t="shared" si="25"/>
        <v>1.0384562624527938</v>
      </c>
      <c r="R24" s="687">
        <f t="shared" si="25"/>
        <v>0.86657384659853831</v>
      </c>
      <c r="S24" s="687">
        <f t="shared" si="10"/>
        <v>1.0026474258164906</v>
      </c>
      <c r="T24" s="687">
        <f t="shared" si="10"/>
        <v>0.98832389116196939</v>
      </c>
      <c r="U24" s="687">
        <f t="shared" si="10"/>
        <v>0.98116212383470858</v>
      </c>
      <c r="V24" s="687">
        <f t="shared" si="10"/>
        <v>0.79495617332593183</v>
      </c>
      <c r="W24" s="687">
        <f t="shared" si="10"/>
        <v>0.70901496539880449</v>
      </c>
      <c r="X24" s="687">
        <f t="shared" ref="X24:Y24" si="26">X8*$AC8</f>
        <v>0.65172082678071885</v>
      </c>
      <c r="Y24" s="687">
        <f t="shared" si="26"/>
        <v>0.61591199014441567</v>
      </c>
    </row>
    <row r="25" spans="3:29">
      <c r="C25" s="687">
        <f t="shared" ref="C25:K25" si="27">C9*$AC9</f>
        <v>1.0545829484673384</v>
      </c>
      <c r="D25" s="687">
        <f t="shared" si="27"/>
        <v>1.2673496836844329</v>
      </c>
      <c r="E25" s="687">
        <f t="shared" si="27"/>
        <v>1.5171193293740655</v>
      </c>
      <c r="F25" s="687">
        <f t="shared" si="27"/>
        <v>1.6836324265004874</v>
      </c>
      <c r="G25" s="687">
        <f t="shared" si="27"/>
        <v>2.7104631921134223</v>
      </c>
      <c r="H25" s="687">
        <f t="shared" si="27"/>
        <v>3.9223085100890476</v>
      </c>
      <c r="I25" s="687">
        <f t="shared" si="27"/>
        <v>3.7372939577263566</v>
      </c>
      <c r="J25" s="687">
        <f t="shared" si="27"/>
        <v>3.7372939577263566</v>
      </c>
      <c r="K25" s="687">
        <f t="shared" si="27"/>
        <v>3.8020490510532987</v>
      </c>
      <c r="L25" s="687">
        <f t="shared" ref="L25:R25" si="28">L9*$AC9</f>
        <v>3.7650461405807607</v>
      </c>
      <c r="M25" s="687">
        <f t="shared" si="28"/>
        <v>3.7372939577263566</v>
      </c>
      <c r="N25" s="687">
        <f t="shared" si="28"/>
        <v>3.9685621481797204</v>
      </c>
      <c r="O25" s="687">
        <f t="shared" si="28"/>
        <v>3.7927983234351643</v>
      </c>
      <c r="P25" s="687">
        <f t="shared" si="28"/>
        <v>3.1082444796932078</v>
      </c>
      <c r="Q25" s="687">
        <f t="shared" si="28"/>
        <v>2.5069471845144622</v>
      </c>
      <c r="R25" s="687">
        <f t="shared" si="28"/>
        <v>2.1831717178797532</v>
      </c>
      <c r="S25" s="687">
        <f t="shared" si="10"/>
        <v>1.0083293103766655</v>
      </c>
      <c r="T25" s="687">
        <f t="shared" si="10"/>
        <v>-0.10175800379948002</v>
      </c>
      <c r="U25" s="687">
        <f t="shared" si="10"/>
        <v>0.17576382474455637</v>
      </c>
      <c r="V25" s="687">
        <f t="shared" si="10"/>
        <v>0.38853055996165098</v>
      </c>
      <c r="W25" s="687">
        <f t="shared" si="10"/>
        <v>0.55504365708807279</v>
      </c>
      <c r="X25" s="687">
        <f t="shared" ref="X25:Y25" si="29">X9*$AC9</f>
        <v>0.62904947803314915</v>
      </c>
      <c r="Y25" s="687">
        <f t="shared" si="29"/>
        <v>0.61054802279688003</v>
      </c>
    </row>
    <row r="26" spans="3:29">
      <c r="C26" s="687">
        <f t="shared" ref="C26:K26" si="30">C10*$AC10</f>
        <v>0.22273989917547291</v>
      </c>
      <c r="D26" s="687">
        <f t="shared" si="30"/>
        <v>0.22570976449781252</v>
      </c>
      <c r="E26" s="687">
        <f t="shared" si="30"/>
        <v>0.25243855239886931</v>
      </c>
      <c r="F26" s="687">
        <f t="shared" si="30"/>
        <v>0.30589612820098283</v>
      </c>
      <c r="G26" s="687">
        <f t="shared" si="30"/>
        <v>0.2672878790105675</v>
      </c>
      <c r="H26" s="687">
        <f t="shared" si="30"/>
        <v>0.29698653223396387</v>
      </c>
      <c r="I26" s="687">
        <f t="shared" si="30"/>
        <v>0.36232356932543591</v>
      </c>
      <c r="J26" s="687">
        <f t="shared" si="30"/>
        <v>0.41578114512754943</v>
      </c>
      <c r="K26" s="687">
        <f t="shared" si="30"/>
        <v>0.40687154916053048</v>
      </c>
      <c r="L26" s="687">
        <f t="shared" ref="L26:R26" si="31">L10*$AC10</f>
        <v>0.3504441080360774</v>
      </c>
      <c r="M26" s="687">
        <f t="shared" si="31"/>
        <v>0.37123316529245481</v>
      </c>
      <c r="N26" s="687">
        <f t="shared" si="31"/>
        <v>0.39796195319351158</v>
      </c>
      <c r="O26" s="687">
        <f t="shared" si="31"/>
        <v>0.39499208787117196</v>
      </c>
      <c r="P26" s="687">
        <f t="shared" si="31"/>
        <v>0.39202222254883229</v>
      </c>
      <c r="Q26" s="687">
        <f t="shared" si="31"/>
        <v>0.39202222254883229</v>
      </c>
      <c r="R26" s="687">
        <f t="shared" si="31"/>
        <v>0.32965505077969987</v>
      </c>
      <c r="S26" s="687">
        <f t="shared" si="10"/>
        <v>0.29104680158928459</v>
      </c>
      <c r="T26" s="687">
        <f t="shared" si="10"/>
        <v>0.2761974749775864</v>
      </c>
      <c r="U26" s="687">
        <f t="shared" si="10"/>
        <v>0.21977003385313326</v>
      </c>
      <c r="V26" s="687">
        <f t="shared" si="10"/>
        <v>0.15443299676166122</v>
      </c>
      <c r="W26" s="687">
        <f t="shared" si="10"/>
        <v>0.13364393950528375</v>
      </c>
      <c r="X26" s="687">
        <f t="shared" ref="X26:Y26" si="32">X10*$AC10</f>
        <v>0.13364393950528375</v>
      </c>
      <c r="Y26" s="687">
        <f t="shared" si="32"/>
        <v>8.0186363703170255E-2</v>
      </c>
    </row>
    <row r="27" spans="3:29">
      <c r="C27" s="687">
        <f t="shared" ref="C27:K27" si="33">C11*$AC11</f>
        <v>0.14337568837781953</v>
      </c>
      <c r="D27" s="687">
        <f t="shared" si="33"/>
        <v>0.14663422675004267</v>
      </c>
      <c r="E27" s="687">
        <f t="shared" si="33"/>
        <v>0.18247814884449756</v>
      </c>
      <c r="F27" s="687">
        <f t="shared" si="33"/>
        <v>0.27371722326674636</v>
      </c>
      <c r="G27" s="687">
        <f t="shared" si="33"/>
        <v>0.30630260698897804</v>
      </c>
      <c r="H27" s="687">
        <f t="shared" si="33"/>
        <v>0.33237091396676338</v>
      </c>
      <c r="I27" s="687">
        <f t="shared" si="33"/>
        <v>0.35192214420010248</v>
      </c>
      <c r="J27" s="687">
        <f t="shared" si="33"/>
        <v>0.44316121862235119</v>
      </c>
      <c r="K27" s="687">
        <f t="shared" si="33"/>
        <v>0.5050734476945915</v>
      </c>
      <c r="L27" s="687">
        <f t="shared" ref="L27:R27" si="34">L11*$AC11</f>
        <v>0.53765883141682314</v>
      </c>
      <c r="M27" s="687">
        <f t="shared" si="34"/>
        <v>0.52462467792793055</v>
      </c>
      <c r="N27" s="687">
        <f t="shared" si="34"/>
        <v>0.5181076011834842</v>
      </c>
      <c r="O27" s="687">
        <f t="shared" si="34"/>
        <v>0.53440029304459991</v>
      </c>
      <c r="P27" s="687">
        <f t="shared" si="34"/>
        <v>0.53440029304459991</v>
      </c>
      <c r="Q27" s="687">
        <f t="shared" si="34"/>
        <v>0.48226367908902928</v>
      </c>
      <c r="R27" s="687">
        <f t="shared" si="34"/>
        <v>0.37473191280566465</v>
      </c>
      <c r="S27" s="687">
        <f t="shared" si="10"/>
        <v>0.36169775931677195</v>
      </c>
      <c r="T27" s="687">
        <f t="shared" si="10"/>
        <v>0.29652699187230852</v>
      </c>
      <c r="U27" s="687">
        <f t="shared" si="10"/>
        <v>0.23787330117229147</v>
      </c>
      <c r="V27" s="687">
        <f t="shared" si="10"/>
        <v>0.12056591977225732</v>
      </c>
      <c r="W27" s="687">
        <f t="shared" si="10"/>
        <v>9.1239074422248684E-2</v>
      </c>
      <c r="X27" s="687">
        <f t="shared" ref="X27:Y27" si="35">X11*$AC11</f>
        <v>1.9551230233339024E-2</v>
      </c>
      <c r="Y27" s="687">
        <f t="shared" si="35"/>
        <v>-1.9551230233339024E-2</v>
      </c>
    </row>
    <row r="28" spans="3:29">
      <c r="C28" s="687">
        <f t="shared" ref="C28:K28" si="36">C12*$AC12</f>
        <v>0.24054891594978897</v>
      </c>
      <c r="D28" s="687">
        <f t="shared" si="36"/>
        <v>0.23501905581301222</v>
      </c>
      <c r="E28" s="687">
        <f t="shared" si="36"/>
        <v>0.22948919567623549</v>
      </c>
      <c r="F28" s="687">
        <f t="shared" si="36"/>
        <v>0.22672426560784706</v>
      </c>
      <c r="G28" s="687">
        <f t="shared" si="36"/>
        <v>0.22395933553945871</v>
      </c>
      <c r="H28" s="687">
        <f t="shared" si="36"/>
        <v>0.21981194043687616</v>
      </c>
      <c r="I28" s="687">
        <f t="shared" si="36"/>
        <v>0.22257687050526453</v>
      </c>
      <c r="J28" s="687">
        <f t="shared" si="36"/>
        <v>0.22395933553945871</v>
      </c>
      <c r="K28" s="687">
        <f t="shared" si="36"/>
        <v>0.13686403838522476</v>
      </c>
      <c r="L28" s="687">
        <f t="shared" ref="L28:R28" si="37">L12*$AC12</f>
        <v>0.13824650341941896</v>
      </c>
      <c r="M28" s="687">
        <f t="shared" si="37"/>
        <v>0.13686403838522476</v>
      </c>
      <c r="N28" s="687">
        <f t="shared" si="37"/>
        <v>0.13548157335103059</v>
      </c>
      <c r="O28" s="687">
        <f t="shared" si="37"/>
        <v>0.12856924818005963</v>
      </c>
      <c r="P28" s="687">
        <f t="shared" si="37"/>
        <v>0.12995171321425383</v>
      </c>
      <c r="Q28" s="687">
        <f t="shared" si="37"/>
        <v>0.13271664328264218</v>
      </c>
      <c r="R28" s="687">
        <f t="shared" si="37"/>
        <v>0.13271664328264218</v>
      </c>
      <c r="S28" s="687">
        <f t="shared" si="10"/>
        <v>0.13271664328264218</v>
      </c>
      <c r="T28" s="687">
        <f t="shared" si="10"/>
        <v>0.13271664328264218</v>
      </c>
      <c r="U28" s="687">
        <f t="shared" si="10"/>
        <v>0.13686403838522476</v>
      </c>
      <c r="V28" s="687">
        <f t="shared" si="10"/>
        <v>0.13548157335103059</v>
      </c>
      <c r="W28" s="687">
        <f t="shared" si="10"/>
        <v>0.17557305934266212</v>
      </c>
      <c r="X28" s="687">
        <f t="shared" ref="X28:Y28" si="38">X12*$AC12</f>
        <v>0.17557305934266207</v>
      </c>
      <c r="Y28" s="687">
        <f t="shared" si="38"/>
        <v>0.17557305934266207</v>
      </c>
    </row>
    <row r="29" spans="3:29">
      <c r="C29" s="687">
        <f t="shared" ref="C29:K29" si="39">C13*$AC13</f>
        <v>0.23472461683928636</v>
      </c>
      <c r="D29" s="687">
        <f t="shared" si="39"/>
        <v>0.24440398248214354</v>
      </c>
      <c r="E29" s="687">
        <f t="shared" si="39"/>
        <v>0.26860239658928647</v>
      </c>
      <c r="F29" s="687">
        <f t="shared" si="39"/>
        <v>0.29522065210714366</v>
      </c>
      <c r="G29" s="687">
        <f t="shared" si="39"/>
        <v>0.37991510148214391</v>
      </c>
      <c r="H29" s="687">
        <f t="shared" si="39"/>
        <v>0.38475478430357252</v>
      </c>
      <c r="I29" s="687">
        <f t="shared" si="39"/>
        <v>0.39685399135714394</v>
      </c>
      <c r="J29" s="687">
        <f t="shared" si="39"/>
        <v>0.4162127226428583</v>
      </c>
      <c r="K29" s="687">
        <f t="shared" si="39"/>
        <v>0.46460955085714412</v>
      </c>
      <c r="L29" s="687">
        <f t="shared" ref="L29:R29" si="40">L13*$AC13</f>
        <v>0.48880796496428708</v>
      </c>
      <c r="M29" s="687">
        <f t="shared" si="40"/>
        <v>0.52752542753571574</v>
      </c>
      <c r="N29" s="687">
        <f t="shared" si="40"/>
        <v>0.54446431741071577</v>
      </c>
      <c r="O29" s="687">
        <f t="shared" si="40"/>
        <v>0.56624289010714435</v>
      </c>
      <c r="P29" s="687">
        <f t="shared" si="40"/>
        <v>0.55656352446428725</v>
      </c>
      <c r="Q29" s="687">
        <f t="shared" si="40"/>
        <v>0.53962463458928722</v>
      </c>
      <c r="R29" s="687">
        <f t="shared" si="40"/>
        <v>0.52994526894643001</v>
      </c>
      <c r="S29" s="687">
        <f t="shared" si="10"/>
        <v>0.46944923367857272</v>
      </c>
      <c r="T29" s="687">
        <f t="shared" si="10"/>
        <v>0.4621897094464299</v>
      </c>
      <c r="U29" s="687">
        <f t="shared" si="10"/>
        <v>0.44767066098214409</v>
      </c>
      <c r="V29" s="687">
        <f t="shared" si="10"/>
        <v>0.43557145392857266</v>
      </c>
      <c r="W29" s="687">
        <f t="shared" si="10"/>
        <v>0.40895319841071553</v>
      </c>
      <c r="X29" s="687">
        <f t="shared" ref="X29:Y29" si="41">X13*$AC13</f>
        <v>0.37265557725000104</v>
      </c>
      <c r="Y29" s="687">
        <f t="shared" si="41"/>
        <v>0.33393811467857237</v>
      </c>
    </row>
    <row r="30" spans="3:29">
      <c r="C30" s="687">
        <f t="shared" ref="C30:K30" si="42">C14*$AC14</f>
        <v>0.32621878628433693</v>
      </c>
      <c r="D30" s="687">
        <f t="shared" si="42"/>
        <v>0.32621878628433693</v>
      </c>
      <c r="E30" s="687">
        <f t="shared" si="42"/>
        <v>0.39223925493711936</v>
      </c>
      <c r="F30" s="687">
        <f t="shared" si="42"/>
        <v>0.44272549567160008</v>
      </c>
      <c r="G30" s="687">
        <f t="shared" si="42"/>
        <v>0.4815610654673545</v>
      </c>
      <c r="H30" s="687">
        <f t="shared" si="42"/>
        <v>0.53981442016098613</v>
      </c>
      <c r="I30" s="687">
        <f t="shared" si="42"/>
        <v>0.58253354693631587</v>
      </c>
      <c r="J30" s="687">
        <f t="shared" si="42"/>
        <v>0.62525267371164583</v>
      </c>
      <c r="K30" s="687">
        <f t="shared" si="42"/>
        <v>0.66020468652782471</v>
      </c>
      <c r="L30" s="687">
        <f t="shared" ref="L30:R30" si="43">L14*$AC14</f>
        <v>0.69515669934400359</v>
      </c>
      <c r="M30" s="687">
        <f t="shared" si="43"/>
        <v>0.72234159820103172</v>
      </c>
      <c r="N30" s="687">
        <f t="shared" si="43"/>
        <v>0.69127314236442827</v>
      </c>
      <c r="O30" s="687">
        <f t="shared" si="43"/>
        <v>0.74175938309890899</v>
      </c>
      <c r="P30" s="687">
        <f t="shared" si="43"/>
        <v>0.74952649705805985</v>
      </c>
      <c r="Q30" s="687">
        <f t="shared" si="43"/>
        <v>0.71845804122145629</v>
      </c>
      <c r="R30" s="687">
        <f t="shared" si="43"/>
        <v>0.70292381330315457</v>
      </c>
      <c r="S30" s="687">
        <f t="shared" si="10"/>
        <v>0.69515669934400359</v>
      </c>
      <c r="T30" s="687">
        <f t="shared" si="10"/>
        <v>0.65243757256867385</v>
      </c>
      <c r="U30" s="687">
        <f t="shared" si="10"/>
        <v>0.609718445793344</v>
      </c>
      <c r="V30" s="687">
        <f t="shared" si="10"/>
        <v>0.56699931901801415</v>
      </c>
      <c r="W30" s="687">
        <f t="shared" si="10"/>
        <v>0.5242801922426843</v>
      </c>
      <c r="X30" s="687">
        <f t="shared" ref="X30:Y30" si="44">X14*$AC14</f>
        <v>0.4815610654673545</v>
      </c>
      <c r="Y30" s="687">
        <f t="shared" si="44"/>
        <v>0.43495838171244916</v>
      </c>
    </row>
    <row r="32" spans="3:29" ht="15.75">
      <c r="C32" s="677">
        <v>44562</v>
      </c>
      <c r="D32" s="677">
        <v>44593</v>
      </c>
      <c r="E32" s="677">
        <v>44621</v>
      </c>
      <c r="F32" s="677">
        <v>44652</v>
      </c>
      <c r="G32" s="677">
        <v>44682</v>
      </c>
      <c r="H32" s="677">
        <v>44713</v>
      </c>
      <c r="I32" s="677">
        <v>44743</v>
      </c>
      <c r="J32" s="677">
        <v>44774</v>
      </c>
      <c r="K32" s="677">
        <v>44805</v>
      </c>
      <c r="L32" s="677">
        <v>44835</v>
      </c>
      <c r="M32" s="677">
        <v>44866</v>
      </c>
      <c r="N32" s="677">
        <v>44896</v>
      </c>
      <c r="O32" s="820">
        <v>44927</v>
      </c>
      <c r="P32" s="820">
        <v>44958</v>
      </c>
      <c r="Q32" s="820">
        <v>44986</v>
      </c>
      <c r="R32" s="820">
        <v>45017</v>
      </c>
      <c r="S32" s="820">
        <v>45047</v>
      </c>
      <c r="T32" s="820">
        <v>45078</v>
      </c>
      <c r="U32" s="820">
        <v>45108</v>
      </c>
      <c r="V32" s="820">
        <v>45139</v>
      </c>
      <c r="W32" s="820">
        <v>45170</v>
      </c>
      <c r="X32" s="820">
        <v>45200</v>
      </c>
      <c r="Y32" s="820">
        <v>45231</v>
      </c>
      <c r="Z32" s="820">
        <v>45261</v>
      </c>
    </row>
    <row r="33" spans="2:134" ht="18">
      <c r="B33" s="680" t="s">
        <v>517</v>
      </c>
      <c r="D33" s="682">
        <f>D3/C3</f>
        <v>1.0214285714285716</v>
      </c>
      <c r="E33" s="682">
        <f t="shared" ref="E33:J33" si="45">E3/D3</f>
        <v>1.3216783216783214</v>
      </c>
      <c r="F33" s="682">
        <f t="shared" si="45"/>
        <v>1.1851851851851851</v>
      </c>
      <c r="G33" s="682">
        <f t="shared" si="45"/>
        <v>1.0535714285714286</v>
      </c>
      <c r="H33" s="682">
        <f t="shared" si="45"/>
        <v>1.173728813559322</v>
      </c>
      <c r="I33" s="682">
        <f t="shared" si="45"/>
        <v>1.0433212996389891</v>
      </c>
      <c r="J33" s="682">
        <f t="shared" si="45"/>
        <v>1.0622837370242215</v>
      </c>
      <c r="K33" s="682">
        <f>K3/J3</f>
        <v>1.0325732899022801</v>
      </c>
      <c r="L33" s="682">
        <f t="shared" ref="L33:R34" si="46">L3/K3</f>
        <v>1.1261829652996846</v>
      </c>
      <c r="M33" s="682">
        <f t="shared" si="46"/>
        <v>0.98319327731092432</v>
      </c>
      <c r="N33" s="682">
        <f t="shared" si="46"/>
        <v>0.98005698005697994</v>
      </c>
      <c r="O33" s="682">
        <f t="shared" si="46"/>
        <v>0.95930232558139539</v>
      </c>
      <c r="P33" s="682">
        <f t="shared" si="46"/>
        <v>0.96363636363636362</v>
      </c>
      <c r="Q33" s="682">
        <f t="shared" si="46"/>
        <v>0.84276729559748431</v>
      </c>
      <c r="R33" s="682">
        <f>R3/Q3</f>
        <v>0.82835820895522383</v>
      </c>
      <c r="S33" s="682">
        <f t="shared" ref="S33:Y44" si="47">S3/R3</f>
        <v>0.90540540540540548</v>
      </c>
      <c r="T33" s="682">
        <f t="shared" si="47"/>
        <v>0.82089552238805963</v>
      </c>
      <c r="U33" s="682">
        <f t="shared" si="47"/>
        <v>0.80606060606060614</v>
      </c>
      <c r="V33" s="682">
        <f t="shared" si="47"/>
        <v>0.63157894736842102</v>
      </c>
      <c r="W33" s="682">
        <f t="shared" si="47"/>
        <v>0.69047619047619013</v>
      </c>
      <c r="X33" s="682">
        <f t="shared" si="47"/>
        <v>0.44827586206896575</v>
      </c>
      <c r="Y33" s="682">
        <f t="shared" si="47"/>
        <v>1.0769230769230769</v>
      </c>
    </row>
    <row r="34" spans="2:134" ht="18">
      <c r="B34" s="680" t="s">
        <v>886</v>
      </c>
      <c r="D34" s="682">
        <f t="shared" ref="D34:K44" si="48">D4/C4</f>
        <v>0.98924731182795689</v>
      </c>
      <c r="E34" s="682">
        <f t="shared" si="48"/>
        <v>1.0652173913043479</v>
      </c>
      <c r="F34" s="682">
        <f t="shared" si="48"/>
        <v>1.4387755102040816</v>
      </c>
      <c r="G34" s="682">
        <f t="shared" si="48"/>
        <v>1.2553191489361701</v>
      </c>
      <c r="H34" s="682">
        <f t="shared" si="48"/>
        <v>1.0903954802259888</v>
      </c>
      <c r="I34" s="682">
        <f t="shared" si="48"/>
        <v>1.0310880829015543</v>
      </c>
      <c r="J34" s="682">
        <f t="shared" si="48"/>
        <v>1.050251256281407</v>
      </c>
      <c r="K34" s="682">
        <f t="shared" si="48"/>
        <v>1.0143540669856459</v>
      </c>
      <c r="L34" s="682">
        <f t="shared" si="46"/>
        <v>1.0188679245283019</v>
      </c>
      <c r="M34" s="682">
        <f t="shared" si="46"/>
        <v>1.0231481481481481</v>
      </c>
      <c r="N34" s="682">
        <f t="shared" si="46"/>
        <v>1.0271493212669682</v>
      </c>
      <c r="O34" s="682">
        <f t="shared" si="46"/>
        <v>0.99118942731277537</v>
      </c>
      <c r="P34" s="682">
        <f t="shared" si="46"/>
        <v>0.99555555555555553</v>
      </c>
      <c r="Q34" s="682">
        <f>Q4/P4</f>
        <v>0.98660714285714302</v>
      </c>
      <c r="R34" s="682">
        <f t="shared" si="46"/>
        <v>0.79638009049773761</v>
      </c>
      <c r="S34" s="682">
        <f t="shared" si="47"/>
        <v>0.82954545454545447</v>
      </c>
      <c r="T34" s="682">
        <f t="shared" si="47"/>
        <v>0.87671232876712335</v>
      </c>
      <c r="U34" s="682">
        <f t="shared" si="47"/>
        <v>0.9765625</v>
      </c>
      <c r="V34" s="682">
        <f t="shared" si="47"/>
        <v>0.96</v>
      </c>
      <c r="W34" s="682">
        <f t="shared" si="47"/>
        <v>0.96666666666666623</v>
      </c>
      <c r="X34" s="682">
        <f t="shared" si="47"/>
        <v>0.94827586206896597</v>
      </c>
      <c r="Y34" s="682">
        <f t="shared" si="47"/>
        <v>0.92727272727272725</v>
      </c>
    </row>
    <row r="35" spans="2:134" ht="18">
      <c r="B35" s="680" t="s">
        <v>924</v>
      </c>
      <c r="D35" s="682">
        <f t="shared" si="48"/>
        <v>1.1132075471698115</v>
      </c>
      <c r="E35" s="682">
        <f t="shared" si="48"/>
        <v>0.96610169491525422</v>
      </c>
      <c r="F35" s="682">
        <f t="shared" si="48"/>
        <v>1.0701754385964912</v>
      </c>
      <c r="G35" s="682">
        <f t="shared" si="48"/>
        <v>0.93442622950819676</v>
      </c>
      <c r="H35" s="682">
        <f t="shared" si="48"/>
        <v>0.7543859649122806</v>
      </c>
      <c r="I35" s="682">
        <f t="shared" si="48"/>
        <v>0.60465116279069775</v>
      </c>
      <c r="J35" s="682">
        <f t="shared" si="48"/>
        <v>0.61538461538461542</v>
      </c>
      <c r="K35" s="682">
        <f>K5/J5</f>
        <v>-6.25E-2</v>
      </c>
      <c r="L35" s="682">
        <f t="shared" ref="L35:R36" si="49">L5/K5</f>
        <v>8</v>
      </c>
      <c r="M35" s="682">
        <f t="shared" si="49"/>
        <v>1.625</v>
      </c>
      <c r="N35" s="682">
        <f t="shared" si="49"/>
        <v>1.846153846153846</v>
      </c>
      <c r="O35" s="682">
        <f t="shared" si="49"/>
        <v>1.25</v>
      </c>
      <c r="P35" s="682">
        <f t="shared" si="49"/>
        <v>1.3666666666666665</v>
      </c>
      <c r="Q35" s="682">
        <f t="shared" si="49"/>
        <v>0.87804878048780499</v>
      </c>
      <c r="R35" s="682">
        <f t="shared" si="49"/>
        <v>0.97222222222222221</v>
      </c>
      <c r="S35" s="682">
        <f t="shared" si="47"/>
        <v>0.6</v>
      </c>
      <c r="T35" s="682">
        <f t="shared" si="47"/>
        <v>0.19047619047619047</v>
      </c>
      <c r="U35" s="682">
        <f t="shared" si="47"/>
        <v>-2.25</v>
      </c>
      <c r="V35" s="682">
        <f t="shared" si="47"/>
        <v>1.3333333333333333</v>
      </c>
      <c r="W35" s="682">
        <f t="shared" si="47"/>
        <v>2.5</v>
      </c>
      <c r="X35" s="682">
        <f t="shared" si="47"/>
        <v>1.4000000000000001</v>
      </c>
      <c r="Y35" s="682">
        <f t="shared" si="47"/>
        <v>1.3095238095238095</v>
      </c>
    </row>
    <row r="36" spans="2:134" ht="18">
      <c r="B36" s="680" t="s">
        <v>1062</v>
      </c>
      <c r="D36" s="682">
        <f t="shared" si="48"/>
        <v>1.488372093023256</v>
      </c>
      <c r="E36" s="682">
        <f t="shared" si="48"/>
        <v>1.078125</v>
      </c>
      <c r="F36" s="682">
        <f t="shared" si="48"/>
        <v>1.0434782608695652</v>
      </c>
      <c r="G36" s="682">
        <f t="shared" si="48"/>
        <v>0.4861111111111111</v>
      </c>
      <c r="H36" s="682">
        <f t="shared" si="48"/>
        <v>1.0857142857142856</v>
      </c>
      <c r="I36" s="682">
        <f t="shared" si="48"/>
        <v>0.94736842105263164</v>
      </c>
      <c r="J36" s="682">
        <f t="shared" si="48"/>
        <v>1.0833333333333333</v>
      </c>
      <c r="K36" s="682">
        <f t="shared" si="48"/>
        <v>1.1025641025641026</v>
      </c>
      <c r="L36" s="682">
        <f t="shared" si="49"/>
        <v>1.2790697674418605</v>
      </c>
      <c r="M36" s="682">
        <f t="shared" si="49"/>
        <v>1.0363636363636364</v>
      </c>
      <c r="N36" s="682">
        <f t="shared" si="49"/>
        <v>1.0526315789473684</v>
      </c>
      <c r="O36" s="682">
        <f t="shared" si="49"/>
        <v>0.8833333333333333</v>
      </c>
      <c r="P36" s="682">
        <f t="shared" si="49"/>
        <v>0.98113207547169823</v>
      </c>
      <c r="Q36" s="682">
        <f t="shared" si="49"/>
        <v>0.88461538461538447</v>
      </c>
      <c r="R36" s="682">
        <f t="shared" si="49"/>
        <v>0.86956521739130443</v>
      </c>
      <c r="S36" s="682">
        <f t="shared" si="47"/>
        <v>0.9</v>
      </c>
      <c r="T36" s="682">
        <f t="shared" si="47"/>
        <v>4.2222222222222223</v>
      </c>
      <c r="U36" s="682">
        <f t="shared" si="47"/>
        <v>0.96710526315789469</v>
      </c>
      <c r="V36" s="682">
        <f t="shared" si="47"/>
        <v>0.96598639455782309</v>
      </c>
      <c r="W36" s="682">
        <f t="shared" si="47"/>
        <v>0.9295774647887326</v>
      </c>
      <c r="X36" s="682">
        <f t="shared" si="47"/>
        <v>0.99242424242424221</v>
      </c>
      <c r="Y36" s="682">
        <f t="shared" si="47"/>
        <v>0.99236641221374045</v>
      </c>
    </row>
    <row r="37" spans="2:134" ht="31.5">
      <c r="B37" s="680" t="s">
        <v>1141</v>
      </c>
      <c r="D37" s="682">
        <f t="shared" si="48"/>
        <v>1.0512820512820513</v>
      </c>
      <c r="E37" s="682">
        <f t="shared" si="48"/>
        <v>1.6097560975609757</v>
      </c>
      <c r="F37" s="682">
        <f t="shared" si="48"/>
        <v>1.6060606060606062</v>
      </c>
      <c r="G37" s="682">
        <f t="shared" si="48"/>
        <v>1.1320754716981132</v>
      </c>
      <c r="H37" s="682">
        <f t="shared" si="48"/>
        <v>1.175</v>
      </c>
      <c r="I37" s="682">
        <f t="shared" si="48"/>
        <v>1.1489361702127658</v>
      </c>
      <c r="J37" s="682">
        <f t="shared" si="48"/>
        <v>1.3333333333333335</v>
      </c>
      <c r="K37" s="682">
        <f>K7/J7</f>
        <v>1.1296296296296295</v>
      </c>
      <c r="L37" s="682">
        <f t="shared" ref="L37:R40" si="50">L7/K7</f>
        <v>1.0532786885245902</v>
      </c>
      <c r="M37" s="682">
        <f t="shared" si="50"/>
        <v>1.027237354085603</v>
      </c>
      <c r="N37" s="682">
        <f t="shared" si="50"/>
        <v>1.0037878787878789</v>
      </c>
      <c r="O37" s="682">
        <f t="shared" si="50"/>
        <v>1.0490566037735849</v>
      </c>
      <c r="P37" s="682">
        <f t="shared" si="50"/>
        <v>1.0035971223021583</v>
      </c>
      <c r="Q37" s="682">
        <f t="shared" si="50"/>
        <v>0.89247311827956988</v>
      </c>
      <c r="R37" s="682">
        <f t="shared" si="50"/>
        <v>0.80722891566265076</v>
      </c>
      <c r="S37" s="682">
        <f t="shared" si="47"/>
        <v>0.92039800995024867</v>
      </c>
      <c r="T37" s="682">
        <f t="shared" si="47"/>
        <v>0.81621621621621621</v>
      </c>
      <c r="U37" s="682">
        <f t="shared" si="47"/>
        <v>0.84105960264900659</v>
      </c>
      <c r="V37" s="682">
        <f t="shared" si="47"/>
        <v>0.55118110236220474</v>
      </c>
      <c r="W37" s="682">
        <f t="shared" si="47"/>
        <v>0.62857142857142934</v>
      </c>
      <c r="X37" s="682">
        <f t="shared" si="47"/>
        <v>0.56818181818181746</v>
      </c>
      <c r="Y37" s="682">
        <f t="shared" si="47"/>
        <v>0.48</v>
      </c>
    </row>
    <row r="38" spans="2:134" ht="18">
      <c r="B38" s="680" t="s">
        <v>1239</v>
      </c>
      <c r="D38" s="682">
        <f t="shared" si="48"/>
        <v>1.1129032258064517</v>
      </c>
      <c r="E38" s="682">
        <f t="shared" si="48"/>
        <v>1.7536231884057969</v>
      </c>
      <c r="F38" s="682">
        <f t="shared" si="48"/>
        <v>1.2148760330578512</v>
      </c>
      <c r="G38" s="682">
        <f t="shared" si="48"/>
        <v>0.891156462585034</v>
      </c>
      <c r="H38" s="682">
        <f t="shared" si="48"/>
        <v>1.0076335877862594</v>
      </c>
      <c r="I38" s="682">
        <f t="shared" si="48"/>
        <v>1.0303030303030303</v>
      </c>
      <c r="J38" s="682">
        <f t="shared" si="48"/>
        <v>1.2426470588235294</v>
      </c>
      <c r="K38" s="682">
        <f t="shared" si="48"/>
        <v>1.1005917159763314</v>
      </c>
      <c r="L38" s="682">
        <f t="shared" si="50"/>
        <v>1.010752688172043</v>
      </c>
      <c r="M38" s="682">
        <f t="shared" si="50"/>
        <v>1.0265957446808511</v>
      </c>
      <c r="N38" s="682">
        <f t="shared" si="50"/>
        <v>1.0310880829015543</v>
      </c>
      <c r="O38" s="682">
        <f t="shared" si="50"/>
        <v>1.0402010050251256</v>
      </c>
      <c r="P38" s="682">
        <f t="shared" si="50"/>
        <v>0.97584541062801933</v>
      </c>
      <c r="Q38" s="682">
        <f t="shared" si="50"/>
        <v>0.71782178217821779</v>
      </c>
      <c r="R38" s="682">
        <f t="shared" si="50"/>
        <v>0.83448275862068966</v>
      </c>
      <c r="S38" s="682">
        <f t="shared" si="47"/>
        <v>1.1570247933884299</v>
      </c>
      <c r="T38" s="682">
        <f t="shared" si="47"/>
        <v>0.98571428571428577</v>
      </c>
      <c r="U38" s="682">
        <f t="shared" si="47"/>
        <v>0.99275362318840565</v>
      </c>
      <c r="V38" s="682">
        <f t="shared" si="47"/>
        <v>0.81021897810218979</v>
      </c>
      <c r="W38" s="682">
        <f t="shared" si="47"/>
        <v>0.89189189189189244</v>
      </c>
      <c r="X38" s="682">
        <f t="shared" si="47"/>
        <v>0.91919191919191867</v>
      </c>
      <c r="Y38" s="682">
        <f t="shared" si="47"/>
        <v>0.94505494505494503</v>
      </c>
    </row>
    <row r="39" spans="2:134" ht="18">
      <c r="B39" s="680" t="s">
        <v>336</v>
      </c>
      <c r="D39" s="682">
        <f t="shared" si="48"/>
        <v>1.2017543859649122</v>
      </c>
      <c r="E39" s="682">
        <f t="shared" si="48"/>
        <v>1.1970802919708028</v>
      </c>
      <c r="F39" s="682">
        <f t="shared" si="48"/>
        <v>1.1097560975609757</v>
      </c>
      <c r="G39" s="682">
        <f t="shared" si="48"/>
        <v>1.6098901098901099</v>
      </c>
      <c r="H39" s="682">
        <f t="shared" si="48"/>
        <v>1.447098976109215</v>
      </c>
      <c r="I39" s="682">
        <f t="shared" si="48"/>
        <v>0.95283018867924529</v>
      </c>
      <c r="J39" s="682">
        <f t="shared" si="48"/>
        <v>1</v>
      </c>
      <c r="K39" s="682">
        <f t="shared" si="48"/>
        <v>1.0173267326732673</v>
      </c>
      <c r="L39" s="682">
        <f t="shared" si="50"/>
        <v>0.99026763990267641</v>
      </c>
      <c r="M39" s="682">
        <f t="shared" si="50"/>
        <v>0.99262899262899251</v>
      </c>
      <c r="N39" s="682">
        <f t="shared" si="50"/>
        <v>1.0618811881188119</v>
      </c>
      <c r="O39" s="682">
        <f t="shared" si="50"/>
        <v>0.95571095571095577</v>
      </c>
      <c r="P39" s="682">
        <f t="shared" si="50"/>
        <v>0.81951219512195128</v>
      </c>
      <c r="Q39" s="682">
        <f t="shared" si="50"/>
        <v>0.80654761904761907</v>
      </c>
      <c r="R39" s="682">
        <f t="shared" si="50"/>
        <v>0.87084870848708484</v>
      </c>
      <c r="S39" s="682">
        <f t="shared" si="47"/>
        <v>0.46186440677966101</v>
      </c>
      <c r="T39" s="682">
        <f t="shared" si="47"/>
        <v>-0.10091743119266056</v>
      </c>
      <c r="U39" s="682">
        <f t="shared" si="47"/>
        <v>-1.7272727272727271</v>
      </c>
      <c r="V39" s="682">
        <f t="shared" si="47"/>
        <v>2.2105263157894739</v>
      </c>
      <c r="W39" s="682">
        <f t="shared" si="47"/>
        <v>1.4285714285714286</v>
      </c>
      <c r="X39" s="682">
        <f t="shared" si="47"/>
        <v>1.1333333333333333</v>
      </c>
      <c r="Y39" s="682">
        <f t="shared" si="47"/>
        <v>0.97058823529411764</v>
      </c>
    </row>
    <row r="40" spans="2:134" ht="18">
      <c r="B40" s="680" t="s">
        <v>1368</v>
      </c>
      <c r="D40" s="682">
        <f t="shared" si="48"/>
        <v>1.0133333333333332</v>
      </c>
      <c r="E40" s="682">
        <f t="shared" si="48"/>
        <v>1.118421052631579</v>
      </c>
      <c r="F40" s="682">
        <f t="shared" si="48"/>
        <v>1.2117647058823531</v>
      </c>
      <c r="G40" s="682">
        <f t="shared" si="48"/>
        <v>0.87378640776699024</v>
      </c>
      <c r="H40" s="682">
        <f t="shared" si="48"/>
        <v>1.1111111111111112</v>
      </c>
      <c r="I40" s="682">
        <f t="shared" si="48"/>
        <v>1.22</v>
      </c>
      <c r="J40" s="682">
        <f t="shared" si="48"/>
        <v>1.1475409836065575</v>
      </c>
      <c r="K40" s="682">
        <f t="shared" si="48"/>
        <v>0.97857142857142854</v>
      </c>
      <c r="L40" s="682">
        <f t="shared" si="50"/>
        <v>0.86131386861313874</v>
      </c>
      <c r="M40" s="682">
        <f t="shared" si="50"/>
        <v>1.0593220338983049</v>
      </c>
      <c r="N40" s="682">
        <f t="shared" si="50"/>
        <v>1.0720000000000001</v>
      </c>
      <c r="O40" s="682">
        <f t="shared" si="50"/>
        <v>0.9925373134328358</v>
      </c>
      <c r="P40" s="682">
        <f t="shared" si="50"/>
        <v>0.99248120300751874</v>
      </c>
      <c r="Q40" s="682">
        <f t="shared" si="50"/>
        <v>1</v>
      </c>
      <c r="R40" s="682">
        <f t="shared" si="50"/>
        <v>0.84090909090909094</v>
      </c>
      <c r="S40" s="682">
        <f t="shared" si="47"/>
        <v>0.88288288288288297</v>
      </c>
      <c r="T40" s="682">
        <f t="shared" si="47"/>
        <v>0.94897959183673475</v>
      </c>
      <c r="U40" s="682">
        <f t="shared" si="47"/>
        <v>0.79569892473118276</v>
      </c>
      <c r="V40" s="682">
        <f t="shared" si="47"/>
        <v>0.70270270270270274</v>
      </c>
      <c r="W40" s="682">
        <f t="shared" si="47"/>
        <v>0.86538461538461531</v>
      </c>
      <c r="X40" s="682">
        <f t="shared" si="47"/>
        <v>1</v>
      </c>
      <c r="Y40" s="682">
        <f t="shared" si="47"/>
        <v>0.60000000000000009</v>
      </c>
    </row>
    <row r="41" spans="2:134" ht="18">
      <c r="B41" s="680" t="s">
        <v>1385</v>
      </c>
      <c r="D41" s="682">
        <f t="shared" si="48"/>
        <v>1.0227272727272727</v>
      </c>
      <c r="E41" s="682">
        <f t="shared" si="48"/>
        <v>1.2444444444444445</v>
      </c>
      <c r="F41" s="682">
        <f t="shared" si="48"/>
        <v>1.5000000000000002</v>
      </c>
      <c r="G41" s="682">
        <f t="shared" si="48"/>
        <v>1.1190476190476191</v>
      </c>
      <c r="H41" s="682">
        <f t="shared" si="48"/>
        <v>1.0851063829787233</v>
      </c>
      <c r="I41" s="682">
        <f t="shared" si="48"/>
        <v>1.0588235294117649</v>
      </c>
      <c r="J41" s="682">
        <f t="shared" si="48"/>
        <v>1.2592592592592591</v>
      </c>
      <c r="K41" s="682">
        <f>K11/J11</f>
        <v>1.1397058823529411</v>
      </c>
      <c r="L41" s="682">
        <f t="shared" ref="L41:R44" si="51">L11/K11</f>
        <v>1.064516129032258</v>
      </c>
      <c r="M41" s="682">
        <f t="shared" si="51"/>
        <v>0.97575757575757582</v>
      </c>
      <c r="N41" s="682">
        <f t="shared" si="51"/>
        <v>0.98757763975155277</v>
      </c>
      <c r="O41" s="682">
        <f t="shared" si="51"/>
        <v>1.0314465408805031</v>
      </c>
      <c r="P41" s="682">
        <f t="shared" si="51"/>
        <v>1</v>
      </c>
      <c r="Q41" s="682">
        <f t="shared" si="51"/>
        <v>0.90243902439024404</v>
      </c>
      <c r="R41" s="682">
        <f t="shared" si="51"/>
        <v>0.77702702702702697</v>
      </c>
      <c r="S41" s="682">
        <f t="shared" si="47"/>
        <v>0.9652173913043478</v>
      </c>
      <c r="T41" s="682">
        <f t="shared" si="47"/>
        <v>0.81981981981981977</v>
      </c>
      <c r="U41" s="682">
        <f t="shared" si="47"/>
        <v>0.80219780219780223</v>
      </c>
      <c r="V41" s="682">
        <f t="shared" si="47"/>
        <v>0.50684931506849318</v>
      </c>
      <c r="W41" s="682">
        <f t="shared" si="47"/>
        <v>0.75675675675675591</v>
      </c>
      <c r="X41" s="682">
        <f t="shared" si="47"/>
        <v>0.2142857142857145</v>
      </c>
      <c r="Y41" s="682">
        <f t="shared" si="47"/>
        <v>-1</v>
      </c>
    </row>
    <row r="42" spans="2:134" ht="18">
      <c r="B42" s="680" t="s">
        <v>324</v>
      </c>
      <c r="D42" s="682">
        <f t="shared" si="48"/>
        <v>0.97701149425287359</v>
      </c>
      <c r="E42" s="682">
        <f t="shared" si="48"/>
        <v>0.9764705882352942</v>
      </c>
      <c r="F42" s="682">
        <f t="shared" si="48"/>
        <v>0.98795180722891551</v>
      </c>
      <c r="G42" s="682">
        <f t="shared" si="48"/>
        <v>0.98780487804878048</v>
      </c>
      <c r="H42" s="682">
        <f t="shared" si="48"/>
        <v>0.98148148148148151</v>
      </c>
      <c r="I42" s="682">
        <f t="shared" si="48"/>
        <v>1.0125786163522013</v>
      </c>
      <c r="J42" s="682">
        <f t="shared" si="48"/>
        <v>1.0062111801242235</v>
      </c>
      <c r="K42" s="682">
        <f t="shared" si="48"/>
        <v>0.61111111111111116</v>
      </c>
      <c r="L42" s="682">
        <f t="shared" si="51"/>
        <v>1.0101010101010102</v>
      </c>
      <c r="M42" s="682">
        <f t="shared" si="51"/>
        <v>0.99</v>
      </c>
      <c r="N42" s="682">
        <f t="shared" si="51"/>
        <v>0.98989898989898994</v>
      </c>
      <c r="O42" s="682">
        <f t="shared" si="51"/>
        <v>0.94897959183673475</v>
      </c>
      <c r="P42" s="682">
        <f t="shared" si="51"/>
        <v>1.010752688172043</v>
      </c>
      <c r="Q42" s="682">
        <f t="shared" si="51"/>
        <v>1.0212765957446808</v>
      </c>
      <c r="R42" s="682">
        <f t="shared" si="51"/>
        <v>1</v>
      </c>
      <c r="S42" s="682">
        <f t="shared" si="47"/>
        <v>1</v>
      </c>
      <c r="T42" s="682">
        <f t="shared" si="47"/>
        <v>1</v>
      </c>
      <c r="U42" s="682">
        <f t="shared" si="47"/>
        <v>1.03125</v>
      </c>
      <c r="V42" s="682">
        <f t="shared" si="47"/>
        <v>0.98989898989898994</v>
      </c>
      <c r="W42" s="682">
        <f t="shared" si="47"/>
        <v>1.295918367346939</v>
      </c>
      <c r="X42" s="682">
        <f t="shared" si="47"/>
        <v>0.99999999999999967</v>
      </c>
      <c r="Y42" s="682">
        <f t="shared" si="47"/>
        <v>1</v>
      </c>
    </row>
    <row r="43" spans="2:134" ht="18">
      <c r="B43" s="680" t="s">
        <v>1469</v>
      </c>
      <c r="D43" s="682">
        <f t="shared" si="48"/>
        <v>1.0412371134020619</v>
      </c>
      <c r="E43" s="682">
        <f t="shared" si="48"/>
        <v>1.0990099009900991</v>
      </c>
      <c r="F43" s="682">
        <f t="shared" si="48"/>
        <v>1.099099099099099</v>
      </c>
      <c r="G43" s="682">
        <f t="shared" si="48"/>
        <v>1.2868852459016393</v>
      </c>
      <c r="H43" s="682">
        <f t="shared" si="48"/>
        <v>1.0127388535031847</v>
      </c>
      <c r="I43" s="682">
        <f t="shared" si="48"/>
        <v>1.0314465408805031</v>
      </c>
      <c r="J43" s="682">
        <f t="shared" si="48"/>
        <v>1.0487804878048781</v>
      </c>
      <c r="K43" s="682">
        <f t="shared" si="48"/>
        <v>1.1162790697674418</v>
      </c>
      <c r="L43" s="682">
        <f t="shared" si="51"/>
        <v>1.0520833333333333</v>
      </c>
      <c r="M43" s="682">
        <f t="shared" si="51"/>
        <v>1.0792079207920793</v>
      </c>
      <c r="N43" s="682">
        <f t="shared" si="51"/>
        <v>1.0321100917431192</v>
      </c>
      <c r="O43" s="682">
        <f t="shared" si="51"/>
        <v>1.04</v>
      </c>
      <c r="P43" s="682">
        <f t="shared" si="51"/>
        <v>0.98290598290598297</v>
      </c>
      <c r="Q43" s="682">
        <f t="shared" si="51"/>
        <v>0.96956521739130441</v>
      </c>
      <c r="R43" s="682">
        <f t="shared" si="51"/>
        <v>0.98206278026905824</v>
      </c>
      <c r="S43" s="682">
        <f t="shared" si="47"/>
        <v>0.88584474885844744</v>
      </c>
      <c r="T43" s="682">
        <f t="shared" si="47"/>
        <v>0.98453608247422697</v>
      </c>
      <c r="U43" s="682">
        <f t="shared" si="47"/>
        <v>0.96858638743455494</v>
      </c>
      <c r="V43" s="682">
        <f t="shared" si="47"/>
        <v>0.97297297297297303</v>
      </c>
      <c r="W43" s="682">
        <f t="shared" si="47"/>
        <v>0.93888888888888922</v>
      </c>
      <c r="X43" s="682">
        <f t="shared" si="47"/>
        <v>0.91124260355029563</v>
      </c>
      <c r="Y43" s="682">
        <f t="shared" si="47"/>
        <v>0.89610389610389618</v>
      </c>
    </row>
    <row r="44" spans="2:134" ht="18.75" thickBot="1">
      <c r="B44" s="684" t="s">
        <v>1492</v>
      </c>
      <c r="D44" s="682">
        <f t="shared" si="48"/>
        <v>1</v>
      </c>
      <c r="E44" s="682">
        <f t="shared" si="48"/>
        <v>1.2023809523809523</v>
      </c>
      <c r="F44" s="682">
        <f t="shared" si="48"/>
        <v>1.1287128712871288</v>
      </c>
      <c r="G44" s="682">
        <f t="shared" si="48"/>
        <v>1.0877192982456141</v>
      </c>
      <c r="H44" s="682">
        <f t="shared" si="48"/>
        <v>1.1209677419354838</v>
      </c>
      <c r="I44" s="682">
        <f t="shared" si="48"/>
        <v>1.079136690647482</v>
      </c>
      <c r="J44" s="682">
        <f t="shared" si="48"/>
        <v>1.0733333333333335</v>
      </c>
      <c r="K44" s="682">
        <f t="shared" si="48"/>
        <v>1.0559006211180124</v>
      </c>
      <c r="L44" s="682">
        <f t="shared" si="51"/>
        <v>1.052941176470588</v>
      </c>
      <c r="M44" s="682">
        <f t="shared" si="51"/>
        <v>1.0391061452513968</v>
      </c>
      <c r="N44" s="682">
        <f t="shared" si="51"/>
        <v>0.95698924731182788</v>
      </c>
      <c r="O44" s="682">
        <f t="shared" si="51"/>
        <v>1.0730337078651686</v>
      </c>
      <c r="P44" s="682">
        <f t="shared" si="51"/>
        <v>1.0104712041884816</v>
      </c>
      <c r="Q44" s="682">
        <f t="shared" si="51"/>
        <v>0.95854922279792742</v>
      </c>
      <c r="R44" s="682">
        <f t="shared" si="51"/>
        <v>0.97837837837837849</v>
      </c>
      <c r="S44" s="682">
        <f t="shared" si="47"/>
        <v>0.98895027624309373</v>
      </c>
      <c r="T44" s="682">
        <f t="shared" si="47"/>
        <v>0.93854748603351967</v>
      </c>
      <c r="U44" s="682">
        <f t="shared" si="47"/>
        <v>0.93452380952380942</v>
      </c>
      <c r="V44" s="682">
        <f t="shared" si="47"/>
        <v>0.92993630573248409</v>
      </c>
      <c r="W44" s="682">
        <f t="shared" si="47"/>
        <v>0.92465753424657537</v>
      </c>
      <c r="X44" s="682">
        <f t="shared" si="47"/>
        <v>0.91851851851851851</v>
      </c>
      <c r="Y44" s="682">
        <f t="shared" si="47"/>
        <v>0.90322580645161277</v>
      </c>
    </row>
    <row r="45" spans="2:134" ht="16.5" customHeight="1" thickTop="1">
      <c r="B45" s="621"/>
    </row>
    <row r="46" spans="2:134">
      <c r="B46" s="621"/>
    </row>
    <row r="48" spans="2:134">
      <c r="C48" s="621">
        <f>MONTH(C50)</f>
        <v>1</v>
      </c>
      <c r="D48" s="621">
        <f t="shared" ref="D48:BO48" si="52">MONTH(D50)</f>
        <v>2</v>
      </c>
      <c r="E48" s="621">
        <f t="shared" si="52"/>
        <v>3</v>
      </c>
      <c r="F48" s="621">
        <f t="shared" si="52"/>
        <v>4</v>
      </c>
      <c r="G48" s="621">
        <f t="shared" si="52"/>
        <v>5</v>
      </c>
      <c r="H48" s="621">
        <f t="shared" si="52"/>
        <v>6</v>
      </c>
      <c r="I48" s="621">
        <f t="shared" si="52"/>
        <v>7</v>
      </c>
      <c r="J48" s="621">
        <f t="shared" si="52"/>
        <v>8</v>
      </c>
      <c r="K48" s="621">
        <f t="shared" si="52"/>
        <v>9</v>
      </c>
      <c r="L48" s="621">
        <f t="shared" si="52"/>
        <v>10</v>
      </c>
      <c r="M48" s="621">
        <f t="shared" si="52"/>
        <v>11</v>
      </c>
      <c r="N48" s="621">
        <f t="shared" si="52"/>
        <v>12</v>
      </c>
      <c r="O48" s="621">
        <f t="shared" si="52"/>
        <v>1</v>
      </c>
      <c r="P48" s="621">
        <f t="shared" si="52"/>
        <v>2</v>
      </c>
      <c r="Q48" s="621">
        <f t="shared" si="52"/>
        <v>3</v>
      </c>
      <c r="R48" s="621">
        <f t="shared" si="52"/>
        <v>4</v>
      </c>
      <c r="S48" s="621">
        <f t="shared" si="52"/>
        <v>5</v>
      </c>
      <c r="T48" s="621">
        <f t="shared" si="52"/>
        <v>6</v>
      </c>
      <c r="U48" s="621">
        <f t="shared" si="52"/>
        <v>7</v>
      </c>
      <c r="V48" s="621">
        <f t="shared" si="52"/>
        <v>8</v>
      </c>
      <c r="W48" s="621">
        <f t="shared" si="52"/>
        <v>9</v>
      </c>
      <c r="X48" s="621">
        <f t="shared" si="52"/>
        <v>10</v>
      </c>
      <c r="Y48" s="621">
        <f t="shared" si="52"/>
        <v>11</v>
      </c>
      <c r="Z48" s="621">
        <f t="shared" si="52"/>
        <v>12</v>
      </c>
      <c r="AA48" s="621">
        <f t="shared" si="52"/>
        <v>1</v>
      </c>
      <c r="AB48" s="621">
        <f t="shared" si="52"/>
        <v>2</v>
      </c>
      <c r="AC48" s="621">
        <f t="shared" si="52"/>
        <v>3</v>
      </c>
      <c r="AD48" s="621">
        <f t="shared" si="52"/>
        <v>4</v>
      </c>
      <c r="AE48" s="621">
        <f t="shared" si="52"/>
        <v>5</v>
      </c>
      <c r="AF48" s="621">
        <f t="shared" si="52"/>
        <v>6</v>
      </c>
      <c r="AG48" s="621">
        <f t="shared" si="52"/>
        <v>7</v>
      </c>
      <c r="AH48" s="621">
        <f t="shared" si="52"/>
        <v>8</v>
      </c>
      <c r="AI48" s="621">
        <f t="shared" si="52"/>
        <v>9</v>
      </c>
      <c r="AJ48" s="621">
        <f t="shared" si="52"/>
        <v>10</v>
      </c>
      <c r="AK48" s="621">
        <f t="shared" si="52"/>
        <v>11</v>
      </c>
      <c r="AL48" s="621">
        <f t="shared" si="52"/>
        <v>12</v>
      </c>
      <c r="AM48" s="621">
        <f t="shared" si="52"/>
        <v>1</v>
      </c>
      <c r="AN48" s="621">
        <f t="shared" si="52"/>
        <v>2</v>
      </c>
      <c r="AO48" s="621">
        <f t="shared" si="52"/>
        <v>3</v>
      </c>
      <c r="AP48" s="621">
        <f t="shared" si="52"/>
        <v>4</v>
      </c>
      <c r="AQ48" s="621">
        <f t="shared" si="52"/>
        <v>5</v>
      </c>
      <c r="AR48" s="621">
        <f t="shared" si="52"/>
        <v>6</v>
      </c>
      <c r="AS48" s="621">
        <f t="shared" si="52"/>
        <v>7</v>
      </c>
      <c r="AT48" s="621">
        <f t="shared" si="52"/>
        <v>8</v>
      </c>
      <c r="AU48" s="621">
        <f t="shared" si="52"/>
        <v>9</v>
      </c>
      <c r="AV48" s="621">
        <f t="shared" si="52"/>
        <v>10</v>
      </c>
      <c r="AW48" s="621">
        <f t="shared" si="52"/>
        <v>11</v>
      </c>
      <c r="AX48" s="621">
        <f t="shared" si="52"/>
        <v>12</v>
      </c>
      <c r="AY48" s="621">
        <f t="shared" si="52"/>
        <v>1</v>
      </c>
      <c r="AZ48" s="621">
        <f t="shared" si="52"/>
        <v>2</v>
      </c>
      <c r="BA48" s="621">
        <f t="shared" si="52"/>
        <v>3</v>
      </c>
      <c r="BB48" s="621">
        <f t="shared" si="52"/>
        <v>4</v>
      </c>
      <c r="BC48" s="621">
        <f t="shared" si="52"/>
        <v>5</v>
      </c>
      <c r="BD48" s="621">
        <f t="shared" si="52"/>
        <v>6</v>
      </c>
      <c r="BE48" s="621">
        <f t="shared" si="52"/>
        <v>7</v>
      </c>
      <c r="BF48" s="621">
        <f t="shared" si="52"/>
        <v>8</v>
      </c>
      <c r="BG48" s="621">
        <f t="shared" si="52"/>
        <v>9</v>
      </c>
      <c r="BH48" s="621">
        <f t="shared" si="52"/>
        <v>10</v>
      </c>
      <c r="BI48" s="621">
        <f t="shared" si="52"/>
        <v>11</v>
      </c>
      <c r="BJ48" s="621">
        <f t="shared" si="52"/>
        <v>12</v>
      </c>
      <c r="BK48" s="621">
        <f t="shared" si="52"/>
        <v>1</v>
      </c>
      <c r="BL48" s="621">
        <f t="shared" si="52"/>
        <v>2</v>
      </c>
      <c r="BM48" s="621">
        <f t="shared" si="52"/>
        <v>3</v>
      </c>
      <c r="BN48" s="621">
        <f t="shared" si="52"/>
        <v>4</v>
      </c>
      <c r="BO48" s="621">
        <f t="shared" si="52"/>
        <v>5</v>
      </c>
      <c r="BP48" s="621">
        <f t="shared" ref="BP48:EA48" si="53">MONTH(BP50)</f>
        <v>6</v>
      </c>
      <c r="BQ48" s="621">
        <f t="shared" si="53"/>
        <v>7</v>
      </c>
      <c r="BR48" s="621">
        <f t="shared" si="53"/>
        <v>8</v>
      </c>
      <c r="BS48" s="621">
        <f t="shared" si="53"/>
        <v>9</v>
      </c>
      <c r="BT48" s="621">
        <f t="shared" si="53"/>
        <v>10</v>
      </c>
      <c r="BU48" s="621">
        <f t="shared" si="53"/>
        <v>11</v>
      </c>
      <c r="BV48" s="621">
        <f t="shared" si="53"/>
        <v>12</v>
      </c>
      <c r="BW48" s="621">
        <f t="shared" si="53"/>
        <v>1</v>
      </c>
      <c r="BX48" s="621">
        <f t="shared" si="53"/>
        <v>2</v>
      </c>
      <c r="BY48" s="621">
        <f t="shared" si="53"/>
        <v>3</v>
      </c>
      <c r="BZ48" s="621">
        <f t="shared" si="53"/>
        <v>4</v>
      </c>
      <c r="CA48" s="621">
        <f t="shared" si="53"/>
        <v>5</v>
      </c>
      <c r="CB48" s="621">
        <f t="shared" si="53"/>
        <v>6</v>
      </c>
      <c r="CC48" s="621">
        <f t="shared" si="53"/>
        <v>7</v>
      </c>
      <c r="CD48" s="621">
        <f t="shared" si="53"/>
        <v>8</v>
      </c>
      <c r="CE48" s="621">
        <f t="shared" si="53"/>
        <v>9</v>
      </c>
      <c r="CF48" s="621">
        <f t="shared" si="53"/>
        <v>10</v>
      </c>
      <c r="CG48" s="621">
        <f t="shared" si="53"/>
        <v>11</v>
      </c>
      <c r="CH48" s="621">
        <f t="shared" si="53"/>
        <v>12</v>
      </c>
      <c r="CI48" s="621">
        <f t="shared" si="53"/>
        <v>1</v>
      </c>
      <c r="CJ48" s="621">
        <f t="shared" si="53"/>
        <v>2</v>
      </c>
      <c r="CK48" s="621">
        <f t="shared" si="53"/>
        <v>3</v>
      </c>
      <c r="CL48" s="621">
        <f t="shared" si="53"/>
        <v>4</v>
      </c>
      <c r="CM48" s="621">
        <f t="shared" si="53"/>
        <v>5</v>
      </c>
      <c r="CN48" s="621">
        <f t="shared" si="53"/>
        <v>6</v>
      </c>
      <c r="CO48" s="621">
        <f t="shared" si="53"/>
        <v>7</v>
      </c>
      <c r="CP48" s="621">
        <f t="shared" si="53"/>
        <v>8</v>
      </c>
      <c r="CQ48" s="621">
        <f t="shared" si="53"/>
        <v>9</v>
      </c>
      <c r="CR48" s="621">
        <f t="shared" si="53"/>
        <v>10</v>
      </c>
      <c r="CS48" s="621">
        <f t="shared" si="53"/>
        <v>11</v>
      </c>
      <c r="CT48" s="621">
        <f t="shared" si="53"/>
        <v>12</v>
      </c>
      <c r="CU48" s="621">
        <f t="shared" si="53"/>
        <v>1</v>
      </c>
      <c r="CV48" s="621">
        <f t="shared" si="53"/>
        <v>2</v>
      </c>
      <c r="CW48" s="621">
        <f t="shared" si="53"/>
        <v>3</v>
      </c>
      <c r="CX48" s="621">
        <f t="shared" si="53"/>
        <v>4</v>
      </c>
      <c r="CY48" s="621">
        <f t="shared" si="53"/>
        <v>5</v>
      </c>
      <c r="CZ48" s="621">
        <f t="shared" si="53"/>
        <v>6</v>
      </c>
      <c r="DA48" s="621">
        <f t="shared" si="53"/>
        <v>7</v>
      </c>
      <c r="DB48" s="621">
        <f t="shared" si="53"/>
        <v>8</v>
      </c>
      <c r="DC48" s="621">
        <f t="shared" si="53"/>
        <v>9</v>
      </c>
      <c r="DD48" s="621">
        <f t="shared" si="53"/>
        <v>10</v>
      </c>
      <c r="DE48" s="621">
        <f t="shared" si="53"/>
        <v>11</v>
      </c>
      <c r="DF48" s="621">
        <f t="shared" si="53"/>
        <v>12</v>
      </c>
      <c r="DG48" s="621">
        <f t="shared" si="53"/>
        <v>1</v>
      </c>
      <c r="DH48" s="621">
        <f t="shared" si="53"/>
        <v>2</v>
      </c>
      <c r="DI48" s="621">
        <f t="shared" si="53"/>
        <v>3</v>
      </c>
      <c r="DJ48" s="621">
        <f t="shared" si="53"/>
        <v>4</v>
      </c>
      <c r="DK48" s="621">
        <f t="shared" si="53"/>
        <v>5</v>
      </c>
      <c r="DL48" s="621">
        <f t="shared" si="53"/>
        <v>6</v>
      </c>
      <c r="DM48" s="621">
        <f t="shared" si="53"/>
        <v>7</v>
      </c>
      <c r="DN48" s="621">
        <f t="shared" si="53"/>
        <v>8</v>
      </c>
      <c r="DO48" s="621">
        <f t="shared" si="53"/>
        <v>9</v>
      </c>
      <c r="DP48" s="621">
        <f t="shared" si="53"/>
        <v>10</v>
      </c>
      <c r="DQ48" s="621">
        <f t="shared" si="53"/>
        <v>11</v>
      </c>
      <c r="DR48" s="621">
        <f t="shared" si="53"/>
        <v>12</v>
      </c>
      <c r="DS48" s="621">
        <f t="shared" si="53"/>
        <v>1</v>
      </c>
      <c r="DT48" s="621">
        <f t="shared" si="53"/>
        <v>2</v>
      </c>
      <c r="DU48" s="621">
        <f t="shared" si="53"/>
        <v>3</v>
      </c>
      <c r="DV48" s="621">
        <f t="shared" si="53"/>
        <v>4</v>
      </c>
      <c r="DW48" s="621">
        <f t="shared" si="53"/>
        <v>5</v>
      </c>
      <c r="DX48" s="621">
        <f t="shared" si="53"/>
        <v>6</v>
      </c>
      <c r="DY48" s="621">
        <f t="shared" si="53"/>
        <v>7</v>
      </c>
      <c r="DZ48" s="621">
        <f t="shared" si="53"/>
        <v>8</v>
      </c>
      <c r="EA48" s="621">
        <f t="shared" si="53"/>
        <v>9</v>
      </c>
      <c r="EB48" s="621">
        <f>MONTH(EB50)</f>
        <v>10</v>
      </c>
      <c r="EC48" s="621">
        <f>MONTH(EC50)</f>
        <v>11</v>
      </c>
      <c r="ED48" s="621">
        <f>MONTH(ED50)</f>
        <v>12</v>
      </c>
    </row>
    <row r="49" spans="1:134">
      <c r="C49" s="621">
        <f>YEAR(C50)</f>
        <v>2013</v>
      </c>
      <c r="D49" s="621">
        <f t="shared" ref="D49:BO49" si="54">YEAR(D50)</f>
        <v>2013</v>
      </c>
      <c r="E49" s="621">
        <f t="shared" si="54"/>
        <v>2013</v>
      </c>
      <c r="F49" s="621">
        <f t="shared" si="54"/>
        <v>2013</v>
      </c>
      <c r="G49" s="621">
        <f t="shared" si="54"/>
        <v>2013</v>
      </c>
      <c r="H49" s="621">
        <f t="shared" si="54"/>
        <v>2013</v>
      </c>
      <c r="I49" s="621">
        <f t="shared" si="54"/>
        <v>2013</v>
      </c>
      <c r="J49" s="621">
        <f t="shared" si="54"/>
        <v>2013</v>
      </c>
      <c r="K49" s="621">
        <f t="shared" si="54"/>
        <v>2013</v>
      </c>
      <c r="L49" s="621">
        <f t="shared" si="54"/>
        <v>2013</v>
      </c>
      <c r="M49" s="621">
        <f t="shared" si="54"/>
        <v>2013</v>
      </c>
      <c r="N49" s="621">
        <f t="shared" si="54"/>
        <v>2013</v>
      </c>
      <c r="O49" s="621">
        <f t="shared" si="54"/>
        <v>2014</v>
      </c>
      <c r="P49" s="621">
        <f t="shared" si="54"/>
        <v>2014</v>
      </c>
      <c r="Q49" s="621">
        <f t="shared" si="54"/>
        <v>2014</v>
      </c>
      <c r="R49" s="621">
        <f t="shared" si="54"/>
        <v>2014</v>
      </c>
      <c r="S49" s="621">
        <f t="shared" si="54"/>
        <v>2014</v>
      </c>
      <c r="T49" s="621">
        <f t="shared" si="54"/>
        <v>2014</v>
      </c>
      <c r="U49" s="621">
        <f t="shared" si="54"/>
        <v>2014</v>
      </c>
      <c r="V49" s="621">
        <f t="shared" si="54"/>
        <v>2014</v>
      </c>
      <c r="W49" s="621">
        <f t="shared" si="54"/>
        <v>2014</v>
      </c>
      <c r="X49" s="621">
        <f t="shared" si="54"/>
        <v>2014</v>
      </c>
      <c r="Y49" s="621">
        <f t="shared" si="54"/>
        <v>2014</v>
      </c>
      <c r="Z49" s="621">
        <f t="shared" si="54"/>
        <v>2014</v>
      </c>
      <c r="AA49" s="621">
        <f t="shared" si="54"/>
        <v>2015</v>
      </c>
      <c r="AB49" s="621">
        <f t="shared" si="54"/>
        <v>2015</v>
      </c>
      <c r="AC49" s="621">
        <f t="shared" si="54"/>
        <v>2015</v>
      </c>
      <c r="AD49" s="621">
        <f t="shared" si="54"/>
        <v>2015</v>
      </c>
      <c r="AE49" s="621">
        <f t="shared" si="54"/>
        <v>2015</v>
      </c>
      <c r="AF49" s="621">
        <f t="shared" si="54"/>
        <v>2015</v>
      </c>
      <c r="AG49" s="621">
        <f t="shared" si="54"/>
        <v>2015</v>
      </c>
      <c r="AH49" s="621">
        <f t="shared" si="54"/>
        <v>2015</v>
      </c>
      <c r="AI49" s="621">
        <f t="shared" si="54"/>
        <v>2015</v>
      </c>
      <c r="AJ49" s="621">
        <f t="shared" si="54"/>
        <v>2015</v>
      </c>
      <c r="AK49" s="621">
        <f t="shared" si="54"/>
        <v>2015</v>
      </c>
      <c r="AL49" s="621">
        <f t="shared" si="54"/>
        <v>2015</v>
      </c>
      <c r="AM49" s="621">
        <f t="shared" si="54"/>
        <v>2016</v>
      </c>
      <c r="AN49" s="621">
        <f t="shared" si="54"/>
        <v>2016</v>
      </c>
      <c r="AO49" s="621">
        <f t="shared" si="54"/>
        <v>2016</v>
      </c>
      <c r="AP49" s="621">
        <f t="shared" si="54"/>
        <v>2016</v>
      </c>
      <c r="AQ49" s="621">
        <f t="shared" si="54"/>
        <v>2016</v>
      </c>
      <c r="AR49" s="621">
        <f t="shared" si="54"/>
        <v>2016</v>
      </c>
      <c r="AS49" s="621">
        <f t="shared" si="54"/>
        <v>2016</v>
      </c>
      <c r="AT49" s="621">
        <f t="shared" si="54"/>
        <v>2016</v>
      </c>
      <c r="AU49" s="621">
        <f t="shared" si="54"/>
        <v>2016</v>
      </c>
      <c r="AV49" s="621">
        <f t="shared" si="54"/>
        <v>2016</v>
      </c>
      <c r="AW49" s="621">
        <f t="shared" si="54"/>
        <v>2016</v>
      </c>
      <c r="AX49" s="621">
        <f t="shared" si="54"/>
        <v>2016</v>
      </c>
      <c r="AY49" s="621">
        <f t="shared" si="54"/>
        <v>2017</v>
      </c>
      <c r="AZ49" s="621">
        <f t="shared" si="54"/>
        <v>2017</v>
      </c>
      <c r="BA49" s="621">
        <f t="shared" si="54"/>
        <v>2017</v>
      </c>
      <c r="BB49" s="621">
        <f t="shared" si="54"/>
        <v>2017</v>
      </c>
      <c r="BC49" s="621">
        <f t="shared" si="54"/>
        <v>2017</v>
      </c>
      <c r="BD49" s="621">
        <f t="shared" si="54"/>
        <v>2017</v>
      </c>
      <c r="BE49" s="621">
        <f t="shared" si="54"/>
        <v>2017</v>
      </c>
      <c r="BF49" s="621">
        <f t="shared" si="54"/>
        <v>2017</v>
      </c>
      <c r="BG49" s="621">
        <f t="shared" si="54"/>
        <v>2017</v>
      </c>
      <c r="BH49" s="621">
        <f t="shared" si="54"/>
        <v>2017</v>
      </c>
      <c r="BI49" s="621">
        <f t="shared" si="54"/>
        <v>2017</v>
      </c>
      <c r="BJ49" s="621">
        <f t="shared" si="54"/>
        <v>2017</v>
      </c>
      <c r="BK49" s="621">
        <f t="shared" si="54"/>
        <v>2018</v>
      </c>
      <c r="BL49" s="621">
        <f t="shared" si="54"/>
        <v>2018</v>
      </c>
      <c r="BM49" s="621">
        <f t="shared" si="54"/>
        <v>2018</v>
      </c>
      <c r="BN49" s="621">
        <f t="shared" si="54"/>
        <v>2018</v>
      </c>
      <c r="BO49" s="621">
        <f t="shared" si="54"/>
        <v>2018</v>
      </c>
      <c r="BP49" s="621">
        <f t="shared" ref="BP49:EA49" si="55">YEAR(BP50)</f>
        <v>2018</v>
      </c>
      <c r="BQ49" s="621">
        <f t="shared" si="55"/>
        <v>2018</v>
      </c>
      <c r="BR49" s="621">
        <f t="shared" si="55"/>
        <v>2018</v>
      </c>
      <c r="BS49" s="621">
        <f t="shared" si="55"/>
        <v>2018</v>
      </c>
      <c r="BT49" s="621">
        <f t="shared" si="55"/>
        <v>2018</v>
      </c>
      <c r="BU49" s="621">
        <f t="shared" si="55"/>
        <v>2018</v>
      </c>
      <c r="BV49" s="621">
        <f t="shared" si="55"/>
        <v>2018</v>
      </c>
      <c r="BW49" s="621">
        <f t="shared" si="55"/>
        <v>2019</v>
      </c>
      <c r="BX49" s="621">
        <f t="shared" si="55"/>
        <v>2019</v>
      </c>
      <c r="BY49" s="621">
        <f t="shared" si="55"/>
        <v>2019</v>
      </c>
      <c r="BZ49" s="621">
        <f t="shared" si="55"/>
        <v>2019</v>
      </c>
      <c r="CA49" s="621">
        <f t="shared" si="55"/>
        <v>2019</v>
      </c>
      <c r="CB49" s="621">
        <f t="shared" si="55"/>
        <v>2019</v>
      </c>
      <c r="CC49" s="621">
        <f t="shared" si="55"/>
        <v>2019</v>
      </c>
      <c r="CD49" s="621">
        <f t="shared" si="55"/>
        <v>2019</v>
      </c>
      <c r="CE49" s="621">
        <f t="shared" si="55"/>
        <v>2019</v>
      </c>
      <c r="CF49" s="621">
        <f t="shared" si="55"/>
        <v>2019</v>
      </c>
      <c r="CG49" s="621">
        <f t="shared" si="55"/>
        <v>2019</v>
      </c>
      <c r="CH49" s="621">
        <f t="shared" si="55"/>
        <v>2019</v>
      </c>
      <c r="CI49" s="621">
        <f t="shared" si="55"/>
        <v>2020</v>
      </c>
      <c r="CJ49" s="621">
        <f t="shared" si="55"/>
        <v>2020</v>
      </c>
      <c r="CK49" s="621">
        <f t="shared" si="55"/>
        <v>2020</v>
      </c>
      <c r="CL49" s="621">
        <f t="shared" si="55"/>
        <v>2020</v>
      </c>
      <c r="CM49" s="621">
        <f t="shared" si="55"/>
        <v>2020</v>
      </c>
      <c r="CN49" s="621">
        <f t="shared" si="55"/>
        <v>2020</v>
      </c>
      <c r="CO49" s="621">
        <f t="shared" si="55"/>
        <v>2020</v>
      </c>
      <c r="CP49" s="621">
        <f t="shared" si="55"/>
        <v>2020</v>
      </c>
      <c r="CQ49" s="621">
        <f t="shared" si="55"/>
        <v>2020</v>
      </c>
      <c r="CR49" s="621">
        <f t="shared" si="55"/>
        <v>2020</v>
      </c>
      <c r="CS49" s="621">
        <f t="shared" si="55"/>
        <v>2020</v>
      </c>
      <c r="CT49" s="621">
        <f t="shared" si="55"/>
        <v>2020</v>
      </c>
      <c r="CU49" s="621">
        <f t="shared" si="55"/>
        <v>2021</v>
      </c>
      <c r="CV49" s="621">
        <f t="shared" si="55"/>
        <v>2021</v>
      </c>
      <c r="CW49" s="621">
        <f t="shared" si="55"/>
        <v>2021</v>
      </c>
      <c r="CX49" s="621">
        <f t="shared" si="55"/>
        <v>2021</v>
      </c>
      <c r="CY49" s="621">
        <f t="shared" si="55"/>
        <v>2021</v>
      </c>
      <c r="CZ49" s="621">
        <f t="shared" si="55"/>
        <v>2021</v>
      </c>
      <c r="DA49" s="621">
        <f t="shared" si="55"/>
        <v>2021</v>
      </c>
      <c r="DB49" s="621">
        <f t="shared" si="55"/>
        <v>2021</v>
      </c>
      <c r="DC49" s="621">
        <f t="shared" si="55"/>
        <v>2021</v>
      </c>
      <c r="DD49" s="621">
        <f t="shared" si="55"/>
        <v>2021</v>
      </c>
      <c r="DE49" s="621">
        <f t="shared" si="55"/>
        <v>2021</v>
      </c>
      <c r="DF49" s="621">
        <f t="shared" si="55"/>
        <v>2021</v>
      </c>
      <c r="DG49" s="621">
        <f t="shared" si="55"/>
        <v>2022</v>
      </c>
      <c r="DH49" s="621">
        <f t="shared" si="55"/>
        <v>2022</v>
      </c>
      <c r="DI49" s="621">
        <f t="shared" si="55"/>
        <v>2022</v>
      </c>
      <c r="DJ49" s="621">
        <f t="shared" si="55"/>
        <v>2022</v>
      </c>
      <c r="DK49" s="621">
        <f t="shared" si="55"/>
        <v>2022</v>
      </c>
      <c r="DL49" s="621">
        <f t="shared" si="55"/>
        <v>2022</v>
      </c>
      <c r="DM49" s="621">
        <f t="shared" si="55"/>
        <v>2022</v>
      </c>
      <c r="DN49" s="621">
        <f t="shared" si="55"/>
        <v>2022</v>
      </c>
      <c r="DO49" s="621">
        <f t="shared" si="55"/>
        <v>2022</v>
      </c>
      <c r="DP49" s="621">
        <f t="shared" si="55"/>
        <v>2022</v>
      </c>
      <c r="DQ49" s="621">
        <f t="shared" si="55"/>
        <v>2022</v>
      </c>
      <c r="DR49" s="621">
        <f t="shared" si="55"/>
        <v>2022</v>
      </c>
      <c r="DS49" s="621">
        <f t="shared" si="55"/>
        <v>2023</v>
      </c>
      <c r="DT49" s="621">
        <f t="shared" si="55"/>
        <v>2023</v>
      </c>
      <c r="DU49" s="621">
        <f t="shared" si="55"/>
        <v>2023</v>
      </c>
      <c r="DV49" s="621">
        <f t="shared" si="55"/>
        <v>2023</v>
      </c>
      <c r="DW49" s="621">
        <f t="shared" si="55"/>
        <v>2023</v>
      </c>
      <c r="DX49" s="621">
        <f t="shared" si="55"/>
        <v>2023</v>
      </c>
      <c r="DY49" s="621">
        <f t="shared" si="55"/>
        <v>2023</v>
      </c>
      <c r="DZ49" s="621">
        <f t="shared" si="55"/>
        <v>2023</v>
      </c>
      <c r="EA49" s="621">
        <f t="shared" si="55"/>
        <v>2023</v>
      </c>
      <c r="EB49" s="621">
        <f>YEAR(EB50)</f>
        <v>2023</v>
      </c>
      <c r="EC49" s="621">
        <f>YEAR(EC50)</f>
        <v>2023</v>
      </c>
      <c r="ED49" s="621">
        <f>YEAR(ED50)</f>
        <v>2023</v>
      </c>
    </row>
    <row r="50" spans="1:134" ht="15.75">
      <c r="A50" s="678" t="s">
        <v>1555</v>
      </c>
      <c r="C50" s="819">
        <v>41275</v>
      </c>
      <c r="D50" s="819">
        <v>41306</v>
      </c>
      <c r="E50" s="819">
        <v>41334</v>
      </c>
      <c r="F50" s="819">
        <v>41365</v>
      </c>
      <c r="G50" s="819">
        <v>41395</v>
      </c>
      <c r="H50" s="819">
        <v>41426</v>
      </c>
      <c r="I50" s="819">
        <v>41456</v>
      </c>
      <c r="J50" s="819">
        <v>41487</v>
      </c>
      <c r="K50" s="819">
        <v>41518</v>
      </c>
      <c r="L50" s="819">
        <v>41548</v>
      </c>
      <c r="M50" s="819">
        <v>41579</v>
      </c>
      <c r="N50" s="819">
        <v>41609</v>
      </c>
      <c r="O50" s="819">
        <v>41640</v>
      </c>
      <c r="P50" s="819">
        <v>41671</v>
      </c>
      <c r="Q50" s="819">
        <v>41699</v>
      </c>
      <c r="R50" s="819">
        <v>41730</v>
      </c>
      <c r="S50" s="819">
        <v>41760</v>
      </c>
      <c r="T50" s="819">
        <v>41791</v>
      </c>
      <c r="U50" s="819">
        <v>41821</v>
      </c>
      <c r="V50" s="819">
        <v>41852</v>
      </c>
      <c r="W50" s="819">
        <v>41883</v>
      </c>
      <c r="X50" s="819">
        <v>41913</v>
      </c>
      <c r="Y50" s="819">
        <v>41944</v>
      </c>
      <c r="Z50" s="819">
        <v>41974</v>
      </c>
      <c r="AA50" s="819">
        <v>42005</v>
      </c>
      <c r="AB50" s="819">
        <v>42036</v>
      </c>
      <c r="AC50" s="819">
        <v>42064</v>
      </c>
      <c r="AD50" s="819">
        <v>42095</v>
      </c>
      <c r="AE50" s="819">
        <v>42125</v>
      </c>
      <c r="AF50" s="819">
        <v>42156</v>
      </c>
      <c r="AG50" s="819">
        <v>42186</v>
      </c>
      <c r="AH50" s="819">
        <v>42217</v>
      </c>
      <c r="AI50" s="819">
        <v>42248</v>
      </c>
      <c r="AJ50" s="819">
        <v>42278</v>
      </c>
      <c r="AK50" s="819">
        <v>42309</v>
      </c>
      <c r="AL50" s="819">
        <v>42339</v>
      </c>
      <c r="AM50" s="819">
        <v>42370</v>
      </c>
      <c r="AN50" s="819">
        <v>42401</v>
      </c>
      <c r="AO50" s="819">
        <v>42430</v>
      </c>
      <c r="AP50" s="819">
        <v>42461</v>
      </c>
      <c r="AQ50" s="819">
        <v>42491</v>
      </c>
      <c r="AR50" s="819">
        <v>42522</v>
      </c>
      <c r="AS50" s="819">
        <v>42552</v>
      </c>
      <c r="AT50" s="819">
        <v>42583</v>
      </c>
      <c r="AU50" s="819">
        <v>42614</v>
      </c>
      <c r="AV50" s="819">
        <v>42644</v>
      </c>
      <c r="AW50" s="819">
        <v>42675</v>
      </c>
      <c r="AX50" s="819">
        <v>42705</v>
      </c>
      <c r="AY50" s="819">
        <v>42736</v>
      </c>
      <c r="AZ50" s="819">
        <v>42767</v>
      </c>
      <c r="BA50" s="819">
        <v>42795</v>
      </c>
      <c r="BB50" s="819">
        <v>42826</v>
      </c>
      <c r="BC50" s="819">
        <v>42856</v>
      </c>
      <c r="BD50" s="819">
        <v>42887</v>
      </c>
      <c r="BE50" s="819">
        <v>42917</v>
      </c>
      <c r="BF50" s="819">
        <v>42948</v>
      </c>
      <c r="BG50" s="819">
        <v>42979</v>
      </c>
      <c r="BH50" s="819">
        <v>43009</v>
      </c>
      <c r="BI50" s="819">
        <v>43040</v>
      </c>
      <c r="BJ50" s="819">
        <v>43070</v>
      </c>
      <c r="BK50" s="819">
        <v>43101</v>
      </c>
      <c r="BL50" s="819">
        <v>43132</v>
      </c>
      <c r="BM50" s="819">
        <v>43160</v>
      </c>
      <c r="BN50" s="819">
        <v>43191</v>
      </c>
      <c r="BO50" s="819">
        <v>43221</v>
      </c>
      <c r="BP50" s="819">
        <v>43252</v>
      </c>
      <c r="BQ50" s="819">
        <v>43282</v>
      </c>
      <c r="BR50" s="819">
        <v>43313</v>
      </c>
      <c r="BS50" s="819">
        <v>43344</v>
      </c>
      <c r="BT50" s="819">
        <v>43374</v>
      </c>
      <c r="BU50" s="819">
        <v>43405</v>
      </c>
      <c r="BV50" s="819">
        <v>43435</v>
      </c>
      <c r="BW50" s="819">
        <v>43466</v>
      </c>
      <c r="BX50" s="819">
        <v>43497</v>
      </c>
      <c r="BY50" s="819">
        <v>43525</v>
      </c>
      <c r="BZ50" s="819">
        <v>43556</v>
      </c>
      <c r="CA50" s="819">
        <v>43586</v>
      </c>
      <c r="CB50" s="819">
        <v>43617</v>
      </c>
      <c r="CC50" s="819">
        <v>43647</v>
      </c>
      <c r="CD50" s="819">
        <v>43678</v>
      </c>
      <c r="CE50" s="819">
        <v>43709</v>
      </c>
      <c r="CF50" s="819">
        <v>43739</v>
      </c>
      <c r="CG50" s="819">
        <v>43770</v>
      </c>
      <c r="CH50" s="819">
        <v>43800</v>
      </c>
      <c r="CI50" s="819">
        <v>43831</v>
      </c>
      <c r="CJ50" s="819">
        <v>43862</v>
      </c>
      <c r="CK50" s="819">
        <v>43891</v>
      </c>
      <c r="CL50" s="819">
        <v>43922</v>
      </c>
      <c r="CM50" s="819">
        <v>43952</v>
      </c>
      <c r="CN50" s="819">
        <v>43983</v>
      </c>
      <c r="CO50" s="819">
        <v>44013</v>
      </c>
      <c r="CP50" s="819">
        <v>44044</v>
      </c>
      <c r="CQ50" s="819">
        <v>44075</v>
      </c>
      <c r="CR50" s="819">
        <v>44105</v>
      </c>
      <c r="CS50" s="819">
        <v>44136</v>
      </c>
      <c r="CT50" s="819">
        <v>44166</v>
      </c>
      <c r="CU50" s="819">
        <v>44197</v>
      </c>
      <c r="CV50" s="819">
        <v>44228</v>
      </c>
      <c r="CW50" s="819">
        <v>44256</v>
      </c>
      <c r="CX50" s="819">
        <v>44287</v>
      </c>
      <c r="CY50" s="819">
        <v>44317</v>
      </c>
      <c r="CZ50" s="819">
        <v>44348</v>
      </c>
      <c r="DA50" s="819">
        <v>44378</v>
      </c>
      <c r="DB50" s="819">
        <v>44409</v>
      </c>
      <c r="DC50" s="819">
        <v>44440</v>
      </c>
      <c r="DD50" s="819">
        <v>44470</v>
      </c>
      <c r="DE50" s="819">
        <v>44501</v>
      </c>
      <c r="DF50" s="819">
        <v>44531</v>
      </c>
      <c r="DG50" s="819">
        <v>44562</v>
      </c>
      <c r="DH50" s="819">
        <v>44593</v>
      </c>
      <c r="DI50" s="819">
        <v>44621</v>
      </c>
      <c r="DJ50" s="819">
        <v>44652</v>
      </c>
      <c r="DK50" s="819">
        <v>44682</v>
      </c>
      <c r="DL50" s="819">
        <v>44713</v>
      </c>
      <c r="DM50" s="819">
        <v>44743</v>
      </c>
      <c r="DN50" s="819">
        <v>44774</v>
      </c>
      <c r="DO50" s="819">
        <v>44805</v>
      </c>
      <c r="DP50" s="819">
        <v>44835</v>
      </c>
      <c r="DQ50" s="819">
        <v>44866</v>
      </c>
      <c r="DR50" s="819">
        <v>44896</v>
      </c>
      <c r="DS50" s="819">
        <v>44927</v>
      </c>
      <c r="DT50" s="819">
        <v>44958</v>
      </c>
      <c r="DU50" s="819">
        <v>44986</v>
      </c>
      <c r="DV50" s="819">
        <v>45017</v>
      </c>
      <c r="DW50" s="819">
        <v>45047</v>
      </c>
      <c r="DX50" s="819">
        <v>45078</v>
      </c>
      <c r="DY50" s="819">
        <v>45108</v>
      </c>
      <c r="DZ50" s="819">
        <v>45139</v>
      </c>
      <c r="EA50" s="819">
        <v>45170</v>
      </c>
      <c r="EB50" s="835">
        <v>45200</v>
      </c>
      <c r="EC50" s="835">
        <v>45231</v>
      </c>
      <c r="ED50" s="835">
        <v>45261</v>
      </c>
    </row>
    <row r="51" spans="1:134" ht="31.5">
      <c r="B51" s="823" t="s">
        <v>1914</v>
      </c>
      <c r="C51" s="760">
        <v>0.20000000000000284</v>
      </c>
      <c r="D51" s="760">
        <v>-9.9999999999994316E-2</v>
      </c>
      <c r="E51" s="760">
        <v>0</v>
      </c>
      <c r="F51" s="760">
        <v>0</v>
      </c>
      <c r="G51" s="760">
        <v>9.9999999999994316E-2</v>
      </c>
      <c r="H51" s="760">
        <v>0</v>
      </c>
      <c r="I51" s="760">
        <v>-9.9999999999994316E-2</v>
      </c>
      <c r="J51" s="760">
        <v>-0.70000000000000284</v>
      </c>
      <c r="K51" s="760">
        <v>0</v>
      </c>
      <c r="L51" s="760">
        <v>0.40000000000000568</v>
      </c>
      <c r="M51" s="760">
        <v>0.20000000000000284</v>
      </c>
      <c r="N51" s="760">
        <v>0.5</v>
      </c>
      <c r="O51" s="760">
        <v>0.22742624098223985</v>
      </c>
      <c r="P51" s="760">
        <v>0.57418967289784462</v>
      </c>
      <c r="Q51" s="760">
        <v>2.1717601079911333</v>
      </c>
      <c r="R51" s="760">
        <v>3.3477781478453039</v>
      </c>
      <c r="S51" s="760">
        <v>3.8311894109004356</v>
      </c>
      <c r="T51" s="760">
        <v>0.9712730507046814</v>
      </c>
      <c r="U51" s="760">
        <v>0.36296293535743018</v>
      </c>
      <c r="V51" s="760">
        <v>0.81904496056313292</v>
      </c>
      <c r="W51" s="760">
        <v>2.948640436056337</v>
      </c>
      <c r="X51" s="760">
        <v>2.4347837210566325</v>
      </c>
      <c r="Y51" s="760">
        <v>1.9331544870148747</v>
      </c>
      <c r="Z51" s="760">
        <v>3</v>
      </c>
      <c r="AA51" s="760">
        <v>3.1365861735452683</v>
      </c>
      <c r="AB51" s="760">
        <v>5.2585287076712461</v>
      </c>
      <c r="AC51" s="760">
        <v>10.835274745452665</v>
      </c>
      <c r="AD51" s="760">
        <v>13.965954227288051</v>
      </c>
      <c r="AE51" s="760">
        <v>2.2223897560082406</v>
      </c>
      <c r="AF51" s="760">
        <v>0.40086137467079652</v>
      </c>
      <c r="AG51" s="760">
        <v>-1.0092080094883755</v>
      </c>
      <c r="AH51" s="760">
        <v>-0.76169643968493972</v>
      </c>
      <c r="AI51" s="760">
        <v>2.2999999999999972</v>
      </c>
      <c r="AJ51" s="760">
        <v>-1.2999999999999972</v>
      </c>
      <c r="AK51" s="760">
        <v>2</v>
      </c>
      <c r="AL51" s="760">
        <v>0.70000000000000284</v>
      </c>
      <c r="AM51" s="760">
        <v>0.90000000000000568</v>
      </c>
      <c r="AN51" s="760">
        <v>-0.40000000000000568</v>
      </c>
      <c r="AO51" s="760">
        <v>1</v>
      </c>
      <c r="AP51" s="760">
        <v>3.5</v>
      </c>
      <c r="AQ51" s="760">
        <v>0.1</v>
      </c>
      <c r="AR51" s="760">
        <v>-0.20000000000000284</v>
      </c>
      <c r="AS51" s="760">
        <v>-0.1</v>
      </c>
      <c r="AT51" s="760">
        <v>-0.3</v>
      </c>
      <c r="AU51" s="760">
        <v>1.8</v>
      </c>
      <c r="AV51" s="760">
        <v>2.8</v>
      </c>
      <c r="AW51" s="760">
        <v>1.8</v>
      </c>
      <c r="AX51" s="760">
        <v>0.9</v>
      </c>
      <c r="AY51" s="760">
        <v>1.1000000000000001</v>
      </c>
      <c r="AZ51" s="760">
        <v>1</v>
      </c>
      <c r="BA51" s="760">
        <v>1.8</v>
      </c>
      <c r="BB51" s="760">
        <v>0.9</v>
      </c>
      <c r="BC51" s="760">
        <v>1.3</v>
      </c>
      <c r="BD51" s="760">
        <v>1.6</v>
      </c>
      <c r="BE51" s="760">
        <v>0.2</v>
      </c>
      <c r="BF51" s="760">
        <v>-0.1</v>
      </c>
      <c r="BG51" s="760">
        <v>2</v>
      </c>
      <c r="BH51" s="760">
        <v>1.2</v>
      </c>
      <c r="BI51" s="760">
        <v>0.9</v>
      </c>
      <c r="BJ51" s="760">
        <v>1</v>
      </c>
      <c r="BK51" s="824">
        <v>1.5</v>
      </c>
      <c r="BL51" s="760">
        <v>0.9</v>
      </c>
      <c r="BM51" s="760">
        <v>1.1000000000000001</v>
      </c>
      <c r="BN51" s="760">
        <v>0.8</v>
      </c>
      <c r="BO51" s="760">
        <v>0</v>
      </c>
      <c r="BP51" s="760">
        <v>0</v>
      </c>
      <c r="BQ51" s="760">
        <v>-0.7</v>
      </c>
      <c r="BR51" s="760">
        <v>0</v>
      </c>
      <c r="BS51" s="760">
        <v>1.9</v>
      </c>
      <c r="BT51" s="760">
        <v>1.7</v>
      </c>
      <c r="BU51" s="760">
        <v>1.4</v>
      </c>
      <c r="BV51" s="760">
        <v>0.8</v>
      </c>
      <c r="BW51" s="760">
        <v>1</v>
      </c>
      <c r="BX51" s="760">
        <v>0.5</v>
      </c>
      <c r="BY51" s="760">
        <v>0.9</v>
      </c>
      <c r="BZ51" s="760">
        <v>1</v>
      </c>
      <c r="CA51" s="760">
        <v>0.7</v>
      </c>
      <c r="CB51" s="760">
        <v>-0.5</v>
      </c>
      <c r="CC51" s="760">
        <v>-0.6</v>
      </c>
      <c r="CD51" s="760">
        <v>-0.3</v>
      </c>
      <c r="CE51" s="760">
        <v>0.7</v>
      </c>
      <c r="CF51" s="760">
        <v>0.7</v>
      </c>
      <c r="CG51" s="760">
        <v>0.1</v>
      </c>
      <c r="CH51" s="760">
        <v>-0.2</v>
      </c>
      <c r="CI51" s="760">
        <v>0.2</v>
      </c>
      <c r="CJ51" s="760">
        <v>-0.3</v>
      </c>
      <c r="CK51" s="760">
        <v>0.8</v>
      </c>
      <c r="CL51" s="760">
        <v>0.8</v>
      </c>
      <c r="CM51" s="760">
        <v>0.3</v>
      </c>
      <c r="CN51" s="760">
        <v>0.2</v>
      </c>
      <c r="CO51" s="760">
        <v>-0.6</v>
      </c>
      <c r="CP51" s="760">
        <v>-0.2</v>
      </c>
      <c r="CQ51" s="760">
        <v>0.5</v>
      </c>
      <c r="CR51" s="760">
        <v>1</v>
      </c>
      <c r="CS51" s="760">
        <v>1.3</v>
      </c>
      <c r="CT51" s="760">
        <v>0.9</v>
      </c>
      <c r="CU51" s="760">
        <v>1.3</v>
      </c>
      <c r="CV51" s="760">
        <v>1</v>
      </c>
      <c r="CW51" s="760">
        <v>1.7</v>
      </c>
      <c r="CX51" s="760">
        <v>0.7</v>
      </c>
      <c r="CY51" s="760">
        <v>1.3</v>
      </c>
      <c r="CZ51" s="760">
        <v>0.2</v>
      </c>
      <c r="DA51" s="760">
        <v>0.1</v>
      </c>
      <c r="DB51" s="760">
        <v>-0.2</v>
      </c>
      <c r="DC51" s="760">
        <v>1.2</v>
      </c>
      <c r="DD51" s="760">
        <v>0.9</v>
      </c>
      <c r="DE51" s="760">
        <v>0.8</v>
      </c>
      <c r="DF51" s="760">
        <v>0.6</v>
      </c>
      <c r="DG51" s="760">
        <v>1.3</v>
      </c>
      <c r="DH51" s="760">
        <v>1.6</v>
      </c>
      <c r="DI51" s="760">
        <v>4.5</v>
      </c>
      <c r="DJ51" s="760">
        <v>3.1</v>
      </c>
      <c r="DK51" s="760">
        <v>2.7</v>
      </c>
      <c r="DL51" s="760">
        <v>3.1</v>
      </c>
      <c r="DM51" s="760">
        <v>0.7</v>
      </c>
      <c r="DN51" s="760">
        <v>1.1000000000000001</v>
      </c>
      <c r="DO51" s="760">
        <v>1.8629999999999995</v>
      </c>
      <c r="DP51" s="760">
        <v>2.5</v>
      </c>
      <c r="DQ51" s="760">
        <v>0.7</v>
      </c>
      <c r="DR51" s="760">
        <v>0.7</v>
      </c>
      <c r="DS51" s="760">
        <v>0.8</v>
      </c>
      <c r="DT51" s="760">
        <v>0.7</v>
      </c>
      <c r="DU51" s="760">
        <v>1.5</v>
      </c>
      <c r="DV51" s="760">
        <v>0.2</v>
      </c>
      <c r="DW51" s="760">
        <v>0.5</v>
      </c>
      <c r="DX51" s="760">
        <v>0.8</v>
      </c>
      <c r="DY51" s="760">
        <v>-0.6</v>
      </c>
      <c r="DZ51" s="760">
        <v>-1.4</v>
      </c>
      <c r="EA51" s="760">
        <v>0.5</v>
      </c>
      <c r="EB51" s="760">
        <v>0.8</v>
      </c>
      <c r="EC51" s="911">
        <v>0.5</v>
      </c>
    </row>
    <row r="52" spans="1:134" ht="15.75">
      <c r="A52" s="644">
        <v>0.435551857324664</v>
      </c>
      <c r="B52" s="821" t="s">
        <v>517</v>
      </c>
      <c r="C52" s="825">
        <v>0.29999999999999716</v>
      </c>
      <c r="D52" s="825">
        <v>-0.20000000000000284</v>
      </c>
      <c r="E52" s="825">
        <v>-0.29999999999999716</v>
      </c>
      <c r="F52" s="825">
        <v>-9.9999999999994316E-2</v>
      </c>
      <c r="G52" s="825">
        <v>0</v>
      </c>
      <c r="H52" s="825">
        <v>-9.9999999999994316E-2</v>
      </c>
      <c r="I52" s="825">
        <v>-0.29999999999999716</v>
      </c>
      <c r="J52" s="825">
        <v>-1.5</v>
      </c>
      <c r="K52" s="825">
        <v>-9.9999999999994316E-2</v>
      </c>
      <c r="L52" s="825">
        <v>0.59999999999999432</v>
      </c>
      <c r="M52" s="825">
        <v>0.20000000000000284</v>
      </c>
      <c r="N52" s="825">
        <v>0.79999999999999716</v>
      </c>
      <c r="O52" s="825">
        <v>0.37582482185752042</v>
      </c>
      <c r="P52" s="825">
        <v>1.2334851707577172</v>
      </c>
      <c r="Q52" s="825">
        <v>2.3818687375600547</v>
      </c>
      <c r="R52" s="825">
        <v>4.1795083366012307</v>
      </c>
      <c r="S52" s="825">
        <v>3.6394609278364527</v>
      </c>
      <c r="T52" s="825">
        <v>0.65052083571374908</v>
      </c>
      <c r="U52" s="825">
        <v>-0.73681894298437101</v>
      </c>
      <c r="V52" s="825">
        <v>-8.1416632792993937E-2</v>
      </c>
      <c r="W52" s="825">
        <v>2.9463377989987265</v>
      </c>
      <c r="X52" s="825">
        <v>2.5522170424877402</v>
      </c>
      <c r="Y52" s="825">
        <v>1.2887672337809732</v>
      </c>
      <c r="Z52" s="825">
        <v>4</v>
      </c>
      <c r="AA52" s="825">
        <v>4.7044755669311371</v>
      </c>
      <c r="AB52" s="825">
        <v>5.7474689969625672</v>
      </c>
      <c r="AC52" s="825">
        <v>15.561047163363398</v>
      </c>
      <c r="AD52" s="825">
        <v>4.3621449851174248</v>
      </c>
      <c r="AE52" s="825">
        <v>3.0787380926952324</v>
      </c>
      <c r="AF52" s="825">
        <v>-1.4337546703004023E-2</v>
      </c>
      <c r="AG52" s="825">
        <v>-1.9897062566042507</v>
      </c>
      <c r="AH52" s="825">
        <v>-1.7300405423505936</v>
      </c>
      <c r="AI52" s="825">
        <v>1.2000000000000028</v>
      </c>
      <c r="AJ52" s="825">
        <v>1.0999999999999943</v>
      </c>
      <c r="AK52" s="825">
        <v>2.5</v>
      </c>
      <c r="AL52" s="825">
        <v>1.7000000000000028</v>
      </c>
      <c r="AM52" s="825">
        <v>2.2000000000000028</v>
      </c>
      <c r="AN52" s="826">
        <v>-0.70000000000000284</v>
      </c>
      <c r="AO52" s="826">
        <v>-0.7</v>
      </c>
      <c r="AP52" s="826">
        <v>0.1</v>
      </c>
      <c r="AQ52" s="826">
        <v>0.2</v>
      </c>
      <c r="AR52" s="826">
        <v>-0.59999999999999432</v>
      </c>
      <c r="AS52" s="826">
        <v>-0.9</v>
      </c>
      <c r="AT52" s="826">
        <v>-1</v>
      </c>
      <c r="AU52" s="826">
        <v>0.3</v>
      </c>
      <c r="AV52" s="826">
        <v>1.8</v>
      </c>
      <c r="AW52" s="826">
        <v>1</v>
      </c>
      <c r="AX52" s="826">
        <v>1.6</v>
      </c>
      <c r="AY52" s="826">
        <v>1.9</v>
      </c>
      <c r="AZ52" s="826">
        <v>1.5</v>
      </c>
      <c r="BA52" s="826">
        <v>1.1000000000000001</v>
      </c>
      <c r="BB52" s="826">
        <v>1.2</v>
      </c>
      <c r="BC52" s="826">
        <v>2.2999999999999998</v>
      </c>
      <c r="BD52" s="826">
        <v>3.3</v>
      </c>
      <c r="BE52" s="826">
        <v>0.3</v>
      </c>
      <c r="BF52" s="826">
        <v>-0.6</v>
      </c>
      <c r="BG52" s="826">
        <v>2</v>
      </c>
      <c r="BH52" s="826">
        <v>1.1000000000000001</v>
      </c>
      <c r="BI52" s="826">
        <v>0.9</v>
      </c>
      <c r="BJ52" s="826">
        <v>1.5</v>
      </c>
      <c r="BK52" s="827">
        <v>2</v>
      </c>
      <c r="BL52" s="826">
        <v>1</v>
      </c>
      <c r="BM52" s="826">
        <v>1.1000000000000001</v>
      </c>
      <c r="BN52" s="826">
        <v>1.1000000000000001</v>
      </c>
      <c r="BO52" s="826">
        <v>-0.7</v>
      </c>
      <c r="BP52" s="826">
        <v>-0.5</v>
      </c>
      <c r="BQ52" s="826">
        <v>-1.9</v>
      </c>
      <c r="BR52" s="826">
        <v>-0.6</v>
      </c>
      <c r="BS52" s="826">
        <v>1.6</v>
      </c>
      <c r="BT52" s="826">
        <v>1.4</v>
      </c>
      <c r="BU52" s="826">
        <v>1.3</v>
      </c>
      <c r="BV52" s="826">
        <v>1.8</v>
      </c>
      <c r="BW52" s="826">
        <v>2.1</v>
      </c>
      <c r="BX52" s="826">
        <v>0.9</v>
      </c>
      <c r="BY52" s="826">
        <v>0.4</v>
      </c>
      <c r="BZ52" s="826">
        <v>1.4</v>
      </c>
      <c r="CA52" s="826">
        <v>1</v>
      </c>
      <c r="CB52" s="826">
        <v>-1.1000000000000001</v>
      </c>
      <c r="CC52" s="826">
        <v>-0.7</v>
      </c>
      <c r="CD52" s="826">
        <v>-0.3</v>
      </c>
      <c r="CE52" s="826">
        <v>0.3</v>
      </c>
      <c r="CF52" s="826">
        <v>0.9</v>
      </c>
      <c r="CG52" s="826">
        <v>-0.2</v>
      </c>
      <c r="CH52" s="826">
        <v>0</v>
      </c>
      <c r="CI52" s="826">
        <v>0.5</v>
      </c>
      <c r="CJ52" s="826">
        <v>-0.4</v>
      </c>
      <c r="CK52" s="826">
        <v>0.4</v>
      </c>
      <c r="CL52" s="826">
        <v>2.1</v>
      </c>
      <c r="CM52" s="826">
        <v>1.2</v>
      </c>
      <c r="CN52" s="826">
        <v>0.4</v>
      </c>
      <c r="CO52" s="826">
        <v>-1.4</v>
      </c>
      <c r="CP52" s="826">
        <v>-1.5</v>
      </c>
      <c r="CQ52" s="826">
        <v>-0.6</v>
      </c>
      <c r="CR52" s="826">
        <v>1.1000000000000001</v>
      </c>
      <c r="CS52" s="826">
        <v>1.4</v>
      </c>
      <c r="CT52" s="826">
        <v>1.7</v>
      </c>
      <c r="CU52" s="826">
        <v>1.4</v>
      </c>
      <c r="CV52" s="826">
        <v>2.1</v>
      </c>
      <c r="CW52" s="826">
        <v>2.1</v>
      </c>
      <c r="CX52" s="826">
        <v>1.2</v>
      </c>
      <c r="CY52" s="826">
        <v>1.7</v>
      </c>
      <c r="CZ52" s="826">
        <v>-0.1</v>
      </c>
      <c r="DA52" s="826">
        <v>-0.1</v>
      </c>
      <c r="DB52" s="826">
        <v>-0.7</v>
      </c>
      <c r="DC52" s="826">
        <v>1.1000000000000001</v>
      </c>
      <c r="DD52" s="826">
        <v>1.1000000000000001</v>
      </c>
      <c r="DE52" s="826">
        <v>1.1000000000000001</v>
      </c>
      <c r="DF52" s="826">
        <v>1.2</v>
      </c>
      <c r="DG52" s="826">
        <v>2.5</v>
      </c>
      <c r="DH52" s="826">
        <v>2.4</v>
      </c>
      <c r="DI52" s="826">
        <v>6.2</v>
      </c>
      <c r="DJ52" s="826">
        <v>4.2</v>
      </c>
      <c r="DK52" s="826">
        <v>2.7</v>
      </c>
      <c r="DL52" s="826">
        <v>3.2</v>
      </c>
      <c r="DM52" s="826">
        <v>0.8</v>
      </c>
      <c r="DN52" s="826">
        <v>0.7</v>
      </c>
      <c r="DO52" s="826">
        <v>1.9240000000000066</v>
      </c>
      <c r="DP52" s="826">
        <v>4.2</v>
      </c>
      <c r="DQ52" s="826">
        <v>0.6</v>
      </c>
      <c r="DR52" s="826">
        <v>0.7</v>
      </c>
      <c r="DS52" s="826">
        <v>1.4</v>
      </c>
      <c r="DT52" s="826">
        <v>1.5</v>
      </c>
      <c r="DU52" s="826">
        <v>2.2000000000000002</v>
      </c>
      <c r="DV52" s="826">
        <v>0.4</v>
      </c>
      <c r="DW52" s="826">
        <v>0.9</v>
      </c>
      <c r="DX52" s="826">
        <v>0.1</v>
      </c>
      <c r="DY52" s="826">
        <v>-1.9</v>
      </c>
      <c r="DZ52" s="826">
        <v>-3.7</v>
      </c>
      <c r="EA52" s="826">
        <v>-0.5</v>
      </c>
      <c r="EB52" s="826">
        <v>1</v>
      </c>
      <c r="EC52" s="912">
        <v>0.8</v>
      </c>
      <c r="ED52" s="836">
        <f>N77</f>
        <v>8.5000000000000006E-3</v>
      </c>
    </row>
    <row r="53" spans="1:134" ht="15.75">
      <c r="A53" s="644">
        <v>8.2030630245624583E-2</v>
      </c>
      <c r="B53" s="821" t="s">
        <v>886</v>
      </c>
      <c r="C53" s="825">
        <v>0.40000000000000568</v>
      </c>
      <c r="D53" s="825">
        <v>0.40000000000000568</v>
      </c>
      <c r="E53" s="825">
        <v>1.7000000000000028</v>
      </c>
      <c r="F53" s="825">
        <v>1.0999999999999943</v>
      </c>
      <c r="G53" s="825">
        <v>0.59999999999999432</v>
      </c>
      <c r="H53" s="825">
        <v>0.70000000000000284</v>
      </c>
      <c r="I53" s="825">
        <v>0.90000000000000568</v>
      </c>
      <c r="J53" s="825">
        <v>1</v>
      </c>
      <c r="K53" s="825">
        <v>0.40000000000000568</v>
      </c>
      <c r="L53" s="825">
        <v>0.5</v>
      </c>
      <c r="M53" s="825">
        <v>0.79999999999999716</v>
      </c>
      <c r="N53" s="825">
        <v>1.2000000000000028</v>
      </c>
      <c r="O53" s="825">
        <v>1.1129478008705718</v>
      </c>
      <c r="P53" s="825">
        <v>0.89471974267524956</v>
      </c>
      <c r="Q53" s="825">
        <v>0.65936202940225996</v>
      </c>
      <c r="R53" s="825">
        <v>1.0748739505958724</v>
      </c>
      <c r="S53" s="825">
        <v>1.362319261204334</v>
      </c>
      <c r="T53" s="825">
        <v>1.9992860095292144</v>
      </c>
      <c r="U53" s="825">
        <v>2.756723916977478</v>
      </c>
      <c r="V53" s="825">
        <v>3.9974937914744544</v>
      </c>
      <c r="W53" s="825">
        <v>3.7739253597185893</v>
      </c>
      <c r="X53" s="825">
        <v>2.5484513980369883</v>
      </c>
      <c r="Y53" s="825">
        <v>1.185617216795734</v>
      </c>
      <c r="Z53" s="825">
        <v>1.7999999999999972</v>
      </c>
      <c r="AA53" s="825">
        <v>4.5796624482176753</v>
      </c>
      <c r="AB53" s="825">
        <v>3.4393539147937275</v>
      </c>
      <c r="AC53" s="825">
        <v>3.32441690174727</v>
      </c>
      <c r="AD53" s="825">
        <v>1.8187394246609756</v>
      </c>
      <c r="AE53" s="825">
        <v>2.2097483307466774</v>
      </c>
      <c r="AF53" s="825">
        <v>2.4562010867953603</v>
      </c>
      <c r="AG53" s="825">
        <v>1.6661119062725049</v>
      </c>
      <c r="AH53" s="825">
        <v>1.1013386965843068</v>
      </c>
      <c r="AI53" s="825">
        <v>2.2000000000000028</v>
      </c>
      <c r="AJ53" s="825">
        <v>0.5</v>
      </c>
      <c r="AK53" s="825">
        <v>-0.59999999999999432</v>
      </c>
      <c r="AL53" s="825">
        <v>-1.9000000000000057</v>
      </c>
      <c r="AM53" s="825">
        <v>-1.9000000000000057</v>
      </c>
      <c r="AN53" s="826">
        <v>-1.2999999999999972</v>
      </c>
      <c r="AO53" s="826">
        <v>1.3</v>
      </c>
      <c r="AP53" s="826">
        <v>2.8</v>
      </c>
      <c r="AQ53" s="826">
        <v>3.3</v>
      </c>
      <c r="AR53" s="826">
        <v>2.7000000000000028</v>
      </c>
      <c r="AS53" s="826">
        <v>2.5</v>
      </c>
      <c r="AT53" s="826">
        <v>2.4</v>
      </c>
      <c r="AU53" s="826">
        <v>2.1</v>
      </c>
      <c r="AV53" s="826">
        <v>2.2000000000000002</v>
      </c>
      <c r="AW53" s="826">
        <v>1.3</v>
      </c>
      <c r="AX53" s="826">
        <v>3.2</v>
      </c>
      <c r="AY53" s="826">
        <v>1.2</v>
      </c>
      <c r="AZ53" s="826">
        <v>1.7</v>
      </c>
      <c r="BA53" s="826">
        <v>1.3</v>
      </c>
      <c r="BB53" s="826">
        <v>1.3</v>
      </c>
      <c r="BC53" s="826">
        <v>2.7</v>
      </c>
      <c r="BD53" s="826">
        <v>2.6</v>
      </c>
      <c r="BE53" s="826">
        <v>1.6</v>
      </c>
      <c r="BF53" s="826">
        <v>1.4</v>
      </c>
      <c r="BG53" s="826">
        <v>2.7</v>
      </c>
      <c r="BH53" s="826">
        <v>1.3</v>
      </c>
      <c r="BI53" s="826">
        <v>0.6</v>
      </c>
      <c r="BJ53" s="826">
        <v>0.6</v>
      </c>
      <c r="BK53" s="827">
        <v>1.1000000000000001</v>
      </c>
      <c r="BL53" s="826">
        <v>1.4</v>
      </c>
      <c r="BM53" s="826">
        <v>1.3</v>
      </c>
      <c r="BN53" s="826">
        <v>1.5</v>
      </c>
      <c r="BO53" s="826">
        <v>1.8</v>
      </c>
      <c r="BP53" s="826">
        <v>1.6</v>
      </c>
      <c r="BQ53" s="826">
        <v>1.8</v>
      </c>
      <c r="BR53" s="826">
        <v>0.9</v>
      </c>
      <c r="BS53" s="826">
        <v>0.8</v>
      </c>
      <c r="BT53" s="826">
        <v>2.2999999999999998</v>
      </c>
      <c r="BU53" s="826">
        <v>1.1000000000000001</v>
      </c>
      <c r="BV53" s="826">
        <v>1</v>
      </c>
      <c r="BW53" s="826">
        <v>1.2</v>
      </c>
      <c r="BX53" s="826">
        <v>1.2</v>
      </c>
      <c r="BY53" s="826">
        <v>0.9</v>
      </c>
      <c r="BZ53" s="826">
        <v>1.2</v>
      </c>
      <c r="CA53" s="826">
        <v>1.3</v>
      </c>
      <c r="CB53" s="826">
        <v>1.2</v>
      </c>
      <c r="CC53" s="826">
        <v>1.1000000000000001</v>
      </c>
      <c r="CD53" s="826">
        <v>0.8</v>
      </c>
      <c r="CE53" s="826">
        <v>1</v>
      </c>
      <c r="CF53" s="826">
        <v>0.8</v>
      </c>
      <c r="CG53" s="826">
        <v>0.8</v>
      </c>
      <c r="CH53" s="826">
        <v>0.8</v>
      </c>
      <c r="CI53" s="826">
        <v>0.8</v>
      </c>
      <c r="CJ53" s="826">
        <v>0.8</v>
      </c>
      <c r="CK53" s="826">
        <v>0.9</v>
      </c>
      <c r="CL53" s="826">
        <v>0.9</v>
      </c>
      <c r="CM53" s="826">
        <v>1.1000000000000001</v>
      </c>
      <c r="CN53" s="826">
        <v>0.5</v>
      </c>
      <c r="CO53" s="826">
        <v>0.5</v>
      </c>
      <c r="CP53" s="826">
        <v>0.5</v>
      </c>
      <c r="CQ53" s="826">
        <v>0.6</v>
      </c>
      <c r="CR53" s="826">
        <v>0.9</v>
      </c>
      <c r="CS53" s="826">
        <v>0.8</v>
      </c>
      <c r="CT53" s="826">
        <v>0.5</v>
      </c>
      <c r="CU53" s="826">
        <v>1</v>
      </c>
      <c r="CV53" s="826">
        <v>1.3</v>
      </c>
      <c r="CW53" s="826">
        <v>0.7</v>
      </c>
      <c r="CX53" s="826">
        <v>0.9</v>
      </c>
      <c r="CY53" s="826">
        <v>0.7</v>
      </c>
      <c r="CZ53" s="826">
        <v>1</v>
      </c>
      <c r="DA53" s="826">
        <v>0.8</v>
      </c>
      <c r="DB53" s="826">
        <v>0.4</v>
      </c>
      <c r="DC53" s="826">
        <v>0.8</v>
      </c>
      <c r="DD53" s="826">
        <v>0.6</v>
      </c>
      <c r="DE53" s="826">
        <v>0.6</v>
      </c>
      <c r="DF53" s="826">
        <v>0.2</v>
      </c>
      <c r="DG53" s="826">
        <v>0.9</v>
      </c>
      <c r="DH53" s="826">
        <v>1.2</v>
      </c>
      <c r="DI53" s="826">
        <v>1.3</v>
      </c>
      <c r="DJ53" s="826">
        <v>4.8</v>
      </c>
      <c r="DK53" s="826">
        <v>3.9</v>
      </c>
      <c r="DL53" s="826">
        <v>2.4</v>
      </c>
      <c r="DM53" s="826">
        <v>1.3</v>
      </c>
      <c r="DN53" s="826">
        <v>1.2</v>
      </c>
      <c r="DO53" s="826">
        <v>1.0589999999999975</v>
      </c>
      <c r="DP53" s="826">
        <v>0.9</v>
      </c>
      <c r="DQ53" s="826">
        <v>1</v>
      </c>
      <c r="DR53" s="826">
        <v>0.7</v>
      </c>
      <c r="DS53" s="826">
        <v>0.8</v>
      </c>
      <c r="DT53" s="826">
        <v>1.1000000000000001</v>
      </c>
      <c r="DU53" s="826">
        <v>1</v>
      </c>
      <c r="DV53" s="826">
        <v>1</v>
      </c>
      <c r="DW53" s="826">
        <v>1.2</v>
      </c>
      <c r="DX53" s="826">
        <v>0.8</v>
      </c>
      <c r="DY53" s="826">
        <v>1</v>
      </c>
      <c r="DZ53" s="826">
        <v>0.8</v>
      </c>
      <c r="EA53" s="826">
        <v>0.70000000000000284</v>
      </c>
      <c r="EB53" s="826">
        <v>0.4</v>
      </c>
      <c r="EC53" s="912">
        <v>0.3</v>
      </c>
      <c r="ED53" s="836">
        <f>N93</f>
        <v>3.5000000000000001E-3</v>
      </c>
    </row>
    <row r="54" spans="1:134" ht="15.75">
      <c r="A54" s="644">
        <v>4.993779962547875E-2</v>
      </c>
      <c r="B54" s="821" t="s">
        <v>924</v>
      </c>
      <c r="C54" s="825">
        <v>-0.70000000000000284</v>
      </c>
      <c r="D54" s="825">
        <v>-0.90000000000000568</v>
      </c>
      <c r="E54" s="825">
        <v>-0.40000000000000568</v>
      </c>
      <c r="F54" s="825">
        <v>-9.9999999999994316E-2</v>
      </c>
      <c r="G54" s="825">
        <v>-9.9999999999994316E-2</v>
      </c>
      <c r="H54" s="825">
        <v>-0.20000000000000284</v>
      </c>
      <c r="I54" s="825">
        <v>-0.59999999999999432</v>
      </c>
      <c r="J54" s="825">
        <v>-0.59999999999999432</v>
      </c>
      <c r="K54" s="825">
        <v>-9.9999999999994316E-2</v>
      </c>
      <c r="L54" s="825">
        <v>0.20000000000000284</v>
      </c>
      <c r="M54" s="825">
        <v>9.9999999999994316E-2</v>
      </c>
      <c r="N54" s="825">
        <v>-9.9999999999994316E-2</v>
      </c>
      <c r="O54" s="825">
        <v>-1.6541574175854947</v>
      </c>
      <c r="P54" s="825">
        <v>-4.9114857593454531</v>
      </c>
      <c r="Q54" s="825">
        <v>6.1767038213013308</v>
      </c>
      <c r="R54" s="825">
        <v>2.6859178271495949</v>
      </c>
      <c r="S54" s="825">
        <v>0.38290171977770626</v>
      </c>
      <c r="T54" s="825">
        <v>-1.7628805033536281</v>
      </c>
      <c r="U54" s="825">
        <v>-3.1974752798371071</v>
      </c>
      <c r="V54" s="825">
        <v>-0.77159303389319689</v>
      </c>
      <c r="W54" s="825">
        <v>7.85048149190402</v>
      </c>
      <c r="X54" s="825">
        <v>6.3667899365744205</v>
      </c>
      <c r="Y54" s="825">
        <v>2.3978794192441484</v>
      </c>
      <c r="Z54" s="825">
        <v>0.90000000000000568</v>
      </c>
      <c r="AA54" s="825">
        <v>-1.8560530874948853</v>
      </c>
      <c r="AB54" s="825">
        <v>2.1764104550561854</v>
      </c>
      <c r="AC54" s="825">
        <v>13.512515443705041</v>
      </c>
      <c r="AD54" s="825">
        <v>4.597045570289211</v>
      </c>
      <c r="AE54" s="825">
        <v>0.99098912050881438</v>
      </c>
      <c r="AF54" s="825">
        <v>-1.8466535895960448</v>
      </c>
      <c r="AG54" s="825">
        <v>-4.6801642229342661</v>
      </c>
      <c r="AH54" s="825">
        <v>-1.2355784213116152</v>
      </c>
      <c r="AI54" s="825">
        <v>18.299999999999997</v>
      </c>
      <c r="AJ54" s="825">
        <v>3.5999999999999943</v>
      </c>
      <c r="AK54" s="825">
        <v>0.79999999999999716</v>
      </c>
      <c r="AL54" s="825">
        <v>-1.7000000000000028</v>
      </c>
      <c r="AM54" s="825">
        <v>-4.4000000000000057</v>
      </c>
      <c r="AN54" s="826">
        <v>-2</v>
      </c>
      <c r="AO54" s="826">
        <v>10.7</v>
      </c>
      <c r="AP54" s="826">
        <v>1.7</v>
      </c>
      <c r="AQ54" s="826">
        <v>0</v>
      </c>
      <c r="AR54" s="826">
        <v>-2</v>
      </c>
      <c r="AS54" s="826">
        <v>-3.5</v>
      </c>
      <c r="AT54" s="826">
        <v>-3.3</v>
      </c>
      <c r="AU54" s="826">
        <v>10.3</v>
      </c>
      <c r="AV54" s="826">
        <v>2.5</v>
      </c>
      <c r="AW54" s="826">
        <v>-0.5</v>
      </c>
      <c r="AX54" s="826">
        <v>-2.8</v>
      </c>
      <c r="AY54" s="826">
        <v>-4.3</v>
      </c>
      <c r="AZ54" s="826">
        <v>-2.8</v>
      </c>
      <c r="BA54" s="826">
        <v>10.5</v>
      </c>
      <c r="BB54" s="826">
        <v>0.9</v>
      </c>
      <c r="BC54" s="826">
        <v>-1</v>
      </c>
      <c r="BD54" s="826">
        <v>-2.5</v>
      </c>
      <c r="BE54" s="826">
        <v>-4.4000000000000004</v>
      </c>
      <c r="BF54" s="826">
        <v>-2.4</v>
      </c>
      <c r="BG54" s="826">
        <v>8.9</v>
      </c>
      <c r="BH54" s="826">
        <v>2.4</v>
      </c>
      <c r="BI54" s="826">
        <v>-0.7</v>
      </c>
      <c r="BJ54" s="826">
        <v>-2.4</v>
      </c>
      <c r="BK54" s="827">
        <v>-3.9</v>
      </c>
      <c r="BL54" s="826">
        <v>-2.8</v>
      </c>
      <c r="BM54" s="826">
        <v>9.6</v>
      </c>
      <c r="BN54" s="826">
        <v>2.1</v>
      </c>
      <c r="BO54" s="826">
        <v>-0.4</v>
      </c>
      <c r="BP54" s="826">
        <v>-2.4</v>
      </c>
      <c r="BQ54" s="826">
        <v>-4.5999999999999996</v>
      </c>
      <c r="BR54" s="826">
        <v>-2.6</v>
      </c>
      <c r="BS54" s="826">
        <v>8.6</v>
      </c>
      <c r="BT54" s="826">
        <v>2.6</v>
      </c>
      <c r="BU54" s="826">
        <v>-0.6</v>
      </c>
      <c r="BV54" s="826">
        <v>-2.5</v>
      </c>
      <c r="BW54" s="826">
        <v>-4.5999999999999996</v>
      </c>
      <c r="BX54" s="826">
        <v>-3.5</v>
      </c>
      <c r="BY54" s="826">
        <v>11.3</v>
      </c>
      <c r="BZ54" s="826">
        <v>1.9</v>
      </c>
      <c r="CA54" s="826">
        <v>-1.5</v>
      </c>
      <c r="CB54" s="826">
        <v>-3</v>
      </c>
      <c r="CC54" s="826">
        <v>-4.5</v>
      </c>
      <c r="CD54" s="826">
        <v>-2.8</v>
      </c>
      <c r="CE54" s="826">
        <v>8.6999999999999993</v>
      </c>
      <c r="CF54" s="826">
        <v>1.9</v>
      </c>
      <c r="CG54" s="826">
        <v>-1.4</v>
      </c>
      <c r="CH54" s="826">
        <v>-3.4</v>
      </c>
      <c r="CI54" s="826">
        <v>-5.6</v>
      </c>
      <c r="CJ54" s="826">
        <v>-4.3</v>
      </c>
      <c r="CK54" s="826">
        <v>12.8</v>
      </c>
      <c r="CL54" s="826">
        <v>0.4</v>
      </c>
      <c r="CM54" s="826">
        <v>-1.4</v>
      </c>
      <c r="CN54" s="826">
        <v>-2.8</v>
      </c>
      <c r="CO54" s="826">
        <v>-4.8</v>
      </c>
      <c r="CP54" s="826">
        <v>-3</v>
      </c>
      <c r="CQ54" s="826">
        <v>7.9</v>
      </c>
      <c r="CR54" s="826">
        <v>2</v>
      </c>
      <c r="CS54" s="826">
        <v>-2.5</v>
      </c>
      <c r="CT54" s="826">
        <v>-4.5999999999999996</v>
      </c>
      <c r="CU54" s="826">
        <v>-4</v>
      </c>
      <c r="CV54" s="826">
        <v>-3.5</v>
      </c>
      <c r="CW54" s="826">
        <v>12.7</v>
      </c>
      <c r="CX54" s="826">
        <v>0.9</v>
      </c>
      <c r="CY54" s="826">
        <v>-0.6</v>
      </c>
      <c r="CZ54" s="826">
        <v>-2.8</v>
      </c>
      <c r="DA54" s="826">
        <v>-5.2</v>
      </c>
      <c r="DB54" s="826">
        <v>-3</v>
      </c>
      <c r="DC54" s="826">
        <v>7.9</v>
      </c>
      <c r="DD54" s="826">
        <v>1.2</v>
      </c>
      <c r="DE54" s="826">
        <v>-2.1</v>
      </c>
      <c r="DF54" s="826">
        <v>-3.6</v>
      </c>
      <c r="DG54" s="826">
        <v>-5.7</v>
      </c>
      <c r="DH54" s="826">
        <v>-4.2</v>
      </c>
      <c r="DI54" s="826">
        <v>13</v>
      </c>
      <c r="DJ54" s="826">
        <v>0.5</v>
      </c>
      <c r="DK54" s="826">
        <v>-0.2</v>
      </c>
      <c r="DL54" s="826">
        <v>-1.4</v>
      </c>
      <c r="DM54" s="826">
        <v>-3.5</v>
      </c>
      <c r="DN54" s="826">
        <v>-2</v>
      </c>
      <c r="DO54" s="826">
        <v>9.7510000000000048</v>
      </c>
      <c r="DP54" s="826">
        <v>1.9</v>
      </c>
      <c r="DQ54" s="826">
        <v>-1.6</v>
      </c>
      <c r="DR54" s="826">
        <v>-2.6</v>
      </c>
      <c r="DS54" s="826">
        <v>-5.0999999999999996</v>
      </c>
      <c r="DT54" s="826">
        <v>-3.2</v>
      </c>
      <c r="DU54" s="826">
        <v>12.5</v>
      </c>
      <c r="DV54" s="826">
        <v>0.4</v>
      </c>
      <c r="DW54" s="826">
        <v>-1.6</v>
      </c>
      <c r="DX54" s="826">
        <v>-3</v>
      </c>
      <c r="DY54" s="826">
        <v>-4.8</v>
      </c>
      <c r="DZ54" s="826">
        <v>-2.2999999999999998</v>
      </c>
      <c r="EA54" s="826">
        <v>7.7999999999999972</v>
      </c>
      <c r="EB54" s="826">
        <v>0.7</v>
      </c>
      <c r="EC54" s="912">
        <v>-3</v>
      </c>
      <c r="ED54" s="836">
        <f>N109</f>
        <v>-4.1000000000000002E-2</v>
      </c>
    </row>
    <row r="55" spans="1:134" ht="15.75">
      <c r="A55" s="654">
        <v>8.442405392683909E-2</v>
      </c>
      <c r="B55" s="821" t="s">
        <v>1062</v>
      </c>
      <c r="C55" s="825">
        <v>0.40000000000000568</v>
      </c>
      <c r="D55" s="825">
        <v>0</v>
      </c>
      <c r="E55" s="825">
        <v>-0.20000000000000284</v>
      </c>
      <c r="F55" s="825">
        <v>0</v>
      </c>
      <c r="G55" s="825">
        <v>-9.9999999999994316E-2</v>
      </c>
      <c r="H55" s="825">
        <v>0</v>
      </c>
      <c r="I55" s="825">
        <v>0</v>
      </c>
      <c r="J55" s="825">
        <v>9.9999999999994316E-2</v>
      </c>
      <c r="K55" s="825">
        <v>0</v>
      </c>
      <c r="L55" s="825">
        <v>9.9999999999994316E-2</v>
      </c>
      <c r="M55" s="825">
        <v>-9.9999999999994316E-2</v>
      </c>
      <c r="N55" s="825">
        <v>9.9999999999994316E-2</v>
      </c>
      <c r="O55" s="825">
        <v>0.28876901899144514</v>
      </c>
      <c r="P55" s="825">
        <v>0.22955144373023018</v>
      </c>
      <c r="Q55" s="825">
        <v>0.16024485226205343</v>
      </c>
      <c r="R55" s="825">
        <v>0.23274465220377749</v>
      </c>
      <c r="S55" s="825">
        <v>12.780799695877249</v>
      </c>
      <c r="T55" s="825">
        <v>1.666088644805356</v>
      </c>
      <c r="U55" s="825">
        <v>4.0203813992039272</v>
      </c>
      <c r="V55" s="825">
        <v>1.6227894655891788</v>
      </c>
      <c r="W55" s="825">
        <v>1.6487668671966134</v>
      </c>
      <c r="X55" s="825">
        <v>2.2451889045525633</v>
      </c>
      <c r="Y55" s="825">
        <v>4.4024685404926203</v>
      </c>
      <c r="Z55" s="825">
        <v>1.2999999999999972</v>
      </c>
      <c r="AA55" s="825">
        <v>0.53957545329173229</v>
      </c>
      <c r="AB55" s="825">
        <v>1.5791687488978567</v>
      </c>
      <c r="AC55" s="825">
        <v>1.0644338868723366</v>
      </c>
      <c r="AD55" s="825">
        <v>109.72980437027391</v>
      </c>
      <c r="AE55" s="825">
        <v>1.1933847178195123</v>
      </c>
      <c r="AF55" s="825">
        <v>1.1501885942792853</v>
      </c>
      <c r="AG55" s="825">
        <v>0.18745885007280094</v>
      </c>
      <c r="AH55" s="825">
        <v>0.2497297802540146</v>
      </c>
      <c r="AI55" s="825">
        <v>2.4000000000000057</v>
      </c>
      <c r="AJ55" s="825">
        <v>-13.799999999999997</v>
      </c>
      <c r="AK55" s="825">
        <v>3.2999999999999972</v>
      </c>
      <c r="AL55" s="825">
        <v>0</v>
      </c>
      <c r="AM55" s="825">
        <v>0.70000000000000284</v>
      </c>
      <c r="AN55" s="826">
        <v>0.29999999999999716</v>
      </c>
      <c r="AO55" s="826">
        <v>2.9</v>
      </c>
      <c r="AP55" s="826">
        <v>20.100000000000001</v>
      </c>
      <c r="AQ55" s="826">
        <v>-2</v>
      </c>
      <c r="AR55" s="826">
        <v>9.9999999999994316E-2</v>
      </c>
      <c r="AS55" s="826">
        <v>1.7</v>
      </c>
      <c r="AT55" s="826">
        <v>0.7</v>
      </c>
      <c r="AU55" s="826">
        <v>3.7</v>
      </c>
      <c r="AV55" s="826">
        <v>7.5</v>
      </c>
      <c r="AW55" s="826">
        <v>5.3</v>
      </c>
      <c r="AX55" s="826">
        <v>0</v>
      </c>
      <c r="AY55" s="826">
        <v>0.3</v>
      </c>
      <c r="AZ55" s="826">
        <v>0.2</v>
      </c>
      <c r="BA55" s="826">
        <v>5</v>
      </c>
      <c r="BB55" s="826">
        <v>0.5</v>
      </c>
      <c r="BC55" s="826">
        <v>0.8</v>
      </c>
      <c r="BD55" s="826">
        <v>0.5</v>
      </c>
      <c r="BE55" s="826">
        <v>0.6</v>
      </c>
      <c r="BF55" s="826">
        <v>0.3</v>
      </c>
      <c r="BG55" s="826">
        <v>0.4</v>
      </c>
      <c r="BH55" s="826">
        <v>0.5</v>
      </c>
      <c r="BI55" s="826">
        <v>0.8</v>
      </c>
      <c r="BJ55" s="826">
        <v>0.3</v>
      </c>
      <c r="BK55" s="827">
        <v>0.4</v>
      </c>
      <c r="BL55" s="826">
        <v>0.4</v>
      </c>
      <c r="BM55" s="826">
        <v>0.3</v>
      </c>
      <c r="BN55" s="826">
        <v>0.2</v>
      </c>
      <c r="BO55" s="826">
        <v>0.1</v>
      </c>
      <c r="BP55" s="826">
        <v>0.3</v>
      </c>
      <c r="BQ55" s="826">
        <v>0.5</v>
      </c>
      <c r="BR55" s="826">
        <v>0.5</v>
      </c>
      <c r="BS55" s="826">
        <v>0.2</v>
      </c>
      <c r="BT55" s="826">
        <v>0.6</v>
      </c>
      <c r="BU55" s="826">
        <v>6.1</v>
      </c>
      <c r="BV55" s="826">
        <v>0.7</v>
      </c>
      <c r="BW55" s="826">
        <v>2.6</v>
      </c>
      <c r="BX55" s="826">
        <v>0.5</v>
      </c>
      <c r="BY55" s="826">
        <v>0.3</v>
      </c>
      <c r="BZ55" s="826">
        <v>0.2</v>
      </c>
      <c r="CA55" s="826">
        <v>-0.7</v>
      </c>
      <c r="CB55" s="826">
        <v>-1.4</v>
      </c>
      <c r="CC55" s="826">
        <v>-2.2999999999999998</v>
      </c>
      <c r="CD55" s="826">
        <v>-0.9</v>
      </c>
      <c r="CE55" s="826">
        <v>-0.2</v>
      </c>
      <c r="CF55" s="826">
        <v>-0.4</v>
      </c>
      <c r="CG55" s="826">
        <v>2.8</v>
      </c>
      <c r="CH55" s="826">
        <v>-2.2999999999999998</v>
      </c>
      <c r="CI55" s="826">
        <v>1.7</v>
      </c>
      <c r="CJ55" s="826">
        <v>-2</v>
      </c>
      <c r="CK55" s="826">
        <v>-2.8</v>
      </c>
      <c r="CL55" s="826">
        <v>-3.2</v>
      </c>
      <c r="CM55" s="826">
        <v>-2.8</v>
      </c>
      <c r="CN55" s="826">
        <v>-0.4</v>
      </c>
      <c r="CO55" s="826">
        <v>1.2</v>
      </c>
      <c r="CP55" s="826">
        <v>5.7</v>
      </c>
      <c r="CQ55" s="826">
        <v>3.6</v>
      </c>
      <c r="CR55" s="826">
        <v>4.4000000000000004</v>
      </c>
      <c r="CS55" s="826">
        <v>8</v>
      </c>
      <c r="CT55" s="826">
        <v>0.1</v>
      </c>
      <c r="CU55" s="826">
        <v>6</v>
      </c>
      <c r="CV55" s="826">
        <v>-1.8</v>
      </c>
      <c r="CW55" s="826">
        <v>0</v>
      </c>
      <c r="CX55" s="826">
        <v>0.4</v>
      </c>
      <c r="CY55" s="826">
        <v>3.9</v>
      </c>
      <c r="CZ55" s="826">
        <v>0.4</v>
      </c>
      <c r="DA55" s="826">
        <v>0.6</v>
      </c>
      <c r="DB55" s="826">
        <v>0.6</v>
      </c>
      <c r="DC55" s="826">
        <v>0.5</v>
      </c>
      <c r="DD55" s="826">
        <v>-0.9</v>
      </c>
      <c r="DE55" s="826">
        <v>0</v>
      </c>
      <c r="DF55" s="826">
        <v>-0.1</v>
      </c>
      <c r="DG55" s="826">
        <v>0.7</v>
      </c>
      <c r="DH55" s="826">
        <v>0.2</v>
      </c>
      <c r="DI55" s="826">
        <v>0.5</v>
      </c>
      <c r="DJ55" s="826">
        <v>0.6</v>
      </c>
      <c r="DK55" s="826">
        <v>0.4</v>
      </c>
      <c r="DL55" s="826">
        <v>0.6</v>
      </c>
      <c r="DM55" s="826">
        <v>0.5</v>
      </c>
      <c r="DN55" s="826">
        <v>0.8</v>
      </c>
      <c r="DO55" s="826">
        <v>0.90399999999999636</v>
      </c>
      <c r="DP55" s="826">
        <v>0.3</v>
      </c>
      <c r="DQ55" s="826">
        <v>0.2</v>
      </c>
      <c r="DR55" s="826">
        <v>0.1</v>
      </c>
      <c r="DS55" s="826">
        <v>0.1</v>
      </c>
      <c r="DT55" s="826">
        <v>0.1</v>
      </c>
      <c r="DU55" s="826">
        <v>-0.1</v>
      </c>
      <c r="DV55" s="826">
        <v>0</v>
      </c>
      <c r="DW55" s="826">
        <v>0</v>
      </c>
      <c r="DX55" s="826">
        <v>11.9</v>
      </c>
      <c r="DY55" s="826">
        <v>0.1</v>
      </c>
      <c r="DZ55" s="826">
        <v>0.3</v>
      </c>
      <c r="EA55" s="826">
        <v>9.9999999999994316E-2</v>
      </c>
      <c r="EB55" s="826">
        <v>0.2</v>
      </c>
      <c r="EC55" s="912">
        <v>0.1</v>
      </c>
      <c r="ED55" s="836">
        <f>N125</f>
        <v>0</v>
      </c>
    </row>
    <row r="56" spans="1:134" ht="31.5">
      <c r="A56" s="654">
        <v>4.4788038232974225E-2</v>
      </c>
      <c r="B56" s="821" t="s">
        <v>1141</v>
      </c>
      <c r="C56" s="825">
        <v>-9.9999999999994316E-2</v>
      </c>
      <c r="D56" s="825">
        <v>-9.9999999999994316E-2</v>
      </c>
      <c r="E56" s="825">
        <v>-9.9999999999994316E-2</v>
      </c>
      <c r="F56" s="825">
        <v>-9.9999999999994316E-2</v>
      </c>
      <c r="G56" s="825">
        <v>-0.29999999999999716</v>
      </c>
      <c r="H56" s="825">
        <v>-9.9999999999994316E-2</v>
      </c>
      <c r="I56" s="825">
        <v>0</v>
      </c>
      <c r="J56" s="825">
        <v>9.9999999999994316E-2</v>
      </c>
      <c r="K56" s="825">
        <v>0</v>
      </c>
      <c r="L56" s="825">
        <v>9.9999999999994316E-2</v>
      </c>
      <c r="M56" s="825">
        <v>0</v>
      </c>
      <c r="N56" s="825">
        <v>-9.9999999999994316E-2</v>
      </c>
      <c r="O56" s="825">
        <v>-1.0976352948659951E-2</v>
      </c>
      <c r="P56" s="825">
        <v>0.68552473175509476</v>
      </c>
      <c r="Q56" s="825">
        <v>1.6969457809416895</v>
      </c>
      <c r="R56" s="825">
        <v>3.4949947665996888</v>
      </c>
      <c r="S56" s="825">
        <v>2.8157706553265598</v>
      </c>
      <c r="T56" s="825">
        <v>2.1583386475872715</v>
      </c>
      <c r="U56" s="825">
        <v>1.1134596703525261</v>
      </c>
      <c r="V56" s="825">
        <v>1.1933320638304821</v>
      </c>
      <c r="W56" s="825">
        <v>2.2067360600018731</v>
      </c>
      <c r="X56" s="825">
        <v>2.5915680261716716</v>
      </c>
      <c r="Y56" s="825">
        <v>3.0526969973515605</v>
      </c>
      <c r="Z56" s="825">
        <v>3.7999999999999972</v>
      </c>
      <c r="AA56" s="825">
        <v>3.3731583534547553</v>
      </c>
      <c r="AB56" s="825">
        <v>7.2238357554526402</v>
      </c>
      <c r="AC56" s="825">
        <v>10.392365130032076</v>
      </c>
      <c r="AD56" s="825">
        <v>4.9425774557935398</v>
      </c>
      <c r="AE56" s="825">
        <v>2.0526360830374131</v>
      </c>
      <c r="AF56" s="825">
        <v>0.40773746603271377</v>
      </c>
      <c r="AG56" s="825">
        <v>0.56464926897436385</v>
      </c>
      <c r="AH56" s="825">
        <v>0.22586727627360403</v>
      </c>
      <c r="AI56" s="825">
        <v>0.59999999999999432</v>
      </c>
      <c r="AJ56" s="825">
        <v>1</v>
      </c>
      <c r="AK56" s="825">
        <v>0.59999999999999432</v>
      </c>
      <c r="AL56" s="825">
        <v>0.29999999999999716</v>
      </c>
      <c r="AM56" s="825">
        <v>0.5</v>
      </c>
      <c r="AN56" s="826">
        <v>0.79999999999999716</v>
      </c>
      <c r="AO56" s="826">
        <v>0.7</v>
      </c>
      <c r="AP56" s="826">
        <v>0.3</v>
      </c>
      <c r="AQ56" s="826">
        <v>0.2</v>
      </c>
      <c r="AR56" s="826">
        <v>0.29999999999999716</v>
      </c>
      <c r="AS56" s="826">
        <v>0.3</v>
      </c>
      <c r="AT56" s="826">
        <v>-0.1</v>
      </c>
      <c r="AU56" s="826">
        <v>0.5</v>
      </c>
      <c r="AV56" s="826">
        <v>0.3</v>
      </c>
      <c r="AW56" s="826">
        <v>0.2</v>
      </c>
      <c r="AX56" s="826">
        <v>0.1</v>
      </c>
      <c r="AY56" s="826">
        <v>0.4</v>
      </c>
      <c r="AZ56" s="826">
        <v>0.2</v>
      </c>
      <c r="BA56" s="826">
        <v>0.1</v>
      </c>
      <c r="BB56" s="826">
        <v>0.3</v>
      </c>
      <c r="BC56" s="826">
        <v>0.2</v>
      </c>
      <c r="BD56" s="826">
        <v>0</v>
      </c>
      <c r="BE56" s="826">
        <v>0.1</v>
      </c>
      <c r="BF56" s="826">
        <v>-0.1</v>
      </c>
      <c r="BG56" s="826">
        <v>0.7</v>
      </c>
      <c r="BH56" s="826">
        <v>0.3</v>
      </c>
      <c r="BI56" s="826">
        <v>0.7</v>
      </c>
      <c r="BJ56" s="826">
        <v>0.2</v>
      </c>
      <c r="BK56" s="827">
        <v>0.9</v>
      </c>
      <c r="BL56" s="826">
        <v>1.3</v>
      </c>
      <c r="BM56" s="826">
        <v>0.8</v>
      </c>
      <c r="BN56" s="826">
        <v>0.4</v>
      </c>
      <c r="BO56" s="826">
        <v>0.6</v>
      </c>
      <c r="BP56" s="826">
        <v>0.2</v>
      </c>
      <c r="BQ56" s="826">
        <v>0.2</v>
      </c>
      <c r="BR56" s="826">
        <v>0.3</v>
      </c>
      <c r="BS56" s="826">
        <v>0.6</v>
      </c>
      <c r="BT56" s="826">
        <v>0.7</v>
      </c>
      <c r="BU56" s="826">
        <v>0.6</v>
      </c>
      <c r="BV56" s="826">
        <v>0</v>
      </c>
      <c r="BW56" s="826">
        <v>0.5</v>
      </c>
      <c r="BX56" s="826">
        <v>0.1</v>
      </c>
      <c r="BY56" s="826">
        <v>-0.2</v>
      </c>
      <c r="BZ56" s="826">
        <v>0.2</v>
      </c>
      <c r="CA56" s="826">
        <v>0.3</v>
      </c>
      <c r="CB56" s="826">
        <v>-0.2</v>
      </c>
      <c r="CC56" s="826">
        <v>0.2</v>
      </c>
      <c r="CD56" s="826">
        <v>-0.2</v>
      </c>
      <c r="CE56" s="826">
        <v>0.1</v>
      </c>
      <c r="CF56" s="826">
        <v>-0.3</v>
      </c>
      <c r="CG56" s="826">
        <v>-0.1</v>
      </c>
      <c r="CH56" s="826">
        <v>-0.6</v>
      </c>
      <c r="CI56" s="826">
        <v>-0.3</v>
      </c>
      <c r="CJ56" s="826">
        <v>0</v>
      </c>
      <c r="CK56" s="826">
        <v>-0.2</v>
      </c>
      <c r="CL56" s="826">
        <v>0.4</v>
      </c>
      <c r="CM56" s="826">
        <v>0.1</v>
      </c>
      <c r="CN56" s="826">
        <v>-0.2</v>
      </c>
      <c r="CO56" s="826">
        <v>-0.1</v>
      </c>
      <c r="CP56" s="826">
        <v>0.3</v>
      </c>
      <c r="CQ56" s="826">
        <v>0.2</v>
      </c>
      <c r="CR56" s="826">
        <v>0.4</v>
      </c>
      <c r="CS56" s="826">
        <v>0.4</v>
      </c>
      <c r="CT56" s="826">
        <v>-0.5</v>
      </c>
      <c r="CU56" s="826">
        <v>0</v>
      </c>
      <c r="CV56" s="826">
        <v>0.5</v>
      </c>
      <c r="CW56" s="826">
        <v>0.5</v>
      </c>
      <c r="CX56" s="826">
        <v>0.2</v>
      </c>
      <c r="CY56" s="826">
        <v>0.5</v>
      </c>
      <c r="CZ56" s="826">
        <v>0.6</v>
      </c>
      <c r="DA56" s="826">
        <v>0.4</v>
      </c>
      <c r="DB56" s="826">
        <v>0.3</v>
      </c>
      <c r="DC56" s="826">
        <v>0.5</v>
      </c>
      <c r="DD56" s="826">
        <v>0.5</v>
      </c>
      <c r="DE56" s="826">
        <v>0.4</v>
      </c>
      <c r="DF56" s="826">
        <v>-0.3</v>
      </c>
      <c r="DG56" s="826">
        <v>-0.3</v>
      </c>
      <c r="DH56" s="826">
        <v>0.7</v>
      </c>
      <c r="DI56" s="826">
        <v>2.9</v>
      </c>
      <c r="DJ56" s="826">
        <v>4</v>
      </c>
      <c r="DK56" s="826">
        <v>1.8</v>
      </c>
      <c r="DL56" s="826">
        <v>2.5</v>
      </c>
      <c r="DM56" s="826">
        <v>2.2000000000000002</v>
      </c>
      <c r="DN56" s="826">
        <v>5</v>
      </c>
      <c r="DO56" s="826">
        <v>2.8020000000000067</v>
      </c>
      <c r="DP56" s="826">
        <v>1.5</v>
      </c>
      <c r="DQ56" s="826">
        <v>1</v>
      </c>
      <c r="DR56" s="826">
        <v>-0.2</v>
      </c>
      <c r="DS56" s="826">
        <v>0.7</v>
      </c>
      <c r="DT56" s="826">
        <v>0.8</v>
      </c>
      <c r="DU56" s="826">
        <v>0.5</v>
      </c>
      <c r="DV56" s="826">
        <v>0</v>
      </c>
      <c r="DW56" s="826">
        <v>0.4</v>
      </c>
      <c r="DX56" s="826">
        <v>-0.4</v>
      </c>
      <c r="DY56" s="826">
        <v>0</v>
      </c>
      <c r="DZ56" s="826">
        <v>-0.3</v>
      </c>
      <c r="EA56" s="826">
        <v>0.29999999999999716</v>
      </c>
      <c r="EB56" s="826">
        <v>-0.3</v>
      </c>
      <c r="EC56" s="912">
        <v>-0.3</v>
      </c>
      <c r="ED56" s="836">
        <f>N141</f>
        <v>-5.4999999999999997E-3</v>
      </c>
    </row>
    <row r="57" spans="1:134" ht="15.75">
      <c r="A57" s="654">
        <v>7.1617673272606472E-2</v>
      </c>
      <c r="B57" s="821" t="s">
        <v>1239</v>
      </c>
      <c r="C57" s="825">
        <v>9.9999999999994316E-2</v>
      </c>
      <c r="D57" s="825">
        <v>0.5</v>
      </c>
      <c r="E57" s="825">
        <v>0.5</v>
      </c>
      <c r="F57" s="825">
        <v>0.20000000000000284</v>
      </c>
      <c r="G57" s="825">
        <v>0.20000000000000284</v>
      </c>
      <c r="H57" s="825">
        <v>0.20000000000000284</v>
      </c>
      <c r="I57" s="825">
        <v>0.20000000000000284</v>
      </c>
      <c r="J57" s="825">
        <v>0.20000000000000284</v>
      </c>
      <c r="K57" s="825">
        <v>0.20000000000000284</v>
      </c>
      <c r="L57" s="825">
        <v>0.40000000000000568</v>
      </c>
      <c r="M57" s="825">
        <v>0.20000000000000284</v>
      </c>
      <c r="N57" s="825">
        <v>9.9999999999994316E-2</v>
      </c>
      <c r="O57" s="825">
        <v>0.17271156837857404</v>
      </c>
      <c r="P57" s="825">
        <v>0.91485995885399518</v>
      </c>
      <c r="Q57" s="825">
        <v>2.3364716116772968</v>
      </c>
      <c r="R57" s="825">
        <v>5.7598469517469368</v>
      </c>
      <c r="S57" s="825">
        <v>3.0797436658682784</v>
      </c>
      <c r="T57" s="825">
        <v>2.538322869229475</v>
      </c>
      <c r="U57" s="825">
        <v>1.2484710331698352</v>
      </c>
      <c r="V57" s="825">
        <v>1.4735693522659687</v>
      </c>
      <c r="W57" s="825">
        <v>1.9963383592516379</v>
      </c>
      <c r="X57" s="825">
        <v>1.9866580412794264</v>
      </c>
      <c r="Y57" s="825">
        <v>2.417992738141379</v>
      </c>
      <c r="Z57" s="825">
        <v>2.7000000000000028</v>
      </c>
      <c r="AA57" s="825">
        <v>3.0466899004243828</v>
      </c>
      <c r="AB57" s="825">
        <v>4.4687746360180682</v>
      </c>
      <c r="AC57" s="825">
        <v>9.6509840380418126</v>
      </c>
      <c r="AD57" s="825">
        <v>3.9583547953708944</v>
      </c>
      <c r="AE57" s="825">
        <v>1.4462208756694395</v>
      </c>
      <c r="AF57" s="825">
        <v>-5.6273607345914911E-2</v>
      </c>
      <c r="AG57" s="825">
        <v>0.62228474102793996</v>
      </c>
      <c r="AH57" s="825">
        <v>0.40608071198704465</v>
      </c>
      <c r="AI57" s="825">
        <v>0.5</v>
      </c>
      <c r="AJ57" s="825">
        <v>0.5</v>
      </c>
      <c r="AK57" s="825">
        <v>0.59999999999999432</v>
      </c>
      <c r="AL57" s="825">
        <v>1.0999999999999943</v>
      </c>
      <c r="AM57" s="825">
        <v>1.2000000000000028</v>
      </c>
      <c r="AN57" s="826">
        <v>1.5999999999999943</v>
      </c>
      <c r="AO57" s="826">
        <v>1</v>
      </c>
      <c r="AP57" s="826">
        <v>0.7</v>
      </c>
      <c r="AQ57" s="826">
        <v>0.6</v>
      </c>
      <c r="AR57" s="826">
        <v>0.29999999999999716</v>
      </c>
      <c r="AS57" s="826">
        <v>0.2</v>
      </c>
      <c r="AT57" s="826">
        <v>0.3</v>
      </c>
      <c r="AU57" s="826">
        <v>0.6</v>
      </c>
      <c r="AV57" s="826">
        <v>0.5</v>
      </c>
      <c r="AW57" s="826">
        <v>0.3</v>
      </c>
      <c r="AX57" s="826">
        <v>0.2</v>
      </c>
      <c r="AY57" s="826">
        <v>0.6</v>
      </c>
      <c r="AZ57" s="826">
        <v>0.8</v>
      </c>
      <c r="BA57" s="826">
        <v>0.4</v>
      </c>
      <c r="BB57" s="826">
        <v>0.5</v>
      </c>
      <c r="BC57" s="826">
        <v>0.7</v>
      </c>
      <c r="BD57" s="826">
        <v>0.5</v>
      </c>
      <c r="BE57" s="826">
        <v>0.5</v>
      </c>
      <c r="BF57" s="826">
        <v>0.2</v>
      </c>
      <c r="BG57" s="826">
        <v>0.5</v>
      </c>
      <c r="BH57" s="826">
        <v>1</v>
      </c>
      <c r="BI57" s="826">
        <v>0.8</v>
      </c>
      <c r="BJ57" s="826">
        <v>0.8</v>
      </c>
      <c r="BK57" s="827">
        <v>1.4</v>
      </c>
      <c r="BL57" s="826">
        <v>1.1000000000000001</v>
      </c>
      <c r="BM57" s="826">
        <v>0.8</v>
      </c>
      <c r="BN57" s="826">
        <v>0.6</v>
      </c>
      <c r="BO57" s="826">
        <v>0.6</v>
      </c>
      <c r="BP57" s="826">
        <v>0.1</v>
      </c>
      <c r="BQ57" s="826">
        <v>0</v>
      </c>
      <c r="BR57" s="826">
        <v>0.1</v>
      </c>
      <c r="BS57" s="826">
        <v>1.3</v>
      </c>
      <c r="BT57" s="826">
        <v>0.9</v>
      </c>
      <c r="BU57" s="826">
        <v>0.9</v>
      </c>
      <c r="BV57" s="826">
        <v>0.8</v>
      </c>
      <c r="BW57" s="826">
        <v>0.9</v>
      </c>
      <c r="BX57" s="826">
        <v>0.6</v>
      </c>
      <c r="BY57" s="826">
        <v>0.4</v>
      </c>
      <c r="BZ57" s="826">
        <v>0.6</v>
      </c>
      <c r="CA57" s="826">
        <v>0.3</v>
      </c>
      <c r="CB57" s="826">
        <v>0.4</v>
      </c>
      <c r="CC57" s="826">
        <v>0.1</v>
      </c>
      <c r="CD57" s="826">
        <v>0</v>
      </c>
      <c r="CE57" s="826">
        <v>0.1</v>
      </c>
      <c r="CF57" s="826">
        <v>0.3</v>
      </c>
      <c r="CG57" s="826">
        <v>0.3</v>
      </c>
      <c r="CH57" s="826">
        <v>-0.3</v>
      </c>
      <c r="CI57" s="826">
        <v>0</v>
      </c>
      <c r="CJ57" s="826">
        <v>0.5</v>
      </c>
      <c r="CK57" s="826">
        <v>1.4</v>
      </c>
      <c r="CL57" s="826">
        <v>2.1</v>
      </c>
      <c r="CM57" s="826">
        <v>0.3</v>
      </c>
      <c r="CN57" s="826">
        <v>0.1</v>
      </c>
      <c r="CO57" s="826">
        <v>0.3</v>
      </c>
      <c r="CP57" s="826">
        <v>0.9</v>
      </c>
      <c r="CQ57" s="826">
        <v>0.4</v>
      </c>
      <c r="CR57" s="826">
        <v>0.4</v>
      </c>
      <c r="CS57" s="826">
        <v>0.7</v>
      </c>
      <c r="CT57" s="826">
        <v>0.4</v>
      </c>
      <c r="CU57" s="826">
        <v>0.4</v>
      </c>
      <c r="CV57" s="826">
        <v>0.5</v>
      </c>
      <c r="CW57" s="826">
        <v>0.7</v>
      </c>
      <c r="CX57" s="826">
        <v>0.9</v>
      </c>
      <c r="CY57" s="826">
        <v>0.5</v>
      </c>
      <c r="CZ57" s="826">
        <v>0.4</v>
      </c>
      <c r="DA57" s="826">
        <v>0.1</v>
      </c>
      <c r="DB57" s="826">
        <v>0</v>
      </c>
      <c r="DC57" s="826">
        <v>0.4</v>
      </c>
      <c r="DD57" s="826">
        <v>1</v>
      </c>
      <c r="DE57" s="826">
        <v>0.6</v>
      </c>
      <c r="DF57" s="826">
        <v>0.4</v>
      </c>
      <c r="DG57" s="826">
        <v>0.5</v>
      </c>
      <c r="DH57" s="826">
        <v>1.2</v>
      </c>
      <c r="DI57" s="826">
        <v>5.6</v>
      </c>
      <c r="DJ57" s="826">
        <v>3.2</v>
      </c>
      <c r="DK57" s="826">
        <v>-0.9</v>
      </c>
      <c r="DL57" s="826">
        <v>0.5</v>
      </c>
      <c r="DM57" s="826">
        <v>0.5</v>
      </c>
      <c r="DN57" s="826">
        <v>2.9</v>
      </c>
      <c r="DO57" s="826">
        <v>1.8080000000000069</v>
      </c>
      <c r="DP57" s="826">
        <v>1.2</v>
      </c>
      <c r="DQ57" s="826">
        <v>1</v>
      </c>
      <c r="DR57" s="826">
        <v>0.9</v>
      </c>
      <c r="DS57" s="826">
        <v>1.2</v>
      </c>
      <c r="DT57" s="826">
        <v>0.8</v>
      </c>
      <c r="DU57" s="826">
        <v>0.6</v>
      </c>
      <c r="DV57" s="826">
        <v>1</v>
      </c>
      <c r="DW57" s="826">
        <v>0.8</v>
      </c>
      <c r="DX57" s="826">
        <v>0.3</v>
      </c>
      <c r="DY57" s="826">
        <v>0.4</v>
      </c>
      <c r="DZ57" s="826">
        <v>0.6</v>
      </c>
      <c r="EA57" s="826">
        <v>0.70000000000000284</v>
      </c>
      <c r="EB57" s="826">
        <v>0.4</v>
      </c>
      <c r="EC57" s="912">
        <v>0.6</v>
      </c>
      <c r="ED57" s="836">
        <f>N156</f>
        <v>1.6666666666666668E-3</v>
      </c>
    </row>
    <row r="58" spans="1:134" ht="15.75">
      <c r="A58" s="654">
        <v>9.2507276181345466E-2</v>
      </c>
      <c r="B58" s="821" t="s">
        <v>336</v>
      </c>
      <c r="C58" s="825">
        <v>-0.29999999999999716</v>
      </c>
      <c r="D58" s="825">
        <v>9.9999999999994316E-2</v>
      </c>
      <c r="E58" s="825">
        <v>0.5</v>
      </c>
      <c r="F58" s="825">
        <v>0.20000000000000284</v>
      </c>
      <c r="G58" s="825">
        <v>0</v>
      </c>
      <c r="H58" s="825">
        <v>0.5</v>
      </c>
      <c r="I58" s="825">
        <v>0.29999999999999716</v>
      </c>
      <c r="J58" s="825">
        <v>0.29999999999999716</v>
      </c>
      <c r="K58" s="825">
        <v>9.9999999999994316E-2</v>
      </c>
      <c r="L58" s="825">
        <v>0.20000000000000284</v>
      </c>
      <c r="M58" s="825">
        <v>-0.20000000000000284</v>
      </c>
      <c r="N58" s="825">
        <v>-0.40000000000000568</v>
      </c>
      <c r="O58" s="825">
        <v>0.35305793095608351</v>
      </c>
      <c r="P58" s="825">
        <v>2.0370469289128863</v>
      </c>
      <c r="Q58" s="825">
        <v>5.6529889478831592</v>
      </c>
      <c r="R58" s="825">
        <v>10.136354873403874</v>
      </c>
      <c r="S58" s="825">
        <v>3.5757061768042036</v>
      </c>
      <c r="T58" s="825">
        <v>1.8527771126661321</v>
      </c>
      <c r="U58" s="825">
        <v>0.68164714980993324</v>
      </c>
      <c r="V58" s="825">
        <v>3.8893764236399591</v>
      </c>
      <c r="W58" s="825">
        <v>3.3406512457298021</v>
      </c>
      <c r="X58" s="825">
        <v>-0.70812153480197537</v>
      </c>
      <c r="Y58" s="825">
        <v>2.0440064477758426</v>
      </c>
      <c r="Z58" s="825">
        <v>2.7999999999999972</v>
      </c>
      <c r="AA58" s="825">
        <v>1.1675503801464231</v>
      </c>
      <c r="AB58" s="825">
        <v>16.406129177243116</v>
      </c>
      <c r="AC58" s="825">
        <v>7.3648662094455659</v>
      </c>
      <c r="AD58" s="825">
        <v>-4.2934736017268165</v>
      </c>
      <c r="AE58" s="825">
        <v>0.16848816887520002</v>
      </c>
      <c r="AF58" s="825">
        <v>1.0869589184965065</v>
      </c>
      <c r="AG58" s="825">
        <v>0.19440206378118319</v>
      </c>
      <c r="AH58" s="825">
        <v>-0.31998031358448031</v>
      </c>
      <c r="AI58" s="825">
        <v>-1.5999999999999943</v>
      </c>
      <c r="AJ58" s="825">
        <v>-0.59999999999999432</v>
      </c>
      <c r="AK58" s="825">
        <v>0.59999999999999432</v>
      </c>
      <c r="AL58" s="825">
        <v>-9.9999999999994316E-2</v>
      </c>
      <c r="AM58" s="825">
        <v>-0.40000000000000568</v>
      </c>
      <c r="AN58" s="826">
        <v>0</v>
      </c>
      <c r="AO58" s="826">
        <v>1</v>
      </c>
      <c r="AP58" s="826">
        <v>2.4</v>
      </c>
      <c r="AQ58" s="826">
        <v>2.8</v>
      </c>
      <c r="AR58" s="826">
        <v>1.2000000000000028</v>
      </c>
      <c r="AS58" s="826">
        <v>0.4</v>
      </c>
      <c r="AT58" s="826">
        <v>0.2</v>
      </c>
      <c r="AU58" s="826">
        <v>0.7</v>
      </c>
      <c r="AV58" s="826">
        <v>0.8</v>
      </c>
      <c r="AW58" s="826">
        <v>1.1000000000000001</v>
      </c>
      <c r="AX58" s="826">
        <v>0.7</v>
      </c>
      <c r="AY58" s="826">
        <v>2.7</v>
      </c>
      <c r="AZ58" s="826">
        <v>2</v>
      </c>
      <c r="BA58" s="826">
        <v>0.7</v>
      </c>
      <c r="BB58" s="826">
        <v>1.4</v>
      </c>
      <c r="BC58" s="826">
        <v>0.5</v>
      </c>
      <c r="BD58" s="826">
        <v>-0.2</v>
      </c>
      <c r="BE58" s="826">
        <v>0</v>
      </c>
      <c r="BF58" s="826">
        <v>0.8</v>
      </c>
      <c r="BG58" s="826">
        <v>1.5</v>
      </c>
      <c r="BH58" s="826">
        <v>2.4</v>
      </c>
      <c r="BI58" s="826">
        <v>2</v>
      </c>
      <c r="BJ58" s="826">
        <v>1.8</v>
      </c>
      <c r="BK58" s="827">
        <v>3</v>
      </c>
      <c r="BL58" s="826">
        <v>1.5</v>
      </c>
      <c r="BM58" s="826">
        <v>-0.7</v>
      </c>
      <c r="BN58" s="826">
        <v>0.3</v>
      </c>
      <c r="BO58" s="826">
        <v>0.6</v>
      </c>
      <c r="BP58" s="826">
        <v>0.6</v>
      </c>
      <c r="BQ58" s="826">
        <v>0.7</v>
      </c>
      <c r="BR58" s="826">
        <v>1.5</v>
      </c>
      <c r="BS58" s="826">
        <v>2.8</v>
      </c>
      <c r="BT58" s="826">
        <v>3.1</v>
      </c>
      <c r="BU58" s="826">
        <v>0.5</v>
      </c>
      <c r="BV58" s="826">
        <v>-1.6</v>
      </c>
      <c r="BW58" s="826">
        <v>-1.7</v>
      </c>
      <c r="BX58" s="826">
        <v>-0.1</v>
      </c>
      <c r="BY58" s="826">
        <v>0.5</v>
      </c>
      <c r="BZ58" s="826">
        <v>1</v>
      </c>
      <c r="CA58" s="826">
        <v>1.5</v>
      </c>
      <c r="CB58" s="826">
        <v>0.3</v>
      </c>
      <c r="CC58" s="826">
        <v>-1.1000000000000001</v>
      </c>
      <c r="CD58" s="826">
        <v>-0.6</v>
      </c>
      <c r="CE58" s="826">
        <v>-0.4</v>
      </c>
      <c r="CF58" s="826">
        <v>-0.7</v>
      </c>
      <c r="CG58" s="826">
        <v>-0.3</v>
      </c>
      <c r="CH58" s="826">
        <v>-0.8</v>
      </c>
      <c r="CI58" s="826">
        <v>-0.7</v>
      </c>
      <c r="CJ58" s="826">
        <v>0.1</v>
      </c>
      <c r="CK58" s="826">
        <v>0.7</v>
      </c>
      <c r="CL58" s="826">
        <v>-1.3</v>
      </c>
      <c r="CM58" s="826">
        <v>-2</v>
      </c>
      <c r="CN58" s="826">
        <v>1.2</v>
      </c>
      <c r="CO58" s="826">
        <v>1.2</v>
      </c>
      <c r="CP58" s="826">
        <v>1.2</v>
      </c>
      <c r="CQ58" s="826">
        <v>0.5</v>
      </c>
      <c r="CR58" s="826">
        <v>0.2</v>
      </c>
      <c r="CS58" s="826">
        <v>0.9</v>
      </c>
      <c r="CT58" s="826">
        <v>0.7</v>
      </c>
      <c r="CU58" s="826">
        <v>1</v>
      </c>
      <c r="CV58" s="826">
        <v>1.6</v>
      </c>
      <c r="CW58" s="826">
        <v>1.8</v>
      </c>
      <c r="CX58" s="826">
        <v>0.6</v>
      </c>
      <c r="CY58" s="826">
        <v>0.7</v>
      </c>
      <c r="CZ58" s="826">
        <v>1</v>
      </c>
      <c r="DA58" s="826">
        <v>1.1000000000000001</v>
      </c>
      <c r="DB58" s="826">
        <v>0.8</v>
      </c>
      <c r="DC58" s="826">
        <v>-0.1</v>
      </c>
      <c r="DD58" s="826">
        <v>1.1000000000000001</v>
      </c>
      <c r="DE58" s="826">
        <v>1.2</v>
      </c>
      <c r="DF58" s="826">
        <v>-0.2</v>
      </c>
      <c r="DG58" s="826">
        <v>1.3</v>
      </c>
      <c r="DH58" s="826">
        <v>3.7</v>
      </c>
      <c r="DI58" s="826">
        <v>4.2</v>
      </c>
      <c r="DJ58" s="826">
        <v>2.1</v>
      </c>
      <c r="DK58" s="826">
        <v>10.199999999999999</v>
      </c>
      <c r="DL58" s="826">
        <v>11.2</v>
      </c>
      <c r="DM58" s="826">
        <v>-0.3</v>
      </c>
      <c r="DN58" s="826">
        <v>0.8</v>
      </c>
      <c r="DO58" s="826">
        <v>0.382000000000005</v>
      </c>
      <c r="DP58" s="826">
        <v>0.8</v>
      </c>
      <c r="DQ58" s="826">
        <v>1</v>
      </c>
      <c r="DR58" s="826">
        <v>1.6</v>
      </c>
      <c r="DS58" s="826">
        <v>-0.1</v>
      </c>
      <c r="DT58" s="826">
        <v>-1.7</v>
      </c>
      <c r="DU58" s="826">
        <v>-0.9</v>
      </c>
      <c r="DV58" s="826">
        <v>-0.7</v>
      </c>
      <c r="DW58" s="826">
        <v>-1.1000000000000001</v>
      </c>
      <c r="DX58" s="826">
        <v>-0.8</v>
      </c>
      <c r="DY58" s="826">
        <v>2.7</v>
      </c>
      <c r="DZ58" s="826">
        <v>3</v>
      </c>
      <c r="EA58" s="826">
        <v>2.2000000000000028</v>
      </c>
      <c r="EB58" s="826">
        <v>1.5</v>
      </c>
      <c r="EC58" s="912">
        <v>0.9</v>
      </c>
      <c r="ED58" s="836">
        <f>N193</f>
        <v>3.2000000000000002E-3</v>
      </c>
    </row>
    <row r="59" spans="1:134" ht="15.75">
      <c r="A59" s="654">
        <v>2.9698653223396387E-2</v>
      </c>
      <c r="B59" s="821" t="s">
        <v>1368</v>
      </c>
      <c r="C59" s="825">
        <v>-9.9999999999994316E-2</v>
      </c>
      <c r="D59" s="825">
        <v>-9.9999999999994316E-2</v>
      </c>
      <c r="E59" s="825">
        <v>0</v>
      </c>
      <c r="F59" s="825">
        <v>0</v>
      </c>
      <c r="G59" s="825">
        <v>1.0999999999999943</v>
      </c>
      <c r="H59" s="825">
        <v>0</v>
      </c>
      <c r="I59" s="825">
        <v>0</v>
      </c>
      <c r="J59" s="825">
        <v>0</v>
      </c>
      <c r="K59" s="825">
        <v>0</v>
      </c>
      <c r="L59" s="825">
        <v>-0.20000000000000284</v>
      </c>
      <c r="M59" s="825">
        <v>0</v>
      </c>
      <c r="N59" s="825">
        <v>0</v>
      </c>
      <c r="O59" s="825">
        <v>2.7403814537620974E-3</v>
      </c>
      <c r="P59" s="825">
        <v>1.1932037371451543E-3</v>
      </c>
      <c r="Q59" s="825">
        <v>6.5112779921676633E-2</v>
      </c>
      <c r="R59" s="825">
        <v>7.5520140393692259E-2</v>
      </c>
      <c r="S59" s="825">
        <v>0.15492364692811122</v>
      </c>
      <c r="T59" s="825">
        <v>-0.28484683448782278</v>
      </c>
      <c r="U59" s="825">
        <v>-0.11233699750050619</v>
      </c>
      <c r="V59" s="825">
        <v>7.3737577554823019E-2</v>
      </c>
      <c r="W59" s="825">
        <v>0.99873519301812053</v>
      </c>
      <c r="X59" s="825">
        <v>0.93379307073331574</v>
      </c>
      <c r="Y59" s="825">
        <v>0.20768857383318107</v>
      </c>
      <c r="Z59" s="825">
        <v>0.20000000000000284</v>
      </c>
      <c r="AA59" s="825">
        <v>0.5747824126365515</v>
      </c>
      <c r="AB59" s="825">
        <v>0.93631873449655245</v>
      </c>
      <c r="AC59" s="825">
        <v>1.6917195170443051</v>
      </c>
      <c r="AD59" s="825">
        <v>2.5408385090514685E-2</v>
      </c>
      <c r="AE59" s="825">
        <v>0.554752343128456</v>
      </c>
      <c r="AF59" s="825">
        <v>0.100473683347019</v>
      </c>
      <c r="AG59" s="825">
        <v>0.1036408155256936</v>
      </c>
      <c r="AH59" s="825">
        <v>7.6274659094011099E-2</v>
      </c>
      <c r="AI59" s="825">
        <v>0.59999999999999432</v>
      </c>
      <c r="AJ59" s="825">
        <v>1.7000000000000028</v>
      </c>
      <c r="AK59" s="825">
        <v>0.40000000000000568</v>
      </c>
      <c r="AL59" s="825">
        <v>0</v>
      </c>
      <c r="AM59" s="825">
        <v>0.29999999999999716</v>
      </c>
      <c r="AN59" s="826">
        <v>9.9999999999994316E-2</v>
      </c>
      <c r="AO59" s="826">
        <v>0.1</v>
      </c>
      <c r="AP59" s="826">
        <v>0.5</v>
      </c>
      <c r="AQ59" s="826">
        <v>0.1</v>
      </c>
      <c r="AR59" s="826">
        <v>0</v>
      </c>
      <c r="AS59" s="826">
        <v>-0.1</v>
      </c>
      <c r="AT59" s="826">
        <v>0</v>
      </c>
      <c r="AU59" s="826">
        <v>0.1</v>
      </c>
      <c r="AV59" s="826">
        <v>0</v>
      </c>
      <c r="AW59" s="826">
        <v>0.1</v>
      </c>
      <c r="AX59" s="826">
        <v>2.8</v>
      </c>
      <c r="AY59" s="826">
        <v>0.4</v>
      </c>
      <c r="AZ59" s="826">
        <v>0.5</v>
      </c>
      <c r="BA59" s="826">
        <v>2.5</v>
      </c>
      <c r="BB59" s="826">
        <v>2.7</v>
      </c>
      <c r="BC59" s="826">
        <v>0.1</v>
      </c>
      <c r="BD59" s="826">
        <v>0</v>
      </c>
      <c r="BE59" s="826">
        <v>-0.1</v>
      </c>
      <c r="BF59" s="826">
        <v>0</v>
      </c>
      <c r="BG59" s="826">
        <v>0.4</v>
      </c>
      <c r="BH59" s="826">
        <v>0.8</v>
      </c>
      <c r="BI59" s="826">
        <v>0.9</v>
      </c>
      <c r="BJ59" s="826">
        <v>0.6</v>
      </c>
      <c r="BK59" s="827">
        <v>2.8</v>
      </c>
      <c r="BL59" s="826">
        <v>0.7</v>
      </c>
      <c r="BM59" s="826">
        <v>0.6</v>
      </c>
      <c r="BN59" s="826">
        <v>1.3</v>
      </c>
      <c r="BO59" s="826">
        <v>0.4</v>
      </c>
      <c r="BP59" s="826">
        <v>0.3</v>
      </c>
      <c r="BQ59" s="826">
        <v>-0.2</v>
      </c>
      <c r="BR59" s="826">
        <v>0.1</v>
      </c>
      <c r="BS59" s="826">
        <v>2.1</v>
      </c>
      <c r="BT59" s="826">
        <v>3.3</v>
      </c>
      <c r="BU59" s="826">
        <v>1.7</v>
      </c>
      <c r="BV59" s="826">
        <v>1.1000000000000001</v>
      </c>
      <c r="BW59" s="826">
        <v>2.5</v>
      </c>
      <c r="BX59" s="826">
        <v>1.5</v>
      </c>
      <c r="BY59" s="826">
        <v>2.2000000000000002</v>
      </c>
      <c r="BZ59" s="826">
        <v>1.1000000000000001</v>
      </c>
      <c r="CA59" s="826">
        <v>-0.2</v>
      </c>
      <c r="CB59" s="826">
        <v>-0.2</v>
      </c>
      <c r="CC59" s="826">
        <v>-0.1</v>
      </c>
      <c r="CD59" s="826">
        <v>0.9</v>
      </c>
      <c r="CE59" s="826">
        <v>-0.1</v>
      </c>
      <c r="CF59" s="826">
        <v>4.2</v>
      </c>
      <c r="CG59" s="826">
        <v>-0.2</v>
      </c>
      <c r="CH59" s="826">
        <v>-0.3</v>
      </c>
      <c r="CI59" s="826">
        <v>0.8</v>
      </c>
      <c r="CJ59" s="826">
        <v>0.3</v>
      </c>
      <c r="CK59" s="826">
        <v>0.6</v>
      </c>
      <c r="CL59" s="826">
        <v>0</v>
      </c>
      <c r="CM59" s="826">
        <v>-0.1</v>
      </c>
      <c r="CN59" s="826">
        <v>1</v>
      </c>
      <c r="CO59" s="826">
        <v>0.3</v>
      </c>
      <c r="CP59" s="826">
        <v>0.9</v>
      </c>
      <c r="CQ59" s="826">
        <v>0</v>
      </c>
      <c r="CR59" s="826">
        <v>0</v>
      </c>
      <c r="CS59" s="826">
        <v>0.1</v>
      </c>
      <c r="CT59" s="826">
        <v>0.1</v>
      </c>
      <c r="CU59" s="826">
        <v>1</v>
      </c>
      <c r="CV59" s="826">
        <v>0.2</v>
      </c>
      <c r="CW59" s="826">
        <v>0</v>
      </c>
      <c r="CX59" s="826">
        <v>0.1</v>
      </c>
      <c r="CY59" s="826">
        <v>2.2000000000000002</v>
      </c>
      <c r="CZ59" s="826">
        <v>0</v>
      </c>
      <c r="DA59" s="826">
        <v>0.1</v>
      </c>
      <c r="DB59" s="826">
        <v>0.6</v>
      </c>
      <c r="DC59" s="826">
        <v>0.6</v>
      </c>
      <c r="DD59" s="826">
        <v>1.7</v>
      </c>
      <c r="DE59" s="826">
        <v>0.6</v>
      </c>
      <c r="DF59" s="826">
        <v>0.1</v>
      </c>
      <c r="DG59" s="826">
        <v>1.1000000000000001</v>
      </c>
      <c r="DH59" s="826">
        <v>0.3</v>
      </c>
      <c r="DI59" s="826">
        <v>0.8</v>
      </c>
      <c r="DJ59" s="826">
        <v>1.8</v>
      </c>
      <c r="DK59" s="826">
        <v>1</v>
      </c>
      <c r="DL59" s="826">
        <v>0.9</v>
      </c>
      <c r="DM59" s="826">
        <v>2.1</v>
      </c>
      <c r="DN59" s="826">
        <v>2.2000000000000002</v>
      </c>
      <c r="DO59" s="826">
        <v>0.31799999999999784</v>
      </c>
      <c r="DP59" s="826">
        <v>0</v>
      </c>
      <c r="DQ59" s="826">
        <v>1.3</v>
      </c>
      <c r="DR59" s="826">
        <v>0.9</v>
      </c>
      <c r="DS59" s="826">
        <v>1</v>
      </c>
      <c r="DT59" s="826">
        <v>0.2</v>
      </c>
      <c r="DU59" s="826">
        <v>0.8</v>
      </c>
      <c r="DV59" s="826">
        <v>-0.1</v>
      </c>
      <c r="DW59" s="826">
        <v>-0.2</v>
      </c>
      <c r="DX59" s="826">
        <v>0.5</v>
      </c>
      <c r="DY59" s="826">
        <v>0.3</v>
      </c>
      <c r="DZ59" s="826">
        <v>0.1</v>
      </c>
      <c r="EA59" s="826">
        <v>-0.40000000000000568</v>
      </c>
      <c r="EB59" s="826">
        <v>0</v>
      </c>
      <c r="EC59" s="912">
        <v>-0.4</v>
      </c>
      <c r="ED59" s="836">
        <f>N208</f>
        <v>-1E-3</v>
      </c>
    </row>
    <row r="60" spans="1:134" ht="15.75">
      <c r="A60" s="654">
        <v>3.2585383722231707E-2</v>
      </c>
      <c r="B60" s="821" t="s">
        <v>1385</v>
      </c>
      <c r="C60" s="825">
        <v>-9.9999999999994316E-2</v>
      </c>
      <c r="D60" s="825">
        <v>9.9999999999994316E-2</v>
      </c>
      <c r="E60" s="825">
        <v>0</v>
      </c>
      <c r="F60" s="825">
        <v>0</v>
      </c>
      <c r="G60" s="825">
        <v>-9.9999999999994316E-2</v>
      </c>
      <c r="H60" s="825">
        <v>-9.9999999999994316E-2</v>
      </c>
      <c r="I60" s="825">
        <v>9.9999999999994316E-2</v>
      </c>
      <c r="J60" s="825">
        <v>9.9999999999994316E-2</v>
      </c>
      <c r="K60" s="825">
        <v>-0.20000000000000284</v>
      </c>
      <c r="L60" s="825">
        <v>-9.9999999999994316E-2</v>
      </c>
      <c r="M60" s="825">
        <v>0</v>
      </c>
      <c r="N60" s="825">
        <v>0</v>
      </c>
      <c r="O60" s="825">
        <v>0.18419602285750614</v>
      </c>
      <c r="P60" s="825">
        <v>1.2212880484833164</v>
      </c>
      <c r="Q60" s="825">
        <v>2.424287402180056</v>
      </c>
      <c r="R60" s="825">
        <v>2.7488299922413688</v>
      </c>
      <c r="S60" s="825">
        <v>1.0462400916167098</v>
      </c>
      <c r="T60" s="825">
        <v>1.6194431359625412</v>
      </c>
      <c r="U60" s="825">
        <v>1.5162011383597331</v>
      </c>
      <c r="V60" s="825">
        <v>1.8658421101920055</v>
      </c>
      <c r="W60" s="825">
        <v>2.0417356875412622</v>
      </c>
      <c r="X60" s="825">
        <v>1.4499213382230778</v>
      </c>
      <c r="Y60" s="825">
        <v>2.8144455160690427</v>
      </c>
      <c r="Z60" s="825">
        <v>3.7000000000000028</v>
      </c>
      <c r="AA60" s="825">
        <v>3.4553362471371685</v>
      </c>
      <c r="AB60" s="825">
        <v>8.6306286973569399</v>
      </c>
      <c r="AC60" s="825">
        <v>9.0838863493368507</v>
      </c>
      <c r="AD60" s="825">
        <v>2.0969096543781234</v>
      </c>
      <c r="AE60" s="825">
        <v>1.1697025221831296</v>
      </c>
      <c r="AF60" s="825">
        <v>1.3790975725788854</v>
      </c>
      <c r="AG60" s="825">
        <v>1.4735103009863906</v>
      </c>
      <c r="AH60" s="825">
        <v>1.0469040671124787</v>
      </c>
      <c r="AI60" s="825">
        <v>0.79999999999999716</v>
      </c>
      <c r="AJ60" s="825">
        <v>0.90000000000000568</v>
      </c>
      <c r="AK60" s="825">
        <v>2</v>
      </c>
      <c r="AL60" s="825">
        <v>0.90000000000000568</v>
      </c>
      <c r="AM60" s="825">
        <v>0.79999999999999716</v>
      </c>
      <c r="AN60" s="826">
        <v>1.2999999999999972</v>
      </c>
      <c r="AO60" s="826">
        <v>1.8</v>
      </c>
      <c r="AP60" s="826">
        <v>0.2</v>
      </c>
      <c r="AQ60" s="826">
        <v>-1.8</v>
      </c>
      <c r="AR60" s="826">
        <v>-9.9999999999994316E-2</v>
      </c>
      <c r="AS60" s="826">
        <v>0.3</v>
      </c>
      <c r="AT60" s="826">
        <v>0.5</v>
      </c>
      <c r="AU60" s="826">
        <v>0.9</v>
      </c>
      <c r="AV60" s="826">
        <v>0.3</v>
      </c>
      <c r="AW60" s="826">
        <v>0.8</v>
      </c>
      <c r="AX60" s="826">
        <v>-0.5</v>
      </c>
      <c r="AY60" s="826">
        <v>0.5</v>
      </c>
      <c r="AZ60" s="826">
        <v>1.3</v>
      </c>
      <c r="BA60" s="826">
        <v>0.8</v>
      </c>
      <c r="BB60" s="826">
        <v>0.3</v>
      </c>
      <c r="BC60" s="826">
        <v>-0.3</v>
      </c>
      <c r="BD60" s="826">
        <v>0.3</v>
      </c>
      <c r="BE60" s="826">
        <v>0.2</v>
      </c>
      <c r="BF60" s="826">
        <v>0</v>
      </c>
      <c r="BG60" s="826">
        <v>0.3</v>
      </c>
      <c r="BH60" s="826">
        <v>0.7</v>
      </c>
      <c r="BI60" s="826">
        <v>0.2</v>
      </c>
      <c r="BJ60" s="826">
        <v>0.1</v>
      </c>
      <c r="BK60" s="827">
        <v>1.2</v>
      </c>
      <c r="BL60" s="826">
        <v>0.7</v>
      </c>
      <c r="BM60" s="826">
        <v>1</v>
      </c>
      <c r="BN60" s="826">
        <v>0.1</v>
      </c>
      <c r="BO60" s="826">
        <v>-0.6</v>
      </c>
      <c r="BP60" s="826">
        <v>-0.2</v>
      </c>
      <c r="BQ60" s="826">
        <v>0.2</v>
      </c>
      <c r="BR60" s="826">
        <v>0.4</v>
      </c>
      <c r="BS60" s="826">
        <v>0.6</v>
      </c>
      <c r="BT60" s="826">
        <v>0.8</v>
      </c>
      <c r="BU60" s="826">
        <v>0.3</v>
      </c>
      <c r="BV60" s="826">
        <v>-0.2</v>
      </c>
      <c r="BW60" s="826">
        <v>0.7</v>
      </c>
      <c r="BX60" s="826">
        <v>0.8</v>
      </c>
      <c r="BY60" s="826">
        <v>0.2</v>
      </c>
      <c r="BZ60" s="826">
        <v>-0.1</v>
      </c>
      <c r="CA60" s="826">
        <v>-0.3</v>
      </c>
      <c r="CB60" s="826">
        <v>-0.1</v>
      </c>
      <c r="CC60" s="826">
        <v>0.1</v>
      </c>
      <c r="CD60" s="826">
        <v>-0.3</v>
      </c>
      <c r="CE60" s="826">
        <v>-0.5</v>
      </c>
      <c r="CF60" s="826">
        <v>0.3</v>
      </c>
      <c r="CG60" s="826">
        <v>0.1</v>
      </c>
      <c r="CH60" s="826">
        <v>-1</v>
      </c>
      <c r="CI60" s="826">
        <v>0</v>
      </c>
      <c r="CJ60" s="826">
        <v>-0.3</v>
      </c>
      <c r="CK60" s="826">
        <v>0.2</v>
      </c>
      <c r="CL60" s="826">
        <v>-0.4</v>
      </c>
      <c r="CM60" s="826">
        <v>-0.8</v>
      </c>
      <c r="CN60" s="826">
        <v>-0.3</v>
      </c>
      <c r="CO60" s="826">
        <v>0.5</v>
      </c>
      <c r="CP60" s="826">
        <v>0.1</v>
      </c>
      <c r="CQ60" s="826">
        <v>-0.6</v>
      </c>
      <c r="CR60" s="826">
        <v>0.9</v>
      </c>
      <c r="CS60" s="826">
        <v>0.6</v>
      </c>
      <c r="CT60" s="826">
        <v>0.2</v>
      </c>
      <c r="CU60" s="826">
        <v>0.6</v>
      </c>
      <c r="CV60" s="826">
        <v>0.9</v>
      </c>
      <c r="CW60" s="826">
        <v>0.4</v>
      </c>
      <c r="CX60" s="826">
        <v>0.1</v>
      </c>
      <c r="CY60" s="826">
        <v>-0.8</v>
      </c>
      <c r="CZ60" s="826">
        <v>0.6</v>
      </c>
      <c r="DA60" s="826">
        <v>0.7</v>
      </c>
      <c r="DB60" s="826">
        <v>0.3</v>
      </c>
      <c r="DC60" s="826">
        <v>-0.6</v>
      </c>
      <c r="DD60" s="826">
        <v>1.3</v>
      </c>
      <c r="DE60" s="826">
        <v>1.3</v>
      </c>
      <c r="DF60" s="826">
        <v>0.1</v>
      </c>
      <c r="DG60" s="826">
        <v>0</v>
      </c>
      <c r="DH60" s="826">
        <v>1</v>
      </c>
      <c r="DI60" s="826">
        <v>1.5</v>
      </c>
      <c r="DJ60" s="826">
        <v>2.7</v>
      </c>
      <c r="DK60" s="826">
        <v>0.2</v>
      </c>
      <c r="DL60" s="826">
        <v>1.3</v>
      </c>
      <c r="DM60" s="826">
        <v>1.2</v>
      </c>
      <c r="DN60" s="826">
        <v>2.9</v>
      </c>
      <c r="DO60" s="826">
        <v>0.98199999999999932</v>
      </c>
      <c r="DP60" s="826">
        <v>2.2000000000000002</v>
      </c>
      <c r="DQ60" s="826">
        <v>1</v>
      </c>
      <c r="DR60" s="826">
        <v>-0.1</v>
      </c>
      <c r="DS60" s="826">
        <v>0.4</v>
      </c>
      <c r="DT60" s="826">
        <v>1</v>
      </c>
      <c r="DU60" s="826">
        <v>0.1</v>
      </c>
      <c r="DV60" s="826">
        <v>-0.2</v>
      </c>
      <c r="DW60" s="826">
        <v>-0.2</v>
      </c>
      <c r="DX60" s="826">
        <v>-0.5</v>
      </c>
      <c r="DY60" s="826">
        <v>-0.5</v>
      </c>
      <c r="DZ60" s="826">
        <v>-0.5</v>
      </c>
      <c r="EA60" s="826">
        <v>9.9999999999994316E-2</v>
      </c>
      <c r="EB60" s="826">
        <v>0</v>
      </c>
      <c r="EC60" s="912">
        <v>-0.2</v>
      </c>
      <c r="ED60" s="836">
        <f>N222</f>
        <v>-4.0000000000000001E-3</v>
      </c>
    </row>
    <row r="61" spans="1:134" ht="15.75">
      <c r="A61" s="654">
        <v>1.3824650341941896E-2</v>
      </c>
      <c r="B61" s="821" t="s">
        <v>324</v>
      </c>
      <c r="C61" s="825">
        <v>9.9999999999994316E-2</v>
      </c>
      <c r="D61" s="825">
        <v>0.20000000000000284</v>
      </c>
      <c r="E61" s="825">
        <v>0.20000000000000284</v>
      </c>
      <c r="F61" s="825">
        <v>0</v>
      </c>
      <c r="G61" s="825">
        <v>0</v>
      </c>
      <c r="H61" s="825">
        <v>0.40000000000000568</v>
      </c>
      <c r="I61" s="825">
        <v>0.20000000000000284</v>
      </c>
      <c r="J61" s="825">
        <v>0</v>
      </c>
      <c r="K61" s="825">
        <v>1.2000000000000028</v>
      </c>
      <c r="L61" s="825">
        <v>0</v>
      </c>
      <c r="M61" s="825">
        <v>9.9999999999994316E-2</v>
      </c>
      <c r="N61" s="825">
        <v>-0.20000000000000284</v>
      </c>
      <c r="O61" s="825">
        <v>9.950111849710197E-2</v>
      </c>
      <c r="P61" s="825">
        <v>0.43047913535360749</v>
      </c>
      <c r="Q61" s="825">
        <v>1.2220201538923448E-2</v>
      </c>
      <c r="R61" s="825">
        <v>0.16233765765372254</v>
      </c>
      <c r="S61" s="825">
        <v>3.1576815818240789E-2</v>
      </c>
      <c r="T61" s="825">
        <v>0.93099389422646084</v>
      </c>
      <c r="U61" s="825">
        <v>0.10125613951284151</v>
      </c>
      <c r="V61" s="825">
        <v>0.13148528263162973</v>
      </c>
      <c r="W61" s="825">
        <v>2.1903958818778761</v>
      </c>
      <c r="X61" s="825">
        <v>0.38960827756284289</v>
      </c>
      <c r="Y61" s="825">
        <v>0.10873686092513424</v>
      </c>
      <c r="Z61" s="825">
        <v>9.9999999999994316E-2</v>
      </c>
      <c r="AA61" s="825">
        <v>2.5014720060883207</v>
      </c>
      <c r="AB61" s="825">
        <v>4.0734871559985493</v>
      </c>
      <c r="AC61" s="825">
        <v>1.9611623803256037</v>
      </c>
      <c r="AD61" s="825">
        <v>1.825808501470874</v>
      </c>
      <c r="AE61" s="825">
        <v>1.5015346948366499</v>
      </c>
      <c r="AF61" s="825">
        <v>1.5304665579359806</v>
      </c>
      <c r="AG61" s="825">
        <v>0.69534905237682665</v>
      </c>
      <c r="AH61" s="825">
        <v>0.11770631280496957</v>
      </c>
      <c r="AI61" s="825">
        <v>6.9000000000000057</v>
      </c>
      <c r="AJ61" s="825">
        <v>0.5</v>
      </c>
      <c r="AK61" s="825">
        <v>0.29999999999999716</v>
      </c>
      <c r="AL61" s="825">
        <v>0.20000000000000284</v>
      </c>
      <c r="AM61" s="825">
        <v>2.5</v>
      </c>
      <c r="AN61" s="826">
        <v>1</v>
      </c>
      <c r="AO61" s="826">
        <v>0.9</v>
      </c>
      <c r="AP61" s="826">
        <v>0.3</v>
      </c>
      <c r="AQ61" s="826">
        <v>0.7</v>
      </c>
      <c r="AR61" s="826">
        <v>1.0999999999999943</v>
      </c>
      <c r="AS61" s="826">
        <v>0.5</v>
      </c>
      <c r="AT61" s="826">
        <v>-0.2</v>
      </c>
      <c r="AU61" s="826">
        <v>5.3</v>
      </c>
      <c r="AV61" s="826">
        <v>0.5</v>
      </c>
      <c r="AW61" s="826">
        <v>0.3</v>
      </c>
      <c r="AX61" s="826">
        <v>0.1</v>
      </c>
      <c r="AY61" s="826">
        <v>1.1000000000000001</v>
      </c>
      <c r="AZ61" s="826">
        <v>0.4</v>
      </c>
      <c r="BA61" s="826">
        <v>0.2</v>
      </c>
      <c r="BB61" s="826">
        <v>0</v>
      </c>
      <c r="BC61" s="826">
        <v>0.1</v>
      </c>
      <c r="BD61" s="826">
        <v>0.4</v>
      </c>
      <c r="BE61" s="826">
        <v>0.1</v>
      </c>
      <c r="BF61" s="826">
        <v>0.1</v>
      </c>
      <c r="BG61" s="826">
        <v>12</v>
      </c>
      <c r="BH61" s="826">
        <v>0.2</v>
      </c>
      <c r="BI61" s="826">
        <v>0</v>
      </c>
      <c r="BJ61" s="826">
        <v>0</v>
      </c>
      <c r="BK61" s="827">
        <v>1.4</v>
      </c>
      <c r="BL61" s="826">
        <v>0.4</v>
      </c>
      <c r="BM61" s="826">
        <v>0.2</v>
      </c>
      <c r="BN61" s="826">
        <v>0</v>
      </c>
      <c r="BO61" s="826">
        <v>0</v>
      </c>
      <c r="BP61" s="826">
        <v>0.5</v>
      </c>
      <c r="BQ61" s="826">
        <v>0.2</v>
      </c>
      <c r="BR61" s="826">
        <v>0.1</v>
      </c>
      <c r="BS61" s="826">
        <v>10</v>
      </c>
      <c r="BT61" s="826">
        <v>0.1</v>
      </c>
      <c r="BU61" s="826">
        <v>0.1</v>
      </c>
      <c r="BV61" s="826">
        <v>0.1</v>
      </c>
      <c r="BW61" s="826">
        <v>1.4</v>
      </c>
      <c r="BX61" s="826">
        <v>0.4</v>
      </c>
      <c r="BY61" s="826">
        <v>0.1</v>
      </c>
      <c r="BZ61" s="826">
        <v>0</v>
      </c>
      <c r="CA61" s="826">
        <v>0</v>
      </c>
      <c r="CB61" s="826">
        <v>0.4</v>
      </c>
      <c r="CC61" s="826">
        <v>0.2</v>
      </c>
      <c r="CD61" s="826">
        <v>0.3</v>
      </c>
      <c r="CE61" s="826">
        <v>9.9</v>
      </c>
      <c r="CF61" s="826">
        <v>0.4</v>
      </c>
      <c r="CG61" s="826">
        <v>0</v>
      </c>
      <c r="CH61" s="826">
        <v>0</v>
      </c>
      <c r="CI61" s="826">
        <v>1.4</v>
      </c>
      <c r="CJ61" s="826">
        <v>0.3</v>
      </c>
      <c r="CK61" s="826">
        <v>0.2</v>
      </c>
      <c r="CL61" s="826">
        <v>0</v>
      </c>
      <c r="CM61" s="826">
        <v>0</v>
      </c>
      <c r="CN61" s="826">
        <v>0.3</v>
      </c>
      <c r="CO61" s="826">
        <v>0.1</v>
      </c>
      <c r="CP61" s="826">
        <v>0.1</v>
      </c>
      <c r="CQ61" s="826">
        <v>11</v>
      </c>
      <c r="CR61" s="826">
        <v>0.1</v>
      </c>
      <c r="CS61" s="826">
        <v>0.1</v>
      </c>
      <c r="CT61" s="826">
        <v>0</v>
      </c>
      <c r="CU61" s="826">
        <v>1.2</v>
      </c>
      <c r="CV61" s="826">
        <v>0.6</v>
      </c>
      <c r="CW61" s="826">
        <v>0.3</v>
      </c>
      <c r="CX61" s="826">
        <v>0.3</v>
      </c>
      <c r="CY61" s="826">
        <v>0.2</v>
      </c>
      <c r="CZ61" s="826">
        <v>0.3</v>
      </c>
      <c r="DA61" s="826">
        <v>0</v>
      </c>
      <c r="DB61" s="826">
        <v>0.1</v>
      </c>
      <c r="DC61" s="826">
        <v>13.2</v>
      </c>
      <c r="DD61" s="826">
        <v>0.1</v>
      </c>
      <c r="DE61" s="826">
        <v>0.1</v>
      </c>
      <c r="DF61" s="826">
        <v>0.1</v>
      </c>
      <c r="DG61" s="826">
        <v>1.6</v>
      </c>
      <c r="DH61" s="826">
        <v>0.2</v>
      </c>
      <c r="DI61" s="826">
        <v>0</v>
      </c>
      <c r="DJ61" s="826">
        <v>0.1</v>
      </c>
      <c r="DK61" s="826">
        <v>0</v>
      </c>
      <c r="DL61" s="826">
        <v>0.1</v>
      </c>
      <c r="DM61" s="826">
        <v>0.1</v>
      </c>
      <c r="DN61" s="826">
        <v>0.2</v>
      </c>
      <c r="DO61" s="826">
        <v>7.097999999999999</v>
      </c>
      <c r="DP61" s="826">
        <v>0.2</v>
      </c>
      <c r="DQ61" s="826">
        <v>0</v>
      </c>
      <c r="DR61" s="826">
        <v>0</v>
      </c>
      <c r="DS61" s="826">
        <v>1.1000000000000001</v>
      </c>
      <c r="DT61" s="826">
        <v>0.3</v>
      </c>
      <c r="DU61" s="826">
        <v>0.2</v>
      </c>
      <c r="DV61" s="826">
        <v>0.1</v>
      </c>
      <c r="DW61" s="826">
        <v>0</v>
      </c>
      <c r="DX61" s="826">
        <v>0.1</v>
      </c>
      <c r="DY61" s="826">
        <v>0.4</v>
      </c>
      <c r="DZ61" s="826">
        <v>0.1</v>
      </c>
      <c r="EA61" s="826">
        <v>9.9000000000000057</v>
      </c>
      <c r="EB61" s="826">
        <v>0.2</v>
      </c>
      <c r="EC61" s="912">
        <v>0</v>
      </c>
      <c r="ED61" s="836">
        <f>N236</f>
        <v>5.0000000000000001E-4</v>
      </c>
    </row>
    <row r="62" spans="1:134" ht="15.75">
      <c r="A62" s="654">
        <v>2.4198414107142924E-2</v>
      </c>
      <c r="B62" s="821" t="s">
        <v>1469</v>
      </c>
      <c r="C62" s="825">
        <v>9.9999999999994316E-2</v>
      </c>
      <c r="D62" s="825">
        <v>9.9999999999994316E-2</v>
      </c>
      <c r="E62" s="825">
        <v>9.9999999999994316E-2</v>
      </c>
      <c r="F62" s="825">
        <v>0.20000000000000284</v>
      </c>
      <c r="G62" s="825">
        <v>0.20000000000000284</v>
      </c>
      <c r="H62" s="825">
        <v>0.40000000000000568</v>
      </c>
      <c r="I62" s="825">
        <v>0.40000000000000568</v>
      </c>
      <c r="J62" s="825">
        <v>0</v>
      </c>
      <c r="K62" s="825">
        <v>-9.9999999999994316E-2</v>
      </c>
      <c r="L62" s="825">
        <v>-9.9999999999994316E-2</v>
      </c>
      <c r="M62" s="825">
        <v>0</v>
      </c>
      <c r="N62" s="825">
        <v>9.9999999999994316E-2</v>
      </c>
      <c r="O62" s="825">
        <v>2.2314054908733283E-2</v>
      </c>
      <c r="P62" s="825">
        <v>0.49472505623369045</v>
      </c>
      <c r="Q62" s="825">
        <v>0.76725503797592864</v>
      </c>
      <c r="R62" s="825">
        <v>1.3417157415008774</v>
      </c>
      <c r="S62" s="825">
        <v>1.1944204836632082</v>
      </c>
      <c r="T62" s="825">
        <v>1.5357606378331639</v>
      </c>
      <c r="U62" s="825">
        <v>1.3456282677434501</v>
      </c>
      <c r="V62" s="825">
        <v>0.91205543403567901</v>
      </c>
      <c r="W62" s="825">
        <v>0.53106999303666669</v>
      </c>
      <c r="X62" s="825">
        <v>2.0256083038250807</v>
      </c>
      <c r="Y62" s="825">
        <v>1.4973770367715957</v>
      </c>
      <c r="Z62" s="825">
        <v>1.7000000000000028</v>
      </c>
      <c r="AA62" s="825">
        <v>1.4676559623910066</v>
      </c>
      <c r="AB62" s="825">
        <v>2.5283204798683983</v>
      </c>
      <c r="AC62" s="825">
        <v>6.2922009234851544</v>
      </c>
      <c r="AD62" s="825">
        <v>2.9133456224992358</v>
      </c>
      <c r="AE62" s="825">
        <v>1.503639630570035</v>
      </c>
      <c r="AF62" s="825">
        <v>1.3843999819262507</v>
      </c>
      <c r="AG62" s="825">
        <v>1.3999890924044252</v>
      </c>
      <c r="AH62" s="825">
        <v>0.62021620201717553</v>
      </c>
      <c r="AI62" s="825">
        <v>0.40000000000000568</v>
      </c>
      <c r="AJ62" s="825">
        <v>1.2000000000000028</v>
      </c>
      <c r="AK62" s="825">
        <v>0.70000000000000284</v>
      </c>
      <c r="AL62" s="825">
        <v>0.90000000000000568</v>
      </c>
      <c r="AM62" s="825">
        <v>1.0999999999999943</v>
      </c>
      <c r="AN62" s="826">
        <v>1.2999999999999972</v>
      </c>
      <c r="AO62" s="826">
        <v>0.7</v>
      </c>
      <c r="AP62" s="826">
        <v>0.8</v>
      </c>
      <c r="AQ62" s="826">
        <v>0.4</v>
      </c>
      <c r="AR62" s="826">
        <v>0.90000000000000568</v>
      </c>
      <c r="AS62" s="826">
        <v>1.3</v>
      </c>
      <c r="AT62" s="826">
        <v>0.6</v>
      </c>
      <c r="AU62" s="826">
        <v>0</v>
      </c>
      <c r="AV62" s="826">
        <v>1.9</v>
      </c>
      <c r="AW62" s="826">
        <v>0.7</v>
      </c>
      <c r="AX62" s="826">
        <v>0.8</v>
      </c>
      <c r="AY62" s="826">
        <v>1.6</v>
      </c>
      <c r="AZ62" s="826">
        <v>1.2</v>
      </c>
      <c r="BA62" s="826">
        <v>0.9</v>
      </c>
      <c r="BB62" s="826">
        <v>0.9</v>
      </c>
      <c r="BC62" s="826">
        <v>0.8</v>
      </c>
      <c r="BD62" s="826">
        <v>1.5</v>
      </c>
      <c r="BE62" s="826">
        <v>1.6</v>
      </c>
      <c r="BF62" s="826">
        <v>1.1000000000000001</v>
      </c>
      <c r="BG62" s="826">
        <v>1.4</v>
      </c>
      <c r="BH62" s="826">
        <v>1.9</v>
      </c>
      <c r="BI62" s="826">
        <v>1.4</v>
      </c>
      <c r="BJ62" s="826">
        <v>1.8</v>
      </c>
      <c r="BK62" s="827">
        <v>1.3</v>
      </c>
      <c r="BL62" s="826">
        <v>1.1000000000000001</v>
      </c>
      <c r="BM62" s="826">
        <v>0.9</v>
      </c>
      <c r="BN62" s="826">
        <v>1.1000000000000001</v>
      </c>
      <c r="BO62" s="826">
        <v>0.2</v>
      </c>
      <c r="BP62" s="826">
        <v>1.1000000000000001</v>
      </c>
      <c r="BQ62" s="826">
        <v>1</v>
      </c>
      <c r="BR62" s="826">
        <v>0.6</v>
      </c>
      <c r="BS62" s="826">
        <v>0.5</v>
      </c>
      <c r="BT62" s="826">
        <v>2.2999999999999998</v>
      </c>
      <c r="BU62" s="826">
        <v>1</v>
      </c>
      <c r="BV62" s="826">
        <v>1.2</v>
      </c>
      <c r="BW62" s="826">
        <v>0.8</v>
      </c>
      <c r="BX62" s="826">
        <v>0.7</v>
      </c>
      <c r="BY62" s="826">
        <v>0.7</v>
      </c>
      <c r="BZ62" s="826">
        <v>0.8</v>
      </c>
      <c r="CA62" s="826">
        <v>0.4</v>
      </c>
      <c r="CB62" s="826">
        <v>1</v>
      </c>
      <c r="CC62" s="826">
        <v>1.1000000000000001</v>
      </c>
      <c r="CD62" s="826">
        <v>0.6</v>
      </c>
      <c r="CE62" s="826">
        <v>0.2</v>
      </c>
      <c r="CF62" s="826">
        <v>1.1000000000000001</v>
      </c>
      <c r="CG62" s="826">
        <v>0.7</v>
      </c>
      <c r="CH62" s="826">
        <v>0.4</v>
      </c>
      <c r="CI62" s="826">
        <v>0.6</v>
      </c>
      <c r="CJ62" s="826">
        <v>0.6</v>
      </c>
      <c r="CK62" s="826">
        <v>0.2</v>
      </c>
      <c r="CL62" s="826">
        <v>0</v>
      </c>
      <c r="CM62" s="826">
        <v>0.3</v>
      </c>
      <c r="CN62" s="826">
        <v>-0.2</v>
      </c>
      <c r="CO62" s="826">
        <v>1</v>
      </c>
      <c r="CP62" s="826">
        <v>0.1</v>
      </c>
      <c r="CQ62" s="826">
        <v>-0.7</v>
      </c>
      <c r="CR62" s="826">
        <v>1.1000000000000001</v>
      </c>
      <c r="CS62" s="826">
        <v>0.3</v>
      </c>
      <c r="CT62" s="826">
        <v>0.4</v>
      </c>
      <c r="CU62" s="826">
        <v>0.3</v>
      </c>
      <c r="CV62" s="826">
        <v>0.9</v>
      </c>
      <c r="CW62" s="826">
        <v>0.8</v>
      </c>
      <c r="CX62" s="826">
        <v>0.6</v>
      </c>
      <c r="CY62" s="826">
        <v>0</v>
      </c>
      <c r="CZ62" s="826">
        <v>1.1000000000000001</v>
      </c>
      <c r="DA62" s="826">
        <v>1.2</v>
      </c>
      <c r="DB62" s="826">
        <v>0.5</v>
      </c>
      <c r="DC62" s="826">
        <v>0</v>
      </c>
      <c r="DD62" s="826">
        <v>1.5</v>
      </c>
      <c r="DE62" s="826">
        <v>1</v>
      </c>
      <c r="DF62" s="826">
        <v>0.8</v>
      </c>
      <c r="DG62" s="826">
        <v>0.9</v>
      </c>
      <c r="DH62" s="826">
        <v>1.3</v>
      </c>
      <c r="DI62" s="826">
        <v>1.7</v>
      </c>
      <c r="DJ62" s="826">
        <v>1.6</v>
      </c>
      <c r="DK62" s="826">
        <v>3.1</v>
      </c>
      <c r="DL62" s="826">
        <v>1.3</v>
      </c>
      <c r="DM62" s="826">
        <v>1.6</v>
      </c>
      <c r="DN62" s="826">
        <v>1.2</v>
      </c>
      <c r="DO62" s="826">
        <v>1.688999999999993</v>
      </c>
      <c r="DP62" s="826">
        <v>2.4</v>
      </c>
      <c r="DQ62" s="826">
        <v>2.2999999999999998</v>
      </c>
      <c r="DR62" s="826">
        <v>1.4</v>
      </c>
      <c r="DS62" s="826">
        <v>1.6</v>
      </c>
      <c r="DT62" s="826">
        <v>1</v>
      </c>
      <c r="DU62" s="826">
        <v>1.1000000000000001</v>
      </c>
      <c r="DV62" s="826">
        <v>1.3</v>
      </c>
      <c r="DW62" s="826">
        <v>1</v>
      </c>
      <c r="DX62" s="826">
        <v>1</v>
      </c>
      <c r="DY62" s="826">
        <v>1.1000000000000001</v>
      </c>
      <c r="DZ62" s="826">
        <v>0.8</v>
      </c>
      <c r="EA62" s="826">
        <v>0.70000000000000284</v>
      </c>
      <c r="EB62" s="826">
        <v>1.1000000000000001</v>
      </c>
      <c r="EC62" s="912">
        <v>0.9</v>
      </c>
      <c r="ED62" s="836">
        <f>N252</f>
        <v>1.0999999999999999E-2</v>
      </c>
    </row>
    <row r="63" spans="1:134" ht="16.5" thickBot="1">
      <c r="A63" s="645">
        <v>3.8835569795754393E-2</v>
      </c>
      <c r="B63" s="822" t="s">
        <v>1492</v>
      </c>
      <c r="C63" s="828">
        <v>0.79999999999999716</v>
      </c>
      <c r="D63" s="828">
        <v>9.9999999999994316E-2</v>
      </c>
      <c r="E63" s="828">
        <v>9.9999999999994316E-2</v>
      </c>
      <c r="F63" s="828">
        <v>-1.2999999999999972</v>
      </c>
      <c r="G63" s="828">
        <v>-0.40000000000000568</v>
      </c>
      <c r="H63" s="828">
        <v>0.20000000000000284</v>
      </c>
      <c r="I63" s="828">
        <v>0.20000000000000284</v>
      </c>
      <c r="J63" s="828">
        <v>0</v>
      </c>
      <c r="K63" s="828">
        <v>0.20000000000000284</v>
      </c>
      <c r="L63" s="828">
        <v>0.20000000000000284</v>
      </c>
      <c r="M63" s="828">
        <v>0.5</v>
      </c>
      <c r="N63" s="828">
        <v>1.9000000000000057</v>
      </c>
      <c r="O63" s="828">
        <v>0.42484581554869294</v>
      </c>
      <c r="P63" s="828">
        <v>0.27009607991872997</v>
      </c>
      <c r="Q63" s="828">
        <v>0.14282551654798681</v>
      </c>
      <c r="R63" s="828">
        <v>0.58140440059261778</v>
      </c>
      <c r="S63" s="828">
        <v>2.5100195037407644</v>
      </c>
      <c r="T63" s="828">
        <v>3.204415243234763</v>
      </c>
      <c r="U63" s="828">
        <v>1.9831343445173388</v>
      </c>
      <c r="V63" s="828">
        <v>1.3644605177164379</v>
      </c>
      <c r="W63" s="828">
        <v>1.8624760030552068</v>
      </c>
      <c r="X63" s="828">
        <v>2.6094422083958904</v>
      </c>
      <c r="Y63" s="828">
        <v>2.8823262319376113</v>
      </c>
      <c r="Z63" s="828">
        <v>4.2999999999999972</v>
      </c>
      <c r="AA63" s="828">
        <v>2.4686949561578473</v>
      </c>
      <c r="AB63" s="828">
        <v>3.6185293511399834</v>
      </c>
      <c r="AC63" s="828">
        <v>5.7964182366616654</v>
      </c>
      <c r="AD63" s="828">
        <v>4.8686625350449191</v>
      </c>
      <c r="AE63" s="828">
        <v>4.2803969194822145</v>
      </c>
      <c r="AF63" s="828">
        <v>1.1553421277108669</v>
      </c>
      <c r="AG63" s="828">
        <v>0.99768221676998792</v>
      </c>
      <c r="AH63" s="828">
        <v>0.59481245063315669</v>
      </c>
      <c r="AI63" s="828">
        <v>0.90000000000000568</v>
      </c>
      <c r="AJ63" s="828">
        <v>0.79999999999999716</v>
      </c>
      <c r="AK63" s="828">
        <v>1.0999999999999943</v>
      </c>
      <c r="AL63" s="828">
        <v>1.0999999999999943</v>
      </c>
      <c r="AM63" s="828">
        <v>0.70000000000000284</v>
      </c>
      <c r="AN63" s="828">
        <v>0.29999999999999716</v>
      </c>
      <c r="AO63" s="828">
        <v>0</v>
      </c>
      <c r="AP63" s="828">
        <v>-1</v>
      </c>
      <c r="AQ63" s="828">
        <v>0.3</v>
      </c>
      <c r="AR63" s="828">
        <v>0.40000000000000568</v>
      </c>
      <c r="AS63" s="828">
        <v>0.5</v>
      </c>
      <c r="AT63" s="828">
        <v>0.4</v>
      </c>
      <c r="AU63" s="828">
        <v>0.5</v>
      </c>
      <c r="AV63" s="828">
        <v>0.9</v>
      </c>
      <c r="AW63" s="828">
        <v>1.3</v>
      </c>
      <c r="AX63" s="828">
        <v>1.4</v>
      </c>
      <c r="AY63" s="828">
        <v>0.7</v>
      </c>
      <c r="AZ63" s="828">
        <v>0.8</v>
      </c>
      <c r="BA63" s="828">
        <v>-0.4</v>
      </c>
      <c r="BB63" s="828">
        <v>-1.9</v>
      </c>
      <c r="BC63" s="828">
        <v>-0.1</v>
      </c>
      <c r="BD63" s="828">
        <v>0.7</v>
      </c>
      <c r="BE63" s="828">
        <v>0.3</v>
      </c>
      <c r="BF63" s="828">
        <v>0.4</v>
      </c>
      <c r="BG63" s="828">
        <v>0.8</v>
      </c>
      <c r="BH63" s="828">
        <v>0.2</v>
      </c>
      <c r="BI63" s="828">
        <v>2.8</v>
      </c>
      <c r="BJ63" s="828">
        <v>3.1</v>
      </c>
      <c r="BK63" s="829">
        <v>1.1000000000000001</v>
      </c>
      <c r="BL63" s="828">
        <v>0.8</v>
      </c>
      <c r="BM63" s="828">
        <v>0.8</v>
      </c>
      <c r="BN63" s="828">
        <v>-1.9</v>
      </c>
      <c r="BO63" s="828">
        <v>-0.2</v>
      </c>
      <c r="BP63" s="828">
        <v>0.4</v>
      </c>
      <c r="BQ63" s="828">
        <v>0.8</v>
      </c>
      <c r="BR63" s="828">
        <v>0.3</v>
      </c>
      <c r="BS63" s="828">
        <v>1.3</v>
      </c>
      <c r="BT63" s="828">
        <v>0.8</v>
      </c>
      <c r="BU63" s="828">
        <v>3.4</v>
      </c>
      <c r="BV63" s="828">
        <v>3</v>
      </c>
      <c r="BW63" s="828">
        <v>0.8</v>
      </c>
      <c r="BX63" s="828">
        <v>0.8</v>
      </c>
      <c r="BY63" s="828">
        <v>0</v>
      </c>
      <c r="BZ63" s="828">
        <v>-2.4</v>
      </c>
      <c r="CA63" s="828">
        <v>0.7</v>
      </c>
      <c r="CB63" s="828">
        <v>0.3</v>
      </c>
      <c r="CC63" s="828">
        <v>0.5</v>
      </c>
      <c r="CD63" s="828">
        <v>0.5</v>
      </c>
      <c r="CE63" s="828">
        <v>1.4</v>
      </c>
      <c r="CF63" s="828">
        <v>1.3</v>
      </c>
      <c r="CG63" s="828">
        <v>1.5</v>
      </c>
      <c r="CH63" s="828">
        <v>2.2000000000000002</v>
      </c>
      <c r="CI63" s="828">
        <v>1.7</v>
      </c>
      <c r="CJ63" s="828">
        <v>0.9</v>
      </c>
      <c r="CK63" s="828">
        <v>-1</v>
      </c>
      <c r="CL63" s="828">
        <v>-3</v>
      </c>
      <c r="CM63" s="828">
        <v>0.2</v>
      </c>
      <c r="CN63" s="828">
        <v>0</v>
      </c>
      <c r="CO63" s="828">
        <v>0.1</v>
      </c>
      <c r="CP63" s="828">
        <v>0.3</v>
      </c>
      <c r="CQ63" s="828">
        <v>0.5</v>
      </c>
      <c r="CR63" s="828">
        <v>0.5</v>
      </c>
      <c r="CS63" s="828">
        <v>2.6</v>
      </c>
      <c r="CT63" s="828">
        <v>3.2</v>
      </c>
      <c r="CU63" s="828">
        <v>1.3</v>
      </c>
      <c r="CV63" s="828">
        <v>0.6</v>
      </c>
      <c r="CW63" s="828">
        <v>-0.3</v>
      </c>
      <c r="CX63" s="828">
        <v>-3.2</v>
      </c>
      <c r="CY63" s="828">
        <v>-0.3</v>
      </c>
      <c r="CZ63" s="828">
        <v>0.4</v>
      </c>
      <c r="DA63" s="828">
        <v>0.8</v>
      </c>
      <c r="DB63" s="828">
        <v>0.4</v>
      </c>
      <c r="DC63" s="828">
        <v>0.7</v>
      </c>
      <c r="DD63" s="828">
        <v>1.4</v>
      </c>
      <c r="DE63" s="828">
        <v>2.7</v>
      </c>
      <c r="DF63" s="828">
        <v>4.4000000000000004</v>
      </c>
      <c r="DG63" s="828">
        <v>0.7</v>
      </c>
      <c r="DH63" s="828">
        <v>0.6</v>
      </c>
      <c r="DI63" s="828">
        <v>1.2</v>
      </c>
      <c r="DJ63" s="828">
        <v>-2</v>
      </c>
      <c r="DK63" s="828">
        <v>0.6</v>
      </c>
      <c r="DL63" s="828">
        <v>1.7</v>
      </c>
      <c r="DM63" s="828">
        <v>1.8</v>
      </c>
      <c r="DN63" s="828">
        <v>1.3</v>
      </c>
      <c r="DO63" s="828">
        <v>1.5310000000000059</v>
      </c>
      <c r="DP63" s="828">
        <v>2.2000000000000002</v>
      </c>
      <c r="DQ63" s="828">
        <v>3.3</v>
      </c>
      <c r="DR63" s="828">
        <v>3.7</v>
      </c>
      <c r="DS63" s="828">
        <v>1.8</v>
      </c>
      <c r="DT63" s="828">
        <v>0.8</v>
      </c>
      <c r="DU63" s="828">
        <v>0.5</v>
      </c>
      <c r="DV63" s="828">
        <v>-2.2999999999999998</v>
      </c>
      <c r="DW63" s="828">
        <v>0.4</v>
      </c>
      <c r="DX63" s="828">
        <v>0.8</v>
      </c>
      <c r="DY63" s="828">
        <v>0.8</v>
      </c>
      <c r="DZ63" s="828">
        <v>0.3</v>
      </c>
      <c r="EA63" s="828">
        <v>0.59999999999999432</v>
      </c>
      <c r="EB63" s="828">
        <v>1.2</v>
      </c>
      <c r="EC63" s="913">
        <v>2.2000000000000002</v>
      </c>
      <c r="ED63" s="836">
        <f>N268</f>
        <v>3.3750000000000002E-2</v>
      </c>
    </row>
    <row r="64" spans="1:134" ht="13.5" thickTop="1"/>
    <row r="65" spans="2:134">
      <c r="DS65" s="837">
        <f t="shared" ref="DS65:EA65" si="56">SUMPRODUCT(DS52:DS63,$A$52:$A$63)</f>
        <v>0.70376024911805857</v>
      </c>
      <c r="DT65" s="837">
        <f t="shared" si="56"/>
        <v>0.62600450495775228</v>
      </c>
      <c r="DU65" s="837">
        <f t="shared" si="56"/>
        <v>1.7139513122375887</v>
      </c>
      <c r="DV65" s="837">
        <f t="shared" si="56"/>
        <v>0.21712072374780528</v>
      </c>
      <c r="DW65" s="837">
        <f t="shared" si="56"/>
        <v>0.411260133234295</v>
      </c>
      <c r="DX65" s="837">
        <f t="shared" si="56"/>
        <v>0.9487827682539538</v>
      </c>
      <c r="DY65" s="837">
        <f t="shared" si="56"/>
        <v>-0.64252674088503492</v>
      </c>
      <c r="DZ65" s="837">
        <f t="shared" si="56"/>
        <v>-1.3093220291077401</v>
      </c>
      <c r="EA65" s="837">
        <f t="shared" si="56"/>
        <v>0.67317089256124174</v>
      </c>
      <c r="EB65" s="837">
        <f>SUMPRODUCT(EB52:EB63,$A$52:$A$63)</f>
        <v>0.75016282139843626</v>
      </c>
      <c r="EC65" s="837">
        <f>SUMPRODUCT(EC52:EC63,$A$52:$A$63)</f>
        <v>0.43329071071983216</v>
      </c>
      <c r="ED65" s="838">
        <f>SUMPRODUCT(ED52:ED63,$A$52:$A$63)*100</f>
        <v>0.35346552436052575</v>
      </c>
    </row>
    <row r="66" spans="2:134" ht="15.75">
      <c r="B66" s="830" t="s">
        <v>517</v>
      </c>
      <c r="C66" s="832">
        <v>1</v>
      </c>
      <c r="D66" s="832">
        <v>2</v>
      </c>
      <c r="E66" s="832">
        <v>3</v>
      </c>
      <c r="F66" s="832">
        <v>4</v>
      </c>
      <c r="G66" s="832">
        <v>5</v>
      </c>
      <c r="H66" s="832">
        <v>6</v>
      </c>
      <c r="I66" s="832">
        <v>7</v>
      </c>
      <c r="J66" s="832">
        <v>8</v>
      </c>
      <c r="K66" s="832">
        <v>9</v>
      </c>
      <c r="L66" s="832">
        <v>10</v>
      </c>
      <c r="M66" s="832">
        <v>11</v>
      </c>
      <c r="N66" s="832">
        <v>12</v>
      </c>
      <c r="Q66" s="832">
        <v>1</v>
      </c>
      <c r="R66" s="832">
        <v>2</v>
      </c>
      <c r="S66" s="832">
        <v>3</v>
      </c>
      <c r="T66" s="832">
        <v>4</v>
      </c>
      <c r="U66" s="832">
        <v>5</v>
      </c>
      <c r="V66" s="832">
        <v>6</v>
      </c>
      <c r="W66" s="832">
        <v>7</v>
      </c>
      <c r="X66" s="832">
        <v>8</v>
      </c>
      <c r="Y66" s="832">
        <v>9</v>
      </c>
      <c r="Z66" s="832">
        <v>10</v>
      </c>
      <c r="AA66" s="832">
        <v>11</v>
      </c>
      <c r="AB66" s="832">
        <v>12</v>
      </c>
    </row>
    <row r="67" spans="2:134">
      <c r="B67" s="834">
        <v>2013</v>
      </c>
      <c r="C67" s="831">
        <f>SUMIFS($C$52:$DV$52,$C$48:$DV$48,C$66,$C$49:$DV$49,$B67)/100</f>
        <v>2.9999999999999714E-3</v>
      </c>
      <c r="D67" s="831">
        <f t="shared" ref="D67:N67" si="57">SUMIFS($C$52:$DV$52,$C$48:$DV$48,D$66,$C$49:$DV$49,$B67)/100</f>
        <v>-2.0000000000000282E-3</v>
      </c>
      <c r="E67" s="831">
        <f t="shared" si="57"/>
        <v>-2.9999999999999714E-3</v>
      </c>
      <c r="F67" s="831">
        <f t="shared" si="57"/>
        <v>-9.9999999999994321E-4</v>
      </c>
      <c r="G67" s="831">
        <f t="shared" si="57"/>
        <v>0</v>
      </c>
      <c r="H67" s="831">
        <f t="shared" si="57"/>
        <v>-9.9999999999994321E-4</v>
      </c>
      <c r="I67" s="831">
        <f t="shared" si="57"/>
        <v>-2.9999999999999714E-3</v>
      </c>
      <c r="J67" s="831">
        <f t="shared" si="57"/>
        <v>-1.4999999999999999E-2</v>
      </c>
      <c r="K67" s="831">
        <f t="shared" si="57"/>
        <v>-9.9999999999994321E-4</v>
      </c>
      <c r="L67" s="831">
        <f t="shared" si="57"/>
        <v>5.9999999999999429E-3</v>
      </c>
      <c r="M67" s="831">
        <f t="shared" si="57"/>
        <v>2.0000000000000282E-3</v>
      </c>
      <c r="N67" s="831">
        <f t="shared" si="57"/>
        <v>7.9999999999999724E-3</v>
      </c>
      <c r="Q67" s="880">
        <f>SUMIFS($C$51:$ED$51,$C$48:$ED$48,C$66,$C$49:$ED$49,$B67)/100</f>
        <v>2.0000000000000282E-3</v>
      </c>
      <c r="R67" s="880">
        <f t="shared" ref="R67:AB77" si="58">SUMIFS($C$51:$ED$51,$C$48:$ED$48,D$66,$C$49:$ED$49,$B67)/100</f>
        <v>-9.9999999999994321E-4</v>
      </c>
      <c r="S67" s="880">
        <f t="shared" si="58"/>
        <v>0</v>
      </c>
      <c r="T67" s="880">
        <f t="shared" si="58"/>
        <v>0</v>
      </c>
      <c r="U67" s="880">
        <f t="shared" si="58"/>
        <v>9.9999999999994321E-4</v>
      </c>
      <c r="V67" s="880">
        <f t="shared" si="58"/>
        <v>0</v>
      </c>
      <c r="W67" s="880">
        <f t="shared" si="58"/>
        <v>-9.9999999999994321E-4</v>
      </c>
      <c r="X67" s="880">
        <f t="shared" si="58"/>
        <v>-7.0000000000000288E-3</v>
      </c>
      <c r="Y67" s="880">
        <f t="shared" si="58"/>
        <v>0</v>
      </c>
      <c r="Z67" s="880">
        <f t="shared" si="58"/>
        <v>4.0000000000000565E-3</v>
      </c>
      <c r="AA67" s="880">
        <f t="shared" si="58"/>
        <v>2.0000000000000282E-3</v>
      </c>
      <c r="AB67" s="880">
        <f t="shared" si="58"/>
        <v>5.0000000000000001E-3</v>
      </c>
      <c r="EA67" s="880">
        <f>EA51/100</f>
        <v>5.0000000000000001E-3</v>
      </c>
      <c r="EB67" s="880">
        <f t="shared" ref="EB67:EC67" si="59">EB51/100</f>
        <v>8.0000000000000002E-3</v>
      </c>
      <c r="EC67" s="880">
        <f t="shared" si="59"/>
        <v>5.0000000000000001E-3</v>
      </c>
      <c r="ED67" s="880">
        <f>ED65/100</f>
        <v>3.5346552436052573E-3</v>
      </c>
    </row>
    <row r="68" spans="2:134">
      <c r="B68" s="834">
        <v>2014</v>
      </c>
      <c r="C68" s="831">
        <f t="shared" ref="C68:N76" si="60">SUMIFS($C$52:$DV$52,$C$48:$DV$48,C$66,$C$49:$DV$49,$B68)/100</f>
        <v>3.758248218575204E-3</v>
      </c>
      <c r="D68" s="831">
        <f t="shared" si="60"/>
        <v>1.2334851707577173E-2</v>
      </c>
      <c r="E68" s="831">
        <f t="shared" si="60"/>
        <v>2.3818687375600545E-2</v>
      </c>
      <c r="F68" s="831">
        <f t="shared" si="60"/>
        <v>4.1795083366012308E-2</v>
      </c>
      <c r="G68" s="831">
        <f t="shared" si="60"/>
        <v>3.6394609278364527E-2</v>
      </c>
      <c r="H68" s="831">
        <f t="shared" si="60"/>
        <v>6.5052083571374908E-3</v>
      </c>
      <c r="I68" s="831">
        <f t="shared" si="60"/>
        <v>-7.3681894298437099E-3</v>
      </c>
      <c r="J68" s="831">
        <f t="shared" si="60"/>
        <v>-8.1416632792993934E-4</v>
      </c>
      <c r="K68" s="831">
        <f t="shared" si="60"/>
        <v>2.9463377989987265E-2</v>
      </c>
      <c r="L68" s="831">
        <f t="shared" si="60"/>
        <v>2.5522170424877401E-2</v>
      </c>
      <c r="M68" s="831">
        <f t="shared" si="60"/>
        <v>1.2887672337809733E-2</v>
      </c>
      <c r="N68" s="831">
        <f t="shared" si="60"/>
        <v>0.04</v>
      </c>
      <c r="Q68" s="880">
        <f t="shared" ref="Q68:Q77" si="61">SUMIFS($C$51:$ED$51,$C$48:$ED$48,C$66,$C$49:$ED$49,$B68)/100</f>
        <v>2.2742624098223987E-3</v>
      </c>
      <c r="R68" s="880">
        <f t="shared" si="58"/>
        <v>5.741896728978446E-3</v>
      </c>
      <c r="S68" s="880">
        <f t="shared" si="58"/>
        <v>2.1717601079911334E-2</v>
      </c>
      <c r="T68" s="880">
        <f t="shared" si="58"/>
        <v>3.3477781478453039E-2</v>
      </c>
      <c r="U68" s="880">
        <f t="shared" si="58"/>
        <v>3.8311894109004353E-2</v>
      </c>
      <c r="V68" s="880">
        <f t="shared" si="58"/>
        <v>9.7127305070468135E-3</v>
      </c>
      <c r="W68" s="880">
        <f t="shared" si="58"/>
        <v>3.6296293535743019E-3</v>
      </c>
      <c r="X68" s="880">
        <f t="shared" si="58"/>
        <v>8.1904496056313288E-3</v>
      </c>
      <c r="Y68" s="880">
        <f t="shared" si="58"/>
        <v>2.9486404360563368E-2</v>
      </c>
      <c r="Z68" s="880">
        <f t="shared" si="58"/>
        <v>2.4347837210566325E-2</v>
      </c>
      <c r="AA68" s="880">
        <f t="shared" si="58"/>
        <v>1.9331544870148747E-2</v>
      </c>
      <c r="AB68" s="880">
        <f t="shared" si="58"/>
        <v>0.03</v>
      </c>
    </row>
    <row r="69" spans="2:134">
      <c r="B69" s="834">
        <v>2015</v>
      </c>
      <c r="C69" s="831">
        <f t="shared" si="60"/>
        <v>4.7044755669311371E-2</v>
      </c>
      <c r="D69" s="831">
        <f t="shared" si="60"/>
        <v>5.7474689969625674E-2</v>
      </c>
      <c r="E69" s="831">
        <f t="shared" si="60"/>
        <v>0.15561047163363398</v>
      </c>
      <c r="F69" s="831">
        <f t="shared" si="60"/>
        <v>4.3621449851174249E-2</v>
      </c>
      <c r="G69" s="831">
        <f t="shared" si="60"/>
        <v>3.0787380926952324E-2</v>
      </c>
      <c r="H69" s="831">
        <f t="shared" si="60"/>
        <v>-1.4337546703004024E-4</v>
      </c>
      <c r="I69" s="831">
        <f t="shared" si="60"/>
        <v>-1.9897062566042508E-2</v>
      </c>
      <c r="J69" s="831">
        <f t="shared" si="60"/>
        <v>-1.7300405423505937E-2</v>
      </c>
      <c r="K69" s="831">
        <f t="shared" si="60"/>
        <v>1.2000000000000028E-2</v>
      </c>
      <c r="L69" s="831">
        <f t="shared" si="60"/>
        <v>1.0999999999999944E-2</v>
      </c>
      <c r="M69" s="831">
        <f t="shared" si="60"/>
        <v>2.5000000000000001E-2</v>
      </c>
      <c r="N69" s="831">
        <f t="shared" si="60"/>
        <v>1.7000000000000029E-2</v>
      </c>
      <c r="Q69" s="880">
        <f t="shared" si="61"/>
        <v>3.136586173545268E-2</v>
      </c>
      <c r="R69" s="880">
        <f t="shared" si="58"/>
        <v>5.2585287076712464E-2</v>
      </c>
      <c r="S69" s="880">
        <f t="shared" si="58"/>
        <v>0.10835274745452665</v>
      </c>
      <c r="T69" s="880">
        <f t="shared" si="58"/>
        <v>0.13965954227288052</v>
      </c>
      <c r="U69" s="880">
        <f t="shared" si="58"/>
        <v>2.2223897560082407E-2</v>
      </c>
      <c r="V69" s="880">
        <f t="shared" si="58"/>
        <v>4.0086137467079648E-3</v>
      </c>
      <c r="W69" s="880">
        <f t="shared" si="58"/>
        <v>-1.0092080094883755E-2</v>
      </c>
      <c r="X69" s="880">
        <f t="shared" si="58"/>
        <v>-7.6169643968493975E-3</v>
      </c>
      <c r="Y69" s="880">
        <f t="shared" si="58"/>
        <v>2.2999999999999972E-2</v>
      </c>
      <c r="Z69" s="880">
        <f t="shared" si="58"/>
        <v>-1.2999999999999972E-2</v>
      </c>
      <c r="AA69" s="880">
        <f t="shared" si="58"/>
        <v>0.02</v>
      </c>
      <c r="AB69" s="880">
        <f t="shared" si="58"/>
        <v>7.0000000000000288E-3</v>
      </c>
    </row>
    <row r="70" spans="2:134">
      <c r="B70" s="834">
        <v>2016</v>
      </c>
      <c r="C70" s="831">
        <f t="shared" si="60"/>
        <v>2.200000000000003E-2</v>
      </c>
      <c r="D70" s="831">
        <f t="shared" si="60"/>
        <v>-7.0000000000000288E-3</v>
      </c>
      <c r="E70" s="831">
        <f t="shared" si="60"/>
        <v>-6.9999999999999993E-3</v>
      </c>
      <c r="F70" s="831">
        <f t="shared" si="60"/>
        <v>1E-3</v>
      </c>
      <c r="G70" s="831">
        <f t="shared" si="60"/>
        <v>2E-3</v>
      </c>
      <c r="H70" s="831">
        <f t="shared" si="60"/>
        <v>-5.9999999999999429E-3</v>
      </c>
      <c r="I70" s="831">
        <f t="shared" si="60"/>
        <v>-9.0000000000000011E-3</v>
      </c>
      <c r="J70" s="831">
        <f t="shared" si="60"/>
        <v>-0.01</v>
      </c>
      <c r="K70" s="831">
        <f t="shared" si="60"/>
        <v>3.0000000000000001E-3</v>
      </c>
      <c r="L70" s="831">
        <f t="shared" si="60"/>
        <v>1.8000000000000002E-2</v>
      </c>
      <c r="M70" s="831">
        <f t="shared" si="60"/>
        <v>0.01</v>
      </c>
      <c r="N70" s="831">
        <f t="shared" si="60"/>
        <v>1.6E-2</v>
      </c>
      <c r="Q70" s="880">
        <f t="shared" si="61"/>
        <v>9.0000000000000566E-3</v>
      </c>
      <c r="R70" s="880">
        <f t="shared" si="58"/>
        <v>-4.0000000000000565E-3</v>
      </c>
      <c r="S70" s="880">
        <f t="shared" si="58"/>
        <v>0.01</v>
      </c>
      <c r="T70" s="880">
        <f t="shared" si="58"/>
        <v>3.5000000000000003E-2</v>
      </c>
      <c r="U70" s="880">
        <f t="shared" si="58"/>
        <v>1E-3</v>
      </c>
      <c r="V70" s="880">
        <f t="shared" si="58"/>
        <v>-2.0000000000000282E-3</v>
      </c>
      <c r="W70" s="880">
        <f t="shared" si="58"/>
        <v>-1E-3</v>
      </c>
      <c r="X70" s="880">
        <f t="shared" si="58"/>
        <v>-3.0000000000000001E-3</v>
      </c>
      <c r="Y70" s="880">
        <f t="shared" si="58"/>
        <v>1.8000000000000002E-2</v>
      </c>
      <c r="Z70" s="880">
        <f t="shared" si="58"/>
        <v>2.7999999999999997E-2</v>
      </c>
      <c r="AA70" s="880">
        <f t="shared" si="58"/>
        <v>1.8000000000000002E-2</v>
      </c>
      <c r="AB70" s="880">
        <f t="shared" si="58"/>
        <v>9.0000000000000011E-3</v>
      </c>
    </row>
    <row r="71" spans="2:134">
      <c r="B71" s="834">
        <v>2017</v>
      </c>
      <c r="C71" s="831">
        <f t="shared" si="60"/>
        <v>1.9E-2</v>
      </c>
      <c r="D71" s="831">
        <f t="shared" si="60"/>
        <v>1.4999999999999999E-2</v>
      </c>
      <c r="E71" s="831">
        <f t="shared" si="60"/>
        <v>1.1000000000000001E-2</v>
      </c>
      <c r="F71" s="831">
        <f t="shared" si="60"/>
        <v>1.2E-2</v>
      </c>
      <c r="G71" s="831">
        <f t="shared" si="60"/>
        <v>2.3E-2</v>
      </c>
      <c r="H71" s="831">
        <f t="shared" si="60"/>
        <v>3.3000000000000002E-2</v>
      </c>
      <c r="I71" s="831">
        <f t="shared" si="60"/>
        <v>3.0000000000000001E-3</v>
      </c>
      <c r="J71" s="831">
        <f t="shared" si="60"/>
        <v>-6.0000000000000001E-3</v>
      </c>
      <c r="K71" s="831">
        <f t="shared" si="60"/>
        <v>0.02</v>
      </c>
      <c r="L71" s="831">
        <f t="shared" si="60"/>
        <v>1.1000000000000001E-2</v>
      </c>
      <c r="M71" s="831">
        <f t="shared" si="60"/>
        <v>9.0000000000000011E-3</v>
      </c>
      <c r="N71" s="831">
        <f t="shared" si="60"/>
        <v>1.4999999999999999E-2</v>
      </c>
      <c r="Q71" s="880">
        <f t="shared" si="61"/>
        <v>1.1000000000000001E-2</v>
      </c>
      <c r="R71" s="880">
        <f t="shared" si="58"/>
        <v>0.01</v>
      </c>
      <c r="S71" s="880">
        <f t="shared" si="58"/>
        <v>1.8000000000000002E-2</v>
      </c>
      <c r="T71" s="880">
        <f t="shared" si="58"/>
        <v>9.0000000000000011E-3</v>
      </c>
      <c r="U71" s="880">
        <f t="shared" si="58"/>
        <v>1.3000000000000001E-2</v>
      </c>
      <c r="V71" s="880">
        <f t="shared" si="58"/>
        <v>1.6E-2</v>
      </c>
      <c r="W71" s="880">
        <f t="shared" si="58"/>
        <v>2E-3</v>
      </c>
      <c r="X71" s="880">
        <f t="shared" si="58"/>
        <v>-1E-3</v>
      </c>
      <c r="Y71" s="880">
        <f t="shared" si="58"/>
        <v>0.02</v>
      </c>
      <c r="Z71" s="880">
        <f t="shared" si="58"/>
        <v>1.2E-2</v>
      </c>
      <c r="AA71" s="880">
        <f t="shared" si="58"/>
        <v>9.0000000000000011E-3</v>
      </c>
      <c r="AB71" s="880">
        <f t="shared" si="58"/>
        <v>0.01</v>
      </c>
    </row>
    <row r="72" spans="2:134">
      <c r="B72" s="834">
        <v>2018</v>
      </c>
      <c r="C72" s="831">
        <f t="shared" si="60"/>
        <v>0.02</v>
      </c>
      <c r="D72" s="831">
        <f t="shared" si="60"/>
        <v>0.01</v>
      </c>
      <c r="E72" s="831">
        <f t="shared" si="60"/>
        <v>1.1000000000000001E-2</v>
      </c>
      <c r="F72" s="831">
        <f t="shared" si="60"/>
        <v>1.1000000000000001E-2</v>
      </c>
      <c r="G72" s="831">
        <f t="shared" si="60"/>
        <v>-6.9999999999999993E-3</v>
      </c>
      <c r="H72" s="831">
        <f t="shared" si="60"/>
        <v>-5.0000000000000001E-3</v>
      </c>
      <c r="I72" s="831">
        <f t="shared" si="60"/>
        <v>-1.9E-2</v>
      </c>
      <c r="J72" s="831">
        <f t="shared" si="60"/>
        <v>-6.0000000000000001E-3</v>
      </c>
      <c r="K72" s="831">
        <f t="shared" si="60"/>
        <v>1.6E-2</v>
      </c>
      <c r="L72" s="831">
        <f t="shared" si="60"/>
        <v>1.3999999999999999E-2</v>
      </c>
      <c r="M72" s="831">
        <f t="shared" si="60"/>
        <v>1.3000000000000001E-2</v>
      </c>
      <c r="N72" s="831">
        <f t="shared" si="60"/>
        <v>1.8000000000000002E-2</v>
      </c>
      <c r="Q72" s="880">
        <f t="shared" si="61"/>
        <v>1.4999999999999999E-2</v>
      </c>
      <c r="R72" s="880">
        <f t="shared" si="58"/>
        <v>9.0000000000000011E-3</v>
      </c>
      <c r="S72" s="880">
        <f t="shared" si="58"/>
        <v>1.1000000000000001E-2</v>
      </c>
      <c r="T72" s="880">
        <f t="shared" si="58"/>
        <v>8.0000000000000002E-3</v>
      </c>
      <c r="U72" s="880">
        <f t="shared" si="58"/>
        <v>0</v>
      </c>
      <c r="V72" s="880">
        <f t="shared" si="58"/>
        <v>0</v>
      </c>
      <c r="W72" s="880">
        <f t="shared" si="58"/>
        <v>-6.9999999999999993E-3</v>
      </c>
      <c r="X72" s="880">
        <f t="shared" si="58"/>
        <v>0</v>
      </c>
      <c r="Y72" s="880">
        <f t="shared" si="58"/>
        <v>1.9E-2</v>
      </c>
      <c r="Z72" s="880">
        <f t="shared" si="58"/>
        <v>1.7000000000000001E-2</v>
      </c>
      <c r="AA72" s="880">
        <f t="shared" si="58"/>
        <v>1.3999999999999999E-2</v>
      </c>
      <c r="AB72" s="880">
        <f t="shared" si="58"/>
        <v>8.0000000000000002E-3</v>
      </c>
    </row>
    <row r="73" spans="2:134">
      <c r="B73" s="834">
        <v>2019</v>
      </c>
      <c r="C73" s="831">
        <f t="shared" si="60"/>
        <v>2.1000000000000001E-2</v>
      </c>
      <c r="D73" s="831">
        <f t="shared" si="60"/>
        <v>9.0000000000000011E-3</v>
      </c>
      <c r="E73" s="831">
        <f t="shared" si="60"/>
        <v>4.0000000000000001E-3</v>
      </c>
      <c r="F73" s="831">
        <f t="shared" si="60"/>
        <v>1.3999999999999999E-2</v>
      </c>
      <c r="G73" s="831">
        <f t="shared" si="60"/>
        <v>0.01</v>
      </c>
      <c r="H73" s="831">
        <f t="shared" si="60"/>
        <v>-1.1000000000000001E-2</v>
      </c>
      <c r="I73" s="831">
        <f t="shared" si="60"/>
        <v>-6.9999999999999993E-3</v>
      </c>
      <c r="J73" s="831">
        <f t="shared" si="60"/>
        <v>-3.0000000000000001E-3</v>
      </c>
      <c r="K73" s="831">
        <f t="shared" si="60"/>
        <v>3.0000000000000001E-3</v>
      </c>
      <c r="L73" s="831">
        <f t="shared" si="60"/>
        <v>9.0000000000000011E-3</v>
      </c>
      <c r="M73" s="831">
        <f t="shared" si="60"/>
        <v>-2E-3</v>
      </c>
      <c r="N73" s="831">
        <f t="shared" si="60"/>
        <v>0</v>
      </c>
      <c r="Q73" s="880">
        <f t="shared" si="61"/>
        <v>0.01</v>
      </c>
      <c r="R73" s="880">
        <f t="shared" si="58"/>
        <v>5.0000000000000001E-3</v>
      </c>
      <c r="S73" s="880">
        <f t="shared" si="58"/>
        <v>9.0000000000000011E-3</v>
      </c>
      <c r="T73" s="880">
        <f t="shared" si="58"/>
        <v>0.01</v>
      </c>
      <c r="U73" s="880">
        <f t="shared" si="58"/>
        <v>6.9999999999999993E-3</v>
      </c>
      <c r="V73" s="880">
        <f t="shared" si="58"/>
        <v>-5.0000000000000001E-3</v>
      </c>
      <c r="W73" s="880">
        <f t="shared" si="58"/>
        <v>-6.0000000000000001E-3</v>
      </c>
      <c r="X73" s="880">
        <f t="shared" si="58"/>
        <v>-3.0000000000000001E-3</v>
      </c>
      <c r="Y73" s="880">
        <f t="shared" si="58"/>
        <v>6.9999999999999993E-3</v>
      </c>
      <c r="Z73" s="880">
        <f t="shared" si="58"/>
        <v>6.9999999999999993E-3</v>
      </c>
      <c r="AA73" s="880">
        <f t="shared" si="58"/>
        <v>1E-3</v>
      </c>
      <c r="AB73" s="880">
        <f t="shared" si="58"/>
        <v>-2E-3</v>
      </c>
    </row>
    <row r="74" spans="2:134">
      <c r="B74" s="834">
        <v>2020</v>
      </c>
      <c r="C74" s="831">
        <f t="shared" si="60"/>
        <v>5.0000000000000001E-3</v>
      </c>
      <c r="D74" s="831">
        <f t="shared" si="60"/>
        <v>-4.0000000000000001E-3</v>
      </c>
      <c r="E74" s="831">
        <f t="shared" si="60"/>
        <v>4.0000000000000001E-3</v>
      </c>
      <c r="F74" s="831">
        <f t="shared" si="60"/>
        <v>2.1000000000000001E-2</v>
      </c>
      <c r="G74" s="831">
        <f t="shared" si="60"/>
        <v>1.2E-2</v>
      </c>
      <c r="H74" s="831">
        <f t="shared" si="60"/>
        <v>4.0000000000000001E-3</v>
      </c>
      <c r="I74" s="831">
        <f t="shared" si="60"/>
        <v>-1.3999999999999999E-2</v>
      </c>
      <c r="J74" s="831">
        <f t="shared" si="60"/>
        <v>-1.4999999999999999E-2</v>
      </c>
      <c r="K74" s="831">
        <f t="shared" si="60"/>
        <v>-6.0000000000000001E-3</v>
      </c>
      <c r="L74" s="831">
        <f t="shared" si="60"/>
        <v>1.1000000000000001E-2</v>
      </c>
      <c r="M74" s="831">
        <f t="shared" si="60"/>
        <v>1.3999999999999999E-2</v>
      </c>
      <c r="N74" s="831">
        <f t="shared" si="60"/>
        <v>1.7000000000000001E-2</v>
      </c>
      <c r="Q74" s="880">
        <f t="shared" si="61"/>
        <v>2E-3</v>
      </c>
      <c r="R74" s="880">
        <f t="shared" si="58"/>
        <v>-3.0000000000000001E-3</v>
      </c>
      <c r="S74" s="880">
        <f t="shared" si="58"/>
        <v>8.0000000000000002E-3</v>
      </c>
      <c r="T74" s="880">
        <f t="shared" si="58"/>
        <v>8.0000000000000002E-3</v>
      </c>
      <c r="U74" s="880">
        <f t="shared" si="58"/>
        <v>3.0000000000000001E-3</v>
      </c>
      <c r="V74" s="880">
        <f t="shared" si="58"/>
        <v>2E-3</v>
      </c>
      <c r="W74" s="880">
        <f t="shared" si="58"/>
        <v>-6.0000000000000001E-3</v>
      </c>
      <c r="X74" s="880">
        <f t="shared" si="58"/>
        <v>-2E-3</v>
      </c>
      <c r="Y74" s="880">
        <f t="shared" si="58"/>
        <v>5.0000000000000001E-3</v>
      </c>
      <c r="Z74" s="880">
        <f t="shared" si="58"/>
        <v>0.01</v>
      </c>
      <c r="AA74" s="880">
        <f t="shared" si="58"/>
        <v>1.3000000000000001E-2</v>
      </c>
      <c r="AB74" s="880">
        <f t="shared" si="58"/>
        <v>9.0000000000000011E-3</v>
      </c>
    </row>
    <row r="75" spans="2:134">
      <c r="B75" s="834">
        <v>2021</v>
      </c>
      <c r="C75" s="831">
        <f t="shared" si="60"/>
        <v>1.3999999999999999E-2</v>
      </c>
      <c r="D75" s="831">
        <f t="shared" si="60"/>
        <v>2.1000000000000001E-2</v>
      </c>
      <c r="E75" s="831">
        <f t="shared" si="60"/>
        <v>2.1000000000000001E-2</v>
      </c>
      <c r="F75" s="831">
        <f t="shared" si="60"/>
        <v>1.2E-2</v>
      </c>
      <c r="G75" s="831">
        <f t="shared" si="60"/>
        <v>1.7000000000000001E-2</v>
      </c>
      <c r="H75" s="831">
        <f t="shared" si="60"/>
        <v>-1E-3</v>
      </c>
      <c r="I75" s="831">
        <f t="shared" si="60"/>
        <v>-1E-3</v>
      </c>
      <c r="J75" s="831">
        <f t="shared" si="60"/>
        <v>-6.9999999999999993E-3</v>
      </c>
      <c r="K75" s="831">
        <f t="shared" si="60"/>
        <v>1.1000000000000001E-2</v>
      </c>
      <c r="L75" s="831">
        <f t="shared" si="60"/>
        <v>1.1000000000000001E-2</v>
      </c>
      <c r="M75" s="831">
        <f t="shared" si="60"/>
        <v>1.1000000000000001E-2</v>
      </c>
      <c r="N75" s="831">
        <f t="shared" si="60"/>
        <v>1.2E-2</v>
      </c>
      <c r="Q75" s="880">
        <f t="shared" si="61"/>
        <v>1.3000000000000001E-2</v>
      </c>
      <c r="R75" s="880">
        <f t="shared" si="58"/>
        <v>0.01</v>
      </c>
      <c r="S75" s="880">
        <f t="shared" si="58"/>
        <v>1.7000000000000001E-2</v>
      </c>
      <c r="T75" s="880">
        <f t="shared" si="58"/>
        <v>6.9999999999999993E-3</v>
      </c>
      <c r="U75" s="880">
        <f t="shared" si="58"/>
        <v>1.3000000000000001E-2</v>
      </c>
      <c r="V75" s="880">
        <f t="shared" si="58"/>
        <v>2E-3</v>
      </c>
      <c r="W75" s="880">
        <f t="shared" si="58"/>
        <v>1E-3</v>
      </c>
      <c r="X75" s="880">
        <f t="shared" si="58"/>
        <v>-2E-3</v>
      </c>
      <c r="Y75" s="880">
        <f t="shared" si="58"/>
        <v>1.2E-2</v>
      </c>
      <c r="Z75" s="880">
        <f t="shared" si="58"/>
        <v>9.0000000000000011E-3</v>
      </c>
      <c r="AA75" s="880">
        <f t="shared" si="58"/>
        <v>8.0000000000000002E-3</v>
      </c>
      <c r="AB75" s="880">
        <f t="shared" si="58"/>
        <v>6.0000000000000001E-3</v>
      </c>
    </row>
    <row r="76" spans="2:134">
      <c r="B76" s="834">
        <v>2022</v>
      </c>
      <c r="C76" s="831">
        <f t="shared" si="60"/>
        <v>2.5000000000000001E-2</v>
      </c>
      <c r="D76" s="831">
        <f t="shared" si="60"/>
        <v>2.4E-2</v>
      </c>
      <c r="E76" s="831">
        <f t="shared" si="60"/>
        <v>6.2E-2</v>
      </c>
      <c r="F76" s="831">
        <f t="shared" si="60"/>
        <v>4.2000000000000003E-2</v>
      </c>
      <c r="G76" s="831">
        <f t="shared" si="60"/>
        <v>2.7000000000000003E-2</v>
      </c>
      <c r="H76" s="831">
        <f t="shared" si="60"/>
        <v>3.2000000000000001E-2</v>
      </c>
      <c r="I76" s="831">
        <f t="shared" si="60"/>
        <v>8.0000000000000002E-3</v>
      </c>
      <c r="J76" s="831">
        <f t="shared" si="60"/>
        <v>6.9999999999999993E-3</v>
      </c>
      <c r="K76" s="831">
        <f t="shared" si="60"/>
        <v>1.9240000000000066E-2</v>
      </c>
      <c r="L76" s="831">
        <f t="shared" si="60"/>
        <v>4.2000000000000003E-2</v>
      </c>
      <c r="M76" s="831">
        <f t="shared" si="60"/>
        <v>6.0000000000000001E-3</v>
      </c>
      <c r="N76" s="831">
        <f t="shared" si="60"/>
        <v>6.9999999999999993E-3</v>
      </c>
      <c r="Q76" s="880">
        <f t="shared" si="61"/>
        <v>1.3000000000000001E-2</v>
      </c>
      <c r="R76" s="880">
        <f t="shared" si="58"/>
        <v>1.6E-2</v>
      </c>
      <c r="S76" s="880">
        <f t="shared" si="58"/>
        <v>4.4999999999999998E-2</v>
      </c>
      <c r="T76" s="880">
        <f t="shared" si="58"/>
        <v>3.1E-2</v>
      </c>
      <c r="U76" s="880">
        <f t="shared" si="58"/>
        <v>2.7000000000000003E-2</v>
      </c>
      <c r="V76" s="880">
        <f t="shared" si="58"/>
        <v>3.1E-2</v>
      </c>
      <c r="W76" s="880">
        <f t="shared" si="58"/>
        <v>6.9999999999999993E-3</v>
      </c>
      <c r="X76" s="880">
        <f t="shared" si="58"/>
        <v>1.1000000000000001E-2</v>
      </c>
      <c r="Y76" s="880">
        <f t="shared" si="58"/>
        <v>1.8629999999999994E-2</v>
      </c>
      <c r="Z76" s="880">
        <f t="shared" si="58"/>
        <v>2.5000000000000001E-2</v>
      </c>
      <c r="AA76" s="880">
        <f t="shared" si="58"/>
        <v>6.9999999999999993E-3</v>
      </c>
      <c r="AB76" s="880">
        <f t="shared" si="58"/>
        <v>6.9999999999999993E-3</v>
      </c>
    </row>
    <row r="77" spans="2:134" ht="18">
      <c r="B77" s="833">
        <v>2023</v>
      </c>
      <c r="C77" s="831">
        <f t="shared" ref="C77:L77" si="62">SUMIFS($C$52:$ED$52,$C$48:$ED$48,C$66,$C$49:$ED$49,$B77)/100</f>
        <v>1.3999999999999999E-2</v>
      </c>
      <c r="D77" s="831">
        <f t="shared" si="62"/>
        <v>1.4999999999999999E-2</v>
      </c>
      <c r="E77" s="831">
        <f t="shared" si="62"/>
        <v>2.2000000000000002E-2</v>
      </c>
      <c r="F77" s="831">
        <f t="shared" si="62"/>
        <v>4.0000000000000001E-3</v>
      </c>
      <c r="G77" s="831">
        <f t="shared" si="62"/>
        <v>9.0000000000000011E-3</v>
      </c>
      <c r="H77" s="831">
        <f t="shared" si="62"/>
        <v>1E-3</v>
      </c>
      <c r="I77" s="831">
        <f t="shared" si="62"/>
        <v>-1.9E-2</v>
      </c>
      <c r="J77" s="831">
        <f t="shared" si="62"/>
        <v>-3.7000000000000005E-2</v>
      </c>
      <c r="K77" s="831">
        <f t="shared" si="62"/>
        <v>-5.0000000000000001E-3</v>
      </c>
      <c r="L77" s="831">
        <f t="shared" si="62"/>
        <v>0.01</v>
      </c>
      <c r="M77" s="549">
        <f>AVERAGE(M73:M74)</f>
        <v>5.9999999999999993E-3</v>
      </c>
      <c r="N77" s="549">
        <f>AVERAGE(N73:N74)</f>
        <v>8.5000000000000006E-3</v>
      </c>
      <c r="Q77" s="880">
        <f t="shared" si="61"/>
        <v>8.0000000000000002E-3</v>
      </c>
      <c r="R77" s="880">
        <f t="shared" si="58"/>
        <v>6.9999999999999993E-3</v>
      </c>
      <c r="S77" s="880">
        <f t="shared" si="58"/>
        <v>1.4999999999999999E-2</v>
      </c>
      <c r="T77" s="880">
        <f t="shared" si="58"/>
        <v>2E-3</v>
      </c>
      <c r="U77" s="880">
        <f t="shared" si="58"/>
        <v>5.0000000000000001E-3</v>
      </c>
      <c r="V77" s="880">
        <f t="shared" si="58"/>
        <v>8.0000000000000002E-3</v>
      </c>
      <c r="W77" s="880">
        <f t="shared" si="58"/>
        <v>-6.0000000000000001E-3</v>
      </c>
      <c r="X77" s="880">
        <f t="shared" si="58"/>
        <v>-1.3999999999999999E-2</v>
      </c>
      <c r="Y77" s="880">
        <f t="shared" si="58"/>
        <v>5.0000000000000001E-3</v>
      </c>
      <c r="Z77" s="880">
        <f t="shared" si="58"/>
        <v>8.0000000000000002E-3</v>
      </c>
      <c r="AA77" s="880">
        <f t="shared" si="58"/>
        <v>5.0000000000000001E-3</v>
      </c>
      <c r="AB77" s="880">
        <f t="shared" si="58"/>
        <v>0</v>
      </c>
    </row>
    <row r="78" spans="2:134">
      <c r="C78" s="872">
        <f t="shared" ref="C78:J78" si="63">C77/C76</f>
        <v>0.55999999999999994</v>
      </c>
      <c r="D78" s="872">
        <f t="shared" si="63"/>
        <v>0.625</v>
      </c>
      <c r="E78" s="872">
        <f t="shared" si="63"/>
        <v>0.35483870967741937</v>
      </c>
      <c r="F78" s="872">
        <f t="shared" si="63"/>
        <v>9.5238095238095233E-2</v>
      </c>
      <c r="G78" s="872">
        <f t="shared" si="63"/>
        <v>0.33333333333333331</v>
      </c>
      <c r="H78" s="872">
        <f t="shared" si="63"/>
        <v>3.125E-2</v>
      </c>
      <c r="I78" s="872">
        <f t="shared" si="63"/>
        <v>-2.375</v>
      </c>
      <c r="J78" s="872">
        <f t="shared" si="63"/>
        <v>-5.2857142857142874</v>
      </c>
    </row>
    <row r="80" spans="2:134">
      <c r="W80" s="621">
        <v>29.25</v>
      </c>
      <c r="X80" s="621">
        <v>36.57</v>
      </c>
    </row>
    <row r="81" spans="2:29">
      <c r="X81" s="880">
        <f>X80/W80-1</f>
        <v>0.25025641025641021</v>
      </c>
    </row>
    <row r="82" spans="2:29" ht="15.75">
      <c r="B82" s="821" t="s">
        <v>886</v>
      </c>
      <c r="C82" s="832">
        <v>1</v>
      </c>
      <c r="D82" s="832">
        <v>2</v>
      </c>
      <c r="E82" s="832">
        <v>3</v>
      </c>
      <c r="F82" s="832">
        <v>4</v>
      </c>
      <c r="G82" s="832">
        <v>5</v>
      </c>
      <c r="H82" s="832">
        <v>6</v>
      </c>
      <c r="I82" s="832">
        <v>7</v>
      </c>
      <c r="J82" s="832">
        <v>8</v>
      </c>
      <c r="K82" s="832">
        <v>9</v>
      </c>
      <c r="L82" s="832">
        <v>10</v>
      </c>
      <c r="M82" s="832">
        <v>11</v>
      </c>
      <c r="N82" s="832">
        <v>12</v>
      </c>
      <c r="X82" s="880">
        <f>X81*0.2</f>
        <v>5.0051282051282044E-2</v>
      </c>
      <c r="Y82" s="872"/>
      <c r="AB82" s="880">
        <f>AB83/Q83-1</f>
        <v>0.14848236259228864</v>
      </c>
      <c r="AC82" s="880">
        <f>AB82/12</f>
        <v>1.2373530216024053E-2</v>
      </c>
    </row>
    <row r="83" spans="2:29">
      <c r="B83" s="834">
        <v>2013</v>
      </c>
      <c r="C83" s="831">
        <f>SUMIFS($C$53:$DV$53,$C$48:$DV$48,C$66,$C$49:$DV$49,$B83)/100</f>
        <v>4.0000000000000565E-3</v>
      </c>
      <c r="D83" s="831">
        <f t="shared" ref="D83:N83" si="64">SUMIFS($C$53:$DV$53,$C$48:$DV$48,D$66,$C$49:$DV$49,$B83)/100</f>
        <v>4.0000000000000565E-3</v>
      </c>
      <c r="E83" s="831">
        <f t="shared" si="64"/>
        <v>1.7000000000000029E-2</v>
      </c>
      <c r="F83" s="831">
        <f t="shared" si="64"/>
        <v>1.0999999999999944E-2</v>
      </c>
      <c r="G83" s="831">
        <f t="shared" si="64"/>
        <v>5.9999999999999429E-3</v>
      </c>
      <c r="H83" s="831">
        <f t="shared" si="64"/>
        <v>7.0000000000000288E-3</v>
      </c>
      <c r="I83" s="831">
        <f t="shared" si="64"/>
        <v>9.0000000000000566E-3</v>
      </c>
      <c r="J83" s="831">
        <f t="shared" si="64"/>
        <v>0.01</v>
      </c>
      <c r="K83" s="831">
        <f t="shared" si="64"/>
        <v>4.0000000000000565E-3</v>
      </c>
      <c r="L83" s="831">
        <f t="shared" si="64"/>
        <v>5.0000000000000001E-3</v>
      </c>
      <c r="M83" s="831">
        <f t="shared" si="64"/>
        <v>7.9999999999999724E-3</v>
      </c>
      <c r="N83" s="831">
        <f t="shared" si="64"/>
        <v>1.2000000000000028E-2</v>
      </c>
      <c r="Q83" s="621">
        <v>36.57</v>
      </c>
      <c r="R83" s="621">
        <f>Q83*$AC$83</f>
        <v>37.033163155942624</v>
      </c>
      <c r="S83" s="621">
        <f t="shared" ref="S83:AA83" si="65">R83*$AC$83</f>
        <v>37.502192325257489</v>
      </c>
      <c r="T83" s="621">
        <f t="shared" si="65"/>
        <v>37.977161801662561</v>
      </c>
      <c r="U83" s="621">
        <f t="shared" si="65"/>
        <v>38.458146819814097</v>
      </c>
      <c r="V83" s="621">
        <f t="shared" si="65"/>
        <v>38.945223567223721</v>
      </c>
      <c r="W83" s="621">
        <f t="shared" si="65"/>
        <v>39.438469196326437</v>
      </c>
      <c r="X83" s="621">
        <f t="shared" si="65"/>
        <v>39.937961836701511</v>
      </c>
      <c r="Y83" s="621">
        <f t="shared" si="65"/>
        <v>40.443780607448097</v>
      </c>
      <c r="Z83" s="621">
        <f t="shared" si="65"/>
        <v>40.95600562971763</v>
      </c>
      <c r="AA83" s="621">
        <f t="shared" si="65"/>
        <v>41.474718039404912</v>
      </c>
      <c r="AB83" s="621">
        <v>42</v>
      </c>
      <c r="AC83" s="621">
        <f>(AB83/Q83)^(1/11)</f>
        <v>1.0126651122762544</v>
      </c>
    </row>
    <row r="84" spans="2:29">
      <c r="B84" s="834">
        <v>2014</v>
      </c>
      <c r="C84" s="831">
        <f t="shared" ref="C84:N92" si="66">SUMIFS($C$53:$DV$53,$C$48:$DV$48,C$66,$C$49:$DV$49,$B84)/100</f>
        <v>1.1129478008705718E-2</v>
      </c>
      <c r="D84" s="831">
        <f t="shared" si="66"/>
        <v>8.9471974267524949E-3</v>
      </c>
      <c r="E84" s="831">
        <f t="shared" si="66"/>
        <v>6.5936202940225994E-3</v>
      </c>
      <c r="F84" s="831">
        <f t="shared" si="66"/>
        <v>1.0748739505958725E-2</v>
      </c>
      <c r="G84" s="831">
        <f t="shared" si="66"/>
        <v>1.3623192612043341E-2</v>
      </c>
      <c r="H84" s="831">
        <f t="shared" si="66"/>
        <v>1.9992860095292143E-2</v>
      </c>
      <c r="I84" s="831">
        <f t="shared" si="66"/>
        <v>2.7567239169774781E-2</v>
      </c>
      <c r="J84" s="831">
        <f t="shared" si="66"/>
        <v>3.9974937914744546E-2</v>
      </c>
      <c r="K84" s="831">
        <f t="shared" si="66"/>
        <v>3.7739253597185891E-2</v>
      </c>
      <c r="L84" s="831">
        <f t="shared" si="66"/>
        <v>2.5484513980369883E-2</v>
      </c>
      <c r="M84" s="831">
        <f t="shared" si="66"/>
        <v>1.1856172167957339E-2</v>
      </c>
      <c r="N84" s="831">
        <f t="shared" si="66"/>
        <v>1.7999999999999971E-2</v>
      </c>
      <c r="R84" s="880">
        <f>R83/Q83-1</f>
        <v>1.2665112276254442E-2</v>
      </c>
      <c r="S84" s="880">
        <f t="shared" ref="S84:AB84" si="67">S83/R83-1</f>
        <v>1.2665112276254442E-2</v>
      </c>
      <c r="T84" s="880">
        <f t="shared" si="67"/>
        <v>1.2665112276254442E-2</v>
      </c>
      <c r="U84" s="880">
        <f t="shared" si="67"/>
        <v>1.2665112276254442E-2</v>
      </c>
      <c r="V84" s="880">
        <f t="shared" si="67"/>
        <v>1.2665112276254442E-2</v>
      </c>
      <c r="W84" s="880">
        <f t="shared" si="67"/>
        <v>1.2665112276254442E-2</v>
      </c>
      <c r="X84" s="880">
        <f t="shared" si="67"/>
        <v>1.2665112276254442E-2</v>
      </c>
      <c r="Y84" s="880">
        <f t="shared" si="67"/>
        <v>1.2665112276254442E-2</v>
      </c>
      <c r="Z84" s="880">
        <f t="shared" si="67"/>
        <v>1.2665112276254442E-2</v>
      </c>
      <c r="AA84" s="880">
        <f t="shared" si="67"/>
        <v>1.2665112276254442E-2</v>
      </c>
      <c r="AB84" s="880">
        <f t="shared" si="67"/>
        <v>1.2665112276255108E-2</v>
      </c>
    </row>
    <row r="85" spans="2:29">
      <c r="B85" s="834">
        <v>2015</v>
      </c>
      <c r="C85" s="831">
        <f t="shared" si="66"/>
        <v>4.5796624482176751E-2</v>
      </c>
      <c r="D85" s="831">
        <f t="shared" si="66"/>
        <v>3.4393539147937274E-2</v>
      </c>
      <c r="E85" s="831">
        <f t="shared" si="66"/>
        <v>3.3244169017472701E-2</v>
      </c>
      <c r="F85" s="831">
        <f t="shared" si="66"/>
        <v>1.8187394246609756E-2</v>
      </c>
      <c r="G85" s="831">
        <f t="shared" si="66"/>
        <v>2.2097483307466775E-2</v>
      </c>
      <c r="H85" s="831">
        <f t="shared" si="66"/>
        <v>2.4562010867953604E-2</v>
      </c>
      <c r="I85" s="831">
        <f t="shared" si="66"/>
        <v>1.6661119062725049E-2</v>
      </c>
      <c r="J85" s="831">
        <f t="shared" si="66"/>
        <v>1.1013386965843069E-2</v>
      </c>
      <c r="K85" s="831">
        <f t="shared" si="66"/>
        <v>2.200000000000003E-2</v>
      </c>
      <c r="L85" s="831">
        <f t="shared" si="66"/>
        <v>5.0000000000000001E-3</v>
      </c>
      <c r="M85" s="831">
        <f t="shared" si="66"/>
        <v>-5.9999999999999429E-3</v>
      </c>
      <c r="N85" s="831">
        <f t="shared" si="66"/>
        <v>-1.9000000000000059E-2</v>
      </c>
    </row>
    <row r="86" spans="2:29">
      <c r="B86" s="834">
        <v>2016</v>
      </c>
      <c r="C86" s="831">
        <f t="shared" si="66"/>
        <v>-1.9000000000000059E-2</v>
      </c>
      <c r="D86" s="831">
        <f t="shared" si="66"/>
        <v>-1.2999999999999972E-2</v>
      </c>
      <c r="E86" s="831">
        <f t="shared" si="66"/>
        <v>1.3000000000000001E-2</v>
      </c>
      <c r="F86" s="831">
        <f t="shared" si="66"/>
        <v>2.7999999999999997E-2</v>
      </c>
      <c r="G86" s="831">
        <f t="shared" si="66"/>
        <v>3.3000000000000002E-2</v>
      </c>
      <c r="H86" s="831">
        <f t="shared" si="66"/>
        <v>2.7000000000000027E-2</v>
      </c>
      <c r="I86" s="831">
        <f t="shared" si="66"/>
        <v>2.5000000000000001E-2</v>
      </c>
      <c r="J86" s="831">
        <f t="shared" si="66"/>
        <v>2.4E-2</v>
      </c>
      <c r="K86" s="831">
        <f t="shared" si="66"/>
        <v>2.1000000000000001E-2</v>
      </c>
      <c r="L86" s="831">
        <f t="shared" si="66"/>
        <v>2.2000000000000002E-2</v>
      </c>
      <c r="M86" s="831">
        <f t="shared" si="66"/>
        <v>1.3000000000000001E-2</v>
      </c>
      <c r="N86" s="831">
        <f t="shared" si="66"/>
        <v>3.2000000000000001E-2</v>
      </c>
      <c r="R86" s="883">
        <f>0.15*R84</f>
        <v>1.8997668414381663E-3</v>
      </c>
      <c r="S86" s="883">
        <f t="shared" ref="S86:AB86" si="68">0.15*S84</f>
        <v>1.8997668414381663E-3</v>
      </c>
      <c r="T86" s="883">
        <f t="shared" si="68"/>
        <v>1.8997668414381663E-3</v>
      </c>
      <c r="U86" s="883">
        <f t="shared" si="68"/>
        <v>1.8997668414381663E-3</v>
      </c>
      <c r="V86" s="883">
        <f t="shared" si="68"/>
        <v>1.8997668414381663E-3</v>
      </c>
      <c r="W86" s="883">
        <f t="shared" si="68"/>
        <v>1.8997668414381663E-3</v>
      </c>
      <c r="X86" s="883">
        <f t="shared" si="68"/>
        <v>1.8997668414381663E-3</v>
      </c>
      <c r="Y86" s="883">
        <f t="shared" si="68"/>
        <v>1.8997668414381663E-3</v>
      </c>
      <c r="Z86" s="883">
        <f t="shared" si="68"/>
        <v>1.8997668414381663E-3</v>
      </c>
      <c r="AA86" s="883">
        <f t="shared" si="68"/>
        <v>1.8997668414381663E-3</v>
      </c>
      <c r="AB86" s="883">
        <f t="shared" si="68"/>
        <v>1.8997668414382661E-3</v>
      </c>
    </row>
    <row r="87" spans="2:29">
      <c r="B87" s="834">
        <v>2017</v>
      </c>
      <c r="C87" s="831">
        <f t="shared" si="66"/>
        <v>1.2E-2</v>
      </c>
      <c r="D87" s="831">
        <f t="shared" si="66"/>
        <v>1.7000000000000001E-2</v>
      </c>
      <c r="E87" s="831">
        <f t="shared" si="66"/>
        <v>1.3000000000000001E-2</v>
      </c>
      <c r="F87" s="831">
        <f t="shared" si="66"/>
        <v>1.3000000000000001E-2</v>
      </c>
      <c r="G87" s="831">
        <f t="shared" si="66"/>
        <v>2.7000000000000003E-2</v>
      </c>
      <c r="H87" s="831">
        <f t="shared" si="66"/>
        <v>2.6000000000000002E-2</v>
      </c>
      <c r="I87" s="831">
        <f t="shared" si="66"/>
        <v>1.6E-2</v>
      </c>
      <c r="J87" s="831">
        <f t="shared" si="66"/>
        <v>1.3999999999999999E-2</v>
      </c>
      <c r="K87" s="831">
        <f t="shared" si="66"/>
        <v>2.7000000000000003E-2</v>
      </c>
      <c r="L87" s="831">
        <f t="shared" si="66"/>
        <v>1.3000000000000001E-2</v>
      </c>
      <c r="M87" s="831">
        <f t="shared" si="66"/>
        <v>6.0000000000000001E-3</v>
      </c>
      <c r="N87" s="831">
        <f t="shared" si="66"/>
        <v>6.0000000000000001E-3</v>
      </c>
    </row>
    <row r="88" spans="2:29">
      <c r="B88" s="834">
        <v>2018</v>
      </c>
      <c r="C88" s="831">
        <f t="shared" si="66"/>
        <v>1.1000000000000001E-2</v>
      </c>
      <c r="D88" s="831">
        <f t="shared" si="66"/>
        <v>1.3999999999999999E-2</v>
      </c>
      <c r="E88" s="831">
        <f t="shared" si="66"/>
        <v>1.3000000000000001E-2</v>
      </c>
      <c r="F88" s="831">
        <f t="shared" si="66"/>
        <v>1.4999999999999999E-2</v>
      </c>
      <c r="G88" s="831">
        <f t="shared" si="66"/>
        <v>1.8000000000000002E-2</v>
      </c>
      <c r="H88" s="831">
        <f t="shared" si="66"/>
        <v>1.6E-2</v>
      </c>
      <c r="I88" s="831">
        <f t="shared" si="66"/>
        <v>1.8000000000000002E-2</v>
      </c>
      <c r="J88" s="831">
        <f t="shared" si="66"/>
        <v>9.0000000000000011E-3</v>
      </c>
      <c r="K88" s="831">
        <f t="shared" si="66"/>
        <v>8.0000000000000002E-3</v>
      </c>
      <c r="L88" s="831">
        <f t="shared" si="66"/>
        <v>2.3E-2</v>
      </c>
      <c r="M88" s="831">
        <f t="shared" si="66"/>
        <v>1.1000000000000001E-2</v>
      </c>
      <c r="N88" s="831">
        <f t="shared" si="66"/>
        <v>0.01</v>
      </c>
      <c r="AC88" s="883">
        <f>0.2*AC82</f>
        <v>2.474706043204811E-3</v>
      </c>
    </row>
    <row r="89" spans="2:29">
      <c r="B89" s="834">
        <v>2019</v>
      </c>
      <c r="C89" s="831">
        <f t="shared" si="66"/>
        <v>1.2E-2</v>
      </c>
      <c r="D89" s="831">
        <f t="shared" si="66"/>
        <v>1.2E-2</v>
      </c>
      <c r="E89" s="831">
        <f t="shared" si="66"/>
        <v>9.0000000000000011E-3</v>
      </c>
      <c r="F89" s="831">
        <f t="shared" si="66"/>
        <v>1.2E-2</v>
      </c>
      <c r="G89" s="831">
        <f t="shared" si="66"/>
        <v>1.3000000000000001E-2</v>
      </c>
      <c r="H89" s="831">
        <f t="shared" si="66"/>
        <v>1.2E-2</v>
      </c>
      <c r="I89" s="831">
        <f t="shared" si="66"/>
        <v>1.1000000000000001E-2</v>
      </c>
      <c r="J89" s="831">
        <f t="shared" si="66"/>
        <v>8.0000000000000002E-3</v>
      </c>
      <c r="K89" s="831">
        <f t="shared" si="66"/>
        <v>0.01</v>
      </c>
      <c r="L89" s="831">
        <f t="shared" si="66"/>
        <v>8.0000000000000002E-3</v>
      </c>
      <c r="M89" s="831">
        <f t="shared" si="66"/>
        <v>8.0000000000000002E-3</v>
      </c>
      <c r="N89" s="831">
        <f t="shared" si="66"/>
        <v>8.0000000000000002E-3</v>
      </c>
    </row>
    <row r="90" spans="2:29">
      <c r="B90" s="834">
        <v>2020</v>
      </c>
      <c r="C90" s="831">
        <f t="shared" si="66"/>
        <v>8.0000000000000002E-3</v>
      </c>
      <c r="D90" s="831">
        <f t="shared" si="66"/>
        <v>8.0000000000000002E-3</v>
      </c>
      <c r="E90" s="831">
        <f t="shared" si="66"/>
        <v>9.0000000000000011E-3</v>
      </c>
      <c r="F90" s="831">
        <f t="shared" si="66"/>
        <v>9.0000000000000011E-3</v>
      </c>
      <c r="G90" s="831">
        <f t="shared" si="66"/>
        <v>1.1000000000000001E-2</v>
      </c>
      <c r="H90" s="831">
        <f t="shared" si="66"/>
        <v>5.0000000000000001E-3</v>
      </c>
      <c r="I90" s="831">
        <f t="shared" si="66"/>
        <v>5.0000000000000001E-3</v>
      </c>
      <c r="J90" s="831">
        <f t="shared" si="66"/>
        <v>5.0000000000000001E-3</v>
      </c>
      <c r="K90" s="831">
        <f t="shared" si="66"/>
        <v>6.0000000000000001E-3</v>
      </c>
      <c r="L90" s="831">
        <f t="shared" si="66"/>
        <v>9.0000000000000011E-3</v>
      </c>
      <c r="M90" s="831">
        <f t="shared" si="66"/>
        <v>8.0000000000000002E-3</v>
      </c>
      <c r="N90" s="831">
        <f t="shared" si="66"/>
        <v>5.0000000000000001E-3</v>
      </c>
    </row>
    <row r="91" spans="2:29">
      <c r="B91" s="834">
        <v>2021</v>
      </c>
      <c r="C91" s="831">
        <f t="shared" si="66"/>
        <v>0.01</v>
      </c>
      <c r="D91" s="831">
        <f t="shared" si="66"/>
        <v>1.3000000000000001E-2</v>
      </c>
      <c r="E91" s="831">
        <f t="shared" si="66"/>
        <v>6.9999999999999993E-3</v>
      </c>
      <c r="F91" s="831">
        <f t="shared" si="66"/>
        <v>9.0000000000000011E-3</v>
      </c>
      <c r="G91" s="831">
        <f t="shared" si="66"/>
        <v>6.9999999999999993E-3</v>
      </c>
      <c r="H91" s="831">
        <f t="shared" si="66"/>
        <v>0.01</v>
      </c>
      <c r="I91" s="831">
        <f t="shared" si="66"/>
        <v>8.0000000000000002E-3</v>
      </c>
      <c r="J91" s="831">
        <f t="shared" si="66"/>
        <v>4.0000000000000001E-3</v>
      </c>
      <c r="K91" s="831">
        <f t="shared" si="66"/>
        <v>8.0000000000000002E-3</v>
      </c>
      <c r="L91" s="831">
        <f t="shared" si="66"/>
        <v>6.0000000000000001E-3</v>
      </c>
      <c r="M91" s="831">
        <f t="shared" si="66"/>
        <v>6.0000000000000001E-3</v>
      </c>
      <c r="N91" s="831">
        <f t="shared" si="66"/>
        <v>2E-3</v>
      </c>
    </row>
    <row r="92" spans="2:29">
      <c r="B92" s="834">
        <v>2022</v>
      </c>
      <c r="C92" s="831">
        <f t="shared" si="66"/>
        <v>9.0000000000000011E-3</v>
      </c>
      <c r="D92" s="831">
        <f t="shared" si="66"/>
        <v>1.2E-2</v>
      </c>
      <c r="E92" s="831">
        <f t="shared" si="66"/>
        <v>1.3000000000000001E-2</v>
      </c>
      <c r="F92" s="831">
        <f t="shared" si="66"/>
        <v>4.8000000000000001E-2</v>
      </c>
      <c r="G92" s="831">
        <f t="shared" si="66"/>
        <v>3.9E-2</v>
      </c>
      <c r="H92" s="831">
        <f t="shared" si="66"/>
        <v>2.4E-2</v>
      </c>
      <c r="I92" s="831">
        <f t="shared" si="66"/>
        <v>1.3000000000000001E-2</v>
      </c>
      <c r="J92" s="831">
        <f t="shared" si="66"/>
        <v>1.2E-2</v>
      </c>
      <c r="K92" s="831">
        <f t="shared" si="66"/>
        <v>1.0589999999999974E-2</v>
      </c>
      <c r="L92" s="831">
        <f t="shared" si="66"/>
        <v>9.0000000000000011E-3</v>
      </c>
      <c r="M92" s="831">
        <f t="shared" si="66"/>
        <v>0.01</v>
      </c>
      <c r="N92" s="831">
        <f t="shared" si="66"/>
        <v>6.9999999999999993E-3</v>
      </c>
    </row>
    <row r="93" spans="2:29" ht="18">
      <c r="B93" s="833">
        <v>2023</v>
      </c>
      <c r="C93" s="831">
        <f>SUMIFS($C$53:$ED$53,$C$48:$ED$48,C$66,$C$49:$ED$49,$B93)/100</f>
        <v>8.0000000000000002E-3</v>
      </c>
      <c r="D93" s="831">
        <f t="shared" ref="D93:M93" si="69">SUMIFS($C$53:$ED$53,$C$48:$ED$48,D$66,$C$49:$ED$49,$B93)/100</f>
        <v>1.1000000000000001E-2</v>
      </c>
      <c r="E93" s="831">
        <f t="shared" si="69"/>
        <v>0.01</v>
      </c>
      <c r="F93" s="831">
        <f t="shared" si="69"/>
        <v>0.01</v>
      </c>
      <c r="G93" s="831">
        <f t="shared" si="69"/>
        <v>1.2E-2</v>
      </c>
      <c r="H93" s="831">
        <f t="shared" si="69"/>
        <v>8.0000000000000002E-3</v>
      </c>
      <c r="I93" s="831">
        <f t="shared" si="69"/>
        <v>0.01</v>
      </c>
      <c r="J93" s="831">
        <f t="shared" si="69"/>
        <v>8.0000000000000002E-3</v>
      </c>
      <c r="K93" s="831">
        <f t="shared" si="69"/>
        <v>7.0000000000000288E-3</v>
      </c>
      <c r="L93" s="831">
        <f t="shared" si="69"/>
        <v>4.0000000000000001E-3</v>
      </c>
      <c r="M93" s="831">
        <f t="shared" si="69"/>
        <v>3.0000000000000001E-3</v>
      </c>
      <c r="N93" s="549">
        <f>AVERAGE(N90:N91)</f>
        <v>3.5000000000000001E-3</v>
      </c>
    </row>
    <row r="94" spans="2:29">
      <c r="C94" s="872">
        <f t="shared" ref="C94:J94" si="70">C93/C92</f>
        <v>0.88888888888888884</v>
      </c>
      <c r="D94" s="872">
        <f t="shared" si="70"/>
        <v>0.91666666666666674</v>
      </c>
      <c r="E94" s="872">
        <f t="shared" si="70"/>
        <v>0.76923076923076916</v>
      </c>
      <c r="F94" s="872">
        <f t="shared" si="70"/>
        <v>0.20833333333333334</v>
      </c>
      <c r="G94" s="872">
        <f t="shared" si="70"/>
        <v>0.30769230769230771</v>
      </c>
      <c r="H94" s="872">
        <f t="shared" si="70"/>
        <v>0.33333333333333331</v>
      </c>
      <c r="I94" s="872">
        <f t="shared" si="70"/>
        <v>0.76923076923076916</v>
      </c>
      <c r="J94" s="872">
        <f t="shared" si="70"/>
        <v>0.66666666666666663</v>
      </c>
    </row>
    <row r="98" spans="2:14" ht="15.75">
      <c r="B98" s="821" t="s">
        <v>924</v>
      </c>
      <c r="C98" s="832">
        <v>1</v>
      </c>
      <c r="D98" s="832">
        <v>2</v>
      </c>
      <c r="E98" s="832">
        <v>3</v>
      </c>
      <c r="F98" s="832">
        <v>4</v>
      </c>
      <c r="G98" s="832">
        <v>5</v>
      </c>
      <c r="H98" s="832">
        <v>6</v>
      </c>
      <c r="I98" s="832">
        <v>7</v>
      </c>
      <c r="J98" s="832">
        <v>8</v>
      </c>
      <c r="K98" s="832">
        <v>9</v>
      </c>
      <c r="L98" s="832">
        <v>10</v>
      </c>
      <c r="M98" s="832">
        <v>11</v>
      </c>
      <c r="N98" s="832">
        <v>12</v>
      </c>
    </row>
    <row r="99" spans="2:14">
      <c r="B99" s="834">
        <v>2013</v>
      </c>
      <c r="C99" s="831">
        <f>SUMIFS($C$54:$DV$54,$C$48:$DV$48,C$66,$C$49:$DV$49,$B99)/100</f>
        <v>-7.0000000000000288E-3</v>
      </c>
      <c r="D99" s="831">
        <f t="shared" ref="D99:N99" si="71">SUMIFS($C$54:$DV$54,$C$48:$DV$48,D$66,$C$49:$DV$49,$B99)/100</f>
        <v>-9.0000000000000566E-3</v>
      </c>
      <c r="E99" s="831">
        <f t="shared" si="71"/>
        <v>-4.0000000000000565E-3</v>
      </c>
      <c r="F99" s="831">
        <f t="shared" si="71"/>
        <v>-9.9999999999994321E-4</v>
      </c>
      <c r="G99" s="831">
        <f t="shared" si="71"/>
        <v>-9.9999999999994321E-4</v>
      </c>
      <c r="H99" s="831">
        <f t="shared" si="71"/>
        <v>-2.0000000000000282E-3</v>
      </c>
      <c r="I99" s="831">
        <f t="shared" si="71"/>
        <v>-5.9999999999999429E-3</v>
      </c>
      <c r="J99" s="831">
        <f t="shared" si="71"/>
        <v>-5.9999999999999429E-3</v>
      </c>
      <c r="K99" s="831">
        <f t="shared" si="71"/>
        <v>-9.9999999999994321E-4</v>
      </c>
      <c r="L99" s="831">
        <f t="shared" si="71"/>
        <v>2.0000000000000282E-3</v>
      </c>
      <c r="M99" s="831">
        <f t="shared" si="71"/>
        <v>9.9999999999994321E-4</v>
      </c>
      <c r="N99" s="831">
        <f t="shared" si="71"/>
        <v>-9.9999999999994321E-4</v>
      </c>
    </row>
    <row r="100" spans="2:14">
      <c r="B100" s="834">
        <v>2014</v>
      </c>
      <c r="C100" s="831">
        <f t="shared" ref="C100:N108" si="72">SUMIFS($C$54:$DV$54,$C$48:$DV$48,C$66,$C$49:$DV$49,$B100)/100</f>
        <v>-1.6541574175854949E-2</v>
      </c>
      <c r="D100" s="831">
        <f t="shared" si="72"/>
        <v>-4.9114857593454533E-2</v>
      </c>
      <c r="E100" s="831">
        <f t="shared" si="72"/>
        <v>6.1767038213013305E-2</v>
      </c>
      <c r="F100" s="831">
        <f t="shared" si="72"/>
        <v>2.6859178271495948E-2</v>
      </c>
      <c r="G100" s="831">
        <f t="shared" si="72"/>
        <v>3.8290171977770626E-3</v>
      </c>
      <c r="H100" s="831">
        <f t="shared" si="72"/>
        <v>-1.7628805033536282E-2</v>
      </c>
      <c r="I100" s="831">
        <f t="shared" si="72"/>
        <v>-3.1974752798371073E-2</v>
      </c>
      <c r="J100" s="831">
        <f t="shared" si="72"/>
        <v>-7.7159303389319686E-3</v>
      </c>
      <c r="K100" s="831">
        <f t="shared" si="72"/>
        <v>7.8504814919040197E-2</v>
      </c>
      <c r="L100" s="831">
        <f t="shared" si="72"/>
        <v>6.3667899365744199E-2</v>
      </c>
      <c r="M100" s="831">
        <f t="shared" si="72"/>
        <v>2.3978794192441484E-2</v>
      </c>
      <c r="N100" s="831">
        <f t="shared" si="72"/>
        <v>9.0000000000000566E-3</v>
      </c>
    </row>
    <row r="101" spans="2:14">
      <c r="B101" s="834">
        <v>2015</v>
      </c>
      <c r="C101" s="831">
        <f t="shared" si="72"/>
        <v>-1.8560530874948852E-2</v>
      </c>
      <c r="D101" s="831">
        <f t="shared" si="72"/>
        <v>2.1764104550561852E-2</v>
      </c>
      <c r="E101" s="831">
        <f t="shared" si="72"/>
        <v>0.13512515443705042</v>
      </c>
      <c r="F101" s="831">
        <f t="shared" si="72"/>
        <v>4.5970455702892113E-2</v>
      </c>
      <c r="G101" s="831">
        <f t="shared" si="72"/>
        <v>9.9098912050881432E-3</v>
      </c>
      <c r="H101" s="831">
        <f t="shared" si="72"/>
        <v>-1.8466535895960447E-2</v>
      </c>
      <c r="I101" s="831">
        <f t="shared" si="72"/>
        <v>-4.680164222934266E-2</v>
      </c>
      <c r="J101" s="831">
        <f t="shared" si="72"/>
        <v>-1.2355784213116151E-2</v>
      </c>
      <c r="K101" s="831">
        <f t="shared" si="72"/>
        <v>0.18299999999999997</v>
      </c>
      <c r="L101" s="831">
        <f t="shared" si="72"/>
        <v>3.5999999999999942E-2</v>
      </c>
      <c r="M101" s="831">
        <f t="shared" si="72"/>
        <v>7.9999999999999724E-3</v>
      </c>
      <c r="N101" s="831">
        <f t="shared" si="72"/>
        <v>-1.7000000000000029E-2</v>
      </c>
    </row>
    <row r="102" spans="2:14">
      <c r="B102" s="834">
        <v>2016</v>
      </c>
      <c r="C102" s="831">
        <f t="shared" si="72"/>
        <v>-4.400000000000006E-2</v>
      </c>
      <c r="D102" s="831">
        <f t="shared" si="72"/>
        <v>-0.02</v>
      </c>
      <c r="E102" s="831">
        <f t="shared" si="72"/>
        <v>0.107</v>
      </c>
      <c r="F102" s="831">
        <f t="shared" si="72"/>
        <v>1.7000000000000001E-2</v>
      </c>
      <c r="G102" s="831">
        <f t="shared" si="72"/>
        <v>0</v>
      </c>
      <c r="H102" s="831">
        <f t="shared" si="72"/>
        <v>-0.02</v>
      </c>
      <c r="I102" s="831">
        <f t="shared" si="72"/>
        <v>-3.5000000000000003E-2</v>
      </c>
      <c r="J102" s="831">
        <f t="shared" si="72"/>
        <v>-3.3000000000000002E-2</v>
      </c>
      <c r="K102" s="831">
        <f t="shared" si="72"/>
        <v>0.10300000000000001</v>
      </c>
      <c r="L102" s="831">
        <f t="shared" si="72"/>
        <v>2.5000000000000001E-2</v>
      </c>
      <c r="M102" s="831">
        <f t="shared" si="72"/>
        <v>-5.0000000000000001E-3</v>
      </c>
      <c r="N102" s="831">
        <f t="shared" si="72"/>
        <v>-2.7999999999999997E-2</v>
      </c>
    </row>
    <row r="103" spans="2:14">
      <c r="B103" s="834">
        <v>2017</v>
      </c>
      <c r="C103" s="831">
        <f t="shared" si="72"/>
        <v>-4.2999999999999997E-2</v>
      </c>
      <c r="D103" s="831">
        <f t="shared" si="72"/>
        <v>-2.7999999999999997E-2</v>
      </c>
      <c r="E103" s="831">
        <f t="shared" si="72"/>
        <v>0.105</v>
      </c>
      <c r="F103" s="831">
        <f t="shared" si="72"/>
        <v>9.0000000000000011E-3</v>
      </c>
      <c r="G103" s="831">
        <f t="shared" si="72"/>
        <v>-0.01</v>
      </c>
      <c r="H103" s="831">
        <f t="shared" si="72"/>
        <v>-2.5000000000000001E-2</v>
      </c>
      <c r="I103" s="831">
        <f t="shared" si="72"/>
        <v>-4.4000000000000004E-2</v>
      </c>
      <c r="J103" s="831">
        <f t="shared" si="72"/>
        <v>-2.4E-2</v>
      </c>
      <c r="K103" s="831">
        <f t="shared" si="72"/>
        <v>8.900000000000001E-2</v>
      </c>
      <c r="L103" s="831">
        <f t="shared" si="72"/>
        <v>2.4E-2</v>
      </c>
      <c r="M103" s="831">
        <f t="shared" si="72"/>
        <v>-6.9999999999999993E-3</v>
      </c>
      <c r="N103" s="831">
        <f t="shared" si="72"/>
        <v>-2.4E-2</v>
      </c>
    </row>
    <row r="104" spans="2:14">
      <c r="B104" s="834">
        <v>2018</v>
      </c>
      <c r="C104" s="831">
        <f t="shared" si="72"/>
        <v>-3.9E-2</v>
      </c>
      <c r="D104" s="831">
        <f t="shared" si="72"/>
        <v>-2.7999999999999997E-2</v>
      </c>
      <c r="E104" s="831">
        <f t="shared" si="72"/>
        <v>9.6000000000000002E-2</v>
      </c>
      <c r="F104" s="831">
        <f t="shared" si="72"/>
        <v>2.1000000000000001E-2</v>
      </c>
      <c r="G104" s="831">
        <f t="shared" si="72"/>
        <v>-4.0000000000000001E-3</v>
      </c>
      <c r="H104" s="831">
        <f t="shared" si="72"/>
        <v>-2.4E-2</v>
      </c>
      <c r="I104" s="831">
        <f t="shared" si="72"/>
        <v>-4.5999999999999999E-2</v>
      </c>
      <c r="J104" s="831">
        <f t="shared" si="72"/>
        <v>-2.6000000000000002E-2</v>
      </c>
      <c r="K104" s="831">
        <f t="shared" si="72"/>
        <v>8.5999999999999993E-2</v>
      </c>
      <c r="L104" s="831">
        <f t="shared" si="72"/>
        <v>2.6000000000000002E-2</v>
      </c>
      <c r="M104" s="831">
        <f t="shared" si="72"/>
        <v>-6.0000000000000001E-3</v>
      </c>
      <c r="N104" s="831">
        <f t="shared" si="72"/>
        <v>-2.5000000000000001E-2</v>
      </c>
    </row>
    <row r="105" spans="2:14">
      <c r="B105" s="834">
        <v>2019</v>
      </c>
      <c r="C105" s="831">
        <f t="shared" si="72"/>
        <v>-4.5999999999999999E-2</v>
      </c>
      <c r="D105" s="831">
        <f t="shared" si="72"/>
        <v>-3.5000000000000003E-2</v>
      </c>
      <c r="E105" s="831">
        <f t="shared" si="72"/>
        <v>0.113</v>
      </c>
      <c r="F105" s="831">
        <f t="shared" si="72"/>
        <v>1.9E-2</v>
      </c>
      <c r="G105" s="831">
        <f t="shared" si="72"/>
        <v>-1.4999999999999999E-2</v>
      </c>
      <c r="H105" s="831">
        <f t="shared" si="72"/>
        <v>-0.03</v>
      </c>
      <c r="I105" s="831">
        <f t="shared" si="72"/>
        <v>-4.4999999999999998E-2</v>
      </c>
      <c r="J105" s="831">
        <f t="shared" si="72"/>
        <v>-2.7999999999999997E-2</v>
      </c>
      <c r="K105" s="831">
        <f t="shared" si="72"/>
        <v>8.6999999999999994E-2</v>
      </c>
      <c r="L105" s="831">
        <f t="shared" si="72"/>
        <v>1.9E-2</v>
      </c>
      <c r="M105" s="831">
        <f t="shared" si="72"/>
        <v>-1.3999999999999999E-2</v>
      </c>
      <c r="N105" s="831">
        <f t="shared" si="72"/>
        <v>-3.4000000000000002E-2</v>
      </c>
    </row>
    <row r="106" spans="2:14">
      <c r="B106" s="834">
        <v>2020</v>
      </c>
      <c r="C106" s="831">
        <f t="shared" si="72"/>
        <v>-5.5999999999999994E-2</v>
      </c>
      <c r="D106" s="831">
        <f t="shared" si="72"/>
        <v>-4.2999999999999997E-2</v>
      </c>
      <c r="E106" s="831">
        <f t="shared" si="72"/>
        <v>0.128</v>
      </c>
      <c r="F106" s="831">
        <f t="shared" si="72"/>
        <v>4.0000000000000001E-3</v>
      </c>
      <c r="G106" s="831">
        <f t="shared" si="72"/>
        <v>-1.3999999999999999E-2</v>
      </c>
      <c r="H106" s="831">
        <f t="shared" si="72"/>
        <v>-2.7999999999999997E-2</v>
      </c>
      <c r="I106" s="831">
        <f t="shared" si="72"/>
        <v>-4.8000000000000001E-2</v>
      </c>
      <c r="J106" s="831">
        <f t="shared" si="72"/>
        <v>-0.03</v>
      </c>
      <c r="K106" s="831">
        <f t="shared" si="72"/>
        <v>7.9000000000000001E-2</v>
      </c>
      <c r="L106" s="831">
        <f t="shared" si="72"/>
        <v>0.02</v>
      </c>
      <c r="M106" s="831">
        <f t="shared" si="72"/>
        <v>-2.5000000000000001E-2</v>
      </c>
      <c r="N106" s="831">
        <f t="shared" si="72"/>
        <v>-4.5999999999999999E-2</v>
      </c>
    </row>
    <row r="107" spans="2:14">
      <c r="B107" s="834">
        <v>2021</v>
      </c>
      <c r="C107" s="831">
        <f t="shared" si="72"/>
        <v>-0.04</v>
      </c>
      <c r="D107" s="831">
        <f t="shared" si="72"/>
        <v>-3.5000000000000003E-2</v>
      </c>
      <c r="E107" s="831">
        <f t="shared" si="72"/>
        <v>0.127</v>
      </c>
      <c r="F107" s="831">
        <f t="shared" si="72"/>
        <v>9.0000000000000011E-3</v>
      </c>
      <c r="G107" s="831">
        <f t="shared" si="72"/>
        <v>-6.0000000000000001E-3</v>
      </c>
      <c r="H107" s="831">
        <f t="shared" si="72"/>
        <v>-2.7999999999999997E-2</v>
      </c>
      <c r="I107" s="831">
        <f t="shared" si="72"/>
        <v>-5.2000000000000005E-2</v>
      </c>
      <c r="J107" s="831">
        <f t="shared" si="72"/>
        <v>-0.03</v>
      </c>
      <c r="K107" s="831">
        <f t="shared" si="72"/>
        <v>7.9000000000000001E-2</v>
      </c>
      <c r="L107" s="831">
        <f t="shared" si="72"/>
        <v>1.2E-2</v>
      </c>
      <c r="M107" s="831">
        <f t="shared" si="72"/>
        <v>-2.1000000000000001E-2</v>
      </c>
      <c r="N107" s="831">
        <f t="shared" si="72"/>
        <v>-3.6000000000000004E-2</v>
      </c>
    </row>
    <row r="108" spans="2:14">
      <c r="B108" s="834">
        <v>2022</v>
      </c>
      <c r="C108" s="831">
        <f t="shared" si="72"/>
        <v>-5.7000000000000002E-2</v>
      </c>
      <c r="D108" s="831">
        <f t="shared" si="72"/>
        <v>-4.2000000000000003E-2</v>
      </c>
      <c r="E108" s="831">
        <f t="shared" si="72"/>
        <v>0.13</v>
      </c>
      <c r="F108" s="831">
        <f t="shared" si="72"/>
        <v>5.0000000000000001E-3</v>
      </c>
      <c r="G108" s="831">
        <f t="shared" si="72"/>
        <v>-2E-3</v>
      </c>
      <c r="H108" s="831">
        <f t="shared" si="72"/>
        <v>-1.3999999999999999E-2</v>
      </c>
      <c r="I108" s="831">
        <f t="shared" si="72"/>
        <v>-3.5000000000000003E-2</v>
      </c>
      <c r="J108" s="831">
        <f t="shared" si="72"/>
        <v>-0.02</v>
      </c>
      <c r="K108" s="831">
        <f t="shared" si="72"/>
        <v>9.7510000000000041E-2</v>
      </c>
      <c r="L108" s="831">
        <f t="shared" si="72"/>
        <v>1.9E-2</v>
      </c>
      <c r="M108" s="831">
        <f t="shared" si="72"/>
        <v>-1.6E-2</v>
      </c>
      <c r="N108" s="831">
        <f t="shared" si="72"/>
        <v>-2.6000000000000002E-2</v>
      </c>
    </row>
    <row r="109" spans="2:14" ht="18">
      <c r="B109" s="833">
        <v>2023</v>
      </c>
      <c r="C109" s="831">
        <f>SUMIFS($C$54:$ED$54,$C$48:$ED$48,C$66,$C$49:$ED$49,$B109)/100</f>
        <v>-5.0999999999999997E-2</v>
      </c>
      <c r="D109" s="831">
        <f t="shared" ref="D109:M109" si="73">SUMIFS($C$54:$ED$54,$C$48:$ED$48,D$66,$C$49:$ED$49,$B109)/100</f>
        <v>-3.2000000000000001E-2</v>
      </c>
      <c r="E109" s="831">
        <f t="shared" si="73"/>
        <v>0.125</v>
      </c>
      <c r="F109" s="831">
        <f t="shared" si="73"/>
        <v>4.0000000000000001E-3</v>
      </c>
      <c r="G109" s="831">
        <f t="shared" si="73"/>
        <v>-1.6E-2</v>
      </c>
      <c r="H109" s="831">
        <f t="shared" si="73"/>
        <v>-0.03</v>
      </c>
      <c r="I109" s="831">
        <f t="shared" si="73"/>
        <v>-4.8000000000000001E-2</v>
      </c>
      <c r="J109" s="831">
        <f t="shared" si="73"/>
        <v>-2.3E-2</v>
      </c>
      <c r="K109" s="831">
        <f t="shared" si="73"/>
        <v>7.7999999999999972E-2</v>
      </c>
      <c r="L109" s="831">
        <f t="shared" si="73"/>
        <v>6.9999999999999993E-3</v>
      </c>
      <c r="M109" s="831">
        <f t="shared" si="73"/>
        <v>-0.03</v>
      </c>
      <c r="N109" s="549">
        <f>AVERAGE(N106:N107)</f>
        <v>-4.1000000000000002E-2</v>
      </c>
    </row>
    <row r="110" spans="2:14">
      <c r="C110" s="872">
        <f t="shared" ref="C110:J110" si="74">C109/C108</f>
        <v>0.89473684210526305</v>
      </c>
      <c r="D110" s="872">
        <f t="shared" si="74"/>
        <v>0.76190476190476186</v>
      </c>
      <c r="E110" s="872">
        <f t="shared" si="74"/>
        <v>0.96153846153846145</v>
      </c>
      <c r="F110" s="872">
        <f t="shared" si="74"/>
        <v>0.8</v>
      </c>
      <c r="G110" s="872">
        <f t="shared" si="74"/>
        <v>8</v>
      </c>
      <c r="H110" s="872">
        <f t="shared" si="74"/>
        <v>2.1428571428571428</v>
      </c>
      <c r="I110" s="872">
        <f t="shared" si="74"/>
        <v>1.3714285714285712</v>
      </c>
      <c r="J110" s="872">
        <f t="shared" si="74"/>
        <v>1.1499999999999999</v>
      </c>
    </row>
    <row r="114" spans="2:14" ht="15.75">
      <c r="B114" s="821" t="s">
        <v>1062</v>
      </c>
      <c r="C114" s="832">
        <v>1</v>
      </c>
      <c r="D114" s="832">
        <v>2</v>
      </c>
      <c r="E114" s="832">
        <v>3</v>
      </c>
      <c r="F114" s="832">
        <v>4</v>
      </c>
      <c r="G114" s="832">
        <v>5</v>
      </c>
      <c r="H114" s="832">
        <v>6</v>
      </c>
      <c r="I114" s="832">
        <v>7</v>
      </c>
      <c r="J114" s="832">
        <v>8</v>
      </c>
      <c r="K114" s="832">
        <v>9</v>
      </c>
      <c r="L114" s="832">
        <v>10</v>
      </c>
      <c r="M114" s="832">
        <v>11</v>
      </c>
      <c r="N114" s="832">
        <v>12</v>
      </c>
    </row>
    <row r="115" spans="2:14">
      <c r="B115" s="834">
        <v>2013</v>
      </c>
      <c r="C115" s="831">
        <f>SUMIFS($C$55:$DV$55,$C$48:$DV$48,C$66,$C$49:$DV$49,$B115)/100</f>
        <v>4.0000000000000565E-3</v>
      </c>
      <c r="D115" s="831">
        <f t="shared" ref="D115:N115" si="75">SUMIFS($C$55:$DV$55,$C$48:$DV$48,D$66,$C$49:$DV$49,$B115)/100</f>
        <v>0</v>
      </c>
      <c r="E115" s="831">
        <f t="shared" si="75"/>
        <v>-2.0000000000000282E-3</v>
      </c>
      <c r="F115" s="831">
        <f t="shared" si="75"/>
        <v>0</v>
      </c>
      <c r="G115" s="831">
        <f t="shared" si="75"/>
        <v>-9.9999999999994321E-4</v>
      </c>
      <c r="H115" s="831">
        <f t="shared" si="75"/>
        <v>0</v>
      </c>
      <c r="I115" s="831">
        <f t="shared" si="75"/>
        <v>0</v>
      </c>
      <c r="J115" s="831">
        <f t="shared" si="75"/>
        <v>9.9999999999994321E-4</v>
      </c>
      <c r="K115" s="831">
        <f t="shared" si="75"/>
        <v>0</v>
      </c>
      <c r="L115" s="831">
        <f t="shared" si="75"/>
        <v>9.9999999999994321E-4</v>
      </c>
      <c r="M115" s="831">
        <f t="shared" si="75"/>
        <v>-9.9999999999994321E-4</v>
      </c>
      <c r="N115" s="831">
        <f t="shared" si="75"/>
        <v>9.9999999999994321E-4</v>
      </c>
    </row>
    <row r="116" spans="2:14">
      <c r="B116" s="834">
        <v>2014</v>
      </c>
      <c r="C116" s="831">
        <f t="shared" ref="C116:N124" si="76">SUMIFS($C$55:$DV$55,$C$48:$DV$48,C$66,$C$49:$DV$49,$B116)/100</f>
        <v>2.8876901899144514E-3</v>
      </c>
      <c r="D116" s="831">
        <f t="shared" si="76"/>
        <v>2.2955144373023018E-3</v>
      </c>
      <c r="E116" s="831">
        <f t="shared" si="76"/>
        <v>1.6024485226205343E-3</v>
      </c>
      <c r="F116" s="831">
        <f t="shared" si="76"/>
        <v>2.3274465220377749E-3</v>
      </c>
      <c r="G116" s="831">
        <f t="shared" si="76"/>
        <v>0.12780799695877249</v>
      </c>
      <c r="H116" s="831">
        <f t="shared" si="76"/>
        <v>1.6660886448053559E-2</v>
      </c>
      <c r="I116" s="831">
        <f t="shared" si="76"/>
        <v>4.0203813992039275E-2</v>
      </c>
      <c r="J116" s="831">
        <f t="shared" si="76"/>
        <v>1.6227894655891788E-2</v>
      </c>
      <c r="K116" s="831">
        <f t="shared" si="76"/>
        <v>1.6487668671966133E-2</v>
      </c>
      <c r="L116" s="831">
        <f t="shared" si="76"/>
        <v>2.2451889045525631E-2</v>
      </c>
      <c r="M116" s="831">
        <f t="shared" si="76"/>
        <v>4.4024685404926205E-2</v>
      </c>
      <c r="N116" s="831">
        <f t="shared" si="76"/>
        <v>1.2999999999999972E-2</v>
      </c>
    </row>
    <row r="117" spans="2:14">
      <c r="B117" s="834">
        <v>2015</v>
      </c>
      <c r="C117" s="831">
        <f t="shared" si="76"/>
        <v>5.3957545329173231E-3</v>
      </c>
      <c r="D117" s="831">
        <f t="shared" si="76"/>
        <v>1.5791687488978568E-2</v>
      </c>
      <c r="E117" s="831">
        <f t="shared" si="76"/>
        <v>1.0644338868723367E-2</v>
      </c>
      <c r="F117" s="831">
        <f t="shared" si="76"/>
        <v>1.0972980437027391</v>
      </c>
      <c r="G117" s="831">
        <f t="shared" si="76"/>
        <v>1.1933847178195123E-2</v>
      </c>
      <c r="H117" s="831">
        <f t="shared" si="76"/>
        <v>1.1501885942792854E-2</v>
      </c>
      <c r="I117" s="831">
        <f t="shared" si="76"/>
        <v>1.8745885007280094E-3</v>
      </c>
      <c r="J117" s="831">
        <f t="shared" si="76"/>
        <v>2.4972978025401462E-3</v>
      </c>
      <c r="K117" s="831">
        <f t="shared" si="76"/>
        <v>2.4000000000000056E-2</v>
      </c>
      <c r="L117" s="831">
        <f t="shared" si="76"/>
        <v>-0.13799999999999998</v>
      </c>
      <c r="M117" s="831">
        <f t="shared" si="76"/>
        <v>3.2999999999999974E-2</v>
      </c>
      <c r="N117" s="831">
        <f t="shared" si="76"/>
        <v>0</v>
      </c>
    </row>
    <row r="118" spans="2:14">
      <c r="B118" s="834">
        <v>2016</v>
      </c>
      <c r="C118" s="831">
        <f t="shared" si="76"/>
        <v>7.0000000000000288E-3</v>
      </c>
      <c r="D118" s="831">
        <f t="shared" si="76"/>
        <v>2.9999999999999714E-3</v>
      </c>
      <c r="E118" s="831">
        <f t="shared" si="76"/>
        <v>2.8999999999999998E-2</v>
      </c>
      <c r="F118" s="831">
        <f t="shared" si="76"/>
        <v>0.20100000000000001</v>
      </c>
      <c r="G118" s="831">
        <f t="shared" si="76"/>
        <v>-0.02</v>
      </c>
      <c r="H118" s="831">
        <f t="shared" si="76"/>
        <v>9.9999999999994321E-4</v>
      </c>
      <c r="I118" s="831">
        <f t="shared" si="76"/>
        <v>1.7000000000000001E-2</v>
      </c>
      <c r="J118" s="831">
        <f t="shared" si="76"/>
        <v>6.9999999999999993E-3</v>
      </c>
      <c r="K118" s="831">
        <f t="shared" si="76"/>
        <v>3.7000000000000005E-2</v>
      </c>
      <c r="L118" s="831">
        <f t="shared" si="76"/>
        <v>7.4999999999999997E-2</v>
      </c>
      <c r="M118" s="831">
        <f t="shared" si="76"/>
        <v>5.2999999999999999E-2</v>
      </c>
      <c r="N118" s="831">
        <f t="shared" si="76"/>
        <v>0</v>
      </c>
    </row>
    <row r="119" spans="2:14">
      <c r="B119" s="834">
        <v>2017</v>
      </c>
      <c r="C119" s="831">
        <f t="shared" si="76"/>
        <v>3.0000000000000001E-3</v>
      </c>
      <c r="D119" s="831">
        <f t="shared" si="76"/>
        <v>2E-3</v>
      </c>
      <c r="E119" s="831">
        <f t="shared" si="76"/>
        <v>0.05</v>
      </c>
      <c r="F119" s="831">
        <f t="shared" si="76"/>
        <v>5.0000000000000001E-3</v>
      </c>
      <c r="G119" s="831">
        <f t="shared" si="76"/>
        <v>8.0000000000000002E-3</v>
      </c>
      <c r="H119" s="831">
        <f t="shared" si="76"/>
        <v>5.0000000000000001E-3</v>
      </c>
      <c r="I119" s="831">
        <f t="shared" si="76"/>
        <v>6.0000000000000001E-3</v>
      </c>
      <c r="J119" s="831">
        <f t="shared" si="76"/>
        <v>3.0000000000000001E-3</v>
      </c>
      <c r="K119" s="831">
        <f t="shared" si="76"/>
        <v>4.0000000000000001E-3</v>
      </c>
      <c r="L119" s="831">
        <f t="shared" si="76"/>
        <v>5.0000000000000001E-3</v>
      </c>
      <c r="M119" s="831">
        <f t="shared" si="76"/>
        <v>8.0000000000000002E-3</v>
      </c>
      <c r="N119" s="831">
        <f t="shared" si="76"/>
        <v>3.0000000000000001E-3</v>
      </c>
    </row>
    <row r="120" spans="2:14">
      <c r="B120" s="834">
        <v>2018</v>
      </c>
      <c r="C120" s="831">
        <f t="shared" si="76"/>
        <v>4.0000000000000001E-3</v>
      </c>
      <c r="D120" s="831">
        <f t="shared" si="76"/>
        <v>4.0000000000000001E-3</v>
      </c>
      <c r="E120" s="831">
        <f t="shared" si="76"/>
        <v>3.0000000000000001E-3</v>
      </c>
      <c r="F120" s="831">
        <f t="shared" si="76"/>
        <v>2E-3</v>
      </c>
      <c r="G120" s="831">
        <f t="shared" si="76"/>
        <v>1E-3</v>
      </c>
      <c r="H120" s="831">
        <f t="shared" si="76"/>
        <v>3.0000000000000001E-3</v>
      </c>
      <c r="I120" s="831">
        <f t="shared" si="76"/>
        <v>5.0000000000000001E-3</v>
      </c>
      <c r="J120" s="831">
        <f t="shared" si="76"/>
        <v>5.0000000000000001E-3</v>
      </c>
      <c r="K120" s="831">
        <f t="shared" si="76"/>
        <v>2E-3</v>
      </c>
      <c r="L120" s="831">
        <f t="shared" si="76"/>
        <v>6.0000000000000001E-3</v>
      </c>
      <c r="M120" s="831">
        <f t="shared" si="76"/>
        <v>6.0999999999999999E-2</v>
      </c>
      <c r="N120" s="831">
        <f t="shared" si="76"/>
        <v>6.9999999999999993E-3</v>
      </c>
    </row>
    <row r="121" spans="2:14">
      <c r="B121" s="834">
        <v>2019</v>
      </c>
      <c r="C121" s="831">
        <f t="shared" si="76"/>
        <v>2.6000000000000002E-2</v>
      </c>
      <c r="D121" s="831">
        <f t="shared" si="76"/>
        <v>5.0000000000000001E-3</v>
      </c>
      <c r="E121" s="831">
        <f t="shared" si="76"/>
        <v>3.0000000000000001E-3</v>
      </c>
      <c r="F121" s="831">
        <f t="shared" si="76"/>
        <v>2E-3</v>
      </c>
      <c r="G121" s="831">
        <f t="shared" si="76"/>
        <v>-6.9999999999999993E-3</v>
      </c>
      <c r="H121" s="831">
        <f t="shared" si="76"/>
        <v>-1.3999999999999999E-2</v>
      </c>
      <c r="I121" s="831">
        <f t="shared" si="76"/>
        <v>-2.3E-2</v>
      </c>
      <c r="J121" s="831">
        <f t="shared" si="76"/>
        <v>-9.0000000000000011E-3</v>
      </c>
      <c r="K121" s="831">
        <f t="shared" si="76"/>
        <v>-2E-3</v>
      </c>
      <c r="L121" s="831">
        <f t="shared" si="76"/>
        <v>-4.0000000000000001E-3</v>
      </c>
      <c r="M121" s="831">
        <f t="shared" si="76"/>
        <v>2.7999999999999997E-2</v>
      </c>
      <c r="N121" s="831">
        <f t="shared" si="76"/>
        <v>-2.3E-2</v>
      </c>
    </row>
    <row r="122" spans="2:14">
      <c r="B122" s="834">
        <v>2020</v>
      </c>
      <c r="C122" s="831">
        <f t="shared" si="76"/>
        <v>1.7000000000000001E-2</v>
      </c>
      <c r="D122" s="831">
        <f t="shared" si="76"/>
        <v>-0.02</v>
      </c>
      <c r="E122" s="831">
        <f t="shared" si="76"/>
        <v>-2.7999999999999997E-2</v>
      </c>
      <c r="F122" s="831">
        <f t="shared" si="76"/>
        <v>-3.2000000000000001E-2</v>
      </c>
      <c r="G122" s="831">
        <f t="shared" si="76"/>
        <v>-2.7999999999999997E-2</v>
      </c>
      <c r="H122" s="831">
        <f t="shared" si="76"/>
        <v>-4.0000000000000001E-3</v>
      </c>
      <c r="I122" s="831">
        <f t="shared" si="76"/>
        <v>1.2E-2</v>
      </c>
      <c r="J122" s="831">
        <f t="shared" si="76"/>
        <v>5.7000000000000002E-2</v>
      </c>
      <c r="K122" s="831">
        <f t="shared" si="76"/>
        <v>3.6000000000000004E-2</v>
      </c>
      <c r="L122" s="831">
        <f t="shared" si="76"/>
        <v>4.4000000000000004E-2</v>
      </c>
      <c r="M122" s="831">
        <f t="shared" si="76"/>
        <v>0.08</v>
      </c>
      <c r="N122" s="831">
        <f t="shared" si="76"/>
        <v>1E-3</v>
      </c>
    </row>
    <row r="123" spans="2:14">
      <c r="B123" s="834">
        <v>2021</v>
      </c>
      <c r="C123" s="831">
        <f t="shared" si="76"/>
        <v>0.06</v>
      </c>
      <c r="D123" s="831">
        <f t="shared" si="76"/>
        <v>-1.8000000000000002E-2</v>
      </c>
      <c r="E123" s="831">
        <f t="shared" si="76"/>
        <v>0</v>
      </c>
      <c r="F123" s="831">
        <f t="shared" si="76"/>
        <v>4.0000000000000001E-3</v>
      </c>
      <c r="G123" s="831">
        <f t="shared" si="76"/>
        <v>3.9E-2</v>
      </c>
      <c r="H123" s="831">
        <f t="shared" si="76"/>
        <v>4.0000000000000001E-3</v>
      </c>
      <c r="I123" s="831">
        <f t="shared" si="76"/>
        <v>6.0000000000000001E-3</v>
      </c>
      <c r="J123" s="831">
        <f t="shared" si="76"/>
        <v>6.0000000000000001E-3</v>
      </c>
      <c r="K123" s="831">
        <f t="shared" si="76"/>
        <v>5.0000000000000001E-3</v>
      </c>
      <c r="L123" s="831">
        <f t="shared" si="76"/>
        <v>-9.0000000000000011E-3</v>
      </c>
      <c r="M123" s="831">
        <f t="shared" si="76"/>
        <v>0</v>
      </c>
      <c r="N123" s="831">
        <f t="shared" si="76"/>
        <v>-1E-3</v>
      </c>
    </row>
    <row r="124" spans="2:14">
      <c r="B124" s="834">
        <v>2022</v>
      </c>
      <c r="C124" s="831">
        <f t="shared" si="76"/>
        <v>6.9999999999999993E-3</v>
      </c>
      <c r="D124" s="831">
        <f t="shared" si="76"/>
        <v>2E-3</v>
      </c>
      <c r="E124" s="831">
        <f t="shared" si="76"/>
        <v>5.0000000000000001E-3</v>
      </c>
      <c r="F124" s="831">
        <f t="shared" si="76"/>
        <v>6.0000000000000001E-3</v>
      </c>
      <c r="G124" s="831">
        <f t="shared" si="76"/>
        <v>4.0000000000000001E-3</v>
      </c>
      <c r="H124" s="831">
        <f t="shared" si="76"/>
        <v>6.0000000000000001E-3</v>
      </c>
      <c r="I124" s="831">
        <f t="shared" si="76"/>
        <v>5.0000000000000001E-3</v>
      </c>
      <c r="J124" s="831">
        <f t="shared" si="76"/>
        <v>8.0000000000000002E-3</v>
      </c>
      <c r="K124" s="831">
        <f t="shared" si="76"/>
        <v>9.039999999999963E-3</v>
      </c>
      <c r="L124" s="831">
        <f t="shared" si="76"/>
        <v>3.0000000000000001E-3</v>
      </c>
      <c r="M124" s="831">
        <f t="shared" si="76"/>
        <v>2E-3</v>
      </c>
      <c r="N124" s="831">
        <f t="shared" si="76"/>
        <v>1E-3</v>
      </c>
    </row>
    <row r="125" spans="2:14" ht="18">
      <c r="B125" s="833">
        <v>2023</v>
      </c>
      <c r="C125" s="831">
        <f>SUMIFS($C$55:$ED$55,$C$48:$ED$48,C$66,$C$49:$ED$49,$B125)/100</f>
        <v>1E-3</v>
      </c>
      <c r="D125" s="831">
        <f t="shared" ref="D125:M125" si="77">SUMIFS($C$55:$ED$55,$C$48:$ED$48,D$66,$C$49:$ED$49,$B125)/100</f>
        <v>1E-3</v>
      </c>
      <c r="E125" s="831">
        <f t="shared" si="77"/>
        <v>-1E-3</v>
      </c>
      <c r="F125" s="831">
        <f t="shared" si="77"/>
        <v>0</v>
      </c>
      <c r="G125" s="831">
        <f t="shared" si="77"/>
        <v>0</v>
      </c>
      <c r="H125" s="831">
        <f t="shared" si="77"/>
        <v>0.11900000000000001</v>
      </c>
      <c r="I125" s="831">
        <f t="shared" si="77"/>
        <v>1E-3</v>
      </c>
      <c r="J125" s="831">
        <f t="shared" si="77"/>
        <v>3.0000000000000001E-3</v>
      </c>
      <c r="K125" s="831">
        <f t="shared" si="77"/>
        <v>9.9999999999994321E-4</v>
      </c>
      <c r="L125" s="831">
        <f t="shared" si="77"/>
        <v>2E-3</v>
      </c>
      <c r="M125" s="831">
        <f t="shared" si="77"/>
        <v>1E-3</v>
      </c>
      <c r="N125" s="549">
        <f>AVERAGE(N123:N124)</f>
        <v>0</v>
      </c>
    </row>
    <row r="126" spans="2:14">
      <c r="C126" s="872">
        <f t="shared" ref="C126:J126" si="78">C125/C124</f>
        <v>0.14285714285714288</v>
      </c>
      <c r="D126" s="872">
        <f t="shared" si="78"/>
        <v>0.5</v>
      </c>
      <c r="E126" s="872">
        <f t="shared" si="78"/>
        <v>-0.2</v>
      </c>
      <c r="F126" s="872">
        <f t="shared" si="78"/>
        <v>0</v>
      </c>
      <c r="G126" s="872">
        <f t="shared" si="78"/>
        <v>0</v>
      </c>
      <c r="H126" s="872">
        <f t="shared" si="78"/>
        <v>19.833333333333336</v>
      </c>
      <c r="I126" s="872">
        <f t="shared" si="78"/>
        <v>0.2</v>
      </c>
      <c r="J126" s="872">
        <f t="shared" si="78"/>
        <v>0.375</v>
      </c>
    </row>
    <row r="130" spans="2:14" ht="31.5">
      <c r="B130" s="821" t="s">
        <v>1141</v>
      </c>
      <c r="C130" s="832">
        <v>1</v>
      </c>
      <c r="D130" s="832">
        <v>2</v>
      </c>
      <c r="E130" s="832">
        <v>3</v>
      </c>
      <c r="F130" s="832">
        <v>4</v>
      </c>
      <c r="G130" s="832">
        <v>5</v>
      </c>
      <c r="H130" s="832">
        <v>6</v>
      </c>
      <c r="I130" s="832">
        <v>7</v>
      </c>
      <c r="J130" s="832">
        <v>8</v>
      </c>
      <c r="K130" s="832">
        <v>9</v>
      </c>
      <c r="L130" s="832">
        <v>10</v>
      </c>
      <c r="M130" s="832">
        <v>11</v>
      </c>
      <c r="N130" s="832">
        <v>12</v>
      </c>
    </row>
    <row r="131" spans="2:14">
      <c r="B131" s="834">
        <v>2013</v>
      </c>
      <c r="C131" s="831">
        <f>SUMIFS($C$56:$DV$56,$C$48:$DV$48,C$66,$C$49:$DV$49,$B131)/100</f>
        <v>-9.9999999999994321E-4</v>
      </c>
      <c r="D131" s="831">
        <f t="shared" ref="D131:N131" si="79">SUMIFS($C$56:$DV$56,$C$48:$DV$48,D$66,$C$49:$DV$49,$B131)/100</f>
        <v>-9.9999999999994321E-4</v>
      </c>
      <c r="E131" s="831">
        <f t="shared" si="79"/>
        <v>-9.9999999999994321E-4</v>
      </c>
      <c r="F131" s="831">
        <f t="shared" si="79"/>
        <v>-9.9999999999994321E-4</v>
      </c>
      <c r="G131" s="831">
        <f t="shared" si="79"/>
        <v>-2.9999999999999714E-3</v>
      </c>
      <c r="H131" s="831">
        <f t="shared" si="79"/>
        <v>-9.9999999999994321E-4</v>
      </c>
      <c r="I131" s="831">
        <f t="shared" si="79"/>
        <v>0</v>
      </c>
      <c r="J131" s="831">
        <f t="shared" si="79"/>
        <v>9.9999999999994321E-4</v>
      </c>
      <c r="K131" s="831">
        <f t="shared" si="79"/>
        <v>0</v>
      </c>
      <c r="L131" s="831">
        <f t="shared" si="79"/>
        <v>9.9999999999994321E-4</v>
      </c>
      <c r="M131" s="831">
        <f t="shared" si="79"/>
        <v>0</v>
      </c>
      <c r="N131" s="831">
        <f t="shared" si="79"/>
        <v>-9.9999999999994321E-4</v>
      </c>
    </row>
    <row r="132" spans="2:14">
      <c r="B132" s="834">
        <v>2014</v>
      </c>
      <c r="C132" s="831">
        <f t="shared" ref="C132:N140" si="80">SUMIFS($C$56:$DV$56,$C$48:$DV$48,C$66,$C$49:$DV$49,$B132)/100</f>
        <v>-1.097635294865995E-4</v>
      </c>
      <c r="D132" s="831">
        <f t="shared" si="80"/>
        <v>6.8552473175509474E-3</v>
      </c>
      <c r="E132" s="831">
        <f t="shared" si="80"/>
        <v>1.6969457809416895E-2</v>
      </c>
      <c r="F132" s="831">
        <f t="shared" si="80"/>
        <v>3.4949947665996885E-2</v>
      </c>
      <c r="G132" s="831">
        <f t="shared" si="80"/>
        <v>2.8157706553265598E-2</v>
      </c>
      <c r="H132" s="831">
        <f t="shared" si="80"/>
        <v>2.1583386475872716E-2</v>
      </c>
      <c r="I132" s="831">
        <f t="shared" si="80"/>
        <v>1.1134596703525261E-2</v>
      </c>
      <c r="J132" s="831">
        <f t="shared" si="80"/>
        <v>1.1933320638304821E-2</v>
      </c>
      <c r="K132" s="831">
        <f t="shared" si="80"/>
        <v>2.206736060001873E-2</v>
      </c>
      <c r="L132" s="831">
        <f t="shared" si="80"/>
        <v>2.5915680261716714E-2</v>
      </c>
      <c r="M132" s="831">
        <f t="shared" si="80"/>
        <v>3.0526969973515606E-2</v>
      </c>
      <c r="N132" s="831">
        <f t="shared" si="80"/>
        <v>3.7999999999999971E-2</v>
      </c>
    </row>
    <row r="133" spans="2:14">
      <c r="B133" s="834">
        <v>2015</v>
      </c>
      <c r="C133" s="831">
        <f t="shared" si="80"/>
        <v>3.3731583534547555E-2</v>
      </c>
      <c r="D133" s="831">
        <f t="shared" si="80"/>
        <v>7.22383575545264E-2</v>
      </c>
      <c r="E133" s="831">
        <f t="shared" si="80"/>
        <v>0.10392365130032076</v>
      </c>
      <c r="F133" s="831">
        <f t="shared" si="80"/>
        <v>4.9425774557935398E-2</v>
      </c>
      <c r="G133" s="831">
        <f t="shared" si="80"/>
        <v>2.0526360830374131E-2</v>
      </c>
      <c r="H133" s="831">
        <f t="shared" si="80"/>
        <v>4.0773746603271375E-3</v>
      </c>
      <c r="I133" s="831">
        <f t="shared" si="80"/>
        <v>5.6464926897436384E-3</v>
      </c>
      <c r="J133" s="831">
        <f t="shared" si="80"/>
        <v>2.2586727627360403E-3</v>
      </c>
      <c r="K133" s="831">
        <f t="shared" si="80"/>
        <v>5.9999999999999429E-3</v>
      </c>
      <c r="L133" s="831">
        <f t="shared" si="80"/>
        <v>0.01</v>
      </c>
      <c r="M133" s="831">
        <f t="shared" si="80"/>
        <v>5.9999999999999429E-3</v>
      </c>
      <c r="N133" s="831">
        <f t="shared" si="80"/>
        <v>2.9999999999999714E-3</v>
      </c>
    </row>
    <row r="134" spans="2:14">
      <c r="B134" s="834">
        <v>2016</v>
      </c>
      <c r="C134" s="831">
        <f t="shared" si="80"/>
        <v>5.0000000000000001E-3</v>
      </c>
      <c r="D134" s="831">
        <f t="shared" si="80"/>
        <v>7.9999999999999724E-3</v>
      </c>
      <c r="E134" s="831">
        <f t="shared" si="80"/>
        <v>6.9999999999999993E-3</v>
      </c>
      <c r="F134" s="831">
        <f t="shared" si="80"/>
        <v>3.0000000000000001E-3</v>
      </c>
      <c r="G134" s="831">
        <f t="shared" si="80"/>
        <v>2E-3</v>
      </c>
      <c r="H134" s="831">
        <f t="shared" si="80"/>
        <v>2.9999999999999714E-3</v>
      </c>
      <c r="I134" s="831">
        <f t="shared" si="80"/>
        <v>3.0000000000000001E-3</v>
      </c>
      <c r="J134" s="831">
        <f t="shared" si="80"/>
        <v>-1E-3</v>
      </c>
      <c r="K134" s="831">
        <f t="shared" si="80"/>
        <v>5.0000000000000001E-3</v>
      </c>
      <c r="L134" s="831">
        <f t="shared" si="80"/>
        <v>3.0000000000000001E-3</v>
      </c>
      <c r="M134" s="831">
        <f t="shared" si="80"/>
        <v>2E-3</v>
      </c>
      <c r="N134" s="831">
        <f t="shared" si="80"/>
        <v>1E-3</v>
      </c>
    </row>
    <row r="135" spans="2:14">
      <c r="B135" s="834">
        <v>2017</v>
      </c>
      <c r="C135" s="831">
        <f t="shared" si="80"/>
        <v>4.0000000000000001E-3</v>
      </c>
      <c r="D135" s="831">
        <f t="shared" si="80"/>
        <v>2E-3</v>
      </c>
      <c r="E135" s="831">
        <f t="shared" si="80"/>
        <v>1E-3</v>
      </c>
      <c r="F135" s="831">
        <f t="shared" si="80"/>
        <v>3.0000000000000001E-3</v>
      </c>
      <c r="G135" s="831">
        <f t="shared" si="80"/>
        <v>2E-3</v>
      </c>
      <c r="H135" s="831">
        <f t="shared" si="80"/>
        <v>0</v>
      </c>
      <c r="I135" s="831">
        <f t="shared" si="80"/>
        <v>1E-3</v>
      </c>
      <c r="J135" s="831">
        <f t="shared" si="80"/>
        <v>-1E-3</v>
      </c>
      <c r="K135" s="831">
        <f t="shared" si="80"/>
        <v>6.9999999999999993E-3</v>
      </c>
      <c r="L135" s="831">
        <f t="shared" si="80"/>
        <v>3.0000000000000001E-3</v>
      </c>
      <c r="M135" s="831">
        <f t="shared" si="80"/>
        <v>6.9999999999999993E-3</v>
      </c>
      <c r="N135" s="831">
        <f t="shared" si="80"/>
        <v>2E-3</v>
      </c>
    </row>
    <row r="136" spans="2:14">
      <c r="B136" s="834">
        <v>2018</v>
      </c>
      <c r="C136" s="831">
        <f t="shared" si="80"/>
        <v>9.0000000000000011E-3</v>
      </c>
      <c r="D136" s="831">
        <f t="shared" si="80"/>
        <v>1.3000000000000001E-2</v>
      </c>
      <c r="E136" s="831">
        <f t="shared" si="80"/>
        <v>8.0000000000000002E-3</v>
      </c>
      <c r="F136" s="831">
        <f t="shared" si="80"/>
        <v>4.0000000000000001E-3</v>
      </c>
      <c r="G136" s="831">
        <f t="shared" si="80"/>
        <v>6.0000000000000001E-3</v>
      </c>
      <c r="H136" s="831">
        <f t="shared" si="80"/>
        <v>2E-3</v>
      </c>
      <c r="I136" s="831">
        <f t="shared" si="80"/>
        <v>2E-3</v>
      </c>
      <c r="J136" s="831">
        <f t="shared" si="80"/>
        <v>3.0000000000000001E-3</v>
      </c>
      <c r="K136" s="831">
        <f t="shared" si="80"/>
        <v>6.0000000000000001E-3</v>
      </c>
      <c r="L136" s="831">
        <f t="shared" si="80"/>
        <v>6.9999999999999993E-3</v>
      </c>
      <c r="M136" s="831">
        <f t="shared" si="80"/>
        <v>6.0000000000000001E-3</v>
      </c>
      <c r="N136" s="831">
        <f t="shared" si="80"/>
        <v>0</v>
      </c>
    </row>
    <row r="137" spans="2:14">
      <c r="B137" s="834">
        <v>2019</v>
      </c>
      <c r="C137" s="831">
        <f t="shared" si="80"/>
        <v>5.0000000000000001E-3</v>
      </c>
      <c r="D137" s="831">
        <f t="shared" si="80"/>
        <v>1E-3</v>
      </c>
      <c r="E137" s="831">
        <f t="shared" si="80"/>
        <v>-2E-3</v>
      </c>
      <c r="F137" s="831">
        <f t="shared" si="80"/>
        <v>2E-3</v>
      </c>
      <c r="G137" s="831">
        <f t="shared" si="80"/>
        <v>3.0000000000000001E-3</v>
      </c>
      <c r="H137" s="831">
        <f t="shared" si="80"/>
        <v>-2E-3</v>
      </c>
      <c r="I137" s="831">
        <f t="shared" si="80"/>
        <v>2E-3</v>
      </c>
      <c r="J137" s="831">
        <f t="shared" si="80"/>
        <v>-2E-3</v>
      </c>
      <c r="K137" s="831">
        <f t="shared" si="80"/>
        <v>1E-3</v>
      </c>
      <c r="L137" s="831">
        <f t="shared" si="80"/>
        <v>-3.0000000000000001E-3</v>
      </c>
      <c r="M137" s="831">
        <f t="shared" si="80"/>
        <v>-1E-3</v>
      </c>
      <c r="N137" s="831">
        <f t="shared" si="80"/>
        <v>-6.0000000000000001E-3</v>
      </c>
    </row>
    <row r="138" spans="2:14">
      <c r="B138" s="834">
        <v>2020</v>
      </c>
      <c r="C138" s="831">
        <f t="shared" si="80"/>
        <v>-3.0000000000000001E-3</v>
      </c>
      <c r="D138" s="831">
        <f t="shared" si="80"/>
        <v>0</v>
      </c>
      <c r="E138" s="831">
        <f t="shared" si="80"/>
        <v>-2E-3</v>
      </c>
      <c r="F138" s="831">
        <f t="shared" si="80"/>
        <v>4.0000000000000001E-3</v>
      </c>
      <c r="G138" s="831">
        <f t="shared" si="80"/>
        <v>1E-3</v>
      </c>
      <c r="H138" s="831">
        <f t="shared" si="80"/>
        <v>-2E-3</v>
      </c>
      <c r="I138" s="831">
        <f t="shared" si="80"/>
        <v>-1E-3</v>
      </c>
      <c r="J138" s="831">
        <f t="shared" si="80"/>
        <v>3.0000000000000001E-3</v>
      </c>
      <c r="K138" s="831">
        <f t="shared" si="80"/>
        <v>2E-3</v>
      </c>
      <c r="L138" s="831">
        <f t="shared" si="80"/>
        <v>4.0000000000000001E-3</v>
      </c>
      <c r="M138" s="831">
        <f t="shared" si="80"/>
        <v>4.0000000000000001E-3</v>
      </c>
      <c r="N138" s="831">
        <f t="shared" si="80"/>
        <v>-5.0000000000000001E-3</v>
      </c>
    </row>
    <row r="139" spans="2:14">
      <c r="B139" s="834">
        <v>2021</v>
      </c>
      <c r="C139" s="831">
        <f t="shared" si="80"/>
        <v>0</v>
      </c>
      <c r="D139" s="831">
        <f t="shared" si="80"/>
        <v>5.0000000000000001E-3</v>
      </c>
      <c r="E139" s="831">
        <f t="shared" si="80"/>
        <v>5.0000000000000001E-3</v>
      </c>
      <c r="F139" s="831">
        <f t="shared" si="80"/>
        <v>2E-3</v>
      </c>
      <c r="G139" s="831">
        <f t="shared" si="80"/>
        <v>5.0000000000000001E-3</v>
      </c>
      <c r="H139" s="831">
        <f t="shared" si="80"/>
        <v>6.0000000000000001E-3</v>
      </c>
      <c r="I139" s="831">
        <f t="shared" si="80"/>
        <v>4.0000000000000001E-3</v>
      </c>
      <c r="J139" s="831">
        <f t="shared" si="80"/>
        <v>3.0000000000000001E-3</v>
      </c>
      <c r="K139" s="831">
        <f t="shared" si="80"/>
        <v>5.0000000000000001E-3</v>
      </c>
      <c r="L139" s="831">
        <f t="shared" si="80"/>
        <v>5.0000000000000001E-3</v>
      </c>
      <c r="M139" s="831">
        <f t="shared" si="80"/>
        <v>4.0000000000000001E-3</v>
      </c>
      <c r="N139" s="831">
        <f t="shared" si="80"/>
        <v>-3.0000000000000001E-3</v>
      </c>
    </row>
    <row r="140" spans="2:14">
      <c r="B140" s="834">
        <v>2022</v>
      </c>
      <c r="C140" s="831">
        <f t="shared" si="80"/>
        <v>-3.0000000000000001E-3</v>
      </c>
      <c r="D140" s="831">
        <f t="shared" si="80"/>
        <v>6.9999999999999993E-3</v>
      </c>
      <c r="E140" s="831">
        <f t="shared" si="80"/>
        <v>2.8999999999999998E-2</v>
      </c>
      <c r="F140" s="831">
        <f t="shared" si="80"/>
        <v>0.04</v>
      </c>
      <c r="G140" s="831">
        <f t="shared" si="80"/>
        <v>1.8000000000000002E-2</v>
      </c>
      <c r="H140" s="831">
        <f t="shared" si="80"/>
        <v>2.5000000000000001E-2</v>
      </c>
      <c r="I140" s="831">
        <f t="shared" si="80"/>
        <v>2.2000000000000002E-2</v>
      </c>
      <c r="J140" s="831">
        <f t="shared" si="80"/>
        <v>0.05</v>
      </c>
      <c r="K140" s="831">
        <f t="shared" si="80"/>
        <v>2.8020000000000066E-2</v>
      </c>
      <c r="L140" s="831">
        <f t="shared" si="80"/>
        <v>1.4999999999999999E-2</v>
      </c>
      <c r="M140" s="831">
        <f t="shared" si="80"/>
        <v>0.01</v>
      </c>
      <c r="N140" s="831">
        <f t="shared" si="80"/>
        <v>-2E-3</v>
      </c>
    </row>
    <row r="141" spans="2:14" ht="18">
      <c r="B141" s="833">
        <v>2023</v>
      </c>
      <c r="C141" s="831">
        <f>SUMIFS($C$56:$ED$56,$C$48:$ED$48,C$66,$C$49:$ED$49,$B141)/100</f>
        <v>6.9999999999999993E-3</v>
      </c>
      <c r="D141" s="831">
        <f t="shared" ref="D141:M141" si="81">SUMIFS($C$56:$ED$56,$C$48:$ED$48,D$66,$C$49:$ED$49,$B141)/100</f>
        <v>8.0000000000000002E-3</v>
      </c>
      <c r="E141" s="831">
        <f t="shared" si="81"/>
        <v>5.0000000000000001E-3</v>
      </c>
      <c r="F141" s="831">
        <f t="shared" si="81"/>
        <v>0</v>
      </c>
      <c r="G141" s="831">
        <f t="shared" si="81"/>
        <v>4.0000000000000001E-3</v>
      </c>
      <c r="H141" s="831">
        <f t="shared" si="81"/>
        <v>-4.0000000000000001E-3</v>
      </c>
      <c r="I141" s="831">
        <f t="shared" si="81"/>
        <v>0</v>
      </c>
      <c r="J141" s="831">
        <f t="shared" si="81"/>
        <v>-3.0000000000000001E-3</v>
      </c>
      <c r="K141" s="831">
        <f t="shared" si="81"/>
        <v>2.9999999999999714E-3</v>
      </c>
      <c r="L141" s="831">
        <f t="shared" si="81"/>
        <v>-3.0000000000000001E-3</v>
      </c>
      <c r="M141" s="831">
        <f t="shared" si="81"/>
        <v>-3.0000000000000001E-3</v>
      </c>
      <c r="N141" s="549">
        <f>AVERAGE(N137:N138)</f>
        <v>-5.4999999999999997E-3</v>
      </c>
    </row>
    <row r="142" spans="2:14">
      <c r="C142" s="872">
        <f t="shared" ref="C142:J142" si="82">C141/C140</f>
        <v>-2.333333333333333</v>
      </c>
      <c r="D142" s="872">
        <f t="shared" si="82"/>
        <v>1.142857142857143</v>
      </c>
      <c r="E142" s="872">
        <f t="shared" si="82"/>
        <v>0.17241379310344829</v>
      </c>
      <c r="F142" s="872">
        <f t="shared" si="82"/>
        <v>0</v>
      </c>
      <c r="G142" s="872">
        <f t="shared" si="82"/>
        <v>0.22222222222222221</v>
      </c>
      <c r="H142" s="872">
        <f t="shared" si="82"/>
        <v>-0.16</v>
      </c>
      <c r="I142" s="872">
        <f t="shared" si="82"/>
        <v>0</v>
      </c>
      <c r="J142" s="872">
        <f t="shared" si="82"/>
        <v>-0.06</v>
      </c>
    </row>
    <row r="145" spans="2:27" ht="15.75">
      <c r="B145" s="821" t="s">
        <v>1239</v>
      </c>
      <c r="C145" s="832">
        <v>1</v>
      </c>
      <c r="D145" s="832">
        <v>2</v>
      </c>
      <c r="E145" s="832">
        <v>3</v>
      </c>
      <c r="F145" s="832">
        <v>4</v>
      </c>
      <c r="G145" s="832">
        <v>5</v>
      </c>
      <c r="H145" s="832">
        <v>6</v>
      </c>
      <c r="I145" s="832">
        <v>7</v>
      </c>
      <c r="J145" s="832">
        <v>8</v>
      </c>
      <c r="K145" s="832">
        <v>9</v>
      </c>
      <c r="L145" s="832">
        <v>10</v>
      </c>
      <c r="M145" s="832">
        <v>11</v>
      </c>
      <c r="N145" s="832">
        <v>12</v>
      </c>
    </row>
    <row r="146" spans="2:27">
      <c r="B146" s="834">
        <v>2013</v>
      </c>
      <c r="C146" s="831">
        <f>SUMIFS($C$57:$DV$57,$C$48:$DV$48,C$66,$C$49:$DV$49,$B146)/100</f>
        <v>9.9999999999994321E-4</v>
      </c>
      <c r="D146" s="831">
        <f t="shared" ref="D146:N146" si="83">SUMIFS($C$57:$DV$57,$C$48:$DV$48,D$66,$C$49:$DV$49,$B146)/100</f>
        <v>5.0000000000000001E-3</v>
      </c>
      <c r="E146" s="831">
        <f t="shared" si="83"/>
        <v>5.0000000000000001E-3</v>
      </c>
      <c r="F146" s="831">
        <f t="shared" si="83"/>
        <v>2.0000000000000282E-3</v>
      </c>
      <c r="G146" s="831">
        <f t="shared" si="83"/>
        <v>2.0000000000000282E-3</v>
      </c>
      <c r="H146" s="831">
        <f t="shared" si="83"/>
        <v>2.0000000000000282E-3</v>
      </c>
      <c r="I146" s="831">
        <f t="shared" si="83"/>
        <v>2.0000000000000282E-3</v>
      </c>
      <c r="J146" s="831">
        <f t="shared" si="83"/>
        <v>2.0000000000000282E-3</v>
      </c>
      <c r="K146" s="831">
        <f t="shared" si="83"/>
        <v>2.0000000000000282E-3</v>
      </c>
      <c r="L146" s="831">
        <f t="shared" si="83"/>
        <v>4.0000000000000565E-3</v>
      </c>
      <c r="M146" s="831">
        <f t="shared" si="83"/>
        <v>2.0000000000000282E-3</v>
      </c>
      <c r="N146" s="831">
        <f t="shared" si="83"/>
        <v>9.9999999999994321E-4</v>
      </c>
    </row>
    <row r="147" spans="2:27">
      <c r="B147" s="834">
        <v>2014</v>
      </c>
      <c r="C147" s="831">
        <f t="shared" ref="C147:N155" si="84">SUMIFS($C$57:$DV$57,$C$48:$DV$48,C$66,$C$49:$DV$49,$B147)/100</f>
        <v>1.7271156837857405E-3</v>
      </c>
      <c r="D147" s="831">
        <f t="shared" si="84"/>
        <v>9.1485995885399515E-3</v>
      </c>
      <c r="E147" s="831">
        <f t="shared" si="84"/>
        <v>2.3364716116772967E-2</v>
      </c>
      <c r="F147" s="831">
        <f t="shared" si="84"/>
        <v>5.7598469517469365E-2</v>
      </c>
      <c r="G147" s="831">
        <f t="shared" si="84"/>
        <v>3.0797436658682783E-2</v>
      </c>
      <c r="H147" s="831">
        <f t="shared" si="84"/>
        <v>2.538322869229475E-2</v>
      </c>
      <c r="I147" s="831">
        <f t="shared" si="84"/>
        <v>1.2484710331698352E-2</v>
      </c>
      <c r="J147" s="831">
        <f t="shared" si="84"/>
        <v>1.4735693522659687E-2</v>
      </c>
      <c r="K147" s="831">
        <f t="shared" si="84"/>
        <v>1.9963383592516381E-2</v>
      </c>
      <c r="L147" s="831">
        <f t="shared" si="84"/>
        <v>1.9866580412794262E-2</v>
      </c>
      <c r="M147" s="831">
        <f t="shared" si="84"/>
        <v>2.417992738141379E-2</v>
      </c>
      <c r="N147" s="831">
        <f t="shared" si="84"/>
        <v>2.7000000000000027E-2</v>
      </c>
    </row>
    <row r="148" spans="2:27">
      <c r="B148" s="834">
        <v>2015</v>
      </c>
      <c r="C148" s="831">
        <f t="shared" si="84"/>
        <v>3.046689900424383E-2</v>
      </c>
      <c r="D148" s="831">
        <f t="shared" si="84"/>
        <v>4.4687746360180684E-2</v>
      </c>
      <c r="E148" s="831">
        <f t="shared" si="84"/>
        <v>9.6509840380418127E-2</v>
      </c>
      <c r="F148" s="831">
        <f t="shared" si="84"/>
        <v>3.9583547953708942E-2</v>
      </c>
      <c r="G148" s="831">
        <f t="shared" si="84"/>
        <v>1.4462208756694395E-2</v>
      </c>
      <c r="H148" s="831">
        <f t="shared" si="84"/>
        <v>-5.6273607345914912E-4</v>
      </c>
      <c r="I148" s="831">
        <f t="shared" si="84"/>
        <v>6.2228474102794E-3</v>
      </c>
      <c r="J148" s="831">
        <f t="shared" si="84"/>
        <v>4.0608071198704465E-3</v>
      </c>
      <c r="K148" s="831">
        <f t="shared" si="84"/>
        <v>5.0000000000000001E-3</v>
      </c>
      <c r="L148" s="831">
        <f t="shared" si="84"/>
        <v>5.0000000000000001E-3</v>
      </c>
      <c r="M148" s="831">
        <f t="shared" si="84"/>
        <v>5.9999999999999429E-3</v>
      </c>
      <c r="N148" s="831">
        <f t="shared" si="84"/>
        <v>1.0999999999999944E-2</v>
      </c>
    </row>
    <row r="149" spans="2:27">
      <c r="B149" s="834">
        <v>2016</v>
      </c>
      <c r="C149" s="831">
        <f t="shared" si="84"/>
        <v>1.2000000000000028E-2</v>
      </c>
      <c r="D149" s="831">
        <f t="shared" si="84"/>
        <v>1.5999999999999945E-2</v>
      </c>
      <c r="E149" s="831">
        <f t="shared" si="84"/>
        <v>0.01</v>
      </c>
      <c r="F149" s="831">
        <f t="shared" si="84"/>
        <v>6.9999999999999993E-3</v>
      </c>
      <c r="G149" s="831">
        <f t="shared" si="84"/>
        <v>6.0000000000000001E-3</v>
      </c>
      <c r="H149" s="831">
        <f t="shared" si="84"/>
        <v>2.9999999999999714E-3</v>
      </c>
      <c r="I149" s="831">
        <f t="shared" si="84"/>
        <v>2E-3</v>
      </c>
      <c r="J149" s="831">
        <f t="shared" si="84"/>
        <v>3.0000000000000001E-3</v>
      </c>
      <c r="K149" s="831">
        <f t="shared" si="84"/>
        <v>6.0000000000000001E-3</v>
      </c>
      <c r="L149" s="831">
        <f t="shared" si="84"/>
        <v>5.0000000000000001E-3</v>
      </c>
      <c r="M149" s="831">
        <f t="shared" si="84"/>
        <v>3.0000000000000001E-3</v>
      </c>
      <c r="N149" s="831">
        <f t="shared" si="84"/>
        <v>2E-3</v>
      </c>
    </row>
    <row r="150" spans="2:27">
      <c r="B150" s="834">
        <v>2017</v>
      </c>
      <c r="C150" s="831">
        <f t="shared" si="84"/>
        <v>6.0000000000000001E-3</v>
      </c>
      <c r="D150" s="831">
        <f t="shared" si="84"/>
        <v>8.0000000000000002E-3</v>
      </c>
      <c r="E150" s="831">
        <f t="shared" si="84"/>
        <v>4.0000000000000001E-3</v>
      </c>
      <c r="F150" s="831">
        <f t="shared" si="84"/>
        <v>5.0000000000000001E-3</v>
      </c>
      <c r="G150" s="831">
        <f t="shared" si="84"/>
        <v>6.9999999999999993E-3</v>
      </c>
      <c r="H150" s="831">
        <f t="shared" si="84"/>
        <v>5.0000000000000001E-3</v>
      </c>
      <c r="I150" s="831">
        <f t="shared" si="84"/>
        <v>5.0000000000000001E-3</v>
      </c>
      <c r="J150" s="831">
        <f t="shared" si="84"/>
        <v>2E-3</v>
      </c>
      <c r="K150" s="831">
        <f t="shared" si="84"/>
        <v>5.0000000000000001E-3</v>
      </c>
      <c r="L150" s="831">
        <f t="shared" si="84"/>
        <v>0.01</v>
      </c>
      <c r="M150" s="831">
        <f t="shared" si="84"/>
        <v>8.0000000000000002E-3</v>
      </c>
      <c r="N150" s="831">
        <f t="shared" si="84"/>
        <v>8.0000000000000002E-3</v>
      </c>
    </row>
    <row r="151" spans="2:27">
      <c r="B151" s="834">
        <v>2018</v>
      </c>
      <c r="C151" s="831">
        <f t="shared" si="84"/>
        <v>1.3999999999999999E-2</v>
      </c>
      <c r="D151" s="831">
        <f t="shared" si="84"/>
        <v>1.1000000000000001E-2</v>
      </c>
      <c r="E151" s="831">
        <f t="shared" si="84"/>
        <v>8.0000000000000002E-3</v>
      </c>
      <c r="F151" s="831">
        <f t="shared" si="84"/>
        <v>6.0000000000000001E-3</v>
      </c>
      <c r="G151" s="831">
        <f t="shared" si="84"/>
        <v>6.0000000000000001E-3</v>
      </c>
      <c r="H151" s="831">
        <f t="shared" si="84"/>
        <v>1E-3</v>
      </c>
      <c r="I151" s="831">
        <f t="shared" si="84"/>
        <v>0</v>
      </c>
      <c r="J151" s="831">
        <f t="shared" si="84"/>
        <v>1E-3</v>
      </c>
      <c r="K151" s="831">
        <f t="shared" si="84"/>
        <v>1.3000000000000001E-2</v>
      </c>
      <c r="L151" s="831">
        <f t="shared" si="84"/>
        <v>9.0000000000000011E-3</v>
      </c>
      <c r="M151" s="831">
        <f t="shared" si="84"/>
        <v>9.0000000000000011E-3</v>
      </c>
      <c r="N151" s="831">
        <f t="shared" si="84"/>
        <v>8.0000000000000002E-3</v>
      </c>
    </row>
    <row r="152" spans="2:27">
      <c r="B152" s="834">
        <v>2019</v>
      </c>
      <c r="C152" s="831">
        <f t="shared" si="84"/>
        <v>9.0000000000000011E-3</v>
      </c>
      <c r="D152" s="831">
        <f t="shared" si="84"/>
        <v>6.0000000000000001E-3</v>
      </c>
      <c r="E152" s="831">
        <f t="shared" si="84"/>
        <v>4.0000000000000001E-3</v>
      </c>
      <c r="F152" s="831">
        <f t="shared" si="84"/>
        <v>6.0000000000000001E-3</v>
      </c>
      <c r="G152" s="831">
        <f t="shared" si="84"/>
        <v>3.0000000000000001E-3</v>
      </c>
      <c r="H152" s="831">
        <f t="shared" si="84"/>
        <v>4.0000000000000001E-3</v>
      </c>
      <c r="I152" s="831">
        <f t="shared" si="84"/>
        <v>1E-3</v>
      </c>
      <c r="J152" s="831">
        <f t="shared" si="84"/>
        <v>0</v>
      </c>
      <c r="K152" s="831">
        <f t="shared" si="84"/>
        <v>1E-3</v>
      </c>
      <c r="L152" s="831">
        <f t="shared" si="84"/>
        <v>3.0000000000000001E-3</v>
      </c>
      <c r="M152" s="831">
        <f t="shared" si="84"/>
        <v>3.0000000000000001E-3</v>
      </c>
      <c r="N152" s="831">
        <f t="shared" si="84"/>
        <v>-3.0000000000000001E-3</v>
      </c>
    </row>
    <row r="153" spans="2:27">
      <c r="B153" s="834">
        <v>2020</v>
      </c>
      <c r="C153" s="831">
        <f t="shared" si="84"/>
        <v>0</v>
      </c>
      <c r="D153" s="831">
        <f t="shared" si="84"/>
        <v>5.0000000000000001E-3</v>
      </c>
      <c r="E153" s="831">
        <f t="shared" si="84"/>
        <v>1.3999999999999999E-2</v>
      </c>
      <c r="F153" s="831">
        <f t="shared" si="84"/>
        <v>2.1000000000000001E-2</v>
      </c>
      <c r="G153" s="831">
        <f t="shared" si="84"/>
        <v>3.0000000000000001E-3</v>
      </c>
      <c r="H153" s="831">
        <f t="shared" si="84"/>
        <v>1E-3</v>
      </c>
      <c r="I153" s="831">
        <f t="shared" si="84"/>
        <v>3.0000000000000001E-3</v>
      </c>
      <c r="J153" s="831">
        <f t="shared" si="84"/>
        <v>9.0000000000000011E-3</v>
      </c>
      <c r="K153" s="831">
        <f t="shared" si="84"/>
        <v>4.0000000000000001E-3</v>
      </c>
      <c r="L153" s="831">
        <f t="shared" si="84"/>
        <v>4.0000000000000001E-3</v>
      </c>
      <c r="M153" s="831">
        <f t="shared" si="84"/>
        <v>6.9999999999999993E-3</v>
      </c>
      <c r="N153" s="831">
        <f t="shared" si="84"/>
        <v>4.0000000000000001E-3</v>
      </c>
    </row>
    <row r="154" spans="2:27">
      <c r="B154" s="834">
        <v>2021</v>
      </c>
      <c r="C154" s="831">
        <f t="shared" si="84"/>
        <v>4.0000000000000001E-3</v>
      </c>
      <c r="D154" s="831">
        <f t="shared" si="84"/>
        <v>5.0000000000000001E-3</v>
      </c>
      <c r="E154" s="831">
        <f t="shared" si="84"/>
        <v>6.9999999999999993E-3</v>
      </c>
      <c r="F154" s="831">
        <f t="shared" si="84"/>
        <v>9.0000000000000011E-3</v>
      </c>
      <c r="G154" s="831">
        <f t="shared" si="84"/>
        <v>5.0000000000000001E-3</v>
      </c>
      <c r="H154" s="831">
        <f t="shared" si="84"/>
        <v>4.0000000000000001E-3</v>
      </c>
      <c r="I154" s="831">
        <f t="shared" si="84"/>
        <v>1E-3</v>
      </c>
      <c r="J154" s="831">
        <f t="shared" si="84"/>
        <v>0</v>
      </c>
      <c r="K154" s="831">
        <f t="shared" si="84"/>
        <v>4.0000000000000001E-3</v>
      </c>
      <c r="L154" s="831">
        <f t="shared" si="84"/>
        <v>0.01</v>
      </c>
      <c r="M154" s="831">
        <f t="shared" si="84"/>
        <v>6.0000000000000001E-3</v>
      </c>
      <c r="N154" s="831">
        <f t="shared" si="84"/>
        <v>4.0000000000000001E-3</v>
      </c>
    </row>
    <row r="155" spans="2:27">
      <c r="B155" s="834">
        <v>2022</v>
      </c>
      <c r="C155" s="831">
        <f t="shared" si="84"/>
        <v>5.0000000000000001E-3</v>
      </c>
      <c r="D155" s="831">
        <f t="shared" si="84"/>
        <v>1.2E-2</v>
      </c>
      <c r="E155" s="831">
        <f t="shared" si="84"/>
        <v>5.5999999999999994E-2</v>
      </c>
      <c r="F155" s="831">
        <f t="shared" si="84"/>
        <v>3.2000000000000001E-2</v>
      </c>
      <c r="G155" s="831">
        <f t="shared" si="84"/>
        <v>-9.0000000000000011E-3</v>
      </c>
      <c r="H155" s="831">
        <f t="shared" si="84"/>
        <v>5.0000000000000001E-3</v>
      </c>
      <c r="I155" s="831">
        <f t="shared" si="84"/>
        <v>5.0000000000000001E-3</v>
      </c>
      <c r="J155" s="831">
        <f t="shared" si="84"/>
        <v>2.8999999999999998E-2</v>
      </c>
      <c r="K155" s="831">
        <f t="shared" si="84"/>
        <v>1.8080000000000068E-2</v>
      </c>
      <c r="L155" s="831">
        <f t="shared" si="84"/>
        <v>1.2E-2</v>
      </c>
      <c r="M155" s="831">
        <f t="shared" si="84"/>
        <v>0.01</v>
      </c>
      <c r="N155" s="831">
        <f t="shared" si="84"/>
        <v>9.0000000000000011E-3</v>
      </c>
    </row>
    <row r="156" spans="2:27" ht="18">
      <c r="B156" s="833">
        <v>2023</v>
      </c>
      <c r="C156" s="831">
        <f>SUMIFS($C$57:$ED$57,$C$48:$ED$48,C$66,$C$49:$ED$49,$B156)/100</f>
        <v>1.2E-2</v>
      </c>
      <c r="D156" s="831">
        <f t="shared" ref="D156:M156" si="85">SUMIFS($C$57:$ED$57,$C$48:$ED$48,D$66,$C$49:$ED$49,$B156)/100</f>
        <v>8.0000000000000002E-3</v>
      </c>
      <c r="E156" s="831">
        <f t="shared" si="85"/>
        <v>6.0000000000000001E-3</v>
      </c>
      <c r="F156" s="831">
        <f t="shared" si="85"/>
        <v>0.01</v>
      </c>
      <c r="G156" s="831">
        <f t="shared" si="85"/>
        <v>8.0000000000000002E-3</v>
      </c>
      <c r="H156" s="831">
        <f t="shared" si="85"/>
        <v>3.0000000000000001E-3</v>
      </c>
      <c r="I156" s="831">
        <f t="shared" si="85"/>
        <v>4.0000000000000001E-3</v>
      </c>
      <c r="J156" s="831">
        <f t="shared" si="85"/>
        <v>6.0000000000000001E-3</v>
      </c>
      <c r="K156" s="831">
        <f t="shared" si="85"/>
        <v>7.0000000000000288E-3</v>
      </c>
      <c r="L156" s="831">
        <f t="shared" si="85"/>
        <v>4.0000000000000001E-3</v>
      </c>
      <c r="M156" s="831">
        <f t="shared" si="85"/>
        <v>6.0000000000000001E-3</v>
      </c>
      <c r="N156" s="549">
        <f>AVERAGE(N152:N154)</f>
        <v>1.6666666666666668E-3</v>
      </c>
    </row>
    <row r="157" spans="2:27">
      <c r="C157" s="872">
        <f t="shared" ref="C157:J157" si="86">C156/C155</f>
        <v>2.4</v>
      </c>
      <c r="D157" s="872">
        <f t="shared" si="86"/>
        <v>0.66666666666666663</v>
      </c>
      <c r="E157" s="872">
        <f t="shared" si="86"/>
        <v>0.10714285714285715</v>
      </c>
      <c r="F157" s="872">
        <f t="shared" si="86"/>
        <v>0.3125</v>
      </c>
      <c r="G157" s="872">
        <f t="shared" si="86"/>
        <v>-0.88888888888888884</v>
      </c>
      <c r="H157" s="872">
        <f t="shared" si="86"/>
        <v>0.6</v>
      </c>
      <c r="I157" s="872">
        <f t="shared" si="86"/>
        <v>0.8</v>
      </c>
      <c r="J157" s="872">
        <f t="shared" si="86"/>
        <v>0.20689655172413796</v>
      </c>
    </row>
    <row r="159" spans="2:27" ht="15.75">
      <c r="B159" s="821" t="s">
        <v>1931</v>
      </c>
      <c r="C159" s="832">
        <v>1</v>
      </c>
      <c r="D159" s="832">
        <v>2</v>
      </c>
      <c r="E159" s="832">
        <v>3</v>
      </c>
      <c r="F159" s="832">
        <v>4</v>
      </c>
      <c r="G159" s="832">
        <v>5</v>
      </c>
      <c r="H159" s="832">
        <v>6</v>
      </c>
      <c r="I159" s="832">
        <v>7</v>
      </c>
      <c r="J159" s="832">
        <v>8</v>
      </c>
      <c r="K159" s="832">
        <v>9</v>
      </c>
      <c r="L159" s="832">
        <v>10</v>
      </c>
      <c r="M159" s="832">
        <v>11</v>
      </c>
      <c r="N159" s="832">
        <v>12</v>
      </c>
      <c r="P159" s="832">
        <v>1</v>
      </c>
      <c r="Q159" s="832">
        <v>2</v>
      </c>
      <c r="R159" s="832">
        <v>3</v>
      </c>
      <c r="S159" s="832">
        <v>4</v>
      </c>
      <c r="T159" s="832">
        <v>5</v>
      </c>
      <c r="U159" s="832">
        <v>6</v>
      </c>
      <c r="V159" s="832">
        <v>7</v>
      </c>
      <c r="W159" s="832">
        <v>8</v>
      </c>
      <c r="X159" s="832">
        <v>9</v>
      </c>
      <c r="Y159" s="832">
        <v>10</v>
      </c>
      <c r="Z159" s="832">
        <v>11</v>
      </c>
      <c r="AA159" s="832">
        <v>12</v>
      </c>
    </row>
    <row r="160" spans="2:27">
      <c r="B160" s="834">
        <v>2013</v>
      </c>
      <c r="C160" s="881"/>
      <c r="D160" s="831">
        <f>Q160/P160-1</f>
        <v>3.1386646924869144E-2</v>
      </c>
      <c r="E160" s="831">
        <f t="shared" ref="E160:N161" si="87">R160/Q160-1</f>
        <v>-6.2474521432035024E-2</v>
      </c>
      <c r="F160" s="831">
        <f t="shared" si="87"/>
        <v>-5.8262041876098403E-2</v>
      </c>
      <c r="G160" s="831">
        <f t="shared" si="87"/>
        <v>1.4726736999937096E-3</v>
      </c>
      <c r="H160" s="831">
        <f t="shared" si="87"/>
        <v>8.060364109025997E-4</v>
      </c>
      <c r="I160" s="831">
        <f t="shared" si="87"/>
        <v>4.4671583323848463E-2</v>
      </c>
      <c r="J160" s="831">
        <f t="shared" si="87"/>
        <v>3.0157598459125134E-2</v>
      </c>
      <c r="K160" s="831">
        <f t="shared" si="87"/>
        <v>5.9197567492681458E-3</v>
      </c>
      <c r="L160" s="831">
        <f t="shared" si="87"/>
        <v>-1.9196429813508664E-2</v>
      </c>
      <c r="M160" s="831">
        <f t="shared" si="87"/>
        <v>-1.2810758911851683E-2</v>
      </c>
      <c r="N160" s="831">
        <f t="shared" si="87"/>
        <v>2.4036834684530328E-2</v>
      </c>
      <c r="P160" s="879">
        <v>112.973636363636</v>
      </c>
      <c r="Q160" s="879">
        <v>116.51949999999999</v>
      </c>
      <c r="R160" s="879">
        <v>109.24</v>
      </c>
      <c r="S160" s="879">
        <v>102.875454545455</v>
      </c>
      <c r="T160" s="879">
        <v>103.026956521739</v>
      </c>
      <c r="U160" s="879">
        <v>103.11</v>
      </c>
      <c r="V160" s="879">
        <v>107.71608695652201</v>
      </c>
      <c r="W160" s="879">
        <v>110.964545454545</v>
      </c>
      <c r="X160" s="879">
        <v>111.62142857142901</v>
      </c>
      <c r="Y160" s="879">
        <v>109.478695652174</v>
      </c>
      <c r="Z160" s="879">
        <v>108.07619047619001</v>
      </c>
      <c r="AA160" s="879">
        <v>110.67400000000001</v>
      </c>
    </row>
    <row r="161" spans="2:27">
      <c r="B161" s="834">
        <v>2014</v>
      </c>
      <c r="C161" s="831">
        <f>P161/AA160-1</f>
        <v>-2.940166615465245E-2</v>
      </c>
      <c r="D161" s="831">
        <f>Q161/P161-1</f>
        <v>1.2939862223049658E-2</v>
      </c>
      <c r="E161" s="831">
        <f t="shared" si="87"/>
        <v>-1.2958367797077486E-2</v>
      </c>
      <c r="F161" s="831">
        <f t="shared" si="87"/>
        <v>3.6312849162010163E-3</v>
      </c>
      <c r="G161" s="831">
        <f t="shared" si="87"/>
        <v>1.7534094071806283E-2</v>
      </c>
      <c r="H161" s="831">
        <f t="shared" si="87"/>
        <v>1.9967177242888434E-2</v>
      </c>
      <c r="I161" s="831">
        <f t="shared" si="87"/>
        <v>-4.371145079109684E-2</v>
      </c>
      <c r="J161" s="831">
        <f t="shared" si="87"/>
        <v>-4.7298560478594154E-2</v>
      </c>
      <c r="K161" s="831">
        <f t="shared" si="87"/>
        <v>-4.4937205651491396E-2</v>
      </c>
      <c r="L161" s="831">
        <f t="shared" si="87"/>
        <v>-0.10345181836860495</v>
      </c>
      <c r="M161" s="831">
        <f t="shared" si="87"/>
        <v>-0.10118024521599633</v>
      </c>
      <c r="N161" s="831">
        <f t="shared" si="87"/>
        <v>-0.20537990821009688</v>
      </c>
      <c r="P161" s="879">
        <v>107.42</v>
      </c>
      <c r="Q161" s="879">
        <v>108.81</v>
      </c>
      <c r="R161" s="879">
        <v>107.4</v>
      </c>
      <c r="S161" s="879">
        <v>107.79</v>
      </c>
      <c r="T161" s="879">
        <v>109.68</v>
      </c>
      <c r="U161" s="879">
        <v>111.87</v>
      </c>
      <c r="V161" s="879">
        <v>106.98</v>
      </c>
      <c r="W161" s="879">
        <v>101.92</v>
      </c>
      <c r="X161" s="879">
        <v>97.34</v>
      </c>
      <c r="Y161" s="879">
        <v>87.27</v>
      </c>
      <c r="Z161" s="879">
        <v>78.44</v>
      </c>
      <c r="AA161" s="879">
        <v>62.33</v>
      </c>
    </row>
    <row r="162" spans="2:27">
      <c r="B162" s="834">
        <v>2015</v>
      </c>
      <c r="C162" s="831">
        <f t="shared" ref="C162:C170" si="88">P162/AA161-1</f>
        <v>-0.22878228782287824</v>
      </c>
      <c r="D162" s="831">
        <f t="shared" ref="D162:D170" si="89">Q162/P162-1</f>
        <v>0.20511753692531731</v>
      </c>
      <c r="E162" s="831">
        <f t="shared" ref="E162:E170" si="90">R162/Q162-1</f>
        <v>-3.6941135853616469E-2</v>
      </c>
      <c r="F162" s="831">
        <f t="shared" ref="F162:F170" si="91">S162/R162-1</f>
        <v>6.4527693134970532E-2</v>
      </c>
      <c r="G162" s="831">
        <f t="shared" ref="G162:G170" si="92">T162/S162-1</f>
        <v>8.7051692204074715E-2</v>
      </c>
      <c r="H162" s="831">
        <f t="shared" ref="H162:H170" si="93">U162/T162-1</f>
        <v>-3.4386617100371719E-2</v>
      </c>
      <c r="I162" s="831">
        <f t="shared" ref="I162:I170" si="94">V162/U162-1</f>
        <v>-0.10378569136990701</v>
      </c>
      <c r="J162" s="831">
        <f t="shared" ref="J162:J169" si="95">W162/V162-1</f>
        <v>-0.1589403973509933</v>
      </c>
      <c r="K162" s="831">
        <f t="shared" ref="K162:K169" si="96">X162/W162-1</f>
        <v>5.3202809108321425E-3</v>
      </c>
      <c r="L162" s="831">
        <f t="shared" ref="L162:L169" si="97">Y162/X162-1</f>
        <v>1.8628281117696766E-2</v>
      </c>
      <c r="M162" s="831">
        <f t="shared" ref="M162:M169" si="98">Z162/Y162-1</f>
        <v>-7.6891105569409701E-2</v>
      </c>
      <c r="N162" s="831">
        <f t="shared" ref="N162:N169" si="99">AA162/Z162-1</f>
        <v>-0.15083295812696984</v>
      </c>
      <c r="P162" s="879">
        <v>48.07</v>
      </c>
      <c r="Q162" s="879">
        <v>57.93</v>
      </c>
      <c r="R162" s="879">
        <v>55.79</v>
      </c>
      <c r="S162" s="879">
        <v>59.39</v>
      </c>
      <c r="T162" s="879">
        <v>64.56</v>
      </c>
      <c r="U162" s="879">
        <v>62.34</v>
      </c>
      <c r="V162" s="879">
        <v>55.87</v>
      </c>
      <c r="W162" s="879">
        <v>46.99</v>
      </c>
      <c r="X162" s="879">
        <v>47.24</v>
      </c>
      <c r="Y162" s="879">
        <v>48.12</v>
      </c>
      <c r="Z162" s="879">
        <v>44.42</v>
      </c>
      <c r="AA162" s="879">
        <v>37.72</v>
      </c>
    </row>
    <row r="163" spans="2:27">
      <c r="B163" s="834">
        <v>2016</v>
      </c>
      <c r="C163" s="831">
        <f t="shared" si="88"/>
        <v>-0.18345705196182394</v>
      </c>
      <c r="D163" s="831">
        <f t="shared" si="89"/>
        <v>7.7922077922077948E-2</v>
      </c>
      <c r="E163" s="831">
        <f t="shared" si="90"/>
        <v>0.17680722891566258</v>
      </c>
      <c r="F163" s="831">
        <f t="shared" si="91"/>
        <v>8.139237266444832E-2</v>
      </c>
      <c r="G163" s="831">
        <f t="shared" si="92"/>
        <v>0.11550295857988169</v>
      </c>
      <c r="H163" s="831">
        <f t="shared" si="93"/>
        <v>2.8644175684277462E-2</v>
      </c>
      <c r="I163" s="831">
        <f t="shared" si="94"/>
        <v>-7.0338283828382808E-2</v>
      </c>
      <c r="J163" s="831">
        <f t="shared" si="95"/>
        <v>2.3740847570445922E-2</v>
      </c>
      <c r="K163" s="831">
        <f t="shared" si="96"/>
        <v>1.0836584308624442E-3</v>
      </c>
      <c r="L163" s="831">
        <f t="shared" si="97"/>
        <v>7.6639965360467688E-2</v>
      </c>
      <c r="M163" s="831">
        <f t="shared" si="98"/>
        <v>-6.6157249145385122E-2</v>
      </c>
      <c r="N163" s="831">
        <f t="shared" si="99"/>
        <v>0.16429801894918183</v>
      </c>
      <c r="P163" s="879">
        <v>30.8</v>
      </c>
      <c r="Q163" s="879">
        <v>33.200000000000003</v>
      </c>
      <c r="R163" s="879">
        <v>39.07</v>
      </c>
      <c r="S163" s="879">
        <v>42.25</v>
      </c>
      <c r="T163" s="879">
        <v>47.13</v>
      </c>
      <c r="U163" s="879">
        <v>48.48</v>
      </c>
      <c r="V163" s="879">
        <v>45.07</v>
      </c>
      <c r="W163" s="879">
        <v>46.14</v>
      </c>
      <c r="X163" s="879">
        <v>46.19</v>
      </c>
      <c r="Y163" s="879">
        <v>49.73</v>
      </c>
      <c r="Z163" s="879">
        <v>46.44</v>
      </c>
      <c r="AA163" s="879">
        <v>54.07</v>
      </c>
    </row>
    <row r="164" spans="2:27">
      <c r="B164" s="834">
        <v>2017</v>
      </c>
      <c r="C164" s="831">
        <f t="shared" si="88"/>
        <v>1.5165526169779842E-2</v>
      </c>
      <c r="D164" s="831">
        <f t="shared" si="89"/>
        <v>1.0930952814720341E-2</v>
      </c>
      <c r="E164" s="831">
        <f t="shared" si="90"/>
        <v>-6.3434853126689505E-2</v>
      </c>
      <c r="F164" s="831">
        <f t="shared" si="91"/>
        <v>1.9434289012892014E-2</v>
      </c>
      <c r="G164" s="831">
        <f t="shared" si="92"/>
        <v>-3.9826349565873942E-2</v>
      </c>
      <c r="H164" s="831">
        <f t="shared" si="93"/>
        <v>-7.8238647532926975E-2</v>
      </c>
      <c r="I164" s="831">
        <f t="shared" si="94"/>
        <v>3.8387715930902067E-2</v>
      </c>
      <c r="J164" s="831">
        <f t="shared" si="95"/>
        <v>5.5042103101252904E-2</v>
      </c>
      <c r="K164" s="831">
        <f t="shared" si="96"/>
        <v>7.3778469924080214E-2</v>
      </c>
      <c r="L164" s="831">
        <f t="shared" si="97"/>
        <v>4.4597534445250275E-2</v>
      </c>
      <c r="M164" s="831">
        <f t="shared" si="98"/>
        <v>8.5907670947587667E-2</v>
      </c>
      <c r="N164" s="831">
        <f t="shared" si="99"/>
        <v>2.6210644078631828E-2</v>
      </c>
      <c r="P164" s="879">
        <v>54.89</v>
      </c>
      <c r="Q164" s="879">
        <v>55.49</v>
      </c>
      <c r="R164" s="879">
        <v>51.97</v>
      </c>
      <c r="S164" s="879">
        <v>52.98</v>
      </c>
      <c r="T164" s="879">
        <v>50.87</v>
      </c>
      <c r="U164" s="879">
        <v>46.89</v>
      </c>
      <c r="V164" s="879">
        <v>48.69</v>
      </c>
      <c r="W164" s="879">
        <v>51.37</v>
      </c>
      <c r="X164" s="879">
        <v>55.16</v>
      </c>
      <c r="Y164" s="879">
        <v>57.62</v>
      </c>
      <c r="Z164" s="879">
        <v>62.57</v>
      </c>
      <c r="AA164" s="879">
        <v>64.209999999999994</v>
      </c>
    </row>
    <row r="165" spans="2:27">
      <c r="B165" s="834">
        <v>2018</v>
      </c>
      <c r="C165" s="831">
        <f t="shared" si="88"/>
        <v>7.537766703005766E-2</v>
      </c>
      <c r="D165" s="831">
        <f t="shared" si="89"/>
        <v>-4.7356987690079566E-2</v>
      </c>
      <c r="E165" s="831">
        <f t="shared" si="90"/>
        <v>6.8257829127394309E-2</v>
      </c>
      <c r="F165" s="831">
        <f t="shared" si="91"/>
        <v>6.9731037427067211E-2</v>
      </c>
      <c r="G165" s="831">
        <f t="shared" si="92"/>
        <v>3.2193694292935948E-2</v>
      </c>
      <c r="H165" s="831">
        <f t="shared" si="93"/>
        <v>2.3843278773037602E-2</v>
      </c>
      <c r="I165" s="831">
        <f t="shared" si="94"/>
        <v>-6.5332326283987885E-2</v>
      </c>
      <c r="J165" s="831">
        <f t="shared" si="95"/>
        <v>4.2693602693602672E-2</v>
      </c>
      <c r="K165" s="831">
        <f t="shared" si="96"/>
        <v>6.8457762851976245E-2</v>
      </c>
      <c r="L165" s="831">
        <f t="shared" si="97"/>
        <v>-8.7645067698259194E-2</v>
      </c>
      <c r="M165" s="831">
        <f t="shared" si="98"/>
        <v>-0.22207499668742547</v>
      </c>
      <c r="N165" s="831">
        <f t="shared" si="99"/>
        <v>-8.3631408618634051E-2</v>
      </c>
      <c r="P165" s="879">
        <v>69.05</v>
      </c>
      <c r="Q165" s="879">
        <v>65.78</v>
      </c>
      <c r="R165" s="879">
        <v>70.27</v>
      </c>
      <c r="S165" s="879">
        <v>75.17</v>
      </c>
      <c r="T165" s="879">
        <v>77.59</v>
      </c>
      <c r="U165" s="879">
        <v>79.44</v>
      </c>
      <c r="V165" s="879">
        <v>74.25</v>
      </c>
      <c r="W165" s="879">
        <v>77.42</v>
      </c>
      <c r="X165" s="879">
        <v>82.72</v>
      </c>
      <c r="Y165" s="879">
        <v>75.47</v>
      </c>
      <c r="Z165" s="879">
        <v>58.71</v>
      </c>
      <c r="AA165" s="879">
        <v>53.8</v>
      </c>
    </row>
    <row r="166" spans="2:27">
      <c r="B166" s="834">
        <v>2019</v>
      </c>
      <c r="C166" s="831">
        <f t="shared" si="88"/>
        <v>0.15037174721189595</v>
      </c>
      <c r="D166" s="831">
        <f t="shared" si="89"/>
        <v>6.6892874454677731E-2</v>
      </c>
      <c r="E166" s="831">
        <f t="shared" si="90"/>
        <v>3.574132969862176E-2</v>
      </c>
      <c r="F166" s="831">
        <f t="shared" si="91"/>
        <v>6.448311156601827E-2</v>
      </c>
      <c r="G166" s="831">
        <f t="shared" si="92"/>
        <v>-0.11414835164835169</v>
      </c>
      <c r="H166" s="831">
        <f t="shared" si="93"/>
        <v>3.1942936889440166E-2</v>
      </c>
      <c r="I166" s="831">
        <f t="shared" si="94"/>
        <v>-2.0736288504883515E-2</v>
      </c>
      <c r="J166" s="831">
        <f t="shared" si="95"/>
        <v>-7.2732852539512116E-2</v>
      </c>
      <c r="K166" s="831">
        <f t="shared" si="96"/>
        <v>5.7918252523581071E-3</v>
      </c>
      <c r="L166" s="831">
        <f t="shared" si="97"/>
        <v>-9.049029285949417E-3</v>
      </c>
      <c r="M166" s="831">
        <f t="shared" si="98"/>
        <v>3.6526647849908667E-2</v>
      </c>
      <c r="N166" s="831">
        <f t="shared" si="99"/>
        <v>5.7184046131667499E-2</v>
      </c>
      <c r="P166" s="879">
        <v>61.89</v>
      </c>
      <c r="Q166" s="879">
        <v>66.03</v>
      </c>
      <c r="R166" s="879">
        <v>68.39</v>
      </c>
      <c r="S166" s="879">
        <v>72.8</v>
      </c>
      <c r="T166" s="879">
        <v>64.489999999999995</v>
      </c>
      <c r="U166" s="879">
        <v>66.55</v>
      </c>
      <c r="V166" s="879">
        <v>65.17</v>
      </c>
      <c r="W166" s="879">
        <v>60.43</v>
      </c>
      <c r="X166" s="879">
        <v>60.78</v>
      </c>
      <c r="Y166" s="879">
        <v>60.23</v>
      </c>
      <c r="Z166" s="879">
        <v>62.43</v>
      </c>
      <c r="AA166" s="879">
        <v>66</v>
      </c>
    </row>
    <row r="167" spans="2:27">
      <c r="B167" s="834">
        <v>2020</v>
      </c>
      <c r="C167" s="831">
        <f t="shared" si="88"/>
        <v>-0.11878787878787889</v>
      </c>
      <c r="D167" s="831">
        <f t="shared" si="89"/>
        <v>-0.13136176066024752</v>
      </c>
      <c r="E167" s="831">
        <f t="shared" si="90"/>
        <v>-0.54988123515439435</v>
      </c>
      <c r="F167" s="831">
        <f t="shared" si="91"/>
        <v>0.11125769569041344</v>
      </c>
      <c r="G167" s="831">
        <f t="shared" si="92"/>
        <v>0.39810051444400463</v>
      </c>
      <c r="H167" s="831">
        <f t="shared" si="93"/>
        <v>0.16473252193603161</v>
      </c>
      <c r="I167" s="831">
        <f t="shared" si="94"/>
        <v>5.2247873633049835E-2</v>
      </c>
      <c r="J167" s="831">
        <f t="shared" si="95"/>
        <v>4.5727482678983966E-2</v>
      </c>
      <c r="K167" s="831">
        <f t="shared" si="96"/>
        <v>-9.5627208480565384E-2</v>
      </c>
      <c r="L167" s="831">
        <f t="shared" si="97"/>
        <v>-8.5225885225885256E-2</v>
      </c>
      <c r="M167" s="831">
        <f t="shared" si="98"/>
        <v>0.27042178323545119</v>
      </c>
      <c r="N167" s="831">
        <f t="shared" si="99"/>
        <v>8.8463963017440417E-2</v>
      </c>
      <c r="P167" s="879">
        <v>58.16</v>
      </c>
      <c r="Q167" s="879">
        <v>50.52</v>
      </c>
      <c r="R167" s="879">
        <v>22.74</v>
      </c>
      <c r="S167" s="879">
        <v>25.27</v>
      </c>
      <c r="T167" s="879">
        <v>35.33</v>
      </c>
      <c r="U167" s="879">
        <v>41.15</v>
      </c>
      <c r="V167" s="879">
        <v>43.3</v>
      </c>
      <c r="W167" s="879">
        <v>45.28</v>
      </c>
      <c r="X167" s="879">
        <v>40.950000000000003</v>
      </c>
      <c r="Y167" s="879">
        <v>37.46</v>
      </c>
      <c r="Z167" s="879">
        <v>47.59</v>
      </c>
      <c r="AA167" s="879">
        <v>51.8</v>
      </c>
    </row>
    <row r="168" spans="2:27">
      <c r="B168" s="834">
        <v>2021</v>
      </c>
      <c r="C168" s="831">
        <f t="shared" si="88"/>
        <v>7.8764478764478785E-2</v>
      </c>
      <c r="D168" s="831">
        <f t="shared" si="89"/>
        <v>0.18342877594846074</v>
      </c>
      <c r="E168" s="831">
        <f t="shared" si="90"/>
        <v>-3.9165280508090095E-2</v>
      </c>
      <c r="F168" s="831">
        <f t="shared" si="91"/>
        <v>5.8388416745357219E-2</v>
      </c>
      <c r="G168" s="831">
        <f t="shared" si="92"/>
        <v>3.0780669144981232E-2</v>
      </c>
      <c r="H168" s="831">
        <f t="shared" si="93"/>
        <v>8.3814195037507311E-2</v>
      </c>
      <c r="I168" s="831">
        <f t="shared" si="94"/>
        <v>-9.8495940370024737E-3</v>
      </c>
      <c r="J168" s="831">
        <f t="shared" si="95"/>
        <v>-5.8744454899852139E-2</v>
      </c>
      <c r="K168" s="831">
        <f t="shared" si="96"/>
        <v>6.5409882890602677E-2</v>
      </c>
      <c r="L168" s="831">
        <f t="shared" si="97"/>
        <v>0.12131367292225215</v>
      </c>
      <c r="M168" s="831">
        <f t="shared" si="98"/>
        <v>-3.4429169157202733E-2</v>
      </c>
      <c r="N168" s="831">
        <f t="shared" si="99"/>
        <v>-7.9980190664850737E-2</v>
      </c>
      <c r="P168" s="879">
        <v>55.88</v>
      </c>
      <c r="Q168" s="879">
        <v>66.13</v>
      </c>
      <c r="R168" s="879">
        <v>63.54</v>
      </c>
      <c r="S168" s="879">
        <v>67.25</v>
      </c>
      <c r="T168" s="879">
        <v>69.319999999999993</v>
      </c>
      <c r="U168" s="879">
        <v>75.13</v>
      </c>
      <c r="V168" s="879">
        <v>74.39</v>
      </c>
      <c r="W168" s="879">
        <v>70.02</v>
      </c>
      <c r="X168" s="879">
        <v>74.599999999999994</v>
      </c>
      <c r="Y168" s="879">
        <v>83.65</v>
      </c>
      <c r="Z168" s="879">
        <v>80.77</v>
      </c>
      <c r="AA168" s="879">
        <v>74.31</v>
      </c>
    </row>
    <row r="169" spans="2:27">
      <c r="B169" s="834">
        <v>2022</v>
      </c>
      <c r="C169" s="831">
        <f t="shared" si="88"/>
        <v>0.15098909971740015</v>
      </c>
      <c r="D169" s="831">
        <f t="shared" si="89"/>
        <v>0.11960715538407585</v>
      </c>
      <c r="E169" s="831">
        <f t="shared" si="90"/>
        <v>0.20708020050125309</v>
      </c>
      <c r="F169" s="831">
        <f t="shared" si="91"/>
        <v>-8.4868933298728244E-2</v>
      </c>
      <c r="G169" s="831">
        <f t="shared" si="92"/>
        <v>6.2299111363206761E-2</v>
      </c>
      <c r="H169" s="831">
        <f t="shared" si="93"/>
        <v>6.8612619026430455E-2</v>
      </c>
      <c r="I169" s="831">
        <f t="shared" si="94"/>
        <v>-9.2938041305796082E-2</v>
      </c>
      <c r="J169" s="831">
        <f t="shared" si="95"/>
        <v>-9.4748439221447045E-2</v>
      </c>
      <c r="K169" s="831">
        <f t="shared" si="96"/>
        <v>-8.5598377281947191E-2</v>
      </c>
      <c r="L169" s="831">
        <f t="shared" si="97"/>
        <v>3.294143744454292E-2</v>
      </c>
      <c r="M169" s="831">
        <f t="shared" si="98"/>
        <v>-2.2119617738644903E-2</v>
      </c>
      <c r="N169" s="831">
        <f t="shared" si="99"/>
        <v>-0.11167233995827375</v>
      </c>
      <c r="P169" s="879">
        <v>85.53</v>
      </c>
      <c r="Q169" s="879">
        <v>95.76</v>
      </c>
      <c r="R169" s="879">
        <v>115.59</v>
      </c>
      <c r="S169" s="879">
        <v>105.78</v>
      </c>
      <c r="T169" s="879">
        <v>112.37</v>
      </c>
      <c r="U169" s="879">
        <v>120.08</v>
      </c>
      <c r="V169" s="879">
        <v>108.92</v>
      </c>
      <c r="W169" s="879">
        <v>98.6</v>
      </c>
      <c r="X169" s="879">
        <v>90.16</v>
      </c>
      <c r="Y169" s="879">
        <v>93.13</v>
      </c>
      <c r="Z169" s="879">
        <v>91.07</v>
      </c>
      <c r="AA169" s="879">
        <v>80.900000000000006</v>
      </c>
    </row>
    <row r="170" spans="2:27">
      <c r="B170" s="833">
        <v>2023</v>
      </c>
      <c r="C170" s="831">
        <f t="shared" si="88"/>
        <v>2.7070457354758881E-2</v>
      </c>
      <c r="D170" s="831">
        <f t="shared" si="89"/>
        <v>-4.5733541942473144E-3</v>
      </c>
      <c r="E170" s="831">
        <f t="shared" si="90"/>
        <v>-5.0538024422681627E-2</v>
      </c>
      <c r="F170" s="831">
        <f t="shared" si="91"/>
        <v>7.1055647523239562E-2</v>
      </c>
      <c r="G170" s="831">
        <f t="shared" si="92"/>
        <v>-9.9988110807276098E-2</v>
      </c>
      <c r="H170" s="831">
        <f t="shared" si="93"/>
        <v>-1.0700132100396331E-2</v>
      </c>
      <c r="I170" s="831">
        <f t="shared" si="94"/>
        <v>6.956870076111632E-2</v>
      </c>
      <c r="J170" s="831">
        <f>W170/V170-1</f>
        <v>7.569288389513118E-2</v>
      </c>
      <c r="K170" s="831">
        <f>X170/W170-1</f>
        <v>9.0955514548007876E-2</v>
      </c>
      <c r="L170" s="831">
        <f>Y170/X170-1</f>
        <v>-3.126595744680849E-2</v>
      </c>
      <c r="M170" s="831">
        <f>Z170/Y170-1</f>
        <v>-0.11894224750442017</v>
      </c>
      <c r="N170" s="831">
        <f>AA170/Z170-1</f>
        <v>-1.7075906768041937E-2</v>
      </c>
      <c r="P170" s="879">
        <v>83.09</v>
      </c>
      <c r="Q170" s="879">
        <v>82.71</v>
      </c>
      <c r="R170" s="879">
        <v>78.53</v>
      </c>
      <c r="S170" s="879">
        <v>84.11</v>
      </c>
      <c r="T170" s="879">
        <v>75.7</v>
      </c>
      <c r="U170" s="879">
        <v>74.89</v>
      </c>
      <c r="V170" s="879">
        <v>80.099999999999994</v>
      </c>
      <c r="W170" s="879">
        <v>86.162999999999997</v>
      </c>
      <c r="X170" s="879">
        <v>94</v>
      </c>
      <c r="Y170" s="879">
        <v>91.061000000000007</v>
      </c>
      <c r="Z170" s="879">
        <v>80.23</v>
      </c>
      <c r="AA170" s="879">
        <v>78.86</v>
      </c>
    </row>
    <row r="172" spans="2:27">
      <c r="D172" s="872">
        <f>D163+1</f>
        <v>1.0779220779220779</v>
      </c>
      <c r="E172" s="872">
        <f>(D172)*(1+E163)</f>
        <v>1.2685064935064934</v>
      </c>
      <c r="F172" s="872">
        <f>(1+F163)*(E172)</f>
        <v>1.3717532467532465</v>
      </c>
      <c r="G172" s="872">
        <f>(1+G163)*(F172)</f>
        <v>1.5301948051948049</v>
      </c>
      <c r="H172" s="872">
        <f>(1+H163)*(G172)</f>
        <v>1.5740259740259737</v>
      </c>
    </row>
    <row r="173" spans="2:27">
      <c r="D173" s="872">
        <f>E186+1</f>
        <v>1.01</v>
      </c>
      <c r="E173" s="872">
        <f>(D173)*(1+F186)</f>
        <v>1.03424</v>
      </c>
      <c r="F173" s="872">
        <f>(1+G186)*(E173)</f>
        <v>1.0631987200000002</v>
      </c>
      <c r="G173" s="872">
        <f>(1+H186)*(F173)</f>
        <v>1.0759571046400003</v>
      </c>
      <c r="H173" s="872">
        <f>(1+I186)*(G173)</f>
        <v>1.0802609330585602</v>
      </c>
    </row>
    <row r="174" spans="2:27">
      <c r="D174" s="872">
        <f>(D173-1)/(D172-1)</f>
        <v>0.12833333333333341</v>
      </c>
      <c r="E174" s="872">
        <f>(E173-1)/(E172-1)</f>
        <v>0.1275201934703751</v>
      </c>
      <c r="F174" s="872">
        <f>(F173-1)/(F172-1)</f>
        <v>0.1700017970305682</v>
      </c>
      <c r="G174" s="872">
        <f>(G173-1)/(G172-1)</f>
        <v>0.14326263459350946</v>
      </c>
      <c r="H174" s="872">
        <f>(H173-1)/(H172-1)</f>
        <v>0.13982108247758232</v>
      </c>
    </row>
    <row r="175" spans="2:27">
      <c r="D175" s="872"/>
      <c r="E175" s="872"/>
      <c r="F175" s="872"/>
      <c r="G175" s="872"/>
      <c r="H175" s="872"/>
    </row>
    <row r="176" spans="2:27">
      <c r="D176" s="872"/>
      <c r="E176" s="872"/>
      <c r="F176" s="872"/>
      <c r="G176" s="872"/>
      <c r="H176" s="872"/>
      <c r="I176" s="872">
        <f>I170+1</f>
        <v>1.0695687007611163</v>
      </c>
      <c r="J176" s="872">
        <f>(I176)*(1+J170)</f>
        <v>1.1505274402456938</v>
      </c>
      <c r="K176" s="872">
        <f>(J176)*(1+K170)</f>
        <v>1.2551742555748433</v>
      </c>
      <c r="L176" s="872">
        <f>(K176)*(1+L170)</f>
        <v>1.2159300307117107</v>
      </c>
      <c r="M176" s="872">
        <f>(L176)*(1+M170)</f>
        <v>1.0713045800507413</v>
      </c>
      <c r="N176" s="872">
        <f>(M176)*(1+N170)</f>
        <v>1.0530110829216184</v>
      </c>
    </row>
    <row r="177" spans="2:14">
      <c r="D177" s="872"/>
      <c r="E177" s="872"/>
      <c r="F177" s="872"/>
      <c r="G177" s="872"/>
      <c r="H177" s="872"/>
    </row>
    <row r="178" spans="2:14">
      <c r="D178" s="872"/>
      <c r="E178" s="872"/>
      <c r="F178" s="872"/>
      <c r="G178" s="872"/>
      <c r="H178" s="872">
        <f>AVERAGE(D174:H174)</f>
        <v>0.14178780818107367</v>
      </c>
      <c r="J178" s="872">
        <f>(I176-1)*$H$178</f>
        <v>9.8639935989236743E-3</v>
      </c>
      <c r="K178" s="872">
        <f>(J176-1)*$H$178</f>
        <v>2.1342955823544455E-2</v>
      </c>
      <c r="L178" s="872">
        <f>(K176-1)*$H$178</f>
        <v>3.6180598402194147E-2</v>
      </c>
      <c r="M178" s="872">
        <f>(L176-1)*$H$178</f>
        <v>3.0616245775085382E-2</v>
      </c>
      <c r="N178" s="872">
        <f>(M176-1)*$H$178</f>
        <v>1.0110120118666513E-2</v>
      </c>
    </row>
    <row r="179" spans="2:14">
      <c r="D179" s="872"/>
      <c r="E179" s="872"/>
      <c r="F179" s="872"/>
      <c r="G179" s="872"/>
      <c r="H179" s="872"/>
      <c r="K179" s="872">
        <f>K193/K178</f>
        <v>1.0307850600398449</v>
      </c>
      <c r="L179" s="872">
        <f>L193/L178</f>
        <v>0.41458684108138838</v>
      </c>
      <c r="M179" s="872">
        <f>M193/M178</f>
        <v>0.29396158059731614</v>
      </c>
      <c r="N179" s="872">
        <f>N193/N178</f>
        <v>0.31651453814992542</v>
      </c>
    </row>
    <row r="180" spans="2:14">
      <c r="D180" s="872"/>
      <c r="E180" s="872"/>
      <c r="F180" s="872"/>
      <c r="G180" s="872"/>
      <c r="H180" s="872"/>
    </row>
    <row r="182" spans="2:14" ht="15.75">
      <c r="B182" s="821" t="s">
        <v>336</v>
      </c>
      <c r="C182" s="832">
        <v>1</v>
      </c>
      <c r="D182" s="832">
        <v>2</v>
      </c>
      <c r="E182" s="832">
        <v>3</v>
      </c>
      <c r="F182" s="832">
        <v>4</v>
      </c>
      <c r="G182" s="832">
        <v>5</v>
      </c>
      <c r="H182" s="832">
        <v>6</v>
      </c>
      <c r="I182" s="832">
        <v>7</v>
      </c>
      <c r="J182" s="832">
        <v>8</v>
      </c>
      <c r="K182" s="832">
        <v>9</v>
      </c>
      <c r="L182" s="832">
        <v>10</v>
      </c>
      <c r="M182" s="832">
        <v>11</v>
      </c>
      <c r="N182" s="832">
        <v>12</v>
      </c>
    </row>
    <row r="183" spans="2:14">
      <c r="B183" s="834">
        <v>2013</v>
      </c>
      <c r="C183" s="831">
        <f>SUMIFS($C$58:$DV$58,$C$48:$DV$48,C$66,$C$49:$DV$49,$B183)/100</f>
        <v>-2.9999999999999714E-3</v>
      </c>
      <c r="D183" s="831">
        <f t="shared" ref="D183:N183" si="100">SUMIFS($C$58:$DV$58,$C$48:$DV$48,D$66,$C$49:$DV$49,$B183)/100</f>
        <v>9.9999999999994321E-4</v>
      </c>
      <c r="E183" s="831">
        <f t="shared" si="100"/>
        <v>5.0000000000000001E-3</v>
      </c>
      <c r="F183" s="831">
        <f t="shared" si="100"/>
        <v>2.0000000000000282E-3</v>
      </c>
      <c r="G183" s="831">
        <f t="shared" si="100"/>
        <v>0</v>
      </c>
      <c r="H183" s="831">
        <f t="shared" si="100"/>
        <v>5.0000000000000001E-3</v>
      </c>
      <c r="I183" s="831">
        <f t="shared" si="100"/>
        <v>2.9999999999999714E-3</v>
      </c>
      <c r="J183" s="831">
        <f t="shared" si="100"/>
        <v>2.9999999999999714E-3</v>
      </c>
      <c r="K183" s="831">
        <f t="shared" si="100"/>
        <v>9.9999999999994321E-4</v>
      </c>
      <c r="L183" s="831">
        <f t="shared" si="100"/>
        <v>2.0000000000000282E-3</v>
      </c>
      <c r="M183" s="831">
        <f t="shared" si="100"/>
        <v>-2.0000000000000282E-3</v>
      </c>
      <c r="N183" s="831">
        <f t="shared" si="100"/>
        <v>-4.0000000000000565E-3</v>
      </c>
    </row>
    <row r="184" spans="2:14">
      <c r="B184" s="834">
        <v>2014</v>
      </c>
      <c r="C184" s="831">
        <f t="shared" ref="C184:N192" si="101">SUMIFS($C$58:$DV$58,$C$48:$DV$48,C$66,$C$49:$DV$49,$B184)/100</f>
        <v>3.5305793095608351E-3</v>
      </c>
      <c r="D184" s="831">
        <f t="shared" si="101"/>
        <v>2.0370469289128862E-2</v>
      </c>
      <c r="E184" s="831">
        <f t="shared" si="101"/>
        <v>5.6529889478831592E-2</v>
      </c>
      <c r="F184" s="831">
        <f t="shared" si="101"/>
        <v>0.10136354873403874</v>
      </c>
      <c r="G184" s="831">
        <f t="shared" si="101"/>
        <v>3.5757061768042032E-2</v>
      </c>
      <c r="H184" s="831">
        <f t="shared" si="101"/>
        <v>1.8527771126661322E-2</v>
      </c>
      <c r="I184" s="831">
        <f t="shared" si="101"/>
        <v>6.8164714980993328E-3</v>
      </c>
      <c r="J184" s="831">
        <f t="shared" si="101"/>
        <v>3.8893764236399592E-2</v>
      </c>
      <c r="K184" s="831">
        <f t="shared" si="101"/>
        <v>3.3406512457298018E-2</v>
      </c>
      <c r="L184" s="831">
        <f t="shared" si="101"/>
        <v>-7.0812153480197537E-3</v>
      </c>
      <c r="M184" s="831">
        <f t="shared" si="101"/>
        <v>2.0440064477758427E-2</v>
      </c>
      <c r="N184" s="831">
        <f t="shared" si="101"/>
        <v>2.7999999999999973E-2</v>
      </c>
    </row>
    <row r="185" spans="2:14">
      <c r="B185" s="834">
        <v>2015</v>
      </c>
      <c r="C185" s="831">
        <f t="shared" si="101"/>
        <v>1.167550380146423E-2</v>
      </c>
      <c r="D185" s="831">
        <f t="shared" si="101"/>
        <v>0.16406129177243117</v>
      </c>
      <c r="E185" s="831">
        <f t="shared" si="101"/>
        <v>7.3648662094455655E-2</v>
      </c>
      <c r="F185" s="831">
        <f t="shared" si="101"/>
        <v>-4.2934736017268167E-2</v>
      </c>
      <c r="G185" s="831">
        <f t="shared" si="101"/>
        <v>1.6848816887520001E-3</v>
      </c>
      <c r="H185" s="831">
        <f t="shared" si="101"/>
        <v>1.0869589184965065E-2</v>
      </c>
      <c r="I185" s="831">
        <f t="shared" si="101"/>
        <v>1.9440206378118319E-3</v>
      </c>
      <c r="J185" s="831">
        <f t="shared" si="101"/>
        <v>-3.1998031358448031E-3</v>
      </c>
      <c r="K185" s="831">
        <f t="shared" si="101"/>
        <v>-1.5999999999999945E-2</v>
      </c>
      <c r="L185" s="831">
        <f t="shared" si="101"/>
        <v>-5.9999999999999429E-3</v>
      </c>
      <c r="M185" s="831">
        <f t="shared" si="101"/>
        <v>5.9999999999999429E-3</v>
      </c>
      <c r="N185" s="831">
        <f t="shared" si="101"/>
        <v>-9.9999999999994321E-4</v>
      </c>
    </row>
    <row r="186" spans="2:14">
      <c r="B186" s="834">
        <v>2016</v>
      </c>
      <c r="C186" s="831">
        <f t="shared" si="101"/>
        <v>-4.0000000000000565E-3</v>
      </c>
      <c r="D186" s="831">
        <f t="shared" si="101"/>
        <v>0</v>
      </c>
      <c r="E186" s="831">
        <f t="shared" si="101"/>
        <v>0.01</v>
      </c>
      <c r="F186" s="831">
        <f t="shared" si="101"/>
        <v>2.4E-2</v>
      </c>
      <c r="G186" s="831">
        <f t="shared" si="101"/>
        <v>2.7999999999999997E-2</v>
      </c>
      <c r="H186" s="831">
        <f t="shared" si="101"/>
        <v>1.2000000000000028E-2</v>
      </c>
      <c r="I186" s="831">
        <f t="shared" si="101"/>
        <v>4.0000000000000001E-3</v>
      </c>
      <c r="J186" s="831">
        <f t="shared" si="101"/>
        <v>2E-3</v>
      </c>
      <c r="K186" s="831">
        <f t="shared" si="101"/>
        <v>6.9999999999999993E-3</v>
      </c>
      <c r="L186" s="831">
        <f t="shared" si="101"/>
        <v>8.0000000000000002E-3</v>
      </c>
      <c r="M186" s="831">
        <f t="shared" si="101"/>
        <v>1.1000000000000001E-2</v>
      </c>
      <c r="N186" s="831">
        <f t="shared" si="101"/>
        <v>6.9999999999999993E-3</v>
      </c>
    </row>
    <row r="187" spans="2:14">
      <c r="B187" s="834">
        <v>2017</v>
      </c>
      <c r="C187" s="831">
        <f t="shared" si="101"/>
        <v>2.7000000000000003E-2</v>
      </c>
      <c r="D187" s="831">
        <f t="shared" si="101"/>
        <v>0.02</v>
      </c>
      <c r="E187" s="831">
        <f t="shared" si="101"/>
        <v>6.9999999999999993E-3</v>
      </c>
      <c r="F187" s="831">
        <f t="shared" si="101"/>
        <v>1.3999999999999999E-2</v>
      </c>
      <c r="G187" s="831">
        <f t="shared" si="101"/>
        <v>5.0000000000000001E-3</v>
      </c>
      <c r="H187" s="831">
        <f t="shared" si="101"/>
        <v>-2E-3</v>
      </c>
      <c r="I187" s="831">
        <f t="shared" si="101"/>
        <v>0</v>
      </c>
      <c r="J187" s="831">
        <f t="shared" si="101"/>
        <v>8.0000000000000002E-3</v>
      </c>
      <c r="K187" s="831">
        <f t="shared" si="101"/>
        <v>1.4999999999999999E-2</v>
      </c>
      <c r="L187" s="831">
        <f t="shared" si="101"/>
        <v>2.4E-2</v>
      </c>
      <c r="M187" s="831">
        <f t="shared" si="101"/>
        <v>0.02</v>
      </c>
      <c r="N187" s="831">
        <f t="shared" si="101"/>
        <v>1.8000000000000002E-2</v>
      </c>
    </row>
    <row r="188" spans="2:14">
      <c r="B188" s="834">
        <v>2018</v>
      </c>
      <c r="C188" s="831">
        <f t="shared" si="101"/>
        <v>0.03</v>
      </c>
      <c r="D188" s="831">
        <f t="shared" si="101"/>
        <v>1.4999999999999999E-2</v>
      </c>
      <c r="E188" s="831">
        <f t="shared" si="101"/>
        <v>-6.9999999999999993E-3</v>
      </c>
      <c r="F188" s="831">
        <f t="shared" si="101"/>
        <v>3.0000000000000001E-3</v>
      </c>
      <c r="G188" s="831">
        <f t="shared" si="101"/>
        <v>6.0000000000000001E-3</v>
      </c>
      <c r="H188" s="831">
        <f t="shared" si="101"/>
        <v>6.0000000000000001E-3</v>
      </c>
      <c r="I188" s="831">
        <f t="shared" si="101"/>
        <v>6.9999999999999993E-3</v>
      </c>
      <c r="J188" s="831">
        <f t="shared" si="101"/>
        <v>1.4999999999999999E-2</v>
      </c>
      <c r="K188" s="831">
        <f t="shared" si="101"/>
        <v>2.7999999999999997E-2</v>
      </c>
      <c r="L188" s="831">
        <f t="shared" si="101"/>
        <v>3.1E-2</v>
      </c>
      <c r="M188" s="831">
        <f t="shared" si="101"/>
        <v>5.0000000000000001E-3</v>
      </c>
      <c r="N188" s="831">
        <f t="shared" si="101"/>
        <v>-1.6E-2</v>
      </c>
    </row>
    <row r="189" spans="2:14">
      <c r="B189" s="834">
        <v>2019</v>
      </c>
      <c r="C189" s="831">
        <f t="shared" si="101"/>
        <v>-1.7000000000000001E-2</v>
      </c>
      <c r="D189" s="831">
        <f t="shared" si="101"/>
        <v>-1E-3</v>
      </c>
      <c r="E189" s="831">
        <f t="shared" si="101"/>
        <v>5.0000000000000001E-3</v>
      </c>
      <c r="F189" s="831">
        <f t="shared" si="101"/>
        <v>0.01</v>
      </c>
      <c r="G189" s="831">
        <f t="shared" si="101"/>
        <v>1.4999999999999999E-2</v>
      </c>
      <c r="H189" s="831">
        <f t="shared" si="101"/>
        <v>3.0000000000000001E-3</v>
      </c>
      <c r="I189" s="831">
        <f t="shared" si="101"/>
        <v>-1.1000000000000001E-2</v>
      </c>
      <c r="J189" s="831">
        <f t="shared" si="101"/>
        <v>-6.0000000000000001E-3</v>
      </c>
      <c r="K189" s="831">
        <f t="shared" si="101"/>
        <v>-4.0000000000000001E-3</v>
      </c>
      <c r="L189" s="831">
        <f t="shared" si="101"/>
        <v>-6.9999999999999993E-3</v>
      </c>
      <c r="M189" s="831">
        <f t="shared" si="101"/>
        <v>-3.0000000000000001E-3</v>
      </c>
      <c r="N189" s="831">
        <f t="shared" si="101"/>
        <v>-8.0000000000000002E-3</v>
      </c>
    </row>
    <row r="190" spans="2:14">
      <c r="B190" s="834">
        <v>2020</v>
      </c>
      <c r="C190" s="831">
        <f t="shared" si="101"/>
        <v>-6.9999999999999993E-3</v>
      </c>
      <c r="D190" s="831">
        <f t="shared" si="101"/>
        <v>1E-3</v>
      </c>
      <c r="E190" s="831">
        <f t="shared" si="101"/>
        <v>6.9999999999999993E-3</v>
      </c>
      <c r="F190" s="831">
        <f t="shared" si="101"/>
        <v>-1.3000000000000001E-2</v>
      </c>
      <c r="G190" s="831">
        <f t="shared" si="101"/>
        <v>-0.02</v>
      </c>
      <c r="H190" s="831">
        <f t="shared" si="101"/>
        <v>1.2E-2</v>
      </c>
      <c r="I190" s="831">
        <f t="shared" si="101"/>
        <v>1.2E-2</v>
      </c>
      <c r="J190" s="831">
        <f t="shared" si="101"/>
        <v>1.2E-2</v>
      </c>
      <c r="K190" s="831">
        <f t="shared" si="101"/>
        <v>5.0000000000000001E-3</v>
      </c>
      <c r="L190" s="831">
        <f t="shared" si="101"/>
        <v>2E-3</v>
      </c>
      <c r="M190" s="831">
        <f t="shared" si="101"/>
        <v>9.0000000000000011E-3</v>
      </c>
      <c r="N190" s="831">
        <f t="shared" si="101"/>
        <v>6.9999999999999993E-3</v>
      </c>
    </row>
    <row r="191" spans="2:14">
      <c r="B191" s="834">
        <v>2021</v>
      </c>
      <c r="C191" s="831">
        <f t="shared" si="101"/>
        <v>0.01</v>
      </c>
      <c r="D191" s="831">
        <f t="shared" si="101"/>
        <v>1.6E-2</v>
      </c>
      <c r="E191" s="831">
        <f t="shared" si="101"/>
        <v>1.8000000000000002E-2</v>
      </c>
      <c r="F191" s="831">
        <f t="shared" si="101"/>
        <v>6.0000000000000001E-3</v>
      </c>
      <c r="G191" s="831">
        <f t="shared" si="101"/>
        <v>6.9999999999999993E-3</v>
      </c>
      <c r="H191" s="831">
        <f t="shared" si="101"/>
        <v>0.01</v>
      </c>
      <c r="I191" s="831">
        <f t="shared" si="101"/>
        <v>1.1000000000000001E-2</v>
      </c>
      <c r="J191" s="831">
        <f t="shared" si="101"/>
        <v>8.0000000000000002E-3</v>
      </c>
      <c r="K191" s="831">
        <f t="shared" si="101"/>
        <v>-1E-3</v>
      </c>
      <c r="L191" s="831">
        <f t="shared" si="101"/>
        <v>1.1000000000000001E-2</v>
      </c>
      <c r="M191" s="831">
        <f t="shared" si="101"/>
        <v>1.2E-2</v>
      </c>
      <c r="N191" s="831">
        <f t="shared" si="101"/>
        <v>-2E-3</v>
      </c>
    </row>
    <row r="192" spans="2:14">
      <c r="B192" s="834">
        <v>2022</v>
      </c>
      <c r="C192" s="831">
        <f t="shared" si="101"/>
        <v>1.3000000000000001E-2</v>
      </c>
      <c r="D192" s="831">
        <f t="shared" si="101"/>
        <v>3.7000000000000005E-2</v>
      </c>
      <c r="E192" s="831">
        <f t="shared" si="101"/>
        <v>4.2000000000000003E-2</v>
      </c>
      <c r="F192" s="831">
        <f t="shared" si="101"/>
        <v>2.1000000000000001E-2</v>
      </c>
      <c r="G192" s="831">
        <f t="shared" si="101"/>
        <v>0.10199999999999999</v>
      </c>
      <c r="H192" s="831">
        <f t="shared" si="101"/>
        <v>0.11199999999999999</v>
      </c>
      <c r="I192" s="831">
        <f t="shared" si="101"/>
        <v>-3.0000000000000001E-3</v>
      </c>
      <c r="J192" s="831">
        <f t="shared" si="101"/>
        <v>8.0000000000000002E-3</v>
      </c>
      <c r="K192" s="831">
        <f t="shared" si="101"/>
        <v>3.8200000000000499E-3</v>
      </c>
      <c r="L192" s="831">
        <f t="shared" si="101"/>
        <v>8.0000000000000002E-3</v>
      </c>
      <c r="M192" s="831">
        <f t="shared" si="101"/>
        <v>0.01</v>
      </c>
      <c r="N192" s="831">
        <f t="shared" si="101"/>
        <v>1.6E-2</v>
      </c>
    </row>
    <row r="193" spans="2:14" ht="18">
      <c r="B193" s="833">
        <v>2023</v>
      </c>
      <c r="C193" s="831">
        <f>SUMIFS($C$58:$ED$58,$C$48:$ED$48,C$66,$C$49:$ED$49,$B193)/100</f>
        <v>-1E-3</v>
      </c>
      <c r="D193" s="831">
        <f t="shared" ref="D193:M193" si="102">SUMIFS($C$58:$ED$58,$C$48:$ED$48,D$66,$C$49:$ED$49,$B193)/100</f>
        <v>-1.7000000000000001E-2</v>
      </c>
      <c r="E193" s="831">
        <f t="shared" si="102"/>
        <v>-9.0000000000000011E-3</v>
      </c>
      <c r="F193" s="831">
        <f t="shared" si="102"/>
        <v>-6.9999999999999993E-3</v>
      </c>
      <c r="G193" s="831">
        <f t="shared" si="102"/>
        <v>-1.1000000000000001E-2</v>
      </c>
      <c r="H193" s="831">
        <f t="shared" si="102"/>
        <v>-8.0000000000000002E-3</v>
      </c>
      <c r="I193" s="831">
        <f t="shared" si="102"/>
        <v>2.7000000000000003E-2</v>
      </c>
      <c r="J193" s="831">
        <f t="shared" si="102"/>
        <v>0.03</v>
      </c>
      <c r="K193" s="831">
        <f t="shared" si="102"/>
        <v>2.200000000000003E-2</v>
      </c>
      <c r="L193" s="831">
        <f t="shared" si="102"/>
        <v>1.4999999999999999E-2</v>
      </c>
      <c r="M193" s="831">
        <f t="shared" si="102"/>
        <v>9.0000000000000011E-3</v>
      </c>
      <c r="N193" s="549">
        <f>AVERAGE(N192)*N195</f>
        <v>3.2000000000000002E-3</v>
      </c>
    </row>
    <row r="194" spans="2:14">
      <c r="C194" s="872">
        <f t="shared" ref="C194:K194" si="103">C193/C192</f>
        <v>-7.6923076923076913E-2</v>
      </c>
      <c r="D194" s="872">
        <f t="shared" si="103"/>
        <v>-0.45945945945945943</v>
      </c>
      <c r="E194" s="872">
        <f t="shared" si="103"/>
        <v>-0.2142857142857143</v>
      </c>
      <c r="F194" s="872">
        <f t="shared" si="103"/>
        <v>-0.33333333333333326</v>
      </c>
      <c r="G194" s="872">
        <f t="shared" si="103"/>
        <v>-0.10784313725490198</v>
      </c>
      <c r="H194" s="872">
        <f t="shared" si="103"/>
        <v>-7.1428571428571438E-2</v>
      </c>
      <c r="I194" s="872">
        <f t="shared" si="103"/>
        <v>-9</v>
      </c>
      <c r="J194" s="872">
        <f t="shared" si="103"/>
        <v>3.75</v>
      </c>
      <c r="K194" s="872">
        <f t="shared" si="103"/>
        <v>5.759162303664854</v>
      </c>
      <c r="L194" s="872"/>
    </row>
    <row r="195" spans="2:14">
      <c r="L195" s="621">
        <v>3</v>
      </c>
      <c r="M195" s="621">
        <v>2</v>
      </c>
      <c r="N195" s="621">
        <v>0.2</v>
      </c>
    </row>
    <row r="197" spans="2:14" ht="15.75">
      <c r="B197" s="821" t="s">
        <v>1368</v>
      </c>
      <c r="C197" s="832">
        <v>1</v>
      </c>
      <c r="D197" s="832">
        <v>2</v>
      </c>
      <c r="E197" s="832">
        <v>3</v>
      </c>
      <c r="F197" s="832">
        <v>4</v>
      </c>
      <c r="G197" s="832">
        <v>5</v>
      </c>
      <c r="H197" s="832">
        <v>6</v>
      </c>
      <c r="I197" s="832">
        <v>7</v>
      </c>
      <c r="J197" s="832">
        <v>8</v>
      </c>
      <c r="K197" s="832">
        <v>9</v>
      </c>
      <c r="L197" s="832">
        <v>10</v>
      </c>
      <c r="M197" s="832">
        <v>11</v>
      </c>
      <c r="N197" s="832">
        <v>12</v>
      </c>
    </row>
    <row r="198" spans="2:14">
      <c r="B198" s="834">
        <v>2013</v>
      </c>
      <c r="C198" s="831">
        <f>SUMIFS($C$59:$DV$59,$C$48:$DV$48,C$66,$C$49:$DV$49,$B198)/100</f>
        <v>-9.9999999999994321E-4</v>
      </c>
      <c r="D198" s="831">
        <f t="shared" ref="D198:N198" si="104">SUMIFS($C$59:$DV$59,$C$48:$DV$48,D$66,$C$49:$DV$49,$B198)/100</f>
        <v>-9.9999999999994321E-4</v>
      </c>
      <c r="E198" s="831">
        <f t="shared" si="104"/>
        <v>0</v>
      </c>
      <c r="F198" s="831">
        <f t="shared" si="104"/>
        <v>0</v>
      </c>
      <c r="G198" s="831">
        <f t="shared" si="104"/>
        <v>1.0999999999999944E-2</v>
      </c>
      <c r="H198" s="831">
        <f t="shared" si="104"/>
        <v>0</v>
      </c>
      <c r="I198" s="831">
        <f t="shared" si="104"/>
        <v>0</v>
      </c>
      <c r="J198" s="831">
        <f t="shared" si="104"/>
        <v>0</v>
      </c>
      <c r="K198" s="831">
        <f t="shared" si="104"/>
        <v>0</v>
      </c>
      <c r="L198" s="831">
        <f t="shared" si="104"/>
        <v>-2.0000000000000282E-3</v>
      </c>
      <c r="M198" s="831">
        <f t="shared" si="104"/>
        <v>0</v>
      </c>
      <c r="N198" s="831">
        <f t="shared" si="104"/>
        <v>0</v>
      </c>
    </row>
    <row r="199" spans="2:14">
      <c r="B199" s="834">
        <v>2014</v>
      </c>
      <c r="C199" s="831">
        <f t="shared" ref="C199:N207" si="105">SUMIFS($C$59:$DV$59,$C$48:$DV$48,C$66,$C$49:$DV$49,$B199)/100</f>
        <v>2.7403814537620975E-5</v>
      </c>
      <c r="D199" s="831">
        <f t="shared" si="105"/>
        <v>1.1932037371451542E-5</v>
      </c>
      <c r="E199" s="831">
        <f t="shared" si="105"/>
        <v>6.5112779921676638E-4</v>
      </c>
      <c r="F199" s="831">
        <f t="shared" si="105"/>
        <v>7.5520140393692259E-4</v>
      </c>
      <c r="G199" s="831">
        <f t="shared" si="105"/>
        <v>1.5492364692811123E-3</v>
      </c>
      <c r="H199" s="831">
        <f t="shared" si="105"/>
        <v>-2.8484683448782278E-3</v>
      </c>
      <c r="I199" s="831">
        <f t="shared" si="105"/>
        <v>-1.1233699750050619E-3</v>
      </c>
      <c r="J199" s="831">
        <f t="shared" si="105"/>
        <v>7.373757755482302E-4</v>
      </c>
      <c r="K199" s="831">
        <f t="shared" si="105"/>
        <v>9.9873519301812048E-3</v>
      </c>
      <c r="L199" s="831">
        <f t="shared" si="105"/>
        <v>9.3379307073331568E-3</v>
      </c>
      <c r="M199" s="831">
        <f t="shared" si="105"/>
        <v>2.0768857383318107E-3</v>
      </c>
      <c r="N199" s="831">
        <f t="shared" si="105"/>
        <v>2.0000000000000282E-3</v>
      </c>
    </row>
    <row r="200" spans="2:14">
      <c r="B200" s="834">
        <v>2015</v>
      </c>
      <c r="C200" s="831">
        <f t="shared" si="105"/>
        <v>5.7478241263655147E-3</v>
      </c>
      <c r="D200" s="831">
        <f t="shared" si="105"/>
        <v>9.3631873449655251E-3</v>
      </c>
      <c r="E200" s="831">
        <f t="shared" si="105"/>
        <v>1.6917195170443051E-2</v>
      </c>
      <c r="F200" s="831">
        <f t="shared" si="105"/>
        <v>2.5408385090514685E-4</v>
      </c>
      <c r="G200" s="831">
        <f t="shared" si="105"/>
        <v>5.5475234312845597E-3</v>
      </c>
      <c r="H200" s="831">
        <f t="shared" si="105"/>
        <v>1.00473683347019E-3</v>
      </c>
      <c r="I200" s="831">
        <f t="shared" si="105"/>
        <v>1.0364081552569359E-3</v>
      </c>
      <c r="J200" s="831">
        <f t="shared" si="105"/>
        <v>7.6274659094011099E-4</v>
      </c>
      <c r="K200" s="831">
        <f t="shared" si="105"/>
        <v>5.9999999999999429E-3</v>
      </c>
      <c r="L200" s="831">
        <f t="shared" si="105"/>
        <v>1.7000000000000029E-2</v>
      </c>
      <c r="M200" s="831">
        <f t="shared" si="105"/>
        <v>4.0000000000000565E-3</v>
      </c>
      <c r="N200" s="831">
        <f t="shared" si="105"/>
        <v>0</v>
      </c>
    </row>
    <row r="201" spans="2:14">
      <c r="B201" s="834">
        <v>2016</v>
      </c>
      <c r="C201" s="831">
        <f t="shared" si="105"/>
        <v>2.9999999999999714E-3</v>
      </c>
      <c r="D201" s="831">
        <f t="shared" si="105"/>
        <v>9.9999999999994321E-4</v>
      </c>
      <c r="E201" s="831">
        <f t="shared" si="105"/>
        <v>1E-3</v>
      </c>
      <c r="F201" s="831">
        <f t="shared" si="105"/>
        <v>5.0000000000000001E-3</v>
      </c>
      <c r="G201" s="831">
        <f t="shared" si="105"/>
        <v>1E-3</v>
      </c>
      <c r="H201" s="831">
        <f t="shared" si="105"/>
        <v>0</v>
      </c>
      <c r="I201" s="831">
        <f t="shared" si="105"/>
        <v>-1E-3</v>
      </c>
      <c r="J201" s="831">
        <f t="shared" si="105"/>
        <v>0</v>
      </c>
      <c r="K201" s="831">
        <f t="shared" si="105"/>
        <v>1E-3</v>
      </c>
      <c r="L201" s="831">
        <f t="shared" si="105"/>
        <v>0</v>
      </c>
      <c r="M201" s="831">
        <f t="shared" si="105"/>
        <v>1E-3</v>
      </c>
      <c r="N201" s="831">
        <f t="shared" si="105"/>
        <v>2.7999999999999997E-2</v>
      </c>
    </row>
    <row r="202" spans="2:14">
      <c r="B202" s="834">
        <v>2017</v>
      </c>
      <c r="C202" s="831">
        <f t="shared" si="105"/>
        <v>4.0000000000000001E-3</v>
      </c>
      <c r="D202" s="831">
        <f t="shared" si="105"/>
        <v>5.0000000000000001E-3</v>
      </c>
      <c r="E202" s="831">
        <f t="shared" si="105"/>
        <v>2.5000000000000001E-2</v>
      </c>
      <c r="F202" s="831">
        <f t="shared" si="105"/>
        <v>2.7000000000000003E-2</v>
      </c>
      <c r="G202" s="831">
        <f t="shared" si="105"/>
        <v>1E-3</v>
      </c>
      <c r="H202" s="831">
        <f t="shared" si="105"/>
        <v>0</v>
      </c>
      <c r="I202" s="831">
        <f t="shared" si="105"/>
        <v>-1E-3</v>
      </c>
      <c r="J202" s="831">
        <f t="shared" si="105"/>
        <v>0</v>
      </c>
      <c r="K202" s="831">
        <f t="shared" si="105"/>
        <v>4.0000000000000001E-3</v>
      </c>
      <c r="L202" s="831">
        <f t="shared" si="105"/>
        <v>8.0000000000000002E-3</v>
      </c>
      <c r="M202" s="831">
        <f t="shared" si="105"/>
        <v>9.0000000000000011E-3</v>
      </c>
      <c r="N202" s="831">
        <f t="shared" si="105"/>
        <v>6.0000000000000001E-3</v>
      </c>
    </row>
    <row r="203" spans="2:14">
      <c r="B203" s="834">
        <v>2018</v>
      </c>
      <c r="C203" s="831">
        <f t="shared" si="105"/>
        <v>2.7999999999999997E-2</v>
      </c>
      <c r="D203" s="831">
        <f t="shared" si="105"/>
        <v>6.9999999999999993E-3</v>
      </c>
      <c r="E203" s="831">
        <f t="shared" si="105"/>
        <v>6.0000000000000001E-3</v>
      </c>
      <c r="F203" s="831">
        <f t="shared" si="105"/>
        <v>1.3000000000000001E-2</v>
      </c>
      <c r="G203" s="831">
        <f t="shared" si="105"/>
        <v>4.0000000000000001E-3</v>
      </c>
      <c r="H203" s="831">
        <f t="shared" si="105"/>
        <v>3.0000000000000001E-3</v>
      </c>
      <c r="I203" s="831">
        <f t="shared" si="105"/>
        <v>-2E-3</v>
      </c>
      <c r="J203" s="831">
        <f t="shared" si="105"/>
        <v>1E-3</v>
      </c>
      <c r="K203" s="831">
        <f t="shared" si="105"/>
        <v>2.1000000000000001E-2</v>
      </c>
      <c r="L203" s="831">
        <f t="shared" si="105"/>
        <v>3.3000000000000002E-2</v>
      </c>
      <c r="M203" s="831">
        <f t="shared" si="105"/>
        <v>1.7000000000000001E-2</v>
      </c>
      <c r="N203" s="831">
        <f t="shared" si="105"/>
        <v>1.1000000000000001E-2</v>
      </c>
    </row>
    <row r="204" spans="2:14">
      <c r="B204" s="834">
        <v>2019</v>
      </c>
      <c r="C204" s="831">
        <f t="shared" si="105"/>
        <v>2.5000000000000001E-2</v>
      </c>
      <c r="D204" s="831">
        <f t="shared" si="105"/>
        <v>1.4999999999999999E-2</v>
      </c>
      <c r="E204" s="831">
        <f t="shared" si="105"/>
        <v>2.2000000000000002E-2</v>
      </c>
      <c r="F204" s="831">
        <f t="shared" si="105"/>
        <v>1.1000000000000001E-2</v>
      </c>
      <c r="G204" s="831">
        <f t="shared" si="105"/>
        <v>-2E-3</v>
      </c>
      <c r="H204" s="831">
        <f t="shared" si="105"/>
        <v>-2E-3</v>
      </c>
      <c r="I204" s="831">
        <f t="shared" si="105"/>
        <v>-1E-3</v>
      </c>
      <c r="J204" s="831">
        <f t="shared" si="105"/>
        <v>9.0000000000000011E-3</v>
      </c>
      <c r="K204" s="831">
        <f t="shared" si="105"/>
        <v>-1E-3</v>
      </c>
      <c r="L204" s="831">
        <f t="shared" si="105"/>
        <v>4.2000000000000003E-2</v>
      </c>
      <c r="M204" s="831">
        <f t="shared" si="105"/>
        <v>-2E-3</v>
      </c>
      <c r="N204" s="831">
        <f t="shared" si="105"/>
        <v>-3.0000000000000001E-3</v>
      </c>
    </row>
    <row r="205" spans="2:14">
      <c r="B205" s="834">
        <v>2020</v>
      </c>
      <c r="C205" s="831">
        <f t="shared" si="105"/>
        <v>8.0000000000000002E-3</v>
      </c>
      <c r="D205" s="831">
        <f t="shared" si="105"/>
        <v>3.0000000000000001E-3</v>
      </c>
      <c r="E205" s="831">
        <f t="shared" si="105"/>
        <v>6.0000000000000001E-3</v>
      </c>
      <c r="F205" s="831">
        <f t="shared" si="105"/>
        <v>0</v>
      </c>
      <c r="G205" s="831">
        <f t="shared" si="105"/>
        <v>-1E-3</v>
      </c>
      <c r="H205" s="831">
        <f t="shared" si="105"/>
        <v>0.01</v>
      </c>
      <c r="I205" s="831">
        <f t="shared" si="105"/>
        <v>3.0000000000000001E-3</v>
      </c>
      <c r="J205" s="831">
        <f t="shared" si="105"/>
        <v>9.0000000000000011E-3</v>
      </c>
      <c r="K205" s="831">
        <f t="shared" si="105"/>
        <v>0</v>
      </c>
      <c r="L205" s="831">
        <f t="shared" si="105"/>
        <v>0</v>
      </c>
      <c r="M205" s="831">
        <f t="shared" si="105"/>
        <v>1E-3</v>
      </c>
      <c r="N205" s="831">
        <f t="shared" si="105"/>
        <v>1E-3</v>
      </c>
    </row>
    <row r="206" spans="2:14">
      <c r="B206" s="834">
        <v>2021</v>
      </c>
      <c r="C206" s="831">
        <f t="shared" si="105"/>
        <v>0.01</v>
      </c>
      <c r="D206" s="831">
        <f t="shared" si="105"/>
        <v>2E-3</v>
      </c>
      <c r="E206" s="831">
        <f t="shared" si="105"/>
        <v>0</v>
      </c>
      <c r="F206" s="831">
        <f t="shared" si="105"/>
        <v>1E-3</v>
      </c>
      <c r="G206" s="831">
        <f t="shared" si="105"/>
        <v>2.2000000000000002E-2</v>
      </c>
      <c r="H206" s="831">
        <f t="shared" si="105"/>
        <v>0</v>
      </c>
      <c r="I206" s="831">
        <f t="shared" si="105"/>
        <v>1E-3</v>
      </c>
      <c r="J206" s="831">
        <f t="shared" si="105"/>
        <v>6.0000000000000001E-3</v>
      </c>
      <c r="K206" s="831">
        <f t="shared" si="105"/>
        <v>6.0000000000000001E-3</v>
      </c>
      <c r="L206" s="831">
        <f t="shared" si="105"/>
        <v>1.7000000000000001E-2</v>
      </c>
      <c r="M206" s="831">
        <f t="shared" si="105"/>
        <v>6.0000000000000001E-3</v>
      </c>
      <c r="N206" s="831">
        <f t="shared" si="105"/>
        <v>1E-3</v>
      </c>
    </row>
    <row r="207" spans="2:14">
      <c r="B207" s="834">
        <v>2022</v>
      </c>
      <c r="C207" s="831">
        <f t="shared" si="105"/>
        <v>1.1000000000000001E-2</v>
      </c>
      <c r="D207" s="831">
        <f t="shared" si="105"/>
        <v>3.0000000000000001E-3</v>
      </c>
      <c r="E207" s="831">
        <f t="shared" si="105"/>
        <v>8.0000000000000002E-3</v>
      </c>
      <c r="F207" s="831">
        <f t="shared" si="105"/>
        <v>1.8000000000000002E-2</v>
      </c>
      <c r="G207" s="831">
        <f t="shared" si="105"/>
        <v>0.01</v>
      </c>
      <c r="H207" s="831">
        <f t="shared" si="105"/>
        <v>9.0000000000000011E-3</v>
      </c>
      <c r="I207" s="831">
        <f t="shared" si="105"/>
        <v>2.1000000000000001E-2</v>
      </c>
      <c r="J207" s="831">
        <f t="shared" si="105"/>
        <v>2.2000000000000002E-2</v>
      </c>
      <c r="K207" s="831">
        <f t="shared" si="105"/>
        <v>3.1799999999999784E-3</v>
      </c>
      <c r="L207" s="831">
        <f t="shared" si="105"/>
        <v>0</v>
      </c>
      <c r="M207" s="831">
        <f t="shared" si="105"/>
        <v>1.3000000000000001E-2</v>
      </c>
      <c r="N207" s="831">
        <f t="shared" si="105"/>
        <v>9.0000000000000011E-3</v>
      </c>
    </row>
    <row r="208" spans="2:14" ht="18">
      <c r="B208" s="833">
        <v>2023</v>
      </c>
      <c r="C208" s="831">
        <f>SUMIFS($C$59:$ED$59,$C$48:$ED$48,C$66,$C$49:$ED$49,$B208)/100</f>
        <v>0.01</v>
      </c>
      <c r="D208" s="831">
        <f t="shared" ref="D208:M208" si="106">SUMIFS($C$59:$ED$59,$C$48:$ED$48,D$66,$C$49:$ED$49,$B208)/100</f>
        <v>2E-3</v>
      </c>
      <c r="E208" s="831">
        <f t="shared" si="106"/>
        <v>8.0000000000000002E-3</v>
      </c>
      <c r="F208" s="831">
        <f t="shared" si="106"/>
        <v>-1E-3</v>
      </c>
      <c r="G208" s="831">
        <f t="shared" si="106"/>
        <v>-2E-3</v>
      </c>
      <c r="H208" s="831">
        <f t="shared" si="106"/>
        <v>5.0000000000000001E-3</v>
      </c>
      <c r="I208" s="831">
        <f t="shared" si="106"/>
        <v>3.0000000000000001E-3</v>
      </c>
      <c r="J208" s="831">
        <f t="shared" si="106"/>
        <v>1E-3</v>
      </c>
      <c r="K208" s="831">
        <f t="shared" si="106"/>
        <v>-4.0000000000000565E-3</v>
      </c>
      <c r="L208" s="831">
        <f t="shared" si="106"/>
        <v>0</v>
      </c>
      <c r="M208" s="831">
        <f t="shared" si="106"/>
        <v>-4.0000000000000001E-3</v>
      </c>
      <c r="N208" s="549">
        <f>AVERAGE(N204:N205)</f>
        <v>-1E-3</v>
      </c>
    </row>
    <row r="209" spans="2:14">
      <c r="C209" s="872">
        <f t="shared" ref="C209:J209" si="107">C208/C207</f>
        <v>0.90909090909090906</v>
      </c>
      <c r="D209" s="872">
        <f t="shared" si="107"/>
        <v>0.66666666666666663</v>
      </c>
      <c r="E209" s="872">
        <f t="shared" si="107"/>
        <v>1</v>
      </c>
      <c r="F209" s="872">
        <f t="shared" si="107"/>
        <v>-5.5555555555555552E-2</v>
      </c>
      <c r="G209" s="872">
        <f t="shared" si="107"/>
        <v>-0.2</v>
      </c>
      <c r="H209" s="872">
        <f t="shared" si="107"/>
        <v>0.55555555555555547</v>
      </c>
      <c r="I209" s="872">
        <f t="shared" si="107"/>
        <v>0.14285714285714285</v>
      </c>
      <c r="J209" s="872">
        <f t="shared" si="107"/>
        <v>4.5454545454545449E-2</v>
      </c>
    </row>
    <row r="211" spans="2:14" ht="15.75">
      <c r="B211" s="821" t="s">
        <v>1385</v>
      </c>
      <c r="C211" s="832">
        <v>1</v>
      </c>
      <c r="D211" s="832">
        <v>2</v>
      </c>
      <c r="E211" s="832">
        <v>3</v>
      </c>
      <c r="F211" s="832">
        <v>4</v>
      </c>
      <c r="G211" s="832">
        <v>5</v>
      </c>
      <c r="H211" s="832">
        <v>6</v>
      </c>
      <c r="I211" s="832">
        <v>7</v>
      </c>
      <c r="J211" s="832">
        <v>8</v>
      </c>
      <c r="K211" s="832">
        <v>9</v>
      </c>
      <c r="L211" s="832">
        <v>10</v>
      </c>
      <c r="M211" s="832">
        <v>11</v>
      </c>
      <c r="N211" s="832">
        <v>12</v>
      </c>
    </row>
    <row r="212" spans="2:14">
      <c r="B212" s="834">
        <v>2013</v>
      </c>
      <c r="C212" s="831">
        <f>SUMIFS($C$60:$DV$60,$C$48:$DV$48,C$66,$C$49:$DV$49,$B212)/100</f>
        <v>-9.9999999999994321E-4</v>
      </c>
      <c r="D212" s="831">
        <f t="shared" ref="D212:N212" si="108">SUMIFS($C$60:$DV$60,$C$48:$DV$48,D$66,$C$49:$DV$49,$B212)/100</f>
        <v>9.9999999999994321E-4</v>
      </c>
      <c r="E212" s="831">
        <f t="shared" si="108"/>
        <v>0</v>
      </c>
      <c r="F212" s="831">
        <f t="shared" si="108"/>
        <v>0</v>
      </c>
      <c r="G212" s="831">
        <f t="shared" si="108"/>
        <v>-9.9999999999994321E-4</v>
      </c>
      <c r="H212" s="831">
        <f t="shared" si="108"/>
        <v>-9.9999999999994321E-4</v>
      </c>
      <c r="I212" s="831">
        <f t="shared" si="108"/>
        <v>9.9999999999994321E-4</v>
      </c>
      <c r="J212" s="831">
        <f t="shared" si="108"/>
        <v>9.9999999999994321E-4</v>
      </c>
      <c r="K212" s="831">
        <f t="shared" si="108"/>
        <v>-2.0000000000000282E-3</v>
      </c>
      <c r="L212" s="831">
        <f t="shared" si="108"/>
        <v>-9.9999999999994321E-4</v>
      </c>
      <c r="M212" s="831">
        <f t="shared" si="108"/>
        <v>0</v>
      </c>
      <c r="N212" s="831">
        <f t="shared" si="108"/>
        <v>0</v>
      </c>
    </row>
    <row r="213" spans="2:14">
      <c r="B213" s="834">
        <v>2014</v>
      </c>
      <c r="C213" s="831">
        <f t="shared" ref="C213:N221" si="109">SUMIFS($C$60:$DV$60,$C$48:$DV$48,C$66,$C$49:$DV$49,$B213)/100</f>
        <v>1.8419602285750613E-3</v>
      </c>
      <c r="D213" s="831">
        <f t="shared" si="109"/>
        <v>1.2212880484833164E-2</v>
      </c>
      <c r="E213" s="831">
        <f t="shared" si="109"/>
        <v>2.4242874021800559E-2</v>
      </c>
      <c r="F213" s="831">
        <f t="shared" si="109"/>
        <v>2.7488299922413688E-2</v>
      </c>
      <c r="G213" s="831">
        <f t="shared" si="109"/>
        <v>1.0462400916167099E-2</v>
      </c>
      <c r="H213" s="831">
        <f t="shared" si="109"/>
        <v>1.6194431359625411E-2</v>
      </c>
      <c r="I213" s="831">
        <f t="shared" si="109"/>
        <v>1.5162011383597331E-2</v>
      </c>
      <c r="J213" s="831">
        <f t="shared" si="109"/>
        <v>1.8658421101920054E-2</v>
      </c>
      <c r="K213" s="831">
        <f t="shared" si="109"/>
        <v>2.0417356875412622E-2</v>
      </c>
      <c r="L213" s="831">
        <f t="shared" si="109"/>
        <v>1.4499213382230779E-2</v>
      </c>
      <c r="M213" s="831">
        <f t="shared" si="109"/>
        <v>2.8144455160690428E-2</v>
      </c>
      <c r="N213" s="831">
        <f t="shared" si="109"/>
        <v>3.7000000000000026E-2</v>
      </c>
    </row>
    <row r="214" spans="2:14">
      <c r="B214" s="834">
        <v>2015</v>
      </c>
      <c r="C214" s="831">
        <f t="shared" si="109"/>
        <v>3.4553362471371682E-2</v>
      </c>
      <c r="D214" s="831">
        <f t="shared" si="109"/>
        <v>8.6306286973569402E-2</v>
      </c>
      <c r="E214" s="831">
        <f t="shared" si="109"/>
        <v>9.0838863493368505E-2</v>
      </c>
      <c r="F214" s="831">
        <f t="shared" si="109"/>
        <v>2.0969096543781235E-2</v>
      </c>
      <c r="G214" s="831">
        <f t="shared" si="109"/>
        <v>1.1697025221831296E-2</v>
      </c>
      <c r="H214" s="831">
        <f t="shared" si="109"/>
        <v>1.3790975725788855E-2</v>
      </c>
      <c r="I214" s="831">
        <f t="shared" si="109"/>
        <v>1.4735103009863906E-2</v>
      </c>
      <c r="J214" s="831">
        <f t="shared" si="109"/>
        <v>1.0469040671124787E-2</v>
      </c>
      <c r="K214" s="831">
        <f t="shared" si="109"/>
        <v>7.9999999999999724E-3</v>
      </c>
      <c r="L214" s="831">
        <f t="shared" si="109"/>
        <v>9.0000000000000566E-3</v>
      </c>
      <c r="M214" s="831">
        <f t="shared" si="109"/>
        <v>0.02</v>
      </c>
      <c r="N214" s="831">
        <f t="shared" si="109"/>
        <v>9.0000000000000566E-3</v>
      </c>
    </row>
    <row r="215" spans="2:14">
      <c r="B215" s="834">
        <v>2016</v>
      </c>
      <c r="C215" s="831">
        <f t="shared" si="109"/>
        <v>7.9999999999999724E-3</v>
      </c>
      <c r="D215" s="831">
        <f t="shared" si="109"/>
        <v>1.2999999999999972E-2</v>
      </c>
      <c r="E215" s="831">
        <f t="shared" si="109"/>
        <v>1.8000000000000002E-2</v>
      </c>
      <c r="F215" s="831">
        <f t="shared" si="109"/>
        <v>2E-3</v>
      </c>
      <c r="G215" s="831">
        <f t="shared" si="109"/>
        <v>-1.8000000000000002E-2</v>
      </c>
      <c r="H215" s="831">
        <f t="shared" si="109"/>
        <v>-9.9999999999994321E-4</v>
      </c>
      <c r="I215" s="831">
        <f t="shared" si="109"/>
        <v>3.0000000000000001E-3</v>
      </c>
      <c r="J215" s="831">
        <f t="shared" si="109"/>
        <v>5.0000000000000001E-3</v>
      </c>
      <c r="K215" s="831">
        <f t="shared" si="109"/>
        <v>9.0000000000000011E-3</v>
      </c>
      <c r="L215" s="831">
        <f t="shared" si="109"/>
        <v>3.0000000000000001E-3</v>
      </c>
      <c r="M215" s="831">
        <f t="shared" si="109"/>
        <v>8.0000000000000002E-3</v>
      </c>
      <c r="N215" s="831">
        <f t="shared" si="109"/>
        <v>-5.0000000000000001E-3</v>
      </c>
    </row>
    <row r="216" spans="2:14">
      <c r="B216" s="834">
        <v>2017</v>
      </c>
      <c r="C216" s="831">
        <f t="shared" si="109"/>
        <v>5.0000000000000001E-3</v>
      </c>
      <c r="D216" s="831">
        <f t="shared" si="109"/>
        <v>1.3000000000000001E-2</v>
      </c>
      <c r="E216" s="831">
        <f t="shared" si="109"/>
        <v>8.0000000000000002E-3</v>
      </c>
      <c r="F216" s="831">
        <f t="shared" si="109"/>
        <v>3.0000000000000001E-3</v>
      </c>
      <c r="G216" s="831">
        <f t="shared" si="109"/>
        <v>-3.0000000000000001E-3</v>
      </c>
      <c r="H216" s="831">
        <f t="shared" si="109"/>
        <v>3.0000000000000001E-3</v>
      </c>
      <c r="I216" s="831">
        <f t="shared" si="109"/>
        <v>2E-3</v>
      </c>
      <c r="J216" s="831">
        <f t="shared" si="109"/>
        <v>0</v>
      </c>
      <c r="K216" s="831">
        <f t="shared" si="109"/>
        <v>3.0000000000000001E-3</v>
      </c>
      <c r="L216" s="831">
        <f t="shared" si="109"/>
        <v>6.9999999999999993E-3</v>
      </c>
      <c r="M216" s="831">
        <f t="shared" si="109"/>
        <v>2E-3</v>
      </c>
      <c r="N216" s="831">
        <f t="shared" si="109"/>
        <v>1E-3</v>
      </c>
    </row>
    <row r="217" spans="2:14">
      <c r="B217" s="834">
        <v>2018</v>
      </c>
      <c r="C217" s="831">
        <f t="shared" si="109"/>
        <v>1.2E-2</v>
      </c>
      <c r="D217" s="831">
        <f t="shared" si="109"/>
        <v>6.9999999999999993E-3</v>
      </c>
      <c r="E217" s="831">
        <f t="shared" si="109"/>
        <v>0.01</v>
      </c>
      <c r="F217" s="831">
        <f t="shared" si="109"/>
        <v>1E-3</v>
      </c>
      <c r="G217" s="831">
        <f t="shared" si="109"/>
        <v>-6.0000000000000001E-3</v>
      </c>
      <c r="H217" s="831">
        <f t="shared" si="109"/>
        <v>-2E-3</v>
      </c>
      <c r="I217" s="831">
        <f t="shared" si="109"/>
        <v>2E-3</v>
      </c>
      <c r="J217" s="831">
        <f t="shared" si="109"/>
        <v>4.0000000000000001E-3</v>
      </c>
      <c r="K217" s="831">
        <f t="shared" si="109"/>
        <v>6.0000000000000001E-3</v>
      </c>
      <c r="L217" s="831">
        <f t="shared" si="109"/>
        <v>8.0000000000000002E-3</v>
      </c>
      <c r="M217" s="831">
        <f t="shared" si="109"/>
        <v>3.0000000000000001E-3</v>
      </c>
      <c r="N217" s="831">
        <f t="shared" si="109"/>
        <v>-2E-3</v>
      </c>
    </row>
    <row r="218" spans="2:14">
      <c r="B218" s="834">
        <v>2019</v>
      </c>
      <c r="C218" s="831">
        <f t="shared" si="109"/>
        <v>6.9999999999999993E-3</v>
      </c>
      <c r="D218" s="831">
        <f t="shared" si="109"/>
        <v>8.0000000000000002E-3</v>
      </c>
      <c r="E218" s="831">
        <f t="shared" si="109"/>
        <v>2E-3</v>
      </c>
      <c r="F218" s="831">
        <f t="shared" si="109"/>
        <v>-1E-3</v>
      </c>
      <c r="G218" s="831">
        <f t="shared" si="109"/>
        <v>-3.0000000000000001E-3</v>
      </c>
      <c r="H218" s="831">
        <f t="shared" si="109"/>
        <v>-1E-3</v>
      </c>
      <c r="I218" s="831">
        <f t="shared" si="109"/>
        <v>1E-3</v>
      </c>
      <c r="J218" s="831">
        <f t="shared" si="109"/>
        <v>-3.0000000000000001E-3</v>
      </c>
      <c r="K218" s="831">
        <f t="shared" si="109"/>
        <v>-5.0000000000000001E-3</v>
      </c>
      <c r="L218" s="831">
        <f t="shared" si="109"/>
        <v>3.0000000000000001E-3</v>
      </c>
      <c r="M218" s="831">
        <f t="shared" si="109"/>
        <v>1E-3</v>
      </c>
      <c r="N218" s="831">
        <f t="shared" si="109"/>
        <v>-0.01</v>
      </c>
    </row>
    <row r="219" spans="2:14">
      <c r="B219" s="834">
        <v>2020</v>
      </c>
      <c r="C219" s="831">
        <f t="shared" si="109"/>
        <v>0</v>
      </c>
      <c r="D219" s="831">
        <f t="shared" si="109"/>
        <v>-3.0000000000000001E-3</v>
      </c>
      <c r="E219" s="831">
        <f t="shared" si="109"/>
        <v>2E-3</v>
      </c>
      <c r="F219" s="831">
        <f t="shared" si="109"/>
        <v>-4.0000000000000001E-3</v>
      </c>
      <c r="G219" s="831">
        <f t="shared" si="109"/>
        <v>-8.0000000000000002E-3</v>
      </c>
      <c r="H219" s="831">
        <f t="shared" si="109"/>
        <v>-3.0000000000000001E-3</v>
      </c>
      <c r="I219" s="831">
        <f t="shared" si="109"/>
        <v>5.0000000000000001E-3</v>
      </c>
      <c r="J219" s="831">
        <f t="shared" si="109"/>
        <v>1E-3</v>
      </c>
      <c r="K219" s="831">
        <f t="shared" si="109"/>
        <v>-6.0000000000000001E-3</v>
      </c>
      <c r="L219" s="831">
        <f t="shared" si="109"/>
        <v>9.0000000000000011E-3</v>
      </c>
      <c r="M219" s="831">
        <f t="shared" si="109"/>
        <v>6.0000000000000001E-3</v>
      </c>
      <c r="N219" s="831">
        <f t="shared" si="109"/>
        <v>2E-3</v>
      </c>
    </row>
    <row r="220" spans="2:14">
      <c r="B220" s="834">
        <v>2021</v>
      </c>
      <c r="C220" s="831">
        <f t="shared" si="109"/>
        <v>6.0000000000000001E-3</v>
      </c>
      <c r="D220" s="831">
        <f t="shared" si="109"/>
        <v>9.0000000000000011E-3</v>
      </c>
      <c r="E220" s="831">
        <f t="shared" si="109"/>
        <v>4.0000000000000001E-3</v>
      </c>
      <c r="F220" s="831">
        <f t="shared" si="109"/>
        <v>1E-3</v>
      </c>
      <c r="G220" s="831">
        <f t="shared" si="109"/>
        <v>-8.0000000000000002E-3</v>
      </c>
      <c r="H220" s="831">
        <f t="shared" si="109"/>
        <v>6.0000000000000001E-3</v>
      </c>
      <c r="I220" s="831">
        <f t="shared" si="109"/>
        <v>6.9999999999999993E-3</v>
      </c>
      <c r="J220" s="831">
        <f t="shared" si="109"/>
        <v>3.0000000000000001E-3</v>
      </c>
      <c r="K220" s="831">
        <f t="shared" si="109"/>
        <v>-6.0000000000000001E-3</v>
      </c>
      <c r="L220" s="831">
        <f t="shared" si="109"/>
        <v>1.3000000000000001E-2</v>
      </c>
      <c r="M220" s="831">
        <f t="shared" si="109"/>
        <v>1.3000000000000001E-2</v>
      </c>
      <c r="N220" s="831">
        <f t="shared" si="109"/>
        <v>1E-3</v>
      </c>
    </row>
    <row r="221" spans="2:14">
      <c r="B221" s="834">
        <v>2022</v>
      </c>
      <c r="C221" s="831">
        <f t="shared" si="109"/>
        <v>0</v>
      </c>
      <c r="D221" s="831">
        <f t="shared" si="109"/>
        <v>0.01</v>
      </c>
      <c r="E221" s="831">
        <f t="shared" si="109"/>
        <v>1.4999999999999999E-2</v>
      </c>
      <c r="F221" s="831">
        <f t="shared" si="109"/>
        <v>2.7000000000000003E-2</v>
      </c>
      <c r="G221" s="831">
        <f t="shared" si="109"/>
        <v>2E-3</v>
      </c>
      <c r="H221" s="831">
        <f t="shared" si="109"/>
        <v>1.3000000000000001E-2</v>
      </c>
      <c r="I221" s="831">
        <f t="shared" si="109"/>
        <v>1.2E-2</v>
      </c>
      <c r="J221" s="831">
        <f t="shared" si="109"/>
        <v>2.8999999999999998E-2</v>
      </c>
      <c r="K221" s="831">
        <f t="shared" si="109"/>
        <v>9.8199999999999937E-3</v>
      </c>
      <c r="L221" s="831">
        <f t="shared" si="109"/>
        <v>2.2000000000000002E-2</v>
      </c>
      <c r="M221" s="831">
        <f t="shared" si="109"/>
        <v>0.01</v>
      </c>
      <c r="N221" s="831">
        <f t="shared" si="109"/>
        <v>-1E-3</v>
      </c>
    </row>
    <row r="222" spans="2:14" ht="18">
      <c r="B222" s="833">
        <v>2023</v>
      </c>
      <c r="C222" s="831">
        <f>SUMIFS($C$60:$ED$60,$C$48:$ED$48,C$66,$C$49:$ED$49,$B222)/100</f>
        <v>4.0000000000000001E-3</v>
      </c>
      <c r="D222" s="831">
        <f t="shared" ref="D222:M222" si="110">SUMIFS($C$60:$ED$60,$C$48:$ED$48,D$66,$C$49:$ED$49,$B222)/100</f>
        <v>0.01</v>
      </c>
      <c r="E222" s="831">
        <f t="shared" si="110"/>
        <v>1E-3</v>
      </c>
      <c r="F222" s="831">
        <f t="shared" si="110"/>
        <v>-2E-3</v>
      </c>
      <c r="G222" s="831">
        <f t="shared" si="110"/>
        <v>-2E-3</v>
      </c>
      <c r="H222" s="831">
        <f t="shared" si="110"/>
        <v>-5.0000000000000001E-3</v>
      </c>
      <c r="I222" s="831">
        <f t="shared" si="110"/>
        <v>-5.0000000000000001E-3</v>
      </c>
      <c r="J222" s="831">
        <f t="shared" si="110"/>
        <v>-5.0000000000000001E-3</v>
      </c>
      <c r="K222" s="831">
        <f t="shared" si="110"/>
        <v>9.9999999999994321E-4</v>
      </c>
      <c r="L222" s="831">
        <f t="shared" si="110"/>
        <v>0</v>
      </c>
      <c r="M222" s="831">
        <f t="shared" si="110"/>
        <v>-2E-3</v>
      </c>
      <c r="N222" s="549">
        <f>AVERAGE(N218:N219)</f>
        <v>-4.0000000000000001E-3</v>
      </c>
    </row>
    <row r="223" spans="2:14">
      <c r="C223" s="872" t="e">
        <f t="shared" ref="C223:J223" si="111">C222/C221</f>
        <v>#DIV/0!</v>
      </c>
      <c r="D223" s="872">
        <f t="shared" si="111"/>
        <v>1</v>
      </c>
      <c r="E223" s="872">
        <f t="shared" si="111"/>
        <v>6.6666666666666666E-2</v>
      </c>
      <c r="F223" s="872">
        <f t="shared" si="111"/>
        <v>-7.407407407407407E-2</v>
      </c>
      <c r="G223" s="872">
        <f t="shared" si="111"/>
        <v>-1</v>
      </c>
      <c r="H223" s="872">
        <f t="shared" si="111"/>
        <v>-0.38461538461538458</v>
      </c>
      <c r="I223" s="872">
        <f t="shared" si="111"/>
        <v>-0.41666666666666669</v>
      </c>
      <c r="J223" s="872">
        <f t="shared" si="111"/>
        <v>-0.17241379310344829</v>
      </c>
    </row>
    <row r="225" spans="2:14" ht="15.75">
      <c r="B225" s="821" t="s">
        <v>324</v>
      </c>
      <c r="C225" s="832">
        <v>1</v>
      </c>
      <c r="D225" s="832">
        <v>2</v>
      </c>
      <c r="E225" s="832">
        <v>3</v>
      </c>
      <c r="F225" s="832">
        <v>4</v>
      </c>
      <c r="G225" s="832">
        <v>5</v>
      </c>
      <c r="H225" s="832">
        <v>6</v>
      </c>
      <c r="I225" s="832">
        <v>7</v>
      </c>
      <c r="J225" s="832">
        <v>8</v>
      </c>
      <c r="K225" s="832">
        <v>9</v>
      </c>
      <c r="L225" s="832">
        <v>10</v>
      </c>
      <c r="M225" s="832">
        <v>11</v>
      </c>
      <c r="N225" s="832">
        <v>12</v>
      </c>
    </row>
    <row r="226" spans="2:14">
      <c r="B226" s="834">
        <v>2013</v>
      </c>
      <c r="C226" s="831">
        <f>SUMIFS($C$61:$DV$61,$C$48:$DV$48,C$66,$C$49:$DV$49,$B226)/100</f>
        <v>9.9999999999994321E-4</v>
      </c>
      <c r="D226" s="831">
        <f t="shared" ref="D226:N226" si="112">SUMIFS($C$61:$DV$61,$C$48:$DV$48,D$66,$C$49:$DV$49,$B226)/100</f>
        <v>2.0000000000000282E-3</v>
      </c>
      <c r="E226" s="831">
        <f t="shared" si="112"/>
        <v>2.0000000000000282E-3</v>
      </c>
      <c r="F226" s="831">
        <f t="shared" si="112"/>
        <v>0</v>
      </c>
      <c r="G226" s="831">
        <f t="shared" si="112"/>
        <v>0</v>
      </c>
      <c r="H226" s="831">
        <f t="shared" si="112"/>
        <v>4.0000000000000565E-3</v>
      </c>
      <c r="I226" s="831">
        <f t="shared" si="112"/>
        <v>2.0000000000000282E-3</v>
      </c>
      <c r="J226" s="831">
        <f t="shared" si="112"/>
        <v>0</v>
      </c>
      <c r="K226" s="831">
        <f t="shared" si="112"/>
        <v>1.2000000000000028E-2</v>
      </c>
      <c r="L226" s="831">
        <f t="shared" si="112"/>
        <v>0</v>
      </c>
      <c r="M226" s="831">
        <f t="shared" si="112"/>
        <v>9.9999999999994321E-4</v>
      </c>
      <c r="N226" s="831">
        <f t="shared" si="112"/>
        <v>-2.0000000000000282E-3</v>
      </c>
    </row>
    <row r="227" spans="2:14">
      <c r="B227" s="834">
        <v>2014</v>
      </c>
      <c r="C227" s="831">
        <f t="shared" ref="C227:N235" si="113">SUMIFS($C$61:$DV$61,$C$48:$DV$48,C$66,$C$49:$DV$49,$B227)/100</f>
        <v>9.9501118497101969E-4</v>
      </c>
      <c r="D227" s="831">
        <f t="shared" si="113"/>
        <v>4.3047913535360751E-3</v>
      </c>
      <c r="E227" s="831">
        <f t="shared" si="113"/>
        <v>1.2220201538923448E-4</v>
      </c>
      <c r="F227" s="831">
        <f t="shared" si="113"/>
        <v>1.6233765765372255E-3</v>
      </c>
      <c r="G227" s="831">
        <f t="shared" si="113"/>
        <v>3.1576815818240789E-4</v>
      </c>
      <c r="H227" s="831">
        <f t="shared" si="113"/>
        <v>9.3099389422646086E-3</v>
      </c>
      <c r="I227" s="831">
        <f t="shared" si="113"/>
        <v>1.0125613951284152E-3</v>
      </c>
      <c r="J227" s="831">
        <f t="shared" si="113"/>
        <v>1.3148528263162973E-3</v>
      </c>
      <c r="K227" s="831">
        <f t="shared" si="113"/>
        <v>2.1903958818778761E-2</v>
      </c>
      <c r="L227" s="831">
        <f t="shared" si="113"/>
        <v>3.896082775628429E-3</v>
      </c>
      <c r="M227" s="831">
        <f t="shared" si="113"/>
        <v>1.0873686092513423E-3</v>
      </c>
      <c r="N227" s="831">
        <f t="shared" si="113"/>
        <v>9.9999999999994321E-4</v>
      </c>
    </row>
    <row r="228" spans="2:14">
      <c r="B228" s="834">
        <v>2015</v>
      </c>
      <c r="C228" s="831">
        <f t="shared" si="113"/>
        <v>2.5014720060883205E-2</v>
      </c>
      <c r="D228" s="831">
        <f t="shared" si="113"/>
        <v>4.0734871559985494E-2</v>
      </c>
      <c r="E228" s="831">
        <f t="shared" si="113"/>
        <v>1.9611623803256036E-2</v>
      </c>
      <c r="F228" s="831">
        <f t="shared" si="113"/>
        <v>1.8258085014708741E-2</v>
      </c>
      <c r="G228" s="831">
        <f t="shared" si="113"/>
        <v>1.5015346948366499E-2</v>
      </c>
      <c r="H228" s="831">
        <f t="shared" si="113"/>
        <v>1.5304665579359807E-2</v>
      </c>
      <c r="I228" s="831">
        <f t="shared" si="113"/>
        <v>6.9534905237682663E-3</v>
      </c>
      <c r="J228" s="831">
        <f t="shared" si="113"/>
        <v>1.1770631280496957E-3</v>
      </c>
      <c r="K228" s="831">
        <f t="shared" si="113"/>
        <v>6.9000000000000061E-2</v>
      </c>
      <c r="L228" s="831">
        <f t="shared" si="113"/>
        <v>5.0000000000000001E-3</v>
      </c>
      <c r="M228" s="831">
        <f t="shared" si="113"/>
        <v>2.9999999999999714E-3</v>
      </c>
      <c r="N228" s="831">
        <f t="shared" si="113"/>
        <v>2.0000000000000282E-3</v>
      </c>
    </row>
    <row r="229" spans="2:14">
      <c r="B229" s="834">
        <v>2016</v>
      </c>
      <c r="C229" s="831">
        <f t="shared" si="113"/>
        <v>2.5000000000000001E-2</v>
      </c>
      <c r="D229" s="831">
        <f t="shared" si="113"/>
        <v>0.01</v>
      </c>
      <c r="E229" s="831">
        <f t="shared" si="113"/>
        <v>9.0000000000000011E-3</v>
      </c>
      <c r="F229" s="831">
        <f t="shared" si="113"/>
        <v>3.0000000000000001E-3</v>
      </c>
      <c r="G229" s="831">
        <f t="shared" si="113"/>
        <v>6.9999999999999993E-3</v>
      </c>
      <c r="H229" s="831">
        <f t="shared" si="113"/>
        <v>1.0999999999999944E-2</v>
      </c>
      <c r="I229" s="831">
        <f t="shared" si="113"/>
        <v>5.0000000000000001E-3</v>
      </c>
      <c r="J229" s="831">
        <f t="shared" si="113"/>
        <v>-2E-3</v>
      </c>
      <c r="K229" s="831">
        <f t="shared" si="113"/>
        <v>5.2999999999999999E-2</v>
      </c>
      <c r="L229" s="831">
        <f t="shared" si="113"/>
        <v>5.0000000000000001E-3</v>
      </c>
      <c r="M229" s="831">
        <f t="shared" si="113"/>
        <v>3.0000000000000001E-3</v>
      </c>
      <c r="N229" s="831">
        <f t="shared" si="113"/>
        <v>1E-3</v>
      </c>
    </row>
    <row r="230" spans="2:14">
      <c r="B230" s="834">
        <v>2017</v>
      </c>
      <c r="C230" s="831">
        <f t="shared" si="113"/>
        <v>1.1000000000000001E-2</v>
      </c>
      <c r="D230" s="831">
        <f t="shared" si="113"/>
        <v>4.0000000000000001E-3</v>
      </c>
      <c r="E230" s="831">
        <f t="shared" si="113"/>
        <v>2E-3</v>
      </c>
      <c r="F230" s="831">
        <f t="shared" si="113"/>
        <v>0</v>
      </c>
      <c r="G230" s="831">
        <f t="shared" si="113"/>
        <v>1E-3</v>
      </c>
      <c r="H230" s="831">
        <f t="shared" si="113"/>
        <v>4.0000000000000001E-3</v>
      </c>
      <c r="I230" s="831">
        <f t="shared" si="113"/>
        <v>1E-3</v>
      </c>
      <c r="J230" s="831">
        <f t="shared" si="113"/>
        <v>1E-3</v>
      </c>
      <c r="K230" s="831">
        <f t="shared" si="113"/>
        <v>0.12</v>
      </c>
      <c r="L230" s="831">
        <f t="shared" si="113"/>
        <v>2E-3</v>
      </c>
      <c r="M230" s="831">
        <f t="shared" si="113"/>
        <v>0</v>
      </c>
      <c r="N230" s="831">
        <f t="shared" si="113"/>
        <v>0</v>
      </c>
    </row>
    <row r="231" spans="2:14">
      <c r="B231" s="834">
        <v>2018</v>
      </c>
      <c r="C231" s="831">
        <f t="shared" si="113"/>
        <v>1.3999999999999999E-2</v>
      </c>
      <c r="D231" s="831">
        <f t="shared" si="113"/>
        <v>4.0000000000000001E-3</v>
      </c>
      <c r="E231" s="831">
        <f t="shared" si="113"/>
        <v>2E-3</v>
      </c>
      <c r="F231" s="831">
        <f t="shared" si="113"/>
        <v>0</v>
      </c>
      <c r="G231" s="831">
        <f t="shared" si="113"/>
        <v>0</v>
      </c>
      <c r="H231" s="831">
        <f t="shared" si="113"/>
        <v>5.0000000000000001E-3</v>
      </c>
      <c r="I231" s="831">
        <f t="shared" si="113"/>
        <v>2E-3</v>
      </c>
      <c r="J231" s="831">
        <f t="shared" si="113"/>
        <v>1E-3</v>
      </c>
      <c r="K231" s="831">
        <f t="shared" si="113"/>
        <v>0.1</v>
      </c>
      <c r="L231" s="831">
        <f t="shared" si="113"/>
        <v>1E-3</v>
      </c>
      <c r="M231" s="831">
        <f t="shared" si="113"/>
        <v>1E-3</v>
      </c>
      <c r="N231" s="831">
        <f t="shared" si="113"/>
        <v>1E-3</v>
      </c>
    </row>
    <row r="232" spans="2:14">
      <c r="B232" s="834">
        <v>2019</v>
      </c>
      <c r="C232" s="831">
        <f t="shared" si="113"/>
        <v>1.3999999999999999E-2</v>
      </c>
      <c r="D232" s="831">
        <f t="shared" si="113"/>
        <v>4.0000000000000001E-3</v>
      </c>
      <c r="E232" s="831">
        <f t="shared" si="113"/>
        <v>1E-3</v>
      </c>
      <c r="F232" s="831">
        <f t="shared" si="113"/>
        <v>0</v>
      </c>
      <c r="G232" s="831">
        <f t="shared" si="113"/>
        <v>0</v>
      </c>
      <c r="H232" s="831">
        <f t="shared" si="113"/>
        <v>4.0000000000000001E-3</v>
      </c>
      <c r="I232" s="831">
        <f t="shared" si="113"/>
        <v>2E-3</v>
      </c>
      <c r="J232" s="831">
        <f t="shared" si="113"/>
        <v>3.0000000000000001E-3</v>
      </c>
      <c r="K232" s="831">
        <f t="shared" si="113"/>
        <v>9.9000000000000005E-2</v>
      </c>
      <c r="L232" s="831">
        <f t="shared" si="113"/>
        <v>4.0000000000000001E-3</v>
      </c>
      <c r="M232" s="831">
        <f t="shared" si="113"/>
        <v>0</v>
      </c>
      <c r="N232" s="831">
        <f t="shared" si="113"/>
        <v>0</v>
      </c>
    </row>
    <row r="233" spans="2:14">
      <c r="B233" s="834">
        <v>2020</v>
      </c>
      <c r="C233" s="831">
        <f t="shared" si="113"/>
        <v>1.3999999999999999E-2</v>
      </c>
      <c r="D233" s="831">
        <f t="shared" si="113"/>
        <v>3.0000000000000001E-3</v>
      </c>
      <c r="E233" s="831">
        <f t="shared" si="113"/>
        <v>2E-3</v>
      </c>
      <c r="F233" s="831">
        <f t="shared" si="113"/>
        <v>0</v>
      </c>
      <c r="G233" s="831">
        <f t="shared" si="113"/>
        <v>0</v>
      </c>
      <c r="H233" s="831">
        <f t="shared" si="113"/>
        <v>3.0000000000000001E-3</v>
      </c>
      <c r="I233" s="831">
        <f t="shared" si="113"/>
        <v>1E-3</v>
      </c>
      <c r="J233" s="831">
        <f t="shared" si="113"/>
        <v>1E-3</v>
      </c>
      <c r="K233" s="831">
        <f t="shared" si="113"/>
        <v>0.11</v>
      </c>
      <c r="L233" s="831">
        <f t="shared" si="113"/>
        <v>1E-3</v>
      </c>
      <c r="M233" s="831">
        <f t="shared" si="113"/>
        <v>1E-3</v>
      </c>
      <c r="N233" s="831">
        <f t="shared" si="113"/>
        <v>0</v>
      </c>
    </row>
    <row r="234" spans="2:14">
      <c r="B234" s="834">
        <v>2021</v>
      </c>
      <c r="C234" s="831">
        <f t="shared" si="113"/>
        <v>1.2E-2</v>
      </c>
      <c r="D234" s="831">
        <f t="shared" si="113"/>
        <v>6.0000000000000001E-3</v>
      </c>
      <c r="E234" s="831">
        <f t="shared" si="113"/>
        <v>3.0000000000000001E-3</v>
      </c>
      <c r="F234" s="831">
        <f t="shared" si="113"/>
        <v>3.0000000000000001E-3</v>
      </c>
      <c r="G234" s="831">
        <f t="shared" si="113"/>
        <v>2E-3</v>
      </c>
      <c r="H234" s="831">
        <f t="shared" si="113"/>
        <v>3.0000000000000001E-3</v>
      </c>
      <c r="I234" s="831">
        <f t="shared" si="113"/>
        <v>0</v>
      </c>
      <c r="J234" s="831">
        <f t="shared" si="113"/>
        <v>1E-3</v>
      </c>
      <c r="K234" s="831">
        <f t="shared" si="113"/>
        <v>0.13200000000000001</v>
      </c>
      <c r="L234" s="831">
        <f t="shared" si="113"/>
        <v>1E-3</v>
      </c>
      <c r="M234" s="831">
        <f t="shared" si="113"/>
        <v>1E-3</v>
      </c>
      <c r="N234" s="831">
        <f t="shared" si="113"/>
        <v>1E-3</v>
      </c>
    </row>
    <row r="235" spans="2:14">
      <c r="B235" s="834">
        <v>2022</v>
      </c>
      <c r="C235" s="831">
        <f t="shared" si="113"/>
        <v>1.6E-2</v>
      </c>
      <c r="D235" s="831">
        <f t="shared" si="113"/>
        <v>2E-3</v>
      </c>
      <c r="E235" s="831">
        <f t="shared" si="113"/>
        <v>0</v>
      </c>
      <c r="F235" s="831">
        <f t="shared" si="113"/>
        <v>1E-3</v>
      </c>
      <c r="G235" s="831">
        <f t="shared" si="113"/>
        <v>0</v>
      </c>
      <c r="H235" s="831">
        <f t="shared" si="113"/>
        <v>1E-3</v>
      </c>
      <c r="I235" s="831">
        <f t="shared" si="113"/>
        <v>1E-3</v>
      </c>
      <c r="J235" s="831">
        <f t="shared" si="113"/>
        <v>2E-3</v>
      </c>
      <c r="K235" s="831">
        <f t="shared" si="113"/>
        <v>7.0979999999999988E-2</v>
      </c>
      <c r="L235" s="831">
        <f t="shared" si="113"/>
        <v>2E-3</v>
      </c>
      <c r="M235" s="831">
        <f t="shared" si="113"/>
        <v>0</v>
      </c>
      <c r="N235" s="831">
        <f t="shared" si="113"/>
        <v>0</v>
      </c>
    </row>
    <row r="236" spans="2:14" ht="18">
      <c r="B236" s="833">
        <v>2023</v>
      </c>
      <c r="C236" s="831">
        <f>SUMIFS($C$61:$ED$61,$C$48:$ED$48,C$66,$C$49:$ED$49,$B236)/100</f>
        <v>1.1000000000000001E-2</v>
      </c>
      <c r="D236" s="831">
        <f t="shared" ref="D236:M236" si="114">SUMIFS($C$61:$ED$61,$C$48:$ED$48,D$66,$C$49:$ED$49,$B236)/100</f>
        <v>3.0000000000000001E-3</v>
      </c>
      <c r="E236" s="831">
        <f t="shared" si="114"/>
        <v>2E-3</v>
      </c>
      <c r="F236" s="831">
        <f t="shared" si="114"/>
        <v>1E-3</v>
      </c>
      <c r="G236" s="831">
        <f t="shared" si="114"/>
        <v>0</v>
      </c>
      <c r="H236" s="831">
        <f t="shared" si="114"/>
        <v>1E-3</v>
      </c>
      <c r="I236" s="831">
        <f t="shared" si="114"/>
        <v>4.0000000000000001E-3</v>
      </c>
      <c r="J236" s="831">
        <f t="shared" si="114"/>
        <v>1E-3</v>
      </c>
      <c r="K236" s="831">
        <f t="shared" si="114"/>
        <v>9.900000000000006E-2</v>
      </c>
      <c r="L236" s="831">
        <f t="shared" si="114"/>
        <v>2E-3</v>
      </c>
      <c r="M236" s="831">
        <f t="shared" si="114"/>
        <v>0</v>
      </c>
      <c r="N236" s="549">
        <f>AVERAGE(N234:N235)</f>
        <v>5.0000000000000001E-4</v>
      </c>
    </row>
    <row r="237" spans="2:14">
      <c r="C237" s="872">
        <f t="shared" ref="C237:J237" si="115">C236/C235</f>
        <v>0.6875</v>
      </c>
      <c r="D237" s="872">
        <f t="shared" si="115"/>
        <v>1.5</v>
      </c>
      <c r="E237" s="872" t="e">
        <f t="shared" si="115"/>
        <v>#DIV/0!</v>
      </c>
      <c r="F237" s="872">
        <f t="shared" si="115"/>
        <v>1</v>
      </c>
      <c r="G237" s="872" t="e">
        <f t="shared" si="115"/>
        <v>#DIV/0!</v>
      </c>
      <c r="H237" s="872">
        <f t="shared" si="115"/>
        <v>1</v>
      </c>
      <c r="I237" s="872">
        <f t="shared" si="115"/>
        <v>4</v>
      </c>
      <c r="J237" s="872">
        <f t="shared" si="115"/>
        <v>0.5</v>
      </c>
    </row>
    <row r="241" spans="2:14" ht="15.75">
      <c r="B241" s="821" t="s">
        <v>1469</v>
      </c>
      <c r="C241" s="832">
        <v>1</v>
      </c>
      <c r="D241" s="832">
        <v>2</v>
      </c>
      <c r="E241" s="832">
        <v>3</v>
      </c>
      <c r="F241" s="832">
        <v>4</v>
      </c>
      <c r="G241" s="832">
        <v>5</v>
      </c>
      <c r="H241" s="832">
        <v>6</v>
      </c>
      <c r="I241" s="832">
        <v>7</v>
      </c>
      <c r="J241" s="832">
        <v>8</v>
      </c>
      <c r="K241" s="832">
        <v>9</v>
      </c>
      <c r="L241" s="832">
        <v>10</v>
      </c>
      <c r="M241" s="832">
        <v>11</v>
      </c>
      <c r="N241" s="832">
        <v>12</v>
      </c>
    </row>
    <row r="242" spans="2:14">
      <c r="B242" s="834">
        <v>2013</v>
      </c>
      <c r="C242" s="831">
        <f>SUMIFS($C$62:$DV$62,$C$48:$DV$48,C$66,$C$49:$DV$49,$B242)/100</f>
        <v>9.9999999999994321E-4</v>
      </c>
      <c r="D242" s="831">
        <f t="shared" ref="D242:N242" si="116">SUMIFS($C$62:$DV$62,$C$48:$DV$48,D$66,$C$49:$DV$49,$B242)/100</f>
        <v>9.9999999999994321E-4</v>
      </c>
      <c r="E242" s="831">
        <f t="shared" si="116"/>
        <v>9.9999999999994321E-4</v>
      </c>
      <c r="F242" s="831">
        <f t="shared" si="116"/>
        <v>2.0000000000000282E-3</v>
      </c>
      <c r="G242" s="831">
        <f t="shared" si="116"/>
        <v>2.0000000000000282E-3</v>
      </c>
      <c r="H242" s="831">
        <f t="shared" si="116"/>
        <v>4.0000000000000565E-3</v>
      </c>
      <c r="I242" s="831">
        <f t="shared" si="116"/>
        <v>4.0000000000000565E-3</v>
      </c>
      <c r="J242" s="831">
        <f t="shared" si="116"/>
        <v>0</v>
      </c>
      <c r="K242" s="831">
        <f t="shared" si="116"/>
        <v>-9.9999999999994321E-4</v>
      </c>
      <c r="L242" s="831">
        <f t="shared" si="116"/>
        <v>-9.9999999999994321E-4</v>
      </c>
      <c r="M242" s="831">
        <f t="shared" si="116"/>
        <v>0</v>
      </c>
      <c r="N242" s="831">
        <f t="shared" si="116"/>
        <v>9.9999999999994321E-4</v>
      </c>
    </row>
    <row r="243" spans="2:14">
      <c r="B243" s="834">
        <v>2014</v>
      </c>
      <c r="C243" s="831">
        <f t="shared" ref="C243:N251" si="117">SUMIFS($C$62:$DV$62,$C$48:$DV$48,C$66,$C$49:$DV$49,$B243)/100</f>
        <v>2.2314054908733282E-4</v>
      </c>
      <c r="D243" s="831">
        <f t="shared" si="117"/>
        <v>4.9472505623369047E-3</v>
      </c>
      <c r="E243" s="831">
        <f t="shared" si="117"/>
        <v>7.6725503797592867E-3</v>
      </c>
      <c r="F243" s="831">
        <f t="shared" si="117"/>
        <v>1.3417157415008773E-2</v>
      </c>
      <c r="G243" s="831">
        <f t="shared" si="117"/>
        <v>1.1944204836632081E-2</v>
      </c>
      <c r="H243" s="831">
        <f t="shared" si="117"/>
        <v>1.5357606378331638E-2</v>
      </c>
      <c r="I243" s="831">
        <f t="shared" si="117"/>
        <v>1.3456282677434501E-2</v>
      </c>
      <c r="J243" s="831">
        <f t="shared" si="117"/>
        <v>9.1205543403567908E-3</v>
      </c>
      <c r="K243" s="831">
        <f t="shared" si="117"/>
        <v>5.3106999303666668E-3</v>
      </c>
      <c r="L243" s="831">
        <f t="shared" si="117"/>
        <v>2.0256083038250806E-2</v>
      </c>
      <c r="M243" s="831">
        <f t="shared" si="117"/>
        <v>1.4973770367715957E-2</v>
      </c>
      <c r="N243" s="831">
        <f t="shared" si="117"/>
        <v>1.7000000000000029E-2</v>
      </c>
    </row>
    <row r="244" spans="2:14">
      <c r="B244" s="834">
        <v>2015</v>
      </c>
      <c r="C244" s="831">
        <f t="shared" si="117"/>
        <v>1.4676559623910066E-2</v>
      </c>
      <c r="D244" s="831">
        <f t="shared" si="117"/>
        <v>2.5283204798683984E-2</v>
      </c>
      <c r="E244" s="831">
        <f t="shared" si="117"/>
        <v>6.2922009234851542E-2</v>
      </c>
      <c r="F244" s="831">
        <f t="shared" si="117"/>
        <v>2.9133456224992357E-2</v>
      </c>
      <c r="G244" s="831">
        <f t="shared" si="117"/>
        <v>1.5036396305700351E-2</v>
      </c>
      <c r="H244" s="831">
        <f t="shared" si="117"/>
        <v>1.3843999819262508E-2</v>
      </c>
      <c r="I244" s="831">
        <f t="shared" si="117"/>
        <v>1.3999890924044252E-2</v>
      </c>
      <c r="J244" s="831">
        <f t="shared" si="117"/>
        <v>6.2021620201717555E-3</v>
      </c>
      <c r="K244" s="831">
        <f t="shared" si="117"/>
        <v>4.0000000000000565E-3</v>
      </c>
      <c r="L244" s="831">
        <f t="shared" si="117"/>
        <v>1.2000000000000028E-2</v>
      </c>
      <c r="M244" s="831">
        <f t="shared" si="117"/>
        <v>7.0000000000000288E-3</v>
      </c>
      <c r="N244" s="831">
        <f t="shared" si="117"/>
        <v>9.0000000000000566E-3</v>
      </c>
    </row>
    <row r="245" spans="2:14">
      <c r="B245" s="834">
        <v>2016</v>
      </c>
      <c r="C245" s="831">
        <f t="shared" si="117"/>
        <v>1.0999999999999944E-2</v>
      </c>
      <c r="D245" s="831">
        <f t="shared" si="117"/>
        <v>1.2999999999999972E-2</v>
      </c>
      <c r="E245" s="831">
        <f t="shared" si="117"/>
        <v>6.9999999999999993E-3</v>
      </c>
      <c r="F245" s="831">
        <f t="shared" si="117"/>
        <v>8.0000000000000002E-3</v>
      </c>
      <c r="G245" s="831">
        <f t="shared" si="117"/>
        <v>4.0000000000000001E-3</v>
      </c>
      <c r="H245" s="831">
        <f t="shared" si="117"/>
        <v>9.0000000000000566E-3</v>
      </c>
      <c r="I245" s="831">
        <f t="shared" si="117"/>
        <v>1.3000000000000001E-2</v>
      </c>
      <c r="J245" s="831">
        <f t="shared" si="117"/>
        <v>6.0000000000000001E-3</v>
      </c>
      <c r="K245" s="831">
        <f t="shared" si="117"/>
        <v>0</v>
      </c>
      <c r="L245" s="831">
        <f t="shared" si="117"/>
        <v>1.9E-2</v>
      </c>
      <c r="M245" s="831">
        <f t="shared" si="117"/>
        <v>6.9999999999999993E-3</v>
      </c>
      <c r="N245" s="831">
        <f t="shared" si="117"/>
        <v>8.0000000000000002E-3</v>
      </c>
    </row>
    <row r="246" spans="2:14">
      <c r="B246" s="834">
        <v>2017</v>
      </c>
      <c r="C246" s="831">
        <f t="shared" si="117"/>
        <v>1.6E-2</v>
      </c>
      <c r="D246" s="831">
        <f t="shared" si="117"/>
        <v>1.2E-2</v>
      </c>
      <c r="E246" s="831">
        <f t="shared" si="117"/>
        <v>9.0000000000000011E-3</v>
      </c>
      <c r="F246" s="831">
        <f t="shared" si="117"/>
        <v>9.0000000000000011E-3</v>
      </c>
      <c r="G246" s="831">
        <f t="shared" si="117"/>
        <v>8.0000000000000002E-3</v>
      </c>
      <c r="H246" s="831">
        <f t="shared" si="117"/>
        <v>1.4999999999999999E-2</v>
      </c>
      <c r="I246" s="831">
        <f t="shared" si="117"/>
        <v>1.6E-2</v>
      </c>
      <c r="J246" s="831">
        <f t="shared" si="117"/>
        <v>1.1000000000000001E-2</v>
      </c>
      <c r="K246" s="831">
        <f t="shared" si="117"/>
        <v>1.3999999999999999E-2</v>
      </c>
      <c r="L246" s="831">
        <f t="shared" si="117"/>
        <v>1.9E-2</v>
      </c>
      <c r="M246" s="831">
        <f t="shared" si="117"/>
        <v>1.3999999999999999E-2</v>
      </c>
      <c r="N246" s="831">
        <f t="shared" si="117"/>
        <v>1.8000000000000002E-2</v>
      </c>
    </row>
    <row r="247" spans="2:14">
      <c r="B247" s="834">
        <v>2018</v>
      </c>
      <c r="C247" s="831">
        <f t="shared" si="117"/>
        <v>1.3000000000000001E-2</v>
      </c>
      <c r="D247" s="831">
        <f t="shared" si="117"/>
        <v>1.1000000000000001E-2</v>
      </c>
      <c r="E247" s="831">
        <f t="shared" si="117"/>
        <v>9.0000000000000011E-3</v>
      </c>
      <c r="F247" s="831">
        <f t="shared" si="117"/>
        <v>1.1000000000000001E-2</v>
      </c>
      <c r="G247" s="831">
        <f t="shared" si="117"/>
        <v>2E-3</v>
      </c>
      <c r="H247" s="831">
        <f t="shared" si="117"/>
        <v>1.1000000000000001E-2</v>
      </c>
      <c r="I247" s="831">
        <f t="shared" si="117"/>
        <v>0.01</v>
      </c>
      <c r="J247" s="831">
        <f t="shared" si="117"/>
        <v>6.0000000000000001E-3</v>
      </c>
      <c r="K247" s="831">
        <f t="shared" si="117"/>
        <v>5.0000000000000001E-3</v>
      </c>
      <c r="L247" s="831">
        <f t="shared" si="117"/>
        <v>2.3E-2</v>
      </c>
      <c r="M247" s="831">
        <f t="shared" si="117"/>
        <v>0.01</v>
      </c>
      <c r="N247" s="831">
        <f t="shared" si="117"/>
        <v>1.2E-2</v>
      </c>
    </row>
    <row r="248" spans="2:14">
      <c r="B248" s="834">
        <v>2019</v>
      </c>
      <c r="C248" s="831">
        <f t="shared" si="117"/>
        <v>8.0000000000000002E-3</v>
      </c>
      <c r="D248" s="831">
        <f t="shared" si="117"/>
        <v>6.9999999999999993E-3</v>
      </c>
      <c r="E248" s="831">
        <f t="shared" si="117"/>
        <v>6.9999999999999993E-3</v>
      </c>
      <c r="F248" s="831">
        <f t="shared" si="117"/>
        <v>8.0000000000000002E-3</v>
      </c>
      <c r="G248" s="831">
        <f t="shared" si="117"/>
        <v>4.0000000000000001E-3</v>
      </c>
      <c r="H248" s="831">
        <f t="shared" si="117"/>
        <v>0.01</v>
      </c>
      <c r="I248" s="831">
        <f t="shared" si="117"/>
        <v>1.1000000000000001E-2</v>
      </c>
      <c r="J248" s="831">
        <f t="shared" si="117"/>
        <v>6.0000000000000001E-3</v>
      </c>
      <c r="K248" s="831">
        <f t="shared" si="117"/>
        <v>2E-3</v>
      </c>
      <c r="L248" s="831">
        <f t="shared" si="117"/>
        <v>1.1000000000000001E-2</v>
      </c>
      <c r="M248" s="831">
        <f t="shared" si="117"/>
        <v>6.9999999999999993E-3</v>
      </c>
      <c r="N248" s="831">
        <f t="shared" si="117"/>
        <v>4.0000000000000001E-3</v>
      </c>
    </row>
    <row r="249" spans="2:14">
      <c r="B249" s="834">
        <v>2020</v>
      </c>
      <c r="C249" s="831">
        <f t="shared" si="117"/>
        <v>6.0000000000000001E-3</v>
      </c>
      <c r="D249" s="831">
        <f t="shared" si="117"/>
        <v>6.0000000000000001E-3</v>
      </c>
      <c r="E249" s="831">
        <f t="shared" si="117"/>
        <v>2E-3</v>
      </c>
      <c r="F249" s="831">
        <f t="shared" si="117"/>
        <v>0</v>
      </c>
      <c r="G249" s="831">
        <f t="shared" si="117"/>
        <v>3.0000000000000001E-3</v>
      </c>
      <c r="H249" s="831">
        <f t="shared" si="117"/>
        <v>-2E-3</v>
      </c>
      <c r="I249" s="831">
        <f t="shared" si="117"/>
        <v>0.01</v>
      </c>
      <c r="J249" s="831">
        <f t="shared" si="117"/>
        <v>1E-3</v>
      </c>
      <c r="K249" s="831">
        <f t="shared" si="117"/>
        <v>-6.9999999999999993E-3</v>
      </c>
      <c r="L249" s="831">
        <f t="shared" si="117"/>
        <v>1.1000000000000001E-2</v>
      </c>
      <c r="M249" s="831">
        <f t="shared" si="117"/>
        <v>3.0000000000000001E-3</v>
      </c>
      <c r="N249" s="831">
        <f t="shared" si="117"/>
        <v>4.0000000000000001E-3</v>
      </c>
    </row>
    <row r="250" spans="2:14">
      <c r="B250" s="834">
        <v>2021</v>
      </c>
      <c r="C250" s="831">
        <f t="shared" si="117"/>
        <v>3.0000000000000001E-3</v>
      </c>
      <c r="D250" s="831">
        <f t="shared" si="117"/>
        <v>9.0000000000000011E-3</v>
      </c>
      <c r="E250" s="831">
        <f t="shared" si="117"/>
        <v>8.0000000000000002E-3</v>
      </c>
      <c r="F250" s="831">
        <f t="shared" si="117"/>
        <v>6.0000000000000001E-3</v>
      </c>
      <c r="G250" s="831">
        <f t="shared" si="117"/>
        <v>0</v>
      </c>
      <c r="H250" s="831">
        <f t="shared" si="117"/>
        <v>1.1000000000000001E-2</v>
      </c>
      <c r="I250" s="831">
        <f t="shared" si="117"/>
        <v>1.2E-2</v>
      </c>
      <c r="J250" s="831">
        <f t="shared" si="117"/>
        <v>5.0000000000000001E-3</v>
      </c>
      <c r="K250" s="831">
        <f t="shared" si="117"/>
        <v>0</v>
      </c>
      <c r="L250" s="831">
        <f t="shared" si="117"/>
        <v>1.4999999999999999E-2</v>
      </c>
      <c r="M250" s="831">
        <f t="shared" si="117"/>
        <v>0.01</v>
      </c>
      <c r="N250" s="831">
        <f t="shared" si="117"/>
        <v>8.0000000000000002E-3</v>
      </c>
    </row>
    <row r="251" spans="2:14">
      <c r="B251" s="834">
        <v>2022</v>
      </c>
      <c r="C251" s="831">
        <f t="shared" si="117"/>
        <v>9.0000000000000011E-3</v>
      </c>
      <c r="D251" s="831">
        <f t="shared" si="117"/>
        <v>1.3000000000000001E-2</v>
      </c>
      <c r="E251" s="831">
        <f t="shared" si="117"/>
        <v>1.7000000000000001E-2</v>
      </c>
      <c r="F251" s="831">
        <f t="shared" si="117"/>
        <v>1.6E-2</v>
      </c>
      <c r="G251" s="831">
        <f t="shared" si="117"/>
        <v>3.1E-2</v>
      </c>
      <c r="H251" s="831">
        <f t="shared" si="117"/>
        <v>1.3000000000000001E-2</v>
      </c>
      <c r="I251" s="831">
        <f t="shared" si="117"/>
        <v>1.6E-2</v>
      </c>
      <c r="J251" s="831">
        <f t="shared" si="117"/>
        <v>1.2E-2</v>
      </c>
      <c r="K251" s="831">
        <f t="shared" si="117"/>
        <v>1.6889999999999929E-2</v>
      </c>
      <c r="L251" s="831">
        <f t="shared" si="117"/>
        <v>2.4E-2</v>
      </c>
      <c r="M251" s="831">
        <f t="shared" si="117"/>
        <v>2.3E-2</v>
      </c>
      <c r="N251" s="831">
        <f t="shared" si="117"/>
        <v>1.3999999999999999E-2</v>
      </c>
    </row>
    <row r="252" spans="2:14" ht="18">
      <c r="B252" s="833">
        <v>2023</v>
      </c>
      <c r="C252" s="831">
        <f>SUMIFS($C$62:$ED$62,$C$48:$ED$48,C$66,$C$49:$ED$49,$B252)/100</f>
        <v>1.6E-2</v>
      </c>
      <c r="D252" s="831">
        <f t="shared" ref="D252:M252" si="118">SUMIFS($C$62:$ED$62,$C$48:$ED$48,D$66,$C$49:$ED$49,$B252)/100</f>
        <v>0.01</v>
      </c>
      <c r="E252" s="831">
        <f t="shared" si="118"/>
        <v>1.1000000000000001E-2</v>
      </c>
      <c r="F252" s="831">
        <f t="shared" si="118"/>
        <v>1.3000000000000001E-2</v>
      </c>
      <c r="G252" s="831">
        <f t="shared" si="118"/>
        <v>0.01</v>
      </c>
      <c r="H252" s="831">
        <f t="shared" si="118"/>
        <v>0.01</v>
      </c>
      <c r="I252" s="831">
        <f t="shared" si="118"/>
        <v>1.1000000000000001E-2</v>
      </c>
      <c r="J252" s="831">
        <f t="shared" si="118"/>
        <v>8.0000000000000002E-3</v>
      </c>
      <c r="K252" s="831">
        <f t="shared" si="118"/>
        <v>7.0000000000000288E-3</v>
      </c>
      <c r="L252" s="831">
        <f t="shared" si="118"/>
        <v>1.1000000000000001E-2</v>
      </c>
      <c r="M252" s="831">
        <f t="shared" si="118"/>
        <v>9.0000000000000011E-3</v>
      </c>
      <c r="N252" s="549">
        <f>AVERAGE(N250:N251)</f>
        <v>1.0999999999999999E-2</v>
      </c>
    </row>
    <row r="253" spans="2:14">
      <c r="C253" s="872">
        <f t="shared" ref="C253:J253" si="119">C252/C251</f>
        <v>1.7777777777777777</v>
      </c>
      <c r="D253" s="872">
        <f t="shared" si="119"/>
        <v>0.76923076923076916</v>
      </c>
      <c r="E253" s="872">
        <f t="shared" si="119"/>
        <v>0.6470588235294118</v>
      </c>
      <c r="F253" s="872">
        <f t="shared" si="119"/>
        <v>0.8125</v>
      </c>
      <c r="G253" s="872">
        <f t="shared" si="119"/>
        <v>0.32258064516129031</v>
      </c>
      <c r="H253" s="872">
        <f t="shared" si="119"/>
        <v>0.76923076923076916</v>
      </c>
      <c r="I253" s="872">
        <f t="shared" si="119"/>
        <v>0.6875</v>
      </c>
      <c r="J253" s="872">
        <f t="shared" si="119"/>
        <v>0.66666666666666663</v>
      </c>
    </row>
    <row r="257" spans="2:14" ht="16.5" thickBot="1">
      <c r="B257" s="822" t="s">
        <v>1492</v>
      </c>
      <c r="C257" s="832">
        <v>1</v>
      </c>
      <c r="D257" s="832">
        <v>2</v>
      </c>
      <c r="E257" s="832">
        <v>3</v>
      </c>
      <c r="F257" s="832">
        <v>4</v>
      </c>
      <c r="G257" s="832">
        <v>5</v>
      </c>
      <c r="H257" s="832">
        <v>6</v>
      </c>
      <c r="I257" s="832">
        <v>7</v>
      </c>
      <c r="J257" s="832">
        <v>8</v>
      </c>
      <c r="K257" s="832">
        <v>9</v>
      </c>
      <c r="L257" s="832">
        <v>10</v>
      </c>
      <c r="M257" s="832">
        <v>11</v>
      </c>
      <c r="N257" s="832">
        <v>12</v>
      </c>
    </row>
    <row r="258" spans="2:14" ht="13.5" thickTop="1">
      <c r="B258" s="834">
        <v>2013</v>
      </c>
      <c r="C258" s="831">
        <f>SUMIFS($C$63:$DV$63,$C$48:$DV$48,C$66,$C$49:$DV$49,$B258)/100</f>
        <v>7.9999999999999724E-3</v>
      </c>
      <c r="D258" s="831">
        <f t="shared" ref="D258:N258" si="120">SUMIFS($C$63:$DV$63,$C$48:$DV$48,D$66,$C$49:$DV$49,$B258)/100</f>
        <v>9.9999999999994321E-4</v>
      </c>
      <c r="E258" s="831">
        <f t="shared" si="120"/>
        <v>9.9999999999994321E-4</v>
      </c>
      <c r="F258" s="831">
        <f t="shared" si="120"/>
        <v>-1.2999999999999972E-2</v>
      </c>
      <c r="G258" s="831">
        <f t="shared" si="120"/>
        <v>-4.0000000000000565E-3</v>
      </c>
      <c r="H258" s="831">
        <f t="shared" si="120"/>
        <v>2.0000000000000282E-3</v>
      </c>
      <c r="I258" s="831">
        <f t="shared" si="120"/>
        <v>2.0000000000000282E-3</v>
      </c>
      <c r="J258" s="831">
        <f t="shared" si="120"/>
        <v>0</v>
      </c>
      <c r="K258" s="831">
        <f t="shared" si="120"/>
        <v>2.0000000000000282E-3</v>
      </c>
      <c r="L258" s="831">
        <f t="shared" si="120"/>
        <v>2.0000000000000282E-3</v>
      </c>
      <c r="M258" s="831">
        <f t="shared" si="120"/>
        <v>5.0000000000000001E-3</v>
      </c>
      <c r="N258" s="831">
        <f t="shared" si="120"/>
        <v>1.9000000000000059E-2</v>
      </c>
    </row>
    <row r="259" spans="2:14">
      <c r="B259" s="834">
        <v>2014</v>
      </c>
      <c r="C259" s="831">
        <f t="shared" ref="C259:N267" si="121">SUMIFS($C$63:$DV$63,$C$48:$DV$48,C$66,$C$49:$DV$49,$B259)/100</f>
        <v>4.248458155486929E-3</v>
      </c>
      <c r="D259" s="831">
        <f t="shared" si="121"/>
        <v>2.7009607991872998E-3</v>
      </c>
      <c r="E259" s="831">
        <f t="shared" si="121"/>
        <v>1.4282551654798681E-3</v>
      </c>
      <c r="F259" s="831">
        <f t="shared" si="121"/>
        <v>5.8140440059261779E-3</v>
      </c>
      <c r="G259" s="831">
        <f t="shared" si="121"/>
        <v>2.5100195037407645E-2</v>
      </c>
      <c r="H259" s="831">
        <f t="shared" si="121"/>
        <v>3.2044152432347629E-2</v>
      </c>
      <c r="I259" s="831">
        <f t="shared" si="121"/>
        <v>1.9831343445173389E-2</v>
      </c>
      <c r="J259" s="831">
        <f t="shared" si="121"/>
        <v>1.3644605177164379E-2</v>
      </c>
      <c r="K259" s="831">
        <f t="shared" si="121"/>
        <v>1.8624760030552068E-2</v>
      </c>
      <c r="L259" s="831">
        <f t="shared" si="121"/>
        <v>2.6094422083958905E-2</v>
      </c>
      <c r="M259" s="831">
        <f t="shared" si="121"/>
        <v>2.8823262319376111E-2</v>
      </c>
      <c r="N259" s="831">
        <f t="shared" si="121"/>
        <v>4.2999999999999969E-2</v>
      </c>
    </row>
    <row r="260" spans="2:14">
      <c r="B260" s="834">
        <v>2015</v>
      </c>
      <c r="C260" s="831">
        <f t="shared" si="121"/>
        <v>2.4686949561578474E-2</v>
      </c>
      <c r="D260" s="831">
        <f t="shared" si="121"/>
        <v>3.6185293511399833E-2</v>
      </c>
      <c r="E260" s="831">
        <f t="shared" si="121"/>
        <v>5.7964182366616657E-2</v>
      </c>
      <c r="F260" s="831">
        <f t="shared" si="121"/>
        <v>4.8686625350449188E-2</v>
      </c>
      <c r="G260" s="831">
        <f t="shared" si="121"/>
        <v>4.2803969194822142E-2</v>
      </c>
      <c r="H260" s="831">
        <f t="shared" si="121"/>
        <v>1.1553421277108669E-2</v>
      </c>
      <c r="I260" s="831">
        <f t="shared" si="121"/>
        <v>9.9768221676998798E-3</v>
      </c>
      <c r="J260" s="831">
        <f t="shared" si="121"/>
        <v>5.9481245063315669E-3</v>
      </c>
      <c r="K260" s="831">
        <f t="shared" si="121"/>
        <v>9.0000000000000566E-3</v>
      </c>
      <c r="L260" s="831">
        <f t="shared" si="121"/>
        <v>7.9999999999999724E-3</v>
      </c>
      <c r="M260" s="831">
        <f t="shared" si="121"/>
        <v>1.0999999999999944E-2</v>
      </c>
      <c r="N260" s="831">
        <f t="shared" si="121"/>
        <v>1.0999999999999944E-2</v>
      </c>
    </row>
    <row r="261" spans="2:14">
      <c r="B261" s="834">
        <v>2016</v>
      </c>
      <c r="C261" s="831">
        <f t="shared" si="121"/>
        <v>7.0000000000000288E-3</v>
      </c>
      <c r="D261" s="831">
        <f t="shared" si="121"/>
        <v>2.9999999999999714E-3</v>
      </c>
      <c r="E261" s="831">
        <f t="shared" si="121"/>
        <v>0</v>
      </c>
      <c r="F261" s="831">
        <f t="shared" si="121"/>
        <v>-0.01</v>
      </c>
      <c r="G261" s="831">
        <f t="shared" si="121"/>
        <v>3.0000000000000001E-3</v>
      </c>
      <c r="H261" s="831">
        <f t="shared" si="121"/>
        <v>4.0000000000000565E-3</v>
      </c>
      <c r="I261" s="831">
        <f t="shared" si="121"/>
        <v>5.0000000000000001E-3</v>
      </c>
      <c r="J261" s="831">
        <f t="shared" si="121"/>
        <v>4.0000000000000001E-3</v>
      </c>
      <c r="K261" s="831">
        <f t="shared" si="121"/>
        <v>5.0000000000000001E-3</v>
      </c>
      <c r="L261" s="831">
        <f t="shared" si="121"/>
        <v>9.0000000000000011E-3</v>
      </c>
      <c r="M261" s="831">
        <f t="shared" si="121"/>
        <v>1.3000000000000001E-2</v>
      </c>
      <c r="N261" s="831">
        <f t="shared" si="121"/>
        <v>1.3999999999999999E-2</v>
      </c>
    </row>
    <row r="262" spans="2:14">
      <c r="B262" s="834">
        <v>2017</v>
      </c>
      <c r="C262" s="831">
        <f t="shared" si="121"/>
        <v>6.9999999999999993E-3</v>
      </c>
      <c r="D262" s="831">
        <f t="shared" si="121"/>
        <v>8.0000000000000002E-3</v>
      </c>
      <c r="E262" s="831">
        <f t="shared" si="121"/>
        <v>-4.0000000000000001E-3</v>
      </c>
      <c r="F262" s="831">
        <f t="shared" si="121"/>
        <v>-1.9E-2</v>
      </c>
      <c r="G262" s="831">
        <f t="shared" si="121"/>
        <v>-1E-3</v>
      </c>
      <c r="H262" s="831">
        <f t="shared" si="121"/>
        <v>6.9999999999999993E-3</v>
      </c>
      <c r="I262" s="831">
        <f t="shared" si="121"/>
        <v>3.0000000000000001E-3</v>
      </c>
      <c r="J262" s="831">
        <f t="shared" si="121"/>
        <v>4.0000000000000001E-3</v>
      </c>
      <c r="K262" s="831">
        <f t="shared" si="121"/>
        <v>8.0000000000000002E-3</v>
      </c>
      <c r="L262" s="831">
        <f t="shared" si="121"/>
        <v>2E-3</v>
      </c>
      <c r="M262" s="831">
        <f t="shared" si="121"/>
        <v>2.7999999999999997E-2</v>
      </c>
      <c r="N262" s="831">
        <f t="shared" si="121"/>
        <v>3.1E-2</v>
      </c>
    </row>
    <row r="263" spans="2:14">
      <c r="B263" s="834">
        <v>2018</v>
      </c>
      <c r="C263" s="831">
        <f t="shared" si="121"/>
        <v>1.1000000000000001E-2</v>
      </c>
      <c r="D263" s="831">
        <f t="shared" si="121"/>
        <v>8.0000000000000002E-3</v>
      </c>
      <c r="E263" s="831">
        <f t="shared" si="121"/>
        <v>8.0000000000000002E-3</v>
      </c>
      <c r="F263" s="831">
        <f t="shared" si="121"/>
        <v>-1.9E-2</v>
      </c>
      <c r="G263" s="831">
        <f t="shared" si="121"/>
        <v>-2E-3</v>
      </c>
      <c r="H263" s="831">
        <f t="shared" si="121"/>
        <v>4.0000000000000001E-3</v>
      </c>
      <c r="I263" s="831">
        <f t="shared" si="121"/>
        <v>8.0000000000000002E-3</v>
      </c>
      <c r="J263" s="831">
        <f t="shared" si="121"/>
        <v>3.0000000000000001E-3</v>
      </c>
      <c r="K263" s="831">
        <f t="shared" si="121"/>
        <v>1.3000000000000001E-2</v>
      </c>
      <c r="L263" s="831">
        <f t="shared" si="121"/>
        <v>8.0000000000000002E-3</v>
      </c>
      <c r="M263" s="831">
        <f t="shared" si="121"/>
        <v>3.4000000000000002E-2</v>
      </c>
      <c r="N263" s="831">
        <f t="shared" si="121"/>
        <v>0.03</v>
      </c>
    </row>
    <row r="264" spans="2:14">
      <c r="B264" s="834">
        <v>2019</v>
      </c>
      <c r="C264" s="831">
        <f t="shared" si="121"/>
        <v>8.0000000000000002E-3</v>
      </c>
      <c r="D264" s="831">
        <f t="shared" si="121"/>
        <v>8.0000000000000002E-3</v>
      </c>
      <c r="E264" s="831">
        <f t="shared" si="121"/>
        <v>0</v>
      </c>
      <c r="F264" s="831">
        <f t="shared" si="121"/>
        <v>-2.4E-2</v>
      </c>
      <c r="G264" s="831">
        <f t="shared" si="121"/>
        <v>6.9999999999999993E-3</v>
      </c>
      <c r="H264" s="831">
        <f t="shared" si="121"/>
        <v>3.0000000000000001E-3</v>
      </c>
      <c r="I264" s="831">
        <f t="shared" si="121"/>
        <v>5.0000000000000001E-3</v>
      </c>
      <c r="J264" s="831">
        <f t="shared" si="121"/>
        <v>5.0000000000000001E-3</v>
      </c>
      <c r="K264" s="831">
        <f t="shared" si="121"/>
        <v>1.3999999999999999E-2</v>
      </c>
      <c r="L264" s="831">
        <f t="shared" si="121"/>
        <v>1.3000000000000001E-2</v>
      </c>
      <c r="M264" s="831">
        <f t="shared" si="121"/>
        <v>1.4999999999999999E-2</v>
      </c>
      <c r="N264" s="831">
        <f t="shared" si="121"/>
        <v>2.2000000000000002E-2</v>
      </c>
    </row>
    <row r="265" spans="2:14">
      <c r="B265" s="834">
        <v>2020</v>
      </c>
      <c r="C265" s="831">
        <f t="shared" si="121"/>
        <v>1.7000000000000001E-2</v>
      </c>
      <c r="D265" s="831">
        <f t="shared" si="121"/>
        <v>9.0000000000000011E-3</v>
      </c>
      <c r="E265" s="831">
        <f t="shared" si="121"/>
        <v>-0.01</v>
      </c>
      <c r="F265" s="831">
        <f t="shared" si="121"/>
        <v>-0.03</v>
      </c>
      <c r="G265" s="831">
        <f t="shared" si="121"/>
        <v>2E-3</v>
      </c>
      <c r="H265" s="831">
        <f t="shared" si="121"/>
        <v>0</v>
      </c>
      <c r="I265" s="831">
        <f t="shared" si="121"/>
        <v>1E-3</v>
      </c>
      <c r="J265" s="831">
        <f t="shared" si="121"/>
        <v>3.0000000000000001E-3</v>
      </c>
      <c r="K265" s="831">
        <f t="shared" si="121"/>
        <v>5.0000000000000001E-3</v>
      </c>
      <c r="L265" s="831">
        <f t="shared" si="121"/>
        <v>5.0000000000000001E-3</v>
      </c>
      <c r="M265" s="831">
        <f t="shared" si="121"/>
        <v>2.6000000000000002E-2</v>
      </c>
      <c r="N265" s="831">
        <f t="shared" si="121"/>
        <v>3.2000000000000001E-2</v>
      </c>
    </row>
    <row r="266" spans="2:14">
      <c r="B266" s="834">
        <v>2021</v>
      </c>
      <c r="C266" s="831">
        <f t="shared" si="121"/>
        <v>1.3000000000000001E-2</v>
      </c>
      <c r="D266" s="831">
        <f t="shared" si="121"/>
        <v>6.0000000000000001E-3</v>
      </c>
      <c r="E266" s="831">
        <f t="shared" si="121"/>
        <v>-3.0000000000000001E-3</v>
      </c>
      <c r="F266" s="831">
        <f t="shared" si="121"/>
        <v>-3.2000000000000001E-2</v>
      </c>
      <c r="G266" s="831">
        <f t="shared" si="121"/>
        <v>-3.0000000000000001E-3</v>
      </c>
      <c r="H266" s="831">
        <f t="shared" si="121"/>
        <v>4.0000000000000001E-3</v>
      </c>
      <c r="I266" s="831">
        <f t="shared" si="121"/>
        <v>8.0000000000000002E-3</v>
      </c>
      <c r="J266" s="831">
        <f t="shared" si="121"/>
        <v>4.0000000000000001E-3</v>
      </c>
      <c r="K266" s="831">
        <f t="shared" si="121"/>
        <v>6.9999999999999993E-3</v>
      </c>
      <c r="L266" s="831">
        <f t="shared" si="121"/>
        <v>1.3999999999999999E-2</v>
      </c>
      <c r="M266" s="831">
        <f t="shared" si="121"/>
        <v>2.7000000000000003E-2</v>
      </c>
      <c r="N266" s="831">
        <f t="shared" si="121"/>
        <v>4.4000000000000004E-2</v>
      </c>
    </row>
    <row r="267" spans="2:14">
      <c r="B267" s="834">
        <v>2022</v>
      </c>
      <c r="C267" s="831">
        <f t="shared" si="121"/>
        <v>6.9999999999999993E-3</v>
      </c>
      <c r="D267" s="831">
        <f t="shared" si="121"/>
        <v>6.0000000000000001E-3</v>
      </c>
      <c r="E267" s="831">
        <f t="shared" si="121"/>
        <v>1.2E-2</v>
      </c>
      <c r="F267" s="831">
        <f t="shared" si="121"/>
        <v>-0.02</v>
      </c>
      <c r="G267" s="831">
        <f t="shared" si="121"/>
        <v>6.0000000000000001E-3</v>
      </c>
      <c r="H267" s="831">
        <f t="shared" si="121"/>
        <v>1.7000000000000001E-2</v>
      </c>
      <c r="I267" s="831">
        <f t="shared" si="121"/>
        <v>1.8000000000000002E-2</v>
      </c>
      <c r="J267" s="831">
        <f t="shared" si="121"/>
        <v>1.3000000000000001E-2</v>
      </c>
      <c r="K267" s="831">
        <f t="shared" si="121"/>
        <v>1.531000000000006E-2</v>
      </c>
      <c r="L267" s="831">
        <f t="shared" si="121"/>
        <v>2.2000000000000002E-2</v>
      </c>
      <c r="M267" s="831">
        <f t="shared" si="121"/>
        <v>3.3000000000000002E-2</v>
      </c>
      <c r="N267" s="831">
        <f t="shared" si="121"/>
        <v>3.7000000000000005E-2</v>
      </c>
    </row>
    <row r="268" spans="2:14" ht="18">
      <c r="B268" s="833">
        <v>2023</v>
      </c>
      <c r="C268" s="831">
        <f>SUMIFS($C$63:$ED$63,$C$48:$ED$48,C$66,$C$49:$ED$49,$B268)/100</f>
        <v>1.8000000000000002E-2</v>
      </c>
      <c r="D268" s="831">
        <f t="shared" ref="D268:M268" si="122">SUMIFS($C$63:$ED$63,$C$48:$ED$48,D$66,$C$49:$ED$49,$B268)/100</f>
        <v>8.0000000000000002E-3</v>
      </c>
      <c r="E268" s="831">
        <f t="shared" si="122"/>
        <v>5.0000000000000001E-3</v>
      </c>
      <c r="F268" s="831">
        <f t="shared" si="122"/>
        <v>-2.3E-2</v>
      </c>
      <c r="G268" s="831">
        <f t="shared" si="122"/>
        <v>4.0000000000000001E-3</v>
      </c>
      <c r="H268" s="831">
        <f t="shared" si="122"/>
        <v>8.0000000000000002E-3</v>
      </c>
      <c r="I268" s="831">
        <f t="shared" si="122"/>
        <v>8.0000000000000002E-3</v>
      </c>
      <c r="J268" s="831">
        <f t="shared" si="122"/>
        <v>3.0000000000000001E-3</v>
      </c>
      <c r="K268" s="831">
        <f t="shared" si="122"/>
        <v>5.9999999999999429E-3</v>
      </c>
      <c r="L268" s="831">
        <f t="shared" si="122"/>
        <v>1.2E-2</v>
      </c>
      <c r="M268" s="831">
        <f t="shared" si="122"/>
        <v>2.2000000000000002E-2</v>
      </c>
      <c r="N268" s="549">
        <f>AVERAGE(N264:N267)</f>
        <v>3.3750000000000002E-2</v>
      </c>
    </row>
    <row r="269" spans="2:14">
      <c r="C269" s="872">
        <f>C268/C267</f>
        <v>2.5714285714285721</v>
      </c>
      <c r="D269" s="872">
        <f t="shared" ref="D269:J269" si="123">D268/D267</f>
        <v>1.3333333333333333</v>
      </c>
      <c r="E269" s="872">
        <f t="shared" si="123"/>
        <v>0.41666666666666669</v>
      </c>
      <c r="F269" s="872">
        <f t="shared" si="123"/>
        <v>1.1499999999999999</v>
      </c>
      <c r="G269" s="872">
        <f t="shared" si="123"/>
        <v>0.66666666666666663</v>
      </c>
      <c r="H269" s="872">
        <f t="shared" si="123"/>
        <v>0.47058823529411764</v>
      </c>
      <c r="I269" s="872">
        <f t="shared" si="123"/>
        <v>0.44444444444444442</v>
      </c>
      <c r="J269" s="872">
        <f t="shared" si="123"/>
        <v>0.23076923076923075</v>
      </c>
    </row>
  </sheetData>
  <mergeCells count="2">
    <mergeCell ref="A2:B2"/>
    <mergeCell ref="A3:A14"/>
  </mergeCells>
  <conditionalFormatting sqref="C67:N76 C77:L77">
    <cfRule type="colorScale" priority="14">
      <colorScale>
        <cfvo type="min"/>
        <cfvo type="percentile" val="50"/>
        <cfvo type="max"/>
        <color rgb="FFF8696B"/>
        <color rgb="FFFCFCFF"/>
        <color rgb="FF63BE7B"/>
      </colorScale>
    </cfRule>
  </conditionalFormatting>
  <conditionalFormatting sqref="C83:N92 C93:M93">
    <cfRule type="colorScale" priority="13">
      <colorScale>
        <cfvo type="min"/>
        <cfvo type="percentile" val="50"/>
        <cfvo type="max"/>
        <color rgb="FFF8696B"/>
        <color rgb="FFFCFCFF"/>
        <color rgb="FF63BE7B"/>
      </colorScale>
    </cfRule>
  </conditionalFormatting>
  <conditionalFormatting sqref="C99:N108 C109:M109">
    <cfRule type="colorScale" priority="12">
      <colorScale>
        <cfvo type="min"/>
        <cfvo type="percentile" val="50"/>
        <cfvo type="max"/>
        <color rgb="FFF8696B"/>
        <color rgb="FFFCFCFF"/>
        <color rgb="FF63BE7B"/>
      </colorScale>
    </cfRule>
  </conditionalFormatting>
  <conditionalFormatting sqref="C115:N124 C125:M125">
    <cfRule type="colorScale" priority="3">
      <colorScale>
        <cfvo type="min"/>
        <cfvo type="percentile" val="50"/>
        <cfvo type="max"/>
        <color rgb="FFF8696B"/>
        <color rgb="FFFCFCFF"/>
        <color rgb="FF63BE7B"/>
      </colorScale>
    </cfRule>
  </conditionalFormatting>
  <conditionalFormatting sqref="C131:N140 C141:M141">
    <cfRule type="colorScale" priority="11">
      <colorScale>
        <cfvo type="min"/>
        <cfvo type="percentile" val="50"/>
        <cfvo type="max"/>
        <color rgb="FFF8696B"/>
        <color rgb="FFFCFCFF"/>
        <color rgb="FF63BE7B"/>
      </colorScale>
    </cfRule>
  </conditionalFormatting>
  <conditionalFormatting sqref="C146:N155 C156:M156">
    <cfRule type="colorScale" priority="10">
      <colorScale>
        <cfvo type="min"/>
        <cfvo type="percentile" val="50"/>
        <cfvo type="max"/>
        <color rgb="FFF8696B"/>
        <color rgb="FFFCFCFF"/>
        <color rgb="FF63BE7B"/>
      </colorScale>
    </cfRule>
  </conditionalFormatting>
  <conditionalFormatting sqref="C160:N170">
    <cfRule type="colorScale" priority="2">
      <colorScale>
        <cfvo type="min"/>
        <cfvo type="percentile" val="50"/>
        <cfvo type="max"/>
        <color rgb="FFF8696B"/>
        <color rgb="FFFCFCFF"/>
        <color rgb="FF63BE7B"/>
      </colorScale>
    </cfRule>
  </conditionalFormatting>
  <conditionalFormatting sqref="C183:N192 C193:M193">
    <cfRule type="colorScale" priority="9">
      <colorScale>
        <cfvo type="min"/>
        <cfvo type="percentile" val="50"/>
        <cfvo type="max"/>
        <color rgb="FFF8696B"/>
        <color rgb="FFFCFCFF"/>
        <color rgb="FF63BE7B"/>
      </colorScale>
    </cfRule>
  </conditionalFormatting>
  <conditionalFormatting sqref="C198:N207 C208:M208">
    <cfRule type="colorScale" priority="8">
      <colorScale>
        <cfvo type="min"/>
        <cfvo type="percentile" val="50"/>
        <cfvo type="max"/>
        <color rgb="FFF8696B"/>
        <color rgb="FFFCFCFF"/>
        <color rgb="FF63BE7B"/>
      </colorScale>
    </cfRule>
  </conditionalFormatting>
  <conditionalFormatting sqref="C212:N221 C222:M222">
    <cfRule type="colorScale" priority="7">
      <colorScale>
        <cfvo type="min"/>
        <cfvo type="percentile" val="50"/>
        <cfvo type="max"/>
        <color rgb="FFF8696B"/>
        <color rgb="FFFCFCFF"/>
        <color rgb="FF63BE7B"/>
      </colorScale>
    </cfRule>
  </conditionalFormatting>
  <conditionalFormatting sqref="C226:N235 C236:M236">
    <cfRule type="colorScale" priority="6">
      <colorScale>
        <cfvo type="min"/>
        <cfvo type="percentile" val="50"/>
        <cfvo type="max"/>
        <color rgb="FFF8696B"/>
        <color rgb="FFFCFCFF"/>
        <color rgb="FF63BE7B"/>
      </colorScale>
    </cfRule>
  </conditionalFormatting>
  <conditionalFormatting sqref="C242:N251 C252:M252">
    <cfRule type="colorScale" priority="5">
      <colorScale>
        <cfvo type="min"/>
        <cfvo type="percentile" val="50"/>
        <cfvo type="max"/>
        <color rgb="FFF8696B"/>
        <color rgb="FFFCFCFF"/>
        <color rgb="FF63BE7B"/>
      </colorScale>
    </cfRule>
  </conditionalFormatting>
  <conditionalFormatting sqref="C258:N267 C268:M268">
    <cfRule type="colorScale" priority="4">
      <colorScale>
        <cfvo type="min"/>
        <cfvo type="percentile" val="50"/>
        <cfvo type="max"/>
        <color rgb="FFF8696B"/>
        <color rgb="FFFCFCFF"/>
        <color rgb="FF63BE7B"/>
      </colorScale>
    </cfRule>
  </conditionalFormatting>
  <conditionalFormatting sqref="D33:Y44">
    <cfRule type="colorScale" priority="15">
      <colorScale>
        <cfvo type="min"/>
        <cfvo type="percentile" val="50"/>
        <cfvo type="max"/>
        <color rgb="FFF8696B"/>
        <color rgb="FFFCFCFF"/>
        <color rgb="FF63BE7B"/>
      </colorScale>
    </cfRule>
  </conditionalFormatting>
  <conditionalFormatting sqref="Q67:AB77">
    <cfRule type="colorScale" priority="1">
      <colorScale>
        <cfvo type="min"/>
        <cfvo type="percentile" val="50"/>
        <cfvo type="max"/>
        <color rgb="FFF8696B"/>
        <color rgb="FFFCFCFF"/>
        <color rgb="FF63BE7B"/>
      </colorScale>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38808-E033-4805-8A47-0DDBF0B3B2B4}">
  <sheetPr>
    <tabColor rgb="FF00B050"/>
  </sheetPr>
  <dimension ref="A1:K58"/>
  <sheetViews>
    <sheetView workbookViewId="0">
      <pane xSplit="1" ySplit="1" topLeftCell="B18" activePane="bottomRight" state="frozen"/>
      <selection pane="topRight" activeCell="E1" sqref="E1"/>
      <selection pane="bottomLeft" activeCell="A2" sqref="A2"/>
      <selection pane="bottomRight" activeCell="E47" sqref="E47"/>
    </sheetView>
  </sheetViews>
  <sheetFormatPr defaultRowHeight="18"/>
  <cols>
    <col min="1" max="1" width="18.59765625" style="6" customWidth="1"/>
    <col min="3" max="3" width="14.09765625" customWidth="1"/>
    <col min="4" max="4" width="8.59765625" customWidth="1"/>
    <col min="5" max="5" width="7.59765625" customWidth="1"/>
    <col min="7" max="7" width="9.69921875" customWidth="1"/>
    <col min="8" max="8" width="9.796875" customWidth="1"/>
    <col min="11" max="11" width="16.59765625" customWidth="1"/>
  </cols>
  <sheetData>
    <row r="1" spans="1:11" ht="28.5" customHeight="1">
      <c r="A1" s="854"/>
      <c r="B1" s="853" t="s">
        <v>257</v>
      </c>
      <c r="C1" s="853" t="s">
        <v>256</v>
      </c>
      <c r="D1" s="853" t="s">
        <v>257</v>
      </c>
      <c r="G1" s="853"/>
      <c r="H1" s="853"/>
      <c r="I1" s="853" t="s">
        <v>257</v>
      </c>
      <c r="J1" s="853" t="s">
        <v>256</v>
      </c>
      <c r="K1" s="852" t="s">
        <v>181</v>
      </c>
    </row>
    <row r="2" spans="1:11" ht="28.5" customHeight="1">
      <c r="A2" s="854"/>
      <c r="B2" s="853" t="s">
        <v>1915</v>
      </c>
      <c r="C2" s="853" t="s">
        <v>1915</v>
      </c>
      <c r="D2" s="853" t="s">
        <v>1916</v>
      </c>
      <c r="G2" s="853"/>
      <c r="H2" s="853"/>
      <c r="I2" s="853" t="s">
        <v>1915</v>
      </c>
      <c r="J2" s="853" t="s">
        <v>1915</v>
      </c>
      <c r="K2" s="852" t="s">
        <v>1915</v>
      </c>
    </row>
    <row r="3" spans="1:11">
      <c r="A3" s="849" t="s">
        <v>182</v>
      </c>
      <c r="B3" s="812">
        <v>6.0999999999999999E-2</v>
      </c>
      <c r="C3" s="812">
        <v>0.17599999999999999</v>
      </c>
      <c r="D3" s="812">
        <v>1.2999999999999901E-2</v>
      </c>
      <c r="G3" s="810">
        <v>2021</v>
      </c>
      <c r="H3" s="810">
        <v>1</v>
      </c>
      <c r="I3" s="815">
        <v>7.3666666666666672E-2</v>
      </c>
      <c r="J3" s="815">
        <v>0.23500000000000001</v>
      </c>
      <c r="K3" s="815">
        <v>0.217</v>
      </c>
    </row>
    <row r="4" spans="1:11">
      <c r="A4" s="849" t="s">
        <v>183</v>
      </c>
      <c r="B4" s="812">
        <v>7.4999999999999997E-2</v>
      </c>
      <c r="C4" s="812">
        <v>0.26600000000000001</v>
      </c>
      <c r="D4" s="812">
        <v>1.0000000000000009E-2</v>
      </c>
      <c r="G4" s="810">
        <v>2021</v>
      </c>
      <c r="H4" s="810">
        <v>2</v>
      </c>
      <c r="I4" s="815">
        <v>9.1333333333333336E-2</v>
      </c>
      <c r="J4" s="815">
        <v>0.33333333333333331</v>
      </c>
      <c r="K4" s="815">
        <v>0.27300000000000002</v>
      </c>
    </row>
    <row r="5" spans="1:11">
      <c r="A5" s="849" t="s">
        <v>184</v>
      </c>
      <c r="B5" s="812">
        <v>8.5000000000000006E-2</v>
      </c>
      <c r="C5" s="812">
        <v>0.26300000000000001</v>
      </c>
      <c r="D5" s="812">
        <v>1.7000000000000126E-2</v>
      </c>
      <c r="G5" s="810">
        <v>2021</v>
      </c>
      <c r="H5" s="810">
        <v>3</v>
      </c>
      <c r="I5" s="815">
        <v>0.10466666666666667</v>
      </c>
      <c r="J5" s="815">
        <v>0.44599999999999995</v>
      </c>
      <c r="K5" s="815">
        <v>0.26100000000000001</v>
      </c>
    </row>
    <row r="6" spans="1:11">
      <c r="A6" s="849" t="s">
        <v>185</v>
      </c>
      <c r="B6" s="812">
        <v>8.4000000000000005E-2</v>
      </c>
      <c r="C6" s="812">
        <v>0.27800000000000002</v>
      </c>
      <c r="D6" s="812">
        <v>7.0000000000001172E-3</v>
      </c>
      <c r="G6" s="810">
        <v>2021</v>
      </c>
      <c r="H6" s="810">
        <v>4</v>
      </c>
      <c r="I6" s="815">
        <v>0.104</v>
      </c>
      <c r="J6" s="815">
        <v>0.60033333333333327</v>
      </c>
      <c r="K6" s="815">
        <v>0.24399999999999999</v>
      </c>
    </row>
    <row r="7" spans="1:11">
      <c r="A7" s="851" t="s">
        <v>186</v>
      </c>
      <c r="B7" s="850">
        <v>9.5000000000000001E-2</v>
      </c>
      <c r="C7" s="850">
        <v>0.33100000000000002</v>
      </c>
      <c r="D7" s="850">
        <v>1.2999999999999901E-2</v>
      </c>
      <c r="G7" s="814">
        <v>2022</v>
      </c>
      <c r="H7" s="814">
        <v>1</v>
      </c>
      <c r="I7" s="816">
        <v>0.11466666666666669</v>
      </c>
      <c r="J7" s="816">
        <v>0.58374962000757236</v>
      </c>
      <c r="K7" s="816">
        <v>0.255</v>
      </c>
    </row>
    <row r="8" spans="1:11">
      <c r="A8" s="851" t="s">
        <v>187</v>
      </c>
      <c r="B8" s="850">
        <v>9.5000000000000001E-2</v>
      </c>
      <c r="C8" s="850">
        <v>0.39100000000000001</v>
      </c>
      <c r="D8" s="850">
        <v>2.0000000000000018E-3</v>
      </c>
      <c r="G8" s="814">
        <v>2022</v>
      </c>
      <c r="H8" s="814">
        <v>2</v>
      </c>
      <c r="I8" s="816">
        <v>0.18633333333333335</v>
      </c>
      <c r="J8" s="816">
        <v>0.61171638726583755</v>
      </c>
      <c r="K8" s="816">
        <v>0.377</v>
      </c>
    </row>
    <row r="9" spans="1:11">
      <c r="A9" s="851" t="s">
        <v>188</v>
      </c>
      <c r="B9" s="850">
        <v>0.10199999999999999</v>
      </c>
      <c r="C9" s="850">
        <v>0.42199999999999988</v>
      </c>
      <c r="D9" s="850">
        <v>9.9999999999988987E-4</v>
      </c>
      <c r="G9" s="814">
        <v>2022</v>
      </c>
      <c r="H9" s="814">
        <v>3</v>
      </c>
      <c r="I9" s="816">
        <v>0.23533333333333331</v>
      </c>
      <c r="J9" s="816">
        <v>0.65089192795069895</v>
      </c>
      <c r="K9" s="816">
        <v>0.38100000000000001</v>
      </c>
    </row>
    <row r="10" spans="1:11">
      <c r="A10" s="851" t="s">
        <v>189</v>
      </c>
      <c r="B10" s="850">
        <v>0.10199999999999999</v>
      </c>
      <c r="C10" s="850">
        <v>0.46500000000000002</v>
      </c>
      <c r="D10" s="850">
        <v>-2.0000000000000018E-3</v>
      </c>
      <c r="G10" s="814">
        <v>2022</v>
      </c>
      <c r="H10" s="814">
        <v>4</v>
      </c>
      <c r="I10" s="816">
        <v>0.26566666666666666</v>
      </c>
      <c r="J10" s="816">
        <v>0.52778823779652662</v>
      </c>
      <c r="K10" s="816">
        <v>0.36499999999999999</v>
      </c>
    </row>
    <row r="11" spans="1:11" ht="18.75">
      <c r="A11" s="851" t="s">
        <v>190</v>
      </c>
      <c r="B11" s="850">
        <v>0.11</v>
      </c>
      <c r="C11" s="850">
        <v>0.45100000000000001</v>
      </c>
      <c r="D11" s="850">
        <v>1.2000000000000011E-2</v>
      </c>
      <c r="G11" s="848">
        <v>2023</v>
      </c>
      <c r="H11" s="811">
        <v>1</v>
      </c>
      <c r="I11" s="817">
        <v>0.24066666666666667</v>
      </c>
      <c r="J11" s="817">
        <v>0.38208840213982792</v>
      </c>
      <c r="K11" s="817">
        <v>0.33104384497072004</v>
      </c>
    </row>
    <row r="12" spans="1:11" ht="18.75">
      <c r="A12" s="849" t="s">
        <v>191</v>
      </c>
      <c r="B12" s="812">
        <v>0.109</v>
      </c>
      <c r="C12" s="812">
        <v>0.57199999999999995</v>
      </c>
      <c r="D12" s="812">
        <v>9.000000000000119E-3</v>
      </c>
      <c r="G12" s="848">
        <v>2023</v>
      </c>
      <c r="H12" s="811">
        <v>2</v>
      </c>
      <c r="I12" s="817">
        <v>0.1633690545996159</v>
      </c>
      <c r="J12" s="817">
        <v>0.29699467666281015</v>
      </c>
      <c r="K12" s="817">
        <v>0.24805451172303428</v>
      </c>
    </row>
    <row r="13" spans="1:11" ht="18.75">
      <c r="A13" s="849" t="s">
        <v>192</v>
      </c>
      <c r="B13" s="812">
        <v>0.10299999999999999</v>
      </c>
      <c r="C13" s="812">
        <v>0.60699999999999998</v>
      </c>
      <c r="D13" s="812">
        <v>7.6034345642512768E-3</v>
      </c>
      <c r="G13" s="848">
        <v>2023</v>
      </c>
      <c r="H13" s="811">
        <v>3</v>
      </c>
      <c r="I13" s="817">
        <v>0.14822323366840998</v>
      </c>
      <c r="J13" s="817">
        <v>0.18111430422255115</v>
      </c>
      <c r="K13" s="817">
        <v>0.18746558304126171</v>
      </c>
    </row>
    <row r="14" spans="1:11" ht="18.75">
      <c r="A14" s="849" t="s">
        <v>193</v>
      </c>
      <c r="B14" s="812">
        <v>0.1</v>
      </c>
      <c r="C14" s="812">
        <v>0.622</v>
      </c>
      <c r="D14" s="812">
        <v>6.2556663644606214E-3</v>
      </c>
      <c r="G14" s="848">
        <v>2023</v>
      </c>
      <c r="H14" s="811">
        <v>4</v>
      </c>
      <c r="I14" s="817">
        <v>0.12853850973632999</v>
      </c>
      <c r="J14" s="817">
        <v>0.10211382336187584</v>
      </c>
      <c r="K14" s="817">
        <v>0.13864799833585825</v>
      </c>
    </row>
    <row r="15" spans="1:11">
      <c r="A15" s="847" t="s">
        <v>409</v>
      </c>
      <c r="B15" s="575">
        <v>0.1</v>
      </c>
      <c r="C15" s="575">
        <v>0.69099999999999995</v>
      </c>
      <c r="D15" s="575">
        <v>1.2999999999999901E-2</v>
      </c>
    </row>
    <row r="16" spans="1:11">
      <c r="A16" s="847" t="s">
        <v>410</v>
      </c>
      <c r="B16" s="575">
        <v>0.10700000000000003</v>
      </c>
      <c r="C16" s="575">
        <v>0.53500000000000003</v>
      </c>
      <c r="D16" s="575">
        <v>1.6427272727272513E-2</v>
      </c>
    </row>
    <row r="17" spans="1:8">
      <c r="A17" s="847" t="s">
        <v>411</v>
      </c>
      <c r="B17" s="575">
        <v>0.13700000000000004</v>
      </c>
      <c r="C17" s="575">
        <v>0.52718643339564475</v>
      </c>
      <c r="D17" s="575">
        <v>4.4560975609756248E-2</v>
      </c>
    </row>
    <row r="18" spans="1:8">
      <c r="A18" s="847" t="s">
        <v>412</v>
      </c>
      <c r="B18" s="575">
        <v>0.16400000000000006</v>
      </c>
      <c r="C18" s="575">
        <v>0.62015228296091784</v>
      </c>
      <c r="D18" s="575">
        <v>3.091292875989482E-2</v>
      </c>
    </row>
    <row r="19" spans="1:8">
      <c r="A19" s="847" t="s">
        <v>413</v>
      </c>
      <c r="B19" s="575">
        <v>0.18</v>
      </c>
      <c r="C19" s="575">
        <v>0.61856910355632078</v>
      </c>
      <c r="D19" s="575">
        <v>2.6924398625429058E-2</v>
      </c>
    </row>
    <row r="20" spans="1:8">
      <c r="A20" s="847" t="s">
        <v>414</v>
      </c>
      <c r="B20" s="575">
        <v>0.215</v>
      </c>
      <c r="C20" s="575">
        <v>0.59529987304435683</v>
      </c>
      <c r="D20" s="575">
        <v>3.1720338983050933E-2</v>
      </c>
    </row>
    <row r="21" spans="1:8">
      <c r="A21" s="847" t="s">
        <v>415</v>
      </c>
      <c r="B21" s="575">
        <v>0.222</v>
      </c>
      <c r="C21" s="575">
        <v>0.66558606024784073</v>
      </c>
      <c r="D21" s="575">
        <v>6.7670781893003351E-3</v>
      </c>
    </row>
    <row r="22" spans="1:8">
      <c r="A22" s="847" t="s">
        <v>416</v>
      </c>
      <c r="B22" s="575">
        <v>0.23799999999999999</v>
      </c>
      <c r="C22" s="575">
        <v>0.64781813202875549</v>
      </c>
      <c r="D22" s="575">
        <v>1.1067103109656307E-2</v>
      </c>
    </row>
    <row r="23" spans="1:8">
      <c r="A23" s="847" t="s">
        <v>417</v>
      </c>
      <c r="B23" s="575">
        <v>0.246</v>
      </c>
      <c r="C23" s="575">
        <v>0.64053567998602567</v>
      </c>
      <c r="D23" s="575">
        <v>1.8539579967689734E-2</v>
      </c>
    </row>
    <row r="24" spans="1:8">
      <c r="A24" s="847" t="s">
        <v>418</v>
      </c>
      <c r="B24" s="575">
        <v>0.26600000000000001</v>
      </c>
      <c r="C24" s="575">
        <v>0.5886593483495498</v>
      </c>
      <c r="D24" s="575">
        <v>2.5195826645264985E-2</v>
      </c>
    </row>
    <row r="25" spans="1:8">
      <c r="A25" s="847" t="s">
        <v>419</v>
      </c>
      <c r="B25" s="575">
        <v>0.26500000000000001</v>
      </c>
      <c r="C25" s="575">
        <v>0.52365699673812571</v>
      </c>
      <c r="D25" s="575">
        <v>6.8075392762858566E-3</v>
      </c>
      <c r="G25" s="605" t="s">
        <v>1917</v>
      </c>
    </row>
    <row r="26" spans="1:8">
      <c r="A26" s="847" t="s">
        <v>420</v>
      </c>
      <c r="B26" s="575">
        <v>0.26600000000000001</v>
      </c>
      <c r="C26" s="575">
        <v>0.46497764564082578</v>
      </c>
      <c r="D26" s="575">
        <v>7.0511253892544534E-3</v>
      </c>
    </row>
    <row r="27" spans="1:8">
      <c r="A27" s="843" t="s">
        <v>1902</v>
      </c>
      <c r="B27" s="813">
        <v>0.26</v>
      </c>
      <c r="C27" s="813">
        <v>0.34509194135471488</v>
      </c>
      <c r="D27" s="813">
        <v>8.1990521327013344E-3</v>
      </c>
      <c r="E27" s="813">
        <v>8.1990521327013344E-3</v>
      </c>
      <c r="F27" s="813">
        <v>8.1990521327013344E-3</v>
      </c>
      <c r="G27" s="846">
        <v>8.0000000000000002E-3</v>
      </c>
    </row>
    <row r="28" spans="1:8">
      <c r="A28" s="843" t="s">
        <v>1903</v>
      </c>
      <c r="B28" s="813">
        <v>0.249</v>
      </c>
      <c r="C28" s="813">
        <v>0.39317757130355591</v>
      </c>
      <c r="D28" s="813">
        <v>7.5537012987012542E-3</v>
      </c>
      <c r="E28" s="813">
        <v>7.5537012987012542E-3</v>
      </c>
      <c r="F28" s="813">
        <v>7.5537012987012542E-3</v>
      </c>
      <c r="G28" s="846">
        <v>6.9999999999999993E-3</v>
      </c>
    </row>
    <row r="29" spans="1:8">
      <c r="A29" s="843" t="s">
        <v>1904</v>
      </c>
      <c r="B29" s="813">
        <v>0.21299999999999999</v>
      </c>
      <c r="C29" s="813">
        <v>0.40333766397137638</v>
      </c>
      <c r="D29" s="813">
        <v>1.4453533558554055E-2</v>
      </c>
      <c r="E29" s="813">
        <v>1.4453533558554055E-2</v>
      </c>
      <c r="F29" s="813">
        <v>1.4453533558554055E-2</v>
      </c>
      <c r="G29" s="846">
        <v>1.4999999999999999E-2</v>
      </c>
    </row>
    <row r="30" spans="1:8">
      <c r="A30" s="843" t="s">
        <v>1905</v>
      </c>
      <c r="B30" s="813">
        <v>0.17873433554327023</v>
      </c>
      <c r="C30" s="813">
        <v>0.32298712316890366</v>
      </c>
      <c r="D30" s="813">
        <v>1.7909860550380241E-3</v>
      </c>
      <c r="E30" s="813">
        <v>1.7909860550380241E-3</v>
      </c>
      <c r="F30" s="813">
        <v>1.7909860550380241E-3</v>
      </c>
      <c r="G30" s="846">
        <v>2E-3</v>
      </c>
    </row>
    <row r="31" spans="1:8">
      <c r="A31" s="843" t="s">
        <v>1906</v>
      </c>
      <c r="B31" s="813">
        <v>0.15816017825180984</v>
      </c>
      <c r="C31" s="813">
        <v>0.28848980009958303</v>
      </c>
      <c r="D31" s="813">
        <v>8.999999999999897E-3</v>
      </c>
      <c r="E31" s="813">
        <v>8.999999999999897E-3</v>
      </c>
      <c r="F31" s="845">
        <v>2E-3</v>
      </c>
      <c r="G31" s="846">
        <v>5.0000000000000001E-3</v>
      </c>
    </row>
    <row r="32" spans="1:8">
      <c r="A32" s="843" t="s">
        <v>1907</v>
      </c>
      <c r="B32" s="813">
        <v>0.14962721302930412</v>
      </c>
      <c r="C32" s="813">
        <v>0.2777082677993894</v>
      </c>
      <c r="D32" s="813">
        <v>2.4118943306347118E-2</v>
      </c>
      <c r="E32" s="845">
        <v>2.4118943306347118E-2</v>
      </c>
      <c r="F32" s="845">
        <v>2E-3</v>
      </c>
      <c r="G32" s="846">
        <v>1.0999999999999999E-2</v>
      </c>
      <c r="H32">
        <v>0.5</v>
      </c>
    </row>
    <row r="33" spans="1:7">
      <c r="A33" s="843" t="s">
        <v>1908</v>
      </c>
      <c r="B33" s="813">
        <v>0.15213934420222294</v>
      </c>
      <c r="C33" s="813">
        <v>0.20808525423980551</v>
      </c>
      <c r="D33" s="813">
        <v>8.9670356470952228E-3</v>
      </c>
      <c r="E33" s="813">
        <v>8.9670356470952228E-3</v>
      </c>
      <c r="F33" s="842">
        <v>2E-3</v>
      </c>
      <c r="G33" s="841">
        <v>-3.0328263842645301E-3</v>
      </c>
    </row>
    <row r="34" spans="1:7">
      <c r="A34" s="843" t="s">
        <v>1909</v>
      </c>
      <c r="B34" s="813">
        <v>0.14981852064886134</v>
      </c>
      <c r="C34" s="813">
        <v>0.16221871773133301</v>
      </c>
      <c r="D34" s="813">
        <v>9.030449853490552E-3</v>
      </c>
      <c r="E34" s="813">
        <v>9.030449853490552E-3</v>
      </c>
      <c r="F34" s="842">
        <v>0</v>
      </c>
      <c r="G34" s="841">
        <v>-8.1326433821326388E-4</v>
      </c>
    </row>
    <row r="35" spans="1:7">
      <c r="A35" s="843" t="s">
        <v>1910</v>
      </c>
      <c r="B35" s="813">
        <v>0.13920834699218584</v>
      </c>
      <c r="C35" s="813">
        <v>0.16969641358651333</v>
      </c>
      <c r="D35" s="813">
        <v>9.1408082262536272E-3</v>
      </c>
      <c r="E35" s="813">
        <v>9.1408082262536272E-3</v>
      </c>
      <c r="F35" s="842">
        <v>2E-3</v>
      </c>
      <c r="G35" s="841">
        <v>1.2154181821059635E-2</v>
      </c>
    </row>
    <row r="36" spans="1:7">
      <c r="A36" s="843" t="s">
        <v>1911</v>
      </c>
      <c r="B36" s="813">
        <v>0.12507719451389959</v>
      </c>
      <c r="C36" s="813">
        <v>8.7997412144775078E-2</v>
      </c>
      <c r="D36" s="813">
        <v>1.2478926716751548E-2</v>
      </c>
      <c r="E36" s="845">
        <v>1.2478926716751548E-2</v>
      </c>
      <c r="F36" s="844">
        <v>1.2E-2</v>
      </c>
      <c r="G36" s="841">
        <v>8.7842960353432271E-3</v>
      </c>
    </row>
    <row r="37" spans="1:7">
      <c r="A37" s="843" t="s">
        <v>1912</v>
      </c>
      <c r="B37" s="813">
        <v>0.12748241062930049</v>
      </c>
      <c r="C37" s="813">
        <v>9.9380569782649308E-2</v>
      </c>
      <c r="D37" s="813">
        <v>8.9599157802116025E-3</v>
      </c>
      <c r="E37" s="813">
        <v>8.9599157802116025E-3</v>
      </c>
      <c r="F37" s="842">
        <v>7.0000000000000001E-3</v>
      </c>
      <c r="G37" s="841">
        <v>8.0000000000000002E-3</v>
      </c>
    </row>
    <row r="38" spans="1:7">
      <c r="A38" s="843" t="s">
        <v>1913</v>
      </c>
      <c r="B38" s="813">
        <v>0.12962454065135792</v>
      </c>
      <c r="C38" s="813">
        <v>0.12115736275158917</v>
      </c>
      <c r="D38" s="813">
        <v>8.964445215005945E-3</v>
      </c>
      <c r="E38" s="813">
        <v>8.964445215005945E-3</v>
      </c>
      <c r="F38" s="842">
        <v>7.0000000000000001E-3</v>
      </c>
      <c r="G38" s="841">
        <v>7.0000000000000001E-3</v>
      </c>
    </row>
    <row r="39" spans="1:7" ht="18.75">
      <c r="E39" s="29">
        <f>SUM(E27:E38)</f>
        <v>0.12265779779015018</v>
      </c>
      <c r="F39" s="29">
        <f>SUM(F27:F38)</f>
        <v>6.599727304499467E-2</v>
      </c>
      <c r="G39" s="856">
        <f>SUM(G27:G38)</f>
        <v>8.009238713392508E-2</v>
      </c>
    </row>
    <row r="46" spans="1:7" ht="33">
      <c r="A46" s="840" t="s">
        <v>517</v>
      </c>
    </row>
    <row r="47" spans="1:7" ht="33">
      <c r="A47" s="840" t="s">
        <v>886</v>
      </c>
    </row>
    <row r="48" spans="1:7">
      <c r="A48" s="840" t="s">
        <v>924</v>
      </c>
    </row>
    <row r="49" spans="1:1" ht="48.75">
      <c r="A49" s="840" t="s">
        <v>1062</v>
      </c>
    </row>
    <row r="50" spans="1:1" ht="64.5">
      <c r="A50" s="840" t="s">
        <v>1141</v>
      </c>
    </row>
    <row r="51" spans="1:1">
      <c r="A51" s="840" t="s">
        <v>1239</v>
      </c>
    </row>
    <row r="52" spans="1:1">
      <c r="A52" s="840" t="s">
        <v>336</v>
      </c>
    </row>
    <row r="53" spans="1:1">
      <c r="A53" s="840" t="s">
        <v>1368</v>
      </c>
    </row>
    <row r="54" spans="1:1">
      <c r="A54" s="840" t="s">
        <v>1385</v>
      </c>
    </row>
    <row r="55" spans="1:1">
      <c r="A55" s="840" t="s">
        <v>324</v>
      </c>
    </row>
    <row r="56" spans="1:1">
      <c r="A56" s="840" t="s">
        <v>1469</v>
      </c>
    </row>
    <row r="57" spans="1:1" ht="18.75" thickBot="1">
      <c r="A57" s="839" t="s">
        <v>1492</v>
      </c>
    </row>
    <row r="58" spans="1:1" ht="18.75" thickTop="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CD878-2B36-4186-AC0F-57995865FA99}">
  <dimension ref="A1:EX223"/>
  <sheetViews>
    <sheetView zoomScale="70" zoomScaleNormal="70" workbookViewId="0">
      <pane xSplit="4" ySplit="1" topLeftCell="L127" activePane="bottomRight" state="frozen"/>
      <selection pane="topRight" activeCell="E1" sqref="E1"/>
      <selection pane="bottomLeft" activeCell="A2" sqref="A2"/>
      <selection pane="bottomRight" activeCell="R142" sqref="R142"/>
    </sheetView>
  </sheetViews>
  <sheetFormatPr defaultColWidth="8.69921875" defaultRowHeight="18"/>
  <cols>
    <col min="1" max="1" width="5.8984375" customWidth="1"/>
    <col min="2" max="2" width="3.5" customWidth="1"/>
    <col min="3" max="3" width="4.69921875" customWidth="1"/>
    <col min="4" max="4" width="8.69921875" customWidth="1"/>
    <col min="5" max="5" width="16.09765625" customWidth="1"/>
    <col min="6" max="9" width="19.19921875" customWidth="1"/>
    <col min="10" max="10" width="12.59765625" customWidth="1"/>
    <col min="11" max="13" width="19.19921875" customWidth="1"/>
    <col min="14" max="14" width="14.69921875" bestFit="1" customWidth="1"/>
    <col min="15" max="18" width="10.3984375" customWidth="1"/>
    <col min="19" max="19" width="12.09765625" customWidth="1"/>
    <col min="20" max="21" width="10.3984375" customWidth="1"/>
    <col min="22" max="23" width="22.69921875" customWidth="1"/>
    <col min="24" max="24" width="21.69921875" customWidth="1"/>
    <col min="25" max="25" width="22.296875" customWidth="1"/>
    <col min="26" max="26" width="16.69921875" customWidth="1"/>
    <col min="27" max="27" width="16.09765625" customWidth="1"/>
    <col min="28" max="30" width="13.69921875" customWidth="1"/>
    <col min="31" max="31" width="17.09765625" customWidth="1"/>
    <col min="32" max="32" width="16.69921875" customWidth="1"/>
    <col min="33" max="33" width="19.59765625" customWidth="1"/>
    <col min="34" max="34" width="20.69921875" customWidth="1"/>
    <col min="35" max="35" width="21.19921875" customWidth="1"/>
    <col min="36" max="36" width="24.69921875" customWidth="1"/>
    <col min="37" max="37" width="20" customWidth="1"/>
    <col min="38" max="38" width="20.3984375" customWidth="1"/>
    <col min="40" max="40" width="13.09765625" customWidth="1"/>
    <col min="41" max="41" width="9.5" bestFit="1" customWidth="1"/>
    <col min="42" max="42" width="8.796875" bestFit="1" customWidth="1"/>
  </cols>
  <sheetData>
    <row r="1" spans="1:154" ht="40.5" customHeight="1">
      <c r="F1" s="262" t="s">
        <v>180</v>
      </c>
      <c r="G1" s="262"/>
      <c r="H1" s="516" t="s">
        <v>447</v>
      </c>
      <c r="I1" s="526" t="s">
        <v>345</v>
      </c>
      <c r="J1" s="121" t="s">
        <v>346</v>
      </c>
      <c r="K1" s="80" t="s">
        <v>267</v>
      </c>
      <c r="L1" s="34" t="s">
        <v>142</v>
      </c>
      <c r="M1" s="265" t="s">
        <v>269</v>
      </c>
      <c r="N1" s="80" t="s">
        <v>268</v>
      </c>
      <c r="O1" s="34" t="s">
        <v>142</v>
      </c>
      <c r="P1" s="34" t="s">
        <v>142</v>
      </c>
      <c r="Q1" s="491" t="s">
        <v>173</v>
      </c>
      <c r="R1" s="494"/>
      <c r="S1" s="492" t="s">
        <v>446</v>
      </c>
      <c r="T1" s="491"/>
      <c r="U1" s="491"/>
      <c r="V1" s="491"/>
      <c r="W1" s="491"/>
      <c r="X1" s="36" t="s">
        <v>1</v>
      </c>
      <c r="Y1" s="36"/>
      <c r="Z1" t="s">
        <v>2</v>
      </c>
      <c r="AA1" s="36" t="s">
        <v>3</v>
      </c>
      <c r="AB1" t="s">
        <v>4</v>
      </c>
      <c r="AC1" s="36" t="s">
        <v>5</v>
      </c>
      <c r="AD1" t="s">
        <v>6</v>
      </c>
      <c r="AE1" s="36" t="s">
        <v>174</v>
      </c>
      <c r="AF1" s="117" t="s">
        <v>178</v>
      </c>
      <c r="AG1" s="36" t="s">
        <v>175</v>
      </c>
      <c r="AH1" s="117" t="s">
        <v>13</v>
      </c>
      <c r="AI1" s="117" t="s">
        <v>176</v>
      </c>
      <c r="AJ1" s="118" t="s">
        <v>177</v>
      </c>
      <c r="AK1" s="117" t="s">
        <v>179</v>
      </c>
    </row>
    <row r="2" spans="1:154">
      <c r="A2">
        <v>2012</v>
      </c>
      <c r="B2" s="1">
        <v>1</v>
      </c>
      <c r="C2">
        <v>1</v>
      </c>
      <c r="D2" t="s">
        <v>30</v>
      </c>
      <c r="H2" s="507"/>
      <c r="I2" s="507"/>
      <c r="J2" s="10">
        <v>3.7000000000000026E-2</v>
      </c>
      <c r="N2" s="80"/>
      <c r="O2" s="34"/>
      <c r="X2" s="3">
        <v>234884.46835012001</v>
      </c>
      <c r="Y2" s="3"/>
      <c r="AA2">
        <v>2.5000000000000001E-2</v>
      </c>
      <c r="AC2">
        <v>7.9897935483870981</v>
      </c>
      <c r="AE2" s="99">
        <v>136.20381808723232</v>
      </c>
      <c r="AF2" s="119">
        <f>AC2*AE2</f>
        <v>1088.2403870190587</v>
      </c>
      <c r="AH2">
        <v>2722</v>
      </c>
      <c r="AN2">
        <v>0.20000000000000284</v>
      </c>
      <c r="AO2">
        <v>-9.9999999999994316E-2</v>
      </c>
      <c r="AP2">
        <v>0</v>
      </c>
      <c r="AQ2">
        <v>0</v>
      </c>
      <c r="AR2">
        <v>9.9999999999994316E-2</v>
      </c>
      <c r="AS2">
        <v>0</v>
      </c>
      <c r="AT2">
        <v>-9.9999999999994316E-2</v>
      </c>
      <c r="AU2">
        <v>-0.70000000000000284</v>
      </c>
      <c r="AV2">
        <v>0</v>
      </c>
      <c r="AW2">
        <v>0.40000000000000568</v>
      </c>
      <c r="AX2">
        <v>0.20000000000000284</v>
      </c>
      <c r="AY2">
        <v>0.5</v>
      </c>
      <c r="AZ2">
        <v>0.22742624098223985</v>
      </c>
      <c r="BA2">
        <v>0.57418967289784462</v>
      </c>
      <c r="BB2">
        <v>2.1717601079911333</v>
      </c>
      <c r="BC2">
        <v>3.3477781478453039</v>
      </c>
      <c r="BD2">
        <v>3.8311894109004356</v>
      </c>
      <c r="BE2">
        <v>0.9712730507046814</v>
      </c>
      <c r="BF2">
        <v>0.36296293535743018</v>
      </c>
      <c r="BG2">
        <v>0.81904496056313292</v>
      </c>
      <c r="BH2">
        <v>2.948640436056337</v>
      </c>
      <c r="BI2">
        <v>2.4347837210566325</v>
      </c>
      <c r="BJ2">
        <v>1.9331544870148747</v>
      </c>
      <c r="BK2">
        <v>3</v>
      </c>
      <c r="BL2">
        <v>3.1365861735452683</v>
      </c>
      <c r="BM2">
        <v>5.2585287076712461</v>
      </c>
      <c r="BN2">
        <v>10.835274745452665</v>
      </c>
      <c r="BO2">
        <v>13.965954227288051</v>
      </c>
      <c r="BP2">
        <v>2.2223897560082406</v>
      </c>
      <c r="BQ2">
        <v>0.40086137467079652</v>
      </c>
      <c r="BR2">
        <v>-1.0092080094883755</v>
      </c>
      <c r="BS2">
        <v>-0.76169643968493972</v>
      </c>
      <c r="BT2">
        <v>2.2999999999999972</v>
      </c>
      <c r="BU2">
        <v>-1.2999999999999972</v>
      </c>
      <c r="BV2">
        <v>2</v>
      </c>
      <c r="BW2">
        <v>0.70000000000000284</v>
      </c>
      <c r="BX2">
        <v>0.90000000000000568</v>
      </c>
      <c r="BY2">
        <v>-0.40000000000000568</v>
      </c>
      <c r="BZ2">
        <v>1</v>
      </c>
      <c r="CA2">
        <v>3.5</v>
      </c>
      <c r="CB2">
        <v>0.1</v>
      </c>
      <c r="CC2">
        <v>-0.20000000000000284</v>
      </c>
      <c r="CD2">
        <v>-0.1</v>
      </c>
      <c r="CE2">
        <v>-0.3</v>
      </c>
      <c r="CF2">
        <v>1.8</v>
      </c>
      <c r="CG2">
        <v>2.8</v>
      </c>
      <c r="CH2">
        <v>1.8</v>
      </c>
      <c r="CI2">
        <v>0.9</v>
      </c>
      <c r="CJ2">
        <v>1.1000000000000001</v>
      </c>
      <c r="CK2">
        <v>1</v>
      </c>
      <c r="CL2">
        <v>1.8</v>
      </c>
      <c r="CM2">
        <v>0.9</v>
      </c>
      <c r="CN2">
        <v>1.3</v>
      </c>
      <c r="CO2">
        <v>1.6</v>
      </c>
      <c r="CP2">
        <v>0.2</v>
      </c>
      <c r="CQ2">
        <v>-0.1</v>
      </c>
      <c r="CR2">
        <v>2</v>
      </c>
      <c r="CS2">
        <v>1.2</v>
      </c>
      <c r="CT2">
        <v>0.9</v>
      </c>
      <c r="CU2">
        <v>1</v>
      </c>
      <c r="CV2">
        <v>1.5</v>
      </c>
      <c r="CW2">
        <v>0.9</v>
      </c>
      <c r="CX2">
        <v>1.1000000000000001</v>
      </c>
      <c r="CY2">
        <v>0.8</v>
      </c>
      <c r="CZ2">
        <v>0</v>
      </c>
      <c r="DA2">
        <v>0</v>
      </c>
      <c r="DB2">
        <v>-0.7</v>
      </c>
      <c r="DC2">
        <v>0</v>
      </c>
      <c r="DD2">
        <v>1.9</v>
      </c>
      <c r="DE2">
        <v>1.7</v>
      </c>
      <c r="DF2">
        <v>1.4</v>
      </c>
      <c r="DG2">
        <v>0.8</v>
      </c>
      <c r="DH2">
        <v>1</v>
      </c>
      <c r="DI2">
        <v>0.5</v>
      </c>
      <c r="DJ2">
        <v>0.9</v>
      </c>
      <c r="DK2">
        <v>1</v>
      </c>
      <c r="DL2">
        <v>0.7</v>
      </c>
      <c r="DM2">
        <v>-0.5</v>
      </c>
      <c r="DN2">
        <v>-0.6</v>
      </c>
      <c r="DO2">
        <v>-0.3</v>
      </c>
      <c r="DP2">
        <v>0.7</v>
      </c>
      <c r="DQ2">
        <v>0.7</v>
      </c>
      <c r="DR2">
        <v>0.1</v>
      </c>
      <c r="DS2">
        <v>-0.2</v>
      </c>
      <c r="DT2">
        <v>0.2</v>
      </c>
      <c r="DU2">
        <v>-0.3</v>
      </c>
      <c r="DV2">
        <v>0.8</v>
      </c>
      <c r="DW2">
        <v>0.8</v>
      </c>
      <c r="DX2">
        <v>0.3</v>
      </c>
      <c r="DY2">
        <v>0.2</v>
      </c>
      <c r="DZ2">
        <v>-0.6</v>
      </c>
      <c r="EA2">
        <v>-0.2</v>
      </c>
      <c r="EB2">
        <v>0.5</v>
      </c>
      <c r="EC2">
        <v>1</v>
      </c>
      <c r="ED2">
        <v>1.3</v>
      </c>
      <c r="EE2">
        <v>0.9</v>
      </c>
      <c r="EF2">
        <v>1.3</v>
      </c>
      <c r="EG2">
        <v>1</v>
      </c>
      <c r="EH2">
        <v>1.7</v>
      </c>
      <c r="EI2">
        <v>0.7</v>
      </c>
      <c r="EJ2">
        <v>1.3</v>
      </c>
      <c r="EK2">
        <v>0.2</v>
      </c>
      <c r="EL2">
        <v>0.1</v>
      </c>
      <c r="EM2">
        <v>-0.2</v>
      </c>
      <c r="EN2">
        <v>1.2</v>
      </c>
      <c r="EO2">
        <v>0.9</v>
      </c>
      <c r="EP2">
        <v>0.8</v>
      </c>
      <c r="EQ2">
        <v>0.6</v>
      </c>
      <c r="ER2">
        <v>1.3</v>
      </c>
      <c r="ES2">
        <v>1.6</v>
      </c>
      <c r="ET2">
        <v>4.5</v>
      </c>
      <c r="EU2">
        <v>3.1</v>
      </c>
      <c r="EV2">
        <v>2.7</v>
      </c>
      <c r="EW2">
        <v>3.1</v>
      </c>
      <c r="EX2">
        <v>0.7</v>
      </c>
    </row>
    <row r="3" spans="1:154">
      <c r="A3">
        <v>2012</v>
      </c>
      <c r="B3" s="1">
        <v>1</v>
      </c>
      <c r="C3">
        <v>1</v>
      </c>
      <c r="D3" t="s">
        <v>31</v>
      </c>
      <c r="H3" s="507"/>
      <c r="I3" s="507"/>
      <c r="J3" s="10">
        <v>0.03</v>
      </c>
      <c r="N3" s="80"/>
      <c r="O3" s="34"/>
      <c r="X3" s="3">
        <v>229210.58093106499</v>
      </c>
      <c r="Y3" s="3"/>
      <c r="AA3">
        <v>2.5000000000000001E-2</v>
      </c>
      <c r="AC3">
        <v>7.9884482758620718</v>
      </c>
      <c r="AE3" s="99">
        <v>137.86352435043932</v>
      </c>
      <c r="AF3" s="119">
        <f t="shared" ref="AF3:AF66" si="0">AC3*AE3</f>
        <v>1101.3156334015357</v>
      </c>
      <c r="AH3">
        <v>2799</v>
      </c>
    </row>
    <row r="4" spans="1:154">
      <c r="A4">
        <v>2012</v>
      </c>
      <c r="B4" s="1">
        <v>1</v>
      </c>
      <c r="C4">
        <v>1</v>
      </c>
      <c r="D4" t="s">
        <v>32</v>
      </c>
      <c r="H4" s="507"/>
      <c r="I4" s="507"/>
      <c r="J4" s="10">
        <v>1.9000000000000059E-2</v>
      </c>
      <c r="N4" s="80"/>
      <c r="O4" s="34"/>
      <c r="X4" s="3">
        <v>230832.769845865</v>
      </c>
      <c r="Y4" s="3"/>
      <c r="AA4">
        <v>2.5000000000000001E-2</v>
      </c>
      <c r="AC4">
        <v>7.9862419354838741</v>
      </c>
      <c r="AE4" s="99">
        <v>145.4167851183542</v>
      </c>
      <c r="AF4" s="119">
        <f t="shared" si="0"/>
        <v>1161.3336274354476</v>
      </c>
      <c r="AH4">
        <v>2923</v>
      </c>
    </row>
    <row r="5" spans="1:154">
      <c r="A5">
        <v>2012</v>
      </c>
      <c r="B5" s="1">
        <v>2</v>
      </c>
      <c r="C5">
        <v>2</v>
      </c>
      <c r="D5" t="s">
        <v>33</v>
      </c>
      <c r="H5" s="507"/>
      <c r="I5" s="507"/>
      <c r="J5" s="10">
        <v>5.9999999999999429E-3</v>
      </c>
      <c r="N5" s="80"/>
      <c r="O5" s="34"/>
      <c r="X5" s="3">
        <v>234965.39075044999</v>
      </c>
      <c r="Y5" s="3"/>
      <c r="AA5">
        <v>3.1E-2</v>
      </c>
      <c r="AC5">
        <v>7.9867200000000009</v>
      </c>
      <c r="AE5" s="99">
        <v>139.63578916648299</v>
      </c>
      <c r="AF5" s="119">
        <f t="shared" si="0"/>
        <v>1115.2319500517333</v>
      </c>
      <c r="AH5">
        <v>2942</v>
      </c>
    </row>
    <row r="6" spans="1:154">
      <c r="A6">
        <v>2012</v>
      </c>
      <c r="B6" s="1">
        <v>2</v>
      </c>
      <c r="C6">
        <v>2</v>
      </c>
      <c r="D6" t="s">
        <v>34</v>
      </c>
      <c r="H6" s="507"/>
      <c r="I6" s="507"/>
      <c r="J6" s="10">
        <v>-5.0000000000000001E-3</v>
      </c>
      <c r="N6" s="80"/>
      <c r="O6" s="34"/>
      <c r="X6" s="3">
        <v>236920.87836192996</v>
      </c>
      <c r="Y6" s="3"/>
      <c r="AA6">
        <v>3.1E-2</v>
      </c>
      <c r="AC6">
        <v>7.9907774193548411</v>
      </c>
      <c r="AE6" s="99">
        <v>135.60784850512107</v>
      </c>
      <c r="AF6" s="119">
        <f t="shared" si="0"/>
        <v>1083.6121337220136</v>
      </c>
      <c r="AH6">
        <v>3015</v>
      </c>
    </row>
    <row r="7" spans="1:154">
      <c r="A7">
        <v>2012</v>
      </c>
      <c r="B7" s="1">
        <v>2</v>
      </c>
      <c r="C7">
        <v>2</v>
      </c>
      <c r="D7" t="s">
        <v>35</v>
      </c>
      <c r="H7" s="507"/>
      <c r="I7" s="507"/>
      <c r="J7" s="10">
        <v>-1.2000000000000028E-2</v>
      </c>
      <c r="N7" s="80"/>
      <c r="O7" s="34"/>
      <c r="X7" s="3">
        <v>240131.486245045</v>
      </c>
      <c r="Y7" s="3"/>
      <c r="AA7">
        <v>3.1E-2</v>
      </c>
      <c r="AC7">
        <v>7.992500000000005</v>
      </c>
      <c r="AE7" s="99">
        <v>126.85179927864903</v>
      </c>
      <c r="AF7" s="119">
        <f t="shared" si="0"/>
        <v>1013.863005734603</v>
      </c>
      <c r="AH7">
        <v>3109</v>
      </c>
    </row>
    <row r="8" spans="1:154">
      <c r="A8">
        <v>2012</v>
      </c>
      <c r="B8" s="1">
        <v>3</v>
      </c>
      <c r="C8">
        <v>3</v>
      </c>
      <c r="D8" t="s">
        <v>36</v>
      </c>
      <c r="H8" s="507"/>
      <c r="I8" s="507"/>
      <c r="J8" s="10">
        <v>-9.9999999999994321E-4</v>
      </c>
      <c r="N8" s="80"/>
      <c r="O8" s="34"/>
      <c r="X8" s="3">
        <v>244128.81661238999</v>
      </c>
      <c r="Y8" s="3"/>
      <c r="AA8">
        <v>-1.3000000000000001E-2</v>
      </c>
      <c r="AC8">
        <v>7.9928709677419318</v>
      </c>
      <c r="AE8" s="99">
        <v>128.23158147625546</v>
      </c>
      <c r="AF8" s="119">
        <f t="shared" si="0"/>
        <v>1024.9384847291963</v>
      </c>
      <c r="AH8">
        <v>3151</v>
      </c>
    </row>
    <row r="9" spans="1:154">
      <c r="A9">
        <v>2012</v>
      </c>
      <c r="B9" s="1">
        <v>3</v>
      </c>
      <c r="C9">
        <v>3</v>
      </c>
      <c r="D9" t="s">
        <v>37</v>
      </c>
      <c r="H9" s="507"/>
      <c r="I9" s="507"/>
      <c r="J9" s="10">
        <v>0</v>
      </c>
      <c r="N9" s="80"/>
      <c r="O9" s="34"/>
      <c r="X9" s="3">
        <v>247403.86389133497</v>
      </c>
      <c r="Y9" s="3"/>
      <c r="AA9">
        <v>-1.3000000000000001E-2</v>
      </c>
      <c r="AC9">
        <v>7.9929999999999968</v>
      </c>
      <c r="AE9" s="99">
        <v>133.3924323715982</v>
      </c>
      <c r="AF9" s="119">
        <f t="shared" si="0"/>
        <v>1066.205711946184</v>
      </c>
      <c r="AH9">
        <v>3073</v>
      </c>
    </row>
    <row r="10" spans="1:154">
      <c r="A10">
        <v>2012</v>
      </c>
      <c r="B10" s="1">
        <v>3</v>
      </c>
      <c r="C10">
        <v>3</v>
      </c>
      <c r="D10" t="s">
        <v>38</v>
      </c>
      <c r="H10" s="507"/>
      <c r="I10" s="507"/>
      <c r="J10" s="10">
        <v>0</v>
      </c>
      <c r="N10" s="80"/>
      <c r="O10" s="34"/>
      <c r="X10" s="3">
        <v>248849.02702901</v>
      </c>
      <c r="Y10" s="3"/>
      <c r="AA10">
        <v>-1.3000000000000001E-2</v>
      </c>
      <c r="AC10">
        <v>7.9929999999999968</v>
      </c>
      <c r="AE10" s="99">
        <v>132.37555934876767</v>
      </c>
      <c r="AF10" s="119">
        <f t="shared" si="0"/>
        <v>1058.0778458746995</v>
      </c>
      <c r="AH10">
        <v>3064</v>
      </c>
    </row>
    <row r="11" spans="1:154">
      <c r="A11">
        <v>2012</v>
      </c>
      <c r="B11" s="1">
        <v>4</v>
      </c>
      <c r="C11">
        <v>4</v>
      </c>
      <c r="D11" t="s">
        <v>39</v>
      </c>
      <c r="H11" s="507"/>
      <c r="I11" s="507"/>
      <c r="J11" s="10">
        <v>0</v>
      </c>
      <c r="N11" s="80"/>
      <c r="O11" s="34"/>
      <c r="X11" s="3">
        <v>246775.18956694502</v>
      </c>
      <c r="Y11" s="3"/>
      <c r="AA11">
        <v>-2.3E-2</v>
      </c>
      <c r="AC11">
        <v>7.9929999999999968</v>
      </c>
      <c r="AE11" s="99">
        <v>134.55174157378255</v>
      </c>
      <c r="AF11" s="119">
        <f t="shared" si="0"/>
        <v>1075.4720703992434</v>
      </c>
      <c r="AH11">
        <v>3110</v>
      </c>
    </row>
    <row r="12" spans="1:154">
      <c r="A12">
        <v>2012</v>
      </c>
      <c r="B12" s="1">
        <v>4</v>
      </c>
      <c r="C12">
        <v>4</v>
      </c>
      <c r="D12" t="s">
        <v>40</v>
      </c>
      <c r="H12" s="507"/>
      <c r="I12" s="507"/>
      <c r="J12" s="10">
        <v>-2.0000000000000282E-3</v>
      </c>
      <c r="N12" s="80"/>
      <c r="O12" s="34"/>
      <c r="X12" s="3">
        <v>242130.89166552501</v>
      </c>
      <c r="Y12" s="3"/>
      <c r="AA12">
        <v>-2.3E-2</v>
      </c>
      <c r="AC12">
        <v>7.9929999999999968</v>
      </c>
      <c r="AE12" s="99">
        <v>135.4741353359413</v>
      </c>
      <c r="AF12" s="119">
        <f t="shared" si="0"/>
        <v>1082.8447637401785</v>
      </c>
      <c r="AH12">
        <v>3098</v>
      </c>
    </row>
    <row r="13" spans="1:154">
      <c r="A13">
        <v>2012</v>
      </c>
      <c r="B13" s="1">
        <v>4</v>
      </c>
      <c r="C13">
        <v>4</v>
      </c>
      <c r="D13" t="s">
        <v>41</v>
      </c>
      <c r="H13" s="507"/>
      <c r="I13" s="507"/>
      <c r="J13" s="10">
        <v>-2.0000000000000282E-3</v>
      </c>
      <c r="N13" s="80"/>
      <c r="O13" s="34"/>
      <c r="X13" s="3">
        <v>246959.60933522001</v>
      </c>
      <c r="Y13" s="3"/>
      <c r="AA13">
        <v>-2.3E-2</v>
      </c>
      <c r="AC13">
        <v>7.9929999999999968</v>
      </c>
      <c r="AE13" s="99">
        <v>135.58015921395864</v>
      </c>
      <c r="AF13" s="119">
        <f t="shared" si="0"/>
        <v>1083.692212597171</v>
      </c>
      <c r="AH13">
        <v>3377</v>
      </c>
    </row>
    <row r="14" spans="1:154">
      <c r="A14">
        <v>2013</v>
      </c>
      <c r="B14" s="1">
        <v>1</v>
      </c>
      <c r="C14">
        <v>1</v>
      </c>
      <c r="D14" t="s">
        <v>42</v>
      </c>
      <c r="E14" s="33">
        <f>CH14/100</f>
        <v>2.0000000000000282E-3</v>
      </c>
      <c r="H14" s="507">
        <v>100</v>
      </c>
      <c r="I14" s="527">
        <f>AM14/100</f>
        <v>2.0000000000000282E-3</v>
      </c>
      <c r="J14" s="10">
        <v>-2.0000000000000282E-3</v>
      </c>
      <c r="N14" s="80"/>
      <c r="O14" s="34"/>
      <c r="X14" s="3">
        <v>253519.96098072501</v>
      </c>
      <c r="Y14" s="3"/>
      <c r="Z14" s="33">
        <f>X14/X2-1</f>
        <v>7.9338973587758987E-2</v>
      </c>
      <c r="AA14">
        <v>-1.2E-2</v>
      </c>
      <c r="AC14">
        <v>7.9929999999999968</v>
      </c>
      <c r="AE14" s="99">
        <v>137.77601073940048</v>
      </c>
      <c r="AF14" s="119">
        <f t="shared" si="0"/>
        <v>1101.2436538400275</v>
      </c>
      <c r="AG14" s="33">
        <f>AE14/AE2-1</f>
        <v>1.1542941117562711E-2</v>
      </c>
      <c r="AH14">
        <v>3000</v>
      </c>
      <c r="AI14" s="33">
        <f>AH14/AH2-1</f>
        <v>0.10213078618662741</v>
      </c>
      <c r="AJ14" s="29">
        <f t="shared" ref="AJ14:AJ77" si="1">AI14</f>
        <v>0.10213078618662741</v>
      </c>
      <c r="AK14" s="33">
        <f>AF14/AF2-1</f>
        <v>1.1948891969161046E-2</v>
      </c>
      <c r="AM14">
        <v>0.20000000000000284</v>
      </c>
      <c r="CH14" s="99">
        <v>0.20000000000000284</v>
      </c>
    </row>
    <row r="15" spans="1:154">
      <c r="A15">
        <v>2013</v>
      </c>
      <c r="B15" s="1">
        <v>1</v>
      </c>
      <c r="C15">
        <v>1</v>
      </c>
      <c r="D15" t="s">
        <v>43</v>
      </c>
      <c r="E15" s="33">
        <f t="shared" ref="E15:E78" si="2">CH15/100</f>
        <v>-9.9999999999994321E-4</v>
      </c>
      <c r="H15" s="507"/>
      <c r="I15" s="527">
        <f>AM15/100</f>
        <v>-9.9999999999994321E-4</v>
      </c>
      <c r="J15" s="10">
        <v>-5.0000000000000001E-3</v>
      </c>
      <c r="N15" s="80"/>
      <c r="O15" s="34"/>
      <c r="X15" s="3">
        <v>253365.73957723999</v>
      </c>
      <c r="Y15" s="3"/>
      <c r="Z15" s="33">
        <f>X15/X3-1</f>
        <v>0.10538413431027283</v>
      </c>
      <c r="AA15">
        <v>-1.2E-2</v>
      </c>
      <c r="AC15">
        <v>7.9929999999999968</v>
      </c>
      <c r="AE15" s="99">
        <v>138.47899916690656</v>
      </c>
      <c r="AF15" s="119">
        <f t="shared" si="0"/>
        <v>1106.8626403410838</v>
      </c>
      <c r="AG15" s="33">
        <f t="shared" ref="AG15:AG78" si="3">AE15/AE3-1</f>
        <v>4.4643775020776211E-3</v>
      </c>
      <c r="AH15">
        <v>3044</v>
      </c>
      <c r="AI15" s="33">
        <f t="shared" ref="AI15:AI78" si="4">AH15/AH3-1</f>
        <v>8.7531261164701668E-2</v>
      </c>
      <c r="AJ15" s="29">
        <f t="shared" si="1"/>
        <v>8.7531261164701668E-2</v>
      </c>
      <c r="AK15" s="33">
        <f t="shared" ref="AK15:AK78" si="5">AF15/AF3-1</f>
        <v>5.0367095238770254E-3</v>
      </c>
      <c r="AM15">
        <v>-9.9999999999994316E-2</v>
      </c>
      <c r="CH15" s="99">
        <v>-9.9999999999994316E-2</v>
      </c>
    </row>
    <row r="16" spans="1:154">
      <c r="A16">
        <v>2013</v>
      </c>
      <c r="B16" s="1">
        <v>1</v>
      </c>
      <c r="C16">
        <v>1</v>
      </c>
      <c r="D16" t="s">
        <v>44</v>
      </c>
      <c r="E16" s="33">
        <f t="shared" si="2"/>
        <v>0</v>
      </c>
      <c r="H16" s="507"/>
      <c r="I16" s="527">
        <f t="shared" ref="I16:I79" si="6">AM16/100</f>
        <v>0</v>
      </c>
      <c r="J16" s="10">
        <v>-7.9999999999999724E-3</v>
      </c>
      <c r="N16" s="80"/>
      <c r="O16" s="34"/>
      <c r="X16" s="3">
        <v>255560.8297231</v>
      </c>
      <c r="Y16" s="3"/>
      <c r="Z16" s="33">
        <f>X16/X4-1</f>
        <v>0.10712543064724644</v>
      </c>
      <c r="AA16">
        <v>-1.2E-2</v>
      </c>
      <c r="AB16">
        <f t="shared" ref="AB16:AB25" si="7">(1+Z13)/(1+AA16)-1</f>
        <v>1.2145748987854255E-2</v>
      </c>
      <c r="AC16">
        <v>7.9929999999999968</v>
      </c>
      <c r="AD16">
        <f t="shared" ref="AD16:AD79" si="8">AC16/AC4-1</f>
        <v>8.4621334674261917E-4</v>
      </c>
      <c r="AE16" s="99">
        <v>135.83159286139508</v>
      </c>
      <c r="AF16" s="119">
        <f t="shared" si="0"/>
        <v>1085.7019217411305</v>
      </c>
      <c r="AG16" s="33">
        <f t="shared" si="3"/>
        <v>-6.5915308533040173E-2</v>
      </c>
      <c r="AH16">
        <v>3212</v>
      </c>
      <c r="AI16" s="33">
        <f t="shared" si="4"/>
        <v>9.8871022921655838E-2</v>
      </c>
      <c r="AJ16" s="29">
        <f t="shared" si="1"/>
        <v>9.8871022921655838E-2</v>
      </c>
      <c r="AK16" s="33">
        <f t="shared" si="5"/>
        <v>-6.5124873600132749E-2</v>
      </c>
      <c r="AM16">
        <v>0</v>
      </c>
      <c r="CH16" s="99">
        <v>0</v>
      </c>
    </row>
    <row r="17" spans="1:86">
      <c r="A17">
        <v>2013</v>
      </c>
      <c r="B17" s="1">
        <v>2</v>
      </c>
      <c r="C17">
        <v>2</v>
      </c>
      <c r="D17" t="s">
        <v>45</v>
      </c>
      <c r="E17" s="33">
        <f t="shared" si="2"/>
        <v>0</v>
      </c>
      <c r="H17" s="507"/>
      <c r="I17" s="527">
        <f t="shared" si="6"/>
        <v>0</v>
      </c>
      <c r="J17" s="10">
        <v>-7.9999999999999724E-3</v>
      </c>
      <c r="N17" s="80"/>
      <c r="O17" s="34"/>
      <c r="X17" s="3">
        <v>261665.96983488501</v>
      </c>
      <c r="Y17" s="3"/>
      <c r="Z17" s="33">
        <f t="shared" ref="Z17:Z80" si="9">X17/X5-1</f>
        <v>0.11363622105858528</v>
      </c>
      <c r="AA17">
        <v>-1.3000000000000001E-2</v>
      </c>
      <c r="AB17">
        <f t="shared" si="7"/>
        <v>9.3555191071690968E-2</v>
      </c>
      <c r="AC17">
        <v>7.9929999999999968</v>
      </c>
      <c r="AD17">
        <f t="shared" si="8"/>
        <v>7.8630526674228207E-4</v>
      </c>
      <c r="AE17" s="99">
        <v>139.93162903417814</v>
      </c>
      <c r="AF17" s="119">
        <f t="shared" si="0"/>
        <v>1118.4735108701855</v>
      </c>
      <c r="AG17" s="33">
        <f t="shared" si="3"/>
        <v>2.1186536020678659E-3</v>
      </c>
      <c r="AH17">
        <v>3233</v>
      </c>
      <c r="AI17" s="33">
        <f t="shared" si="4"/>
        <v>9.8912304554724662E-2</v>
      </c>
      <c r="AJ17" s="29">
        <f t="shared" si="1"/>
        <v>9.8912304554724662E-2</v>
      </c>
      <c r="AK17" s="33">
        <f t="shared" si="5"/>
        <v>2.9066247772957521E-3</v>
      </c>
      <c r="AM17">
        <v>0</v>
      </c>
      <c r="CH17" s="99">
        <v>0</v>
      </c>
    </row>
    <row r="18" spans="1:86">
      <c r="A18">
        <v>2013</v>
      </c>
      <c r="B18" s="1">
        <v>2</v>
      </c>
      <c r="C18">
        <v>2</v>
      </c>
      <c r="D18" t="s">
        <v>46</v>
      </c>
      <c r="E18" s="33">
        <f t="shared" si="2"/>
        <v>9.9999999999994321E-4</v>
      </c>
      <c r="H18" s="507"/>
      <c r="I18" s="527">
        <f t="shared" si="6"/>
        <v>9.9999999999994321E-4</v>
      </c>
      <c r="J18" s="10">
        <v>-4.0000000000000565E-3</v>
      </c>
      <c r="N18" s="80"/>
      <c r="O18" s="34"/>
      <c r="X18" s="3">
        <v>268980.006681845</v>
      </c>
      <c r="Y18" s="3"/>
      <c r="Z18" s="33">
        <f t="shared" si="9"/>
        <v>0.13531575833067877</v>
      </c>
      <c r="AA18">
        <v>-1.3000000000000001E-2</v>
      </c>
      <c r="AB18">
        <f t="shared" si="7"/>
        <v>0.11994339849065128</v>
      </c>
      <c r="AC18">
        <v>7.9929999999999968</v>
      </c>
      <c r="AD18">
        <f t="shared" si="8"/>
        <v>2.7814323044106359E-4</v>
      </c>
      <c r="AE18" s="99">
        <v>135.96065691723464</v>
      </c>
      <c r="AF18" s="119">
        <f t="shared" si="0"/>
        <v>1086.733530739456</v>
      </c>
      <c r="AG18" s="33">
        <f t="shared" si="3"/>
        <v>2.601681362861985E-3</v>
      </c>
      <c r="AH18">
        <v>3253</v>
      </c>
      <c r="AI18" s="33">
        <f t="shared" si="4"/>
        <v>7.8938640132669935E-2</v>
      </c>
      <c r="AJ18" s="29">
        <f t="shared" si="1"/>
        <v>7.8938640132669935E-2</v>
      </c>
      <c r="AK18" s="33">
        <f t="shared" si="5"/>
        <v>2.8805482333618126E-3</v>
      </c>
      <c r="AM18">
        <v>9.9999999999994316E-2</v>
      </c>
      <c r="CH18" s="99">
        <v>9.9999999999994316E-2</v>
      </c>
    </row>
    <row r="19" spans="1:86">
      <c r="A19">
        <v>2013</v>
      </c>
      <c r="B19" s="1">
        <v>2</v>
      </c>
      <c r="C19">
        <v>2</v>
      </c>
      <c r="D19" t="s">
        <v>47</v>
      </c>
      <c r="E19" s="33">
        <f t="shared" si="2"/>
        <v>0</v>
      </c>
      <c r="H19" s="507"/>
      <c r="I19" s="527">
        <f t="shared" si="6"/>
        <v>0</v>
      </c>
      <c r="J19" s="10">
        <v>-9.9999999999994321E-4</v>
      </c>
      <c r="N19" s="80"/>
      <c r="O19" s="34"/>
      <c r="X19" s="3">
        <v>273259.66609833</v>
      </c>
      <c r="Y19" s="3"/>
      <c r="Z19" s="33">
        <f t="shared" si="9"/>
        <v>0.13795850086680828</v>
      </c>
      <c r="AA19">
        <v>-1.3000000000000001E-2</v>
      </c>
      <c r="AB19">
        <f t="shared" si="7"/>
        <v>0.12170762983510275</v>
      </c>
      <c r="AC19">
        <v>7.9929999999999968</v>
      </c>
      <c r="AD19">
        <f t="shared" si="8"/>
        <v>6.2558648732169431E-5</v>
      </c>
      <c r="AE19" s="99">
        <v>132.98294298996433</v>
      </c>
      <c r="AF19" s="119">
        <f t="shared" si="0"/>
        <v>1062.9326633187845</v>
      </c>
      <c r="AG19" s="33">
        <f t="shared" si="3"/>
        <v>4.8333123741093553E-2</v>
      </c>
      <c r="AH19">
        <v>3380</v>
      </c>
      <c r="AI19" s="33">
        <f t="shared" si="4"/>
        <v>8.7166291412029695E-2</v>
      </c>
      <c r="AJ19" s="29">
        <f t="shared" si="1"/>
        <v>8.7166291412029695E-2</v>
      </c>
      <c r="AK19" s="33">
        <f t="shared" si="5"/>
        <v>4.8398706044735951E-2</v>
      </c>
      <c r="AM19">
        <v>0</v>
      </c>
      <c r="CH19" s="99">
        <v>0</v>
      </c>
    </row>
    <row r="20" spans="1:86">
      <c r="A20">
        <v>2013</v>
      </c>
      <c r="B20" s="1">
        <v>3</v>
      </c>
      <c r="C20">
        <v>3</v>
      </c>
      <c r="D20" t="s">
        <v>48</v>
      </c>
      <c r="E20" s="33">
        <f t="shared" si="2"/>
        <v>-9.9999999999994321E-4</v>
      </c>
      <c r="H20" s="507"/>
      <c r="I20" s="527">
        <f t="shared" si="6"/>
        <v>-9.9999999999994321E-4</v>
      </c>
      <c r="J20" s="10">
        <v>0</v>
      </c>
      <c r="N20" s="80"/>
      <c r="O20" s="34"/>
      <c r="X20" s="3">
        <v>277316.82655808004</v>
      </c>
      <c r="Y20" s="3"/>
      <c r="Z20" s="33">
        <f t="shared" si="9"/>
        <v>0.13594466399426963</v>
      </c>
      <c r="AA20">
        <v>-1.2E-2</v>
      </c>
      <c r="AB20">
        <f t="shared" si="7"/>
        <v>0.12716216706334538</v>
      </c>
      <c r="AC20">
        <v>7.9929999999999968</v>
      </c>
      <c r="AD20">
        <f t="shared" si="8"/>
        <v>1.614341812672393E-5</v>
      </c>
      <c r="AE20" s="99">
        <v>132.23366827571823</v>
      </c>
      <c r="AF20" s="119">
        <f t="shared" si="0"/>
        <v>1056.9437105278155</v>
      </c>
      <c r="AG20" s="33">
        <f t="shared" si="3"/>
        <v>3.1209837337955904E-2</v>
      </c>
      <c r="AH20">
        <v>3429</v>
      </c>
      <c r="AI20" s="33">
        <f t="shared" si="4"/>
        <v>8.8225960012694449E-2</v>
      </c>
      <c r="AJ20" s="29">
        <f t="shared" si="1"/>
        <v>8.8225960012694449E-2</v>
      </c>
      <c r="AK20" s="33">
        <f t="shared" si="5"/>
        <v>3.1226484589536474E-2</v>
      </c>
      <c r="AM20">
        <v>-9.9999999999994316E-2</v>
      </c>
      <c r="CH20" s="99">
        <v>-9.9999999999994316E-2</v>
      </c>
    </row>
    <row r="21" spans="1:86">
      <c r="A21">
        <v>2013</v>
      </c>
      <c r="B21" s="1">
        <v>3</v>
      </c>
      <c r="C21">
        <v>3</v>
      </c>
      <c r="D21" t="s">
        <v>49</v>
      </c>
      <c r="E21" s="33">
        <f t="shared" si="2"/>
        <v>-7.0000000000000288E-3</v>
      </c>
      <c r="H21" s="507"/>
      <c r="I21" s="527">
        <f t="shared" si="6"/>
        <v>-7.0000000000000288E-3</v>
      </c>
      <c r="J21" s="10">
        <v>-4.0000000000000565E-3</v>
      </c>
      <c r="N21" s="80"/>
      <c r="O21" s="34"/>
      <c r="X21" s="3">
        <v>281281.81099551998</v>
      </c>
      <c r="Y21" s="3"/>
      <c r="Z21" s="33">
        <f t="shared" si="9"/>
        <v>0.13693378337480167</v>
      </c>
      <c r="AA21">
        <v>-1.2E-2</v>
      </c>
      <c r="AB21">
        <f t="shared" si="7"/>
        <v>0.1491050185533187</v>
      </c>
      <c r="AC21">
        <v>7.9929999999999968</v>
      </c>
      <c r="AD21">
        <f t="shared" si="8"/>
        <v>0</v>
      </c>
      <c r="AE21" s="99">
        <v>133.90326348516098</v>
      </c>
      <c r="AF21" s="119">
        <f t="shared" si="0"/>
        <v>1070.2887850368913</v>
      </c>
      <c r="AG21" s="33">
        <f t="shared" si="3"/>
        <v>3.8295359375388749E-3</v>
      </c>
      <c r="AH21">
        <v>3304</v>
      </c>
      <c r="AI21" s="33">
        <f t="shared" si="4"/>
        <v>7.5170842824601403E-2</v>
      </c>
      <c r="AJ21" s="29">
        <f t="shared" si="1"/>
        <v>7.5170842824601403E-2</v>
      </c>
      <c r="AK21" s="33">
        <f t="shared" si="5"/>
        <v>3.8295359375390969E-3</v>
      </c>
      <c r="AM21">
        <v>-0.70000000000000284</v>
      </c>
      <c r="CH21" s="99">
        <v>-0.70000000000000284</v>
      </c>
    </row>
    <row r="22" spans="1:86">
      <c r="A22">
        <v>2013</v>
      </c>
      <c r="B22" s="1">
        <v>3</v>
      </c>
      <c r="C22">
        <v>3</v>
      </c>
      <c r="D22" t="s">
        <v>50</v>
      </c>
      <c r="E22" s="33">
        <f t="shared" si="2"/>
        <v>0</v>
      </c>
      <c r="H22" s="507"/>
      <c r="I22" s="527">
        <f t="shared" si="6"/>
        <v>0</v>
      </c>
      <c r="J22" s="10">
        <v>-5.0000000000000001E-3</v>
      </c>
      <c r="N22" s="80"/>
      <c r="O22" s="34"/>
      <c r="X22" s="3">
        <v>284119.22944967996</v>
      </c>
      <c r="Y22" s="3"/>
      <c r="Z22" s="33">
        <f t="shared" si="9"/>
        <v>0.14173333463167714</v>
      </c>
      <c r="AA22">
        <v>-1.2E-2</v>
      </c>
      <c r="AB22">
        <f t="shared" si="7"/>
        <v>0.15177985917693149</v>
      </c>
      <c r="AC22">
        <v>7.9929999999999968</v>
      </c>
      <c r="AD22">
        <f t="shared" si="8"/>
        <v>0</v>
      </c>
      <c r="AE22" s="99">
        <v>131.55021950180338</v>
      </c>
      <c r="AF22" s="119">
        <f t="shared" si="0"/>
        <v>1051.480904477914</v>
      </c>
      <c r="AG22" s="33">
        <f t="shared" si="3"/>
        <v>-6.2348355770854846E-3</v>
      </c>
      <c r="AH22">
        <v>3261</v>
      </c>
      <c r="AI22" s="33">
        <f t="shared" si="4"/>
        <v>6.4295039164490753E-2</v>
      </c>
      <c r="AJ22" s="29">
        <f t="shared" si="1"/>
        <v>6.4295039164490753E-2</v>
      </c>
      <c r="AK22" s="33">
        <f t="shared" si="5"/>
        <v>-6.2348355770854846E-3</v>
      </c>
      <c r="AM22">
        <v>0</v>
      </c>
      <c r="CH22" s="99">
        <v>0</v>
      </c>
    </row>
    <row r="23" spans="1:86">
      <c r="A23">
        <v>2013</v>
      </c>
      <c r="B23" s="1">
        <v>4</v>
      </c>
      <c r="C23">
        <v>4</v>
      </c>
      <c r="D23" t="s">
        <v>51</v>
      </c>
      <c r="E23" s="33">
        <f t="shared" si="2"/>
        <v>4.0000000000000565E-3</v>
      </c>
      <c r="H23" s="507"/>
      <c r="I23" s="527">
        <f t="shared" si="6"/>
        <v>4.0000000000000565E-3</v>
      </c>
      <c r="J23" s="10">
        <v>-9.9999999999994321E-4</v>
      </c>
      <c r="N23" s="80"/>
      <c r="O23" s="34"/>
      <c r="X23" s="3">
        <v>286351.75427067</v>
      </c>
      <c r="Y23" s="3"/>
      <c r="Z23" s="33">
        <f t="shared" si="9"/>
        <v>0.16037497437718984</v>
      </c>
      <c r="AA23">
        <v>3.3000000000000002E-2</v>
      </c>
      <c r="AB23">
        <f t="shared" si="7"/>
        <v>9.9656015483320148E-2</v>
      </c>
      <c r="AC23">
        <v>7.9929999999999968</v>
      </c>
      <c r="AD23">
        <f t="shared" si="8"/>
        <v>0</v>
      </c>
      <c r="AE23" s="99">
        <v>132.29936125907909</v>
      </c>
      <c r="AF23" s="119">
        <f t="shared" si="0"/>
        <v>1057.4687945438188</v>
      </c>
      <c r="AG23" s="33">
        <f t="shared" si="3"/>
        <v>-1.6739882281407326E-2</v>
      </c>
      <c r="AH23">
        <v>3283</v>
      </c>
      <c r="AI23" s="33">
        <f t="shared" si="4"/>
        <v>5.5627009646302294E-2</v>
      </c>
      <c r="AJ23" s="29">
        <f t="shared" si="1"/>
        <v>5.5627009646302294E-2</v>
      </c>
      <c r="AK23" s="33">
        <f t="shared" si="5"/>
        <v>-1.6739882281407215E-2</v>
      </c>
      <c r="AM23">
        <v>0.40000000000000568</v>
      </c>
      <c r="CH23" s="99">
        <v>0.40000000000000568</v>
      </c>
    </row>
    <row r="24" spans="1:86">
      <c r="A24">
        <v>2013</v>
      </c>
      <c r="B24" s="1">
        <v>4</v>
      </c>
      <c r="C24">
        <v>4</v>
      </c>
      <c r="D24" t="s">
        <v>52</v>
      </c>
      <c r="E24" s="33">
        <f t="shared" si="2"/>
        <v>2.0000000000000282E-3</v>
      </c>
      <c r="H24" s="507"/>
      <c r="I24" s="527">
        <f t="shared" si="6"/>
        <v>2.0000000000000282E-3</v>
      </c>
      <c r="J24" s="10">
        <v>2.0000000000000282E-3</v>
      </c>
      <c r="N24" s="80"/>
      <c r="O24" s="34"/>
      <c r="X24" s="3">
        <v>288363.33373174502</v>
      </c>
      <c r="Y24" s="3"/>
      <c r="Z24" s="33">
        <f t="shared" si="9"/>
        <v>0.19093987449600047</v>
      </c>
      <c r="AA24">
        <v>3.3000000000000002E-2</v>
      </c>
      <c r="AB24">
        <f t="shared" si="7"/>
        <v>0.10061353666486128</v>
      </c>
      <c r="AC24">
        <v>7.9929999999999968</v>
      </c>
      <c r="AD24">
        <f t="shared" si="8"/>
        <v>0</v>
      </c>
      <c r="AE24" s="99">
        <v>132.39958553353219</v>
      </c>
      <c r="AF24" s="119">
        <f t="shared" si="0"/>
        <v>1058.2698871695225</v>
      </c>
      <c r="AG24" s="33">
        <f t="shared" si="3"/>
        <v>-2.269473648814968E-2</v>
      </c>
      <c r="AH24">
        <v>3268</v>
      </c>
      <c r="AI24" s="33">
        <f t="shared" si="4"/>
        <v>5.4874112330535851E-2</v>
      </c>
      <c r="AJ24" s="29">
        <f t="shared" si="1"/>
        <v>5.4874112330535851E-2</v>
      </c>
      <c r="AK24" s="33">
        <f t="shared" si="5"/>
        <v>-2.269473648814968E-2</v>
      </c>
      <c r="AM24">
        <v>0.20000000000000284</v>
      </c>
      <c r="CH24" s="99">
        <v>0.20000000000000284</v>
      </c>
    </row>
    <row r="25" spans="1:86" s="13" customFormat="1">
      <c r="A25" s="13">
        <v>2013</v>
      </c>
      <c r="B25" s="280">
        <v>4</v>
      </c>
      <c r="C25" s="13">
        <v>4</v>
      </c>
      <c r="D25" s="13" t="s">
        <v>53</v>
      </c>
      <c r="E25" s="30">
        <f t="shared" si="2"/>
        <v>5.0000000000000001E-3</v>
      </c>
      <c r="H25" s="509"/>
      <c r="I25" s="528">
        <f t="shared" si="6"/>
        <v>5.0000000000000001E-3</v>
      </c>
      <c r="J25" s="283">
        <v>5.0000000000000001E-3</v>
      </c>
      <c r="N25" s="487"/>
      <c r="O25" s="488"/>
      <c r="X25" s="489">
        <v>297862.94055798498</v>
      </c>
      <c r="Y25" s="489"/>
      <c r="Z25" s="30">
        <f t="shared" si="9"/>
        <v>0.20612006700119689</v>
      </c>
      <c r="AA25" s="13">
        <v>3.3000000000000002E-2</v>
      </c>
      <c r="AB25" s="13">
        <f t="shared" si="7"/>
        <v>0.10525976247016189</v>
      </c>
      <c r="AC25" s="13">
        <v>7.9929999999999968</v>
      </c>
      <c r="AD25" s="13">
        <f t="shared" si="8"/>
        <v>0</v>
      </c>
      <c r="AE25" s="382">
        <v>134.4652625933694</v>
      </c>
      <c r="AF25" s="389">
        <f t="shared" si="0"/>
        <v>1074.7808439088012</v>
      </c>
      <c r="AG25" s="30">
        <f t="shared" si="3"/>
        <v>-8.2231546787743248E-3</v>
      </c>
      <c r="AH25" s="13">
        <v>3619</v>
      </c>
      <c r="AI25" s="30">
        <f t="shared" si="4"/>
        <v>7.1661237785016318E-2</v>
      </c>
      <c r="AJ25" s="31">
        <f t="shared" si="1"/>
        <v>7.1661237785016318E-2</v>
      </c>
      <c r="AK25" s="30">
        <f t="shared" si="5"/>
        <v>-8.2231546787743248E-3</v>
      </c>
      <c r="AM25">
        <v>0.5</v>
      </c>
      <c r="CH25" s="99">
        <v>0.5</v>
      </c>
    </row>
    <row r="26" spans="1:86">
      <c r="A26" s="1">
        <v>2014</v>
      </c>
      <c r="B26" s="1">
        <v>1</v>
      </c>
      <c r="C26" s="1">
        <v>1</v>
      </c>
      <c r="D26" t="str">
        <f t="shared" ref="D26:D89" si="10">A26&amp;"M"&amp;C26</f>
        <v>2014M1</v>
      </c>
      <c r="E26" s="33">
        <f t="shared" si="2"/>
        <v>2.2742624098223987E-3</v>
      </c>
      <c r="G26" s="126">
        <f>AVERAGE(I26:I37)</f>
        <v>1.8851835976141703E-2</v>
      </c>
      <c r="H26" s="507">
        <v>100</v>
      </c>
      <c r="I26" s="527">
        <f t="shared" si="6"/>
        <v>2.2742624098223987E-3</v>
      </c>
      <c r="J26" s="2">
        <v>5.0000000000000001E-3</v>
      </c>
      <c r="N26" s="2"/>
      <c r="O26" s="2"/>
      <c r="P26" s="2"/>
      <c r="Q26" s="2"/>
      <c r="R26" s="2"/>
      <c r="S26" s="2"/>
      <c r="T26" s="2"/>
      <c r="U26" s="2"/>
      <c r="V26" s="2"/>
      <c r="W26" s="2"/>
      <c r="X26" s="3">
        <v>300798.40161085001</v>
      </c>
      <c r="Y26" s="3"/>
      <c r="Z26" s="33">
        <f t="shared" si="9"/>
        <v>0.18648804002348185</v>
      </c>
      <c r="AA26" s="5">
        <v>-0.01</v>
      </c>
      <c r="AB26">
        <f>(1+Z23)/(1+AA26)-1</f>
        <v>0.17209593371433307</v>
      </c>
      <c r="AC26">
        <v>7.9929999999999968</v>
      </c>
      <c r="AD26">
        <f t="shared" si="8"/>
        <v>0</v>
      </c>
      <c r="AE26" s="99">
        <v>129.39997534019375</v>
      </c>
      <c r="AF26" s="119">
        <f t="shared" si="0"/>
        <v>1034.2940028941682</v>
      </c>
      <c r="AG26" s="33">
        <f t="shared" si="3"/>
        <v>-6.0794585024310011E-2</v>
      </c>
      <c r="AH26">
        <v>3167</v>
      </c>
      <c r="AI26" s="33">
        <f t="shared" si="4"/>
        <v>5.5666666666666753E-2</v>
      </c>
      <c r="AJ26" s="29">
        <f t="shared" si="1"/>
        <v>5.5666666666666753E-2</v>
      </c>
      <c r="AK26" s="33">
        <f t="shared" si="5"/>
        <v>-6.07945850243099E-2</v>
      </c>
      <c r="AM26">
        <v>0.22742624098223985</v>
      </c>
      <c r="CH26" s="99">
        <v>0.22742624098223985</v>
      </c>
    </row>
    <row r="27" spans="1:86">
      <c r="A27" s="1">
        <v>2014</v>
      </c>
      <c r="B27" s="1">
        <v>1</v>
      </c>
      <c r="C27" s="1">
        <v>2</v>
      </c>
      <c r="D27" t="str">
        <f t="shared" si="10"/>
        <v>2014M2</v>
      </c>
      <c r="E27" s="33">
        <f t="shared" si="2"/>
        <v>5.741896728978446E-3</v>
      </c>
      <c r="H27" s="507"/>
      <c r="I27" s="527">
        <f t="shared" si="6"/>
        <v>5.741896728978446E-3</v>
      </c>
      <c r="J27" s="2">
        <v>1.2000000000000028E-2</v>
      </c>
      <c r="N27" s="2"/>
      <c r="O27" s="2"/>
      <c r="P27" s="2"/>
      <c r="Q27" s="2"/>
      <c r="R27" s="2"/>
      <c r="S27" s="2"/>
      <c r="T27" s="2"/>
      <c r="U27" s="2"/>
      <c r="V27" s="2"/>
      <c r="W27" s="2"/>
      <c r="X27" s="3">
        <v>301442.06663184497</v>
      </c>
      <c r="Y27" s="3"/>
      <c r="Z27" s="33">
        <f t="shared" si="9"/>
        <v>0.18975070242260839</v>
      </c>
      <c r="AA27" s="5">
        <v>-0.01</v>
      </c>
      <c r="AB27">
        <f t="shared" ref="AB27:AB89" si="11">(1+Z27)/(1+AA27)-1</f>
        <v>0.20176838628546312</v>
      </c>
      <c r="AC27">
        <v>8.6548821428571419</v>
      </c>
      <c r="AD27">
        <f t="shared" si="8"/>
        <v>8.2807724616182243E-2</v>
      </c>
      <c r="AE27" s="99">
        <v>128.251941093749</v>
      </c>
      <c r="AF27" s="119">
        <f t="shared" si="0"/>
        <v>1110.0054347590542</v>
      </c>
      <c r="AG27" s="33">
        <f t="shared" si="3"/>
        <v>-7.3852772873026384E-2</v>
      </c>
      <c r="AH27">
        <v>3209</v>
      </c>
      <c r="AI27" s="33">
        <f t="shared" si="4"/>
        <v>5.4204993429697756E-2</v>
      </c>
      <c r="AJ27" s="29">
        <f t="shared" si="1"/>
        <v>5.4204993429697756E-2</v>
      </c>
      <c r="AK27" s="33">
        <f t="shared" si="5"/>
        <v>2.8393716649448564E-3</v>
      </c>
      <c r="AM27">
        <v>0.57418967289784462</v>
      </c>
      <c r="CH27" s="99">
        <v>0.57418967289784462</v>
      </c>
    </row>
    <row r="28" spans="1:86">
      <c r="A28" s="1">
        <v>2014</v>
      </c>
      <c r="B28" s="1">
        <v>1</v>
      </c>
      <c r="C28" s="1">
        <v>3</v>
      </c>
      <c r="D28" t="str">
        <f t="shared" si="10"/>
        <v>2014M3</v>
      </c>
      <c r="E28" s="33">
        <f t="shared" si="2"/>
        <v>2.1717601079911334E-2</v>
      </c>
      <c r="H28" s="507"/>
      <c r="I28" s="527">
        <f t="shared" si="6"/>
        <v>2.1717601079911334E-2</v>
      </c>
      <c r="J28" s="2">
        <v>3.4000000000000058E-2</v>
      </c>
      <c r="N28" s="2"/>
      <c r="O28" s="2"/>
      <c r="P28" s="2"/>
      <c r="Q28" s="2"/>
      <c r="R28" s="2"/>
      <c r="S28" s="2"/>
      <c r="T28" s="2"/>
      <c r="U28" s="2"/>
      <c r="V28" s="2"/>
      <c r="W28" s="2"/>
      <c r="X28" s="3">
        <v>318743.77602432499</v>
      </c>
      <c r="Y28" s="3"/>
      <c r="Z28" s="33">
        <f t="shared" si="9"/>
        <v>0.2472325135651019</v>
      </c>
      <c r="AA28" s="5">
        <v>-0.01</v>
      </c>
      <c r="AB28">
        <f t="shared" si="11"/>
        <v>0.25983082178293126</v>
      </c>
      <c r="AC28">
        <v>9.9200290322580607</v>
      </c>
      <c r="AD28">
        <f t="shared" si="8"/>
        <v>0.24108958241687284</v>
      </c>
      <c r="AE28" s="99">
        <v>125.17791468915895</v>
      </c>
      <c r="AF28" s="119">
        <f t="shared" si="0"/>
        <v>1241.7685479139795</v>
      </c>
      <c r="AG28" s="33">
        <f t="shared" si="3"/>
        <v>-7.8432991528762597E-2</v>
      </c>
      <c r="AH28">
        <v>3415</v>
      </c>
      <c r="AI28" s="33">
        <f t="shared" si="4"/>
        <v>6.3200498132004901E-2</v>
      </c>
      <c r="AJ28" s="29">
        <f t="shared" si="1"/>
        <v>6.3200498132004901E-2</v>
      </c>
      <c r="AK28" s="33">
        <f t="shared" si="5"/>
        <v>0.14374721371273469</v>
      </c>
      <c r="AM28">
        <v>2.1717601079911333</v>
      </c>
      <c r="CH28" s="99">
        <v>2.1717601079911333</v>
      </c>
    </row>
    <row r="29" spans="1:86">
      <c r="A29" s="1">
        <v>2014</v>
      </c>
      <c r="B29" s="1">
        <v>2</v>
      </c>
      <c r="C29" s="1">
        <v>4</v>
      </c>
      <c r="D29" t="str">
        <f t="shared" si="10"/>
        <v>2014M4</v>
      </c>
      <c r="E29" s="33">
        <f t="shared" si="2"/>
        <v>3.3477781478453039E-2</v>
      </c>
      <c r="H29" s="507"/>
      <c r="I29" s="527">
        <f t="shared" si="6"/>
        <v>3.3477781478453039E-2</v>
      </c>
      <c r="J29" s="2">
        <v>6.9000000000000061E-2</v>
      </c>
      <c r="N29" s="2"/>
      <c r="O29" s="2"/>
      <c r="P29" s="2"/>
      <c r="Q29" s="2"/>
      <c r="R29" s="2"/>
      <c r="S29" s="2"/>
      <c r="T29" s="2"/>
      <c r="U29" s="2"/>
      <c r="V29" s="2"/>
      <c r="W29" s="2"/>
      <c r="X29" s="3">
        <v>333966.73129959498</v>
      </c>
      <c r="Y29" s="3"/>
      <c r="Z29" s="33">
        <f t="shared" si="9"/>
        <v>0.27630937836636837</v>
      </c>
      <c r="AA29" s="5">
        <v>-4.2999999999999997E-2</v>
      </c>
      <c r="AB29">
        <f t="shared" si="11"/>
        <v>0.33365661271302871</v>
      </c>
      <c r="AC29">
        <v>12.759447166666666</v>
      </c>
      <c r="AD29">
        <f t="shared" si="8"/>
        <v>0.59632768255557012</v>
      </c>
      <c r="AE29" s="99">
        <v>124.92793478909064</v>
      </c>
      <c r="AF29" s="119">
        <f t="shared" si="0"/>
        <v>1594.0113835821805</v>
      </c>
      <c r="AG29" s="33">
        <f t="shared" si="3"/>
        <v>-0.10722160778549117</v>
      </c>
      <c r="AH29">
        <v>3432</v>
      </c>
      <c r="AI29" s="33">
        <f t="shared" si="4"/>
        <v>6.1552737395607737E-2</v>
      </c>
      <c r="AJ29" s="29">
        <f t="shared" si="1"/>
        <v>6.1552737395607737E-2</v>
      </c>
      <c r="AK29" s="33">
        <f t="shared" si="5"/>
        <v>0.42516686187947461</v>
      </c>
      <c r="AM29">
        <v>3.3477781478453039</v>
      </c>
      <c r="CH29" s="99">
        <v>3.3477781478453039</v>
      </c>
    </row>
    <row r="30" spans="1:86">
      <c r="A30" s="1">
        <v>2014</v>
      </c>
      <c r="B30" s="1">
        <v>2</v>
      </c>
      <c r="C30" s="1">
        <v>5</v>
      </c>
      <c r="D30" t="str">
        <f t="shared" si="10"/>
        <v>2014M5</v>
      </c>
      <c r="E30" s="33">
        <f t="shared" si="2"/>
        <v>3.8311894109004353E-2</v>
      </c>
      <c r="H30" s="507"/>
      <c r="I30" s="527">
        <f t="shared" si="6"/>
        <v>3.8311894109004353E-2</v>
      </c>
      <c r="J30" s="2">
        <v>0.10900000000000006</v>
      </c>
      <c r="N30" s="2"/>
      <c r="O30" s="2"/>
      <c r="P30" s="2"/>
      <c r="Q30" s="2"/>
      <c r="R30" s="2"/>
      <c r="S30" s="2"/>
      <c r="T30" s="2"/>
      <c r="U30" s="2"/>
      <c r="V30" s="2"/>
      <c r="W30" s="2"/>
      <c r="X30" s="3">
        <v>340922.54735220497</v>
      </c>
      <c r="Y30" s="3"/>
      <c r="Z30" s="33">
        <f t="shared" si="9"/>
        <v>0.2674642682846502</v>
      </c>
      <c r="AA30" s="5">
        <v>-4.2999999999999997E-2</v>
      </c>
      <c r="AB30">
        <f t="shared" si="11"/>
        <v>0.32441407344268569</v>
      </c>
      <c r="AC30">
        <v>11.643625741935482</v>
      </c>
      <c r="AD30">
        <f t="shared" si="8"/>
        <v>0.45672785461472376</v>
      </c>
      <c r="AE30" s="99">
        <v>124.21988948502181</v>
      </c>
      <c r="AF30" s="119">
        <f t="shared" si="0"/>
        <v>1446.3699028681806</v>
      </c>
      <c r="AG30" s="33">
        <f t="shared" si="3"/>
        <v>-8.6354153461909E-2</v>
      </c>
      <c r="AH30">
        <v>3430</v>
      </c>
      <c r="AI30" s="33">
        <f t="shared" si="4"/>
        <v>5.4411312634491171E-2</v>
      </c>
      <c r="AJ30" s="29">
        <f t="shared" si="1"/>
        <v>5.4411312634491171E-2</v>
      </c>
      <c r="AK30" s="33">
        <f t="shared" si="5"/>
        <v>0.33093335390508649</v>
      </c>
      <c r="AM30">
        <v>3.8311894109004356</v>
      </c>
      <c r="CH30" s="99">
        <v>3.8311894109004356</v>
      </c>
    </row>
    <row r="31" spans="1:86">
      <c r="A31" s="1">
        <v>2014</v>
      </c>
      <c r="B31" s="1">
        <v>2</v>
      </c>
      <c r="C31" s="1">
        <v>6</v>
      </c>
      <c r="D31" t="str">
        <f t="shared" si="10"/>
        <v>2014M6</v>
      </c>
      <c r="E31" s="33">
        <f t="shared" si="2"/>
        <v>9.7127305070468135E-3</v>
      </c>
      <c r="H31" s="507"/>
      <c r="I31" s="527">
        <f t="shared" si="6"/>
        <v>9.7127305070468135E-3</v>
      </c>
      <c r="J31" s="2">
        <v>0.12</v>
      </c>
      <c r="N31" s="2"/>
      <c r="O31" s="2"/>
      <c r="P31" s="2"/>
      <c r="Q31" s="2"/>
      <c r="R31" s="2"/>
      <c r="S31" s="2"/>
      <c r="T31" s="2"/>
      <c r="U31" s="2"/>
      <c r="V31" s="2"/>
      <c r="W31" s="2"/>
      <c r="X31" s="3">
        <v>346942.54146475496</v>
      </c>
      <c r="Y31" s="3"/>
      <c r="Z31" s="33">
        <f t="shared" si="9"/>
        <v>0.2696441681953563</v>
      </c>
      <c r="AA31" s="5">
        <v>-4.2999999999999997E-2</v>
      </c>
      <c r="AB31">
        <f t="shared" si="11"/>
        <v>0.32669192078929599</v>
      </c>
      <c r="AC31">
        <v>11.809525100000002</v>
      </c>
      <c r="AD31">
        <f t="shared" si="8"/>
        <v>0.47748343550606864</v>
      </c>
      <c r="AE31" s="99">
        <v>123.67620950844133</v>
      </c>
      <c r="AF31" s="119">
        <f t="shared" si="0"/>
        <v>1460.5573004627968</v>
      </c>
      <c r="AG31" s="33">
        <f t="shared" si="3"/>
        <v>-6.9984415085665108E-2</v>
      </c>
      <c r="AH31">
        <v>3601</v>
      </c>
      <c r="AI31" s="33">
        <f t="shared" si="4"/>
        <v>6.5384615384615374E-2</v>
      </c>
      <c r="AJ31" s="29">
        <f t="shared" si="1"/>
        <v>6.5384615384615374E-2</v>
      </c>
      <c r="AK31" s="33">
        <f t="shared" si="5"/>
        <v>0.37408262147341742</v>
      </c>
      <c r="AM31">
        <v>0.9712730507046814</v>
      </c>
      <c r="CH31" s="99">
        <v>0.9712730507046814</v>
      </c>
    </row>
    <row r="32" spans="1:86">
      <c r="A32" s="1">
        <v>2014</v>
      </c>
      <c r="B32" s="1">
        <v>3</v>
      </c>
      <c r="C32" s="1">
        <v>7</v>
      </c>
      <c r="D32" t="str">
        <f t="shared" si="10"/>
        <v>2014M7</v>
      </c>
      <c r="E32" s="33">
        <f t="shared" si="2"/>
        <v>3.6296293535743019E-3</v>
      </c>
      <c r="H32" s="507"/>
      <c r="I32" s="527">
        <f t="shared" si="6"/>
        <v>3.6296293535743019E-3</v>
      </c>
      <c r="J32" s="2">
        <v>0.12599999999999995</v>
      </c>
      <c r="N32" s="2"/>
      <c r="O32" s="2"/>
      <c r="P32" s="2"/>
      <c r="Q32" s="2"/>
      <c r="R32" s="2"/>
      <c r="S32" s="2"/>
      <c r="T32" s="2"/>
      <c r="U32" s="2"/>
      <c r="V32" s="2"/>
      <c r="W32" s="2"/>
      <c r="X32" s="3">
        <v>349859.80596984003</v>
      </c>
      <c r="Y32" s="3"/>
      <c r="Z32" s="33">
        <f t="shared" si="9"/>
        <v>0.26158881273858414</v>
      </c>
      <c r="AA32" s="5">
        <v>-5.2999999999999999E-2</v>
      </c>
      <c r="AB32">
        <f t="shared" si="11"/>
        <v>0.33219515600695271</v>
      </c>
      <c r="AC32">
        <v>11.758699838709674</v>
      </c>
      <c r="AD32">
        <f t="shared" si="8"/>
        <v>0.47112471396342781</v>
      </c>
      <c r="AE32" s="99">
        <v>118.08884019936436</v>
      </c>
      <c r="AF32" s="119">
        <f t="shared" si="0"/>
        <v>1388.5712262056782</v>
      </c>
      <c r="AG32" s="33">
        <f t="shared" si="3"/>
        <v>-0.10696843141990686</v>
      </c>
      <c r="AH32">
        <v>3537</v>
      </c>
      <c r="AI32" s="33">
        <f t="shared" si="4"/>
        <v>3.1496062992125928E-2</v>
      </c>
      <c r="AJ32" s="29">
        <f t="shared" si="1"/>
        <v>3.1496062992125928E-2</v>
      </c>
      <c r="AK32" s="33">
        <f t="shared" si="5"/>
        <v>0.3137608108877008</v>
      </c>
      <c r="AM32">
        <v>0.36296293535743018</v>
      </c>
      <c r="CH32" s="99">
        <v>0.36296293535743018</v>
      </c>
    </row>
    <row r="33" spans="1:86">
      <c r="A33" s="1">
        <v>2014</v>
      </c>
      <c r="B33" s="1">
        <v>3</v>
      </c>
      <c r="C33" s="1">
        <v>8</v>
      </c>
      <c r="D33" t="str">
        <f t="shared" si="10"/>
        <v>2014M8</v>
      </c>
      <c r="E33" s="33">
        <f t="shared" si="2"/>
        <v>8.1904496056313288E-3</v>
      </c>
      <c r="H33" s="507"/>
      <c r="I33" s="527">
        <f t="shared" si="6"/>
        <v>8.1904496056313288E-3</v>
      </c>
      <c r="J33" s="2">
        <v>0.14200000000000002</v>
      </c>
      <c r="N33" s="2"/>
      <c r="O33" s="2"/>
      <c r="P33" s="2"/>
      <c r="Q33" s="2"/>
      <c r="R33" s="2"/>
      <c r="S33" s="2"/>
      <c r="T33" s="2"/>
      <c r="U33" s="2"/>
      <c r="V33" s="2"/>
      <c r="W33" s="2"/>
      <c r="X33" s="3">
        <v>345111.83392211999</v>
      </c>
      <c r="Y33" s="3"/>
      <c r="Z33" s="33">
        <f t="shared" si="9"/>
        <v>0.2269255260434051</v>
      </c>
      <c r="AA33" s="5">
        <v>-5.2999999999999999E-2</v>
      </c>
      <c r="AB33">
        <f t="shared" si="11"/>
        <v>0.29559189656114593</v>
      </c>
      <c r="AC33">
        <v>12.974419322580642</v>
      </c>
      <c r="AD33">
        <f t="shared" si="8"/>
        <v>0.62322273521589477</v>
      </c>
      <c r="AE33" s="99">
        <v>114.24893351996502</v>
      </c>
      <c r="AF33" s="119">
        <f t="shared" si="0"/>
        <v>1482.3135706456653</v>
      </c>
      <c r="AG33" s="33">
        <f t="shared" si="3"/>
        <v>-0.1467800668456003</v>
      </c>
      <c r="AH33">
        <v>3370</v>
      </c>
      <c r="AI33" s="33">
        <f t="shared" si="4"/>
        <v>1.9975786924939509E-2</v>
      </c>
      <c r="AJ33" s="29">
        <f t="shared" si="1"/>
        <v>1.9975786924939509E-2</v>
      </c>
      <c r="AK33" s="33">
        <f t="shared" si="5"/>
        <v>0.38496599363560757</v>
      </c>
      <c r="AM33">
        <v>0.81904496056313292</v>
      </c>
      <c r="CH33" s="99">
        <v>0.81904496056313292</v>
      </c>
    </row>
    <row r="34" spans="1:86">
      <c r="A34" s="1">
        <v>2014</v>
      </c>
      <c r="B34" s="1">
        <v>3</v>
      </c>
      <c r="C34" s="1">
        <v>9</v>
      </c>
      <c r="D34" t="str">
        <f t="shared" si="10"/>
        <v>2014M9</v>
      </c>
      <c r="E34" s="33">
        <f t="shared" si="2"/>
        <v>2.9486404360563368E-2</v>
      </c>
      <c r="H34" s="507"/>
      <c r="I34" s="527">
        <f t="shared" si="6"/>
        <v>2.9486404360563368E-2</v>
      </c>
      <c r="J34" s="2">
        <v>0.17499999999999999</v>
      </c>
      <c r="N34" s="2"/>
      <c r="O34" s="2"/>
      <c r="P34" s="2"/>
      <c r="Q34" s="2"/>
      <c r="R34" s="2"/>
      <c r="S34" s="2"/>
      <c r="T34" s="2"/>
      <c r="U34" s="2"/>
      <c r="V34" s="2"/>
      <c r="W34" s="2"/>
      <c r="X34" s="3">
        <v>346423.85484130995</v>
      </c>
      <c r="Y34" s="3"/>
      <c r="Z34" s="33">
        <f t="shared" si="9"/>
        <v>0.21929042082899453</v>
      </c>
      <c r="AA34" s="5">
        <v>-5.2999999999999999E-2</v>
      </c>
      <c r="AB34">
        <f t="shared" si="11"/>
        <v>0.28752948345194773</v>
      </c>
      <c r="AC34">
        <v>13.012378400000001</v>
      </c>
      <c r="AD34">
        <f t="shared" si="8"/>
        <v>0.62797177530339132</v>
      </c>
      <c r="AE34" s="99">
        <v>111.07961727671469</v>
      </c>
      <c r="AF34" s="119">
        <f t="shared" si="0"/>
        <v>1445.4100125317891</v>
      </c>
      <c r="AG34" s="33">
        <f t="shared" si="3"/>
        <v>-0.15561055164037996</v>
      </c>
      <c r="AH34">
        <v>3481</v>
      </c>
      <c r="AI34" s="33">
        <f t="shared" si="4"/>
        <v>6.7463968107942307E-2</v>
      </c>
      <c r="AJ34" s="29">
        <f t="shared" si="1"/>
        <v>6.7463968107942307E-2</v>
      </c>
      <c r="AK34" s="33">
        <f t="shared" si="5"/>
        <v>0.37464218929346171</v>
      </c>
      <c r="AM34">
        <v>2.948640436056337</v>
      </c>
      <c r="CH34" s="99">
        <v>2.948640436056337</v>
      </c>
    </row>
    <row r="35" spans="1:86">
      <c r="A35" s="1">
        <v>2014</v>
      </c>
      <c r="B35" s="1">
        <v>4</v>
      </c>
      <c r="C35" s="1">
        <v>10</v>
      </c>
      <c r="D35" t="str">
        <f t="shared" si="10"/>
        <v>2014M10</v>
      </c>
      <c r="E35" s="33">
        <f t="shared" si="2"/>
        <v>2.4347837210566325E-2</v>
      </c>
      <c r="H35" s="507"/>
      <c r="I35" s="527">
        <f t="shared" si="6"/>
        <v>2.4347837210566325E-2</v>
      </c>
      <c r="J35" s="2">
        <v>0.19799999999999998</v>
      </c>
      <c r="N35" s="2"/>
      <c r="O35" s="2"/>
      <c r="P35" s="2"/>
      <c r="Q35" s="2"/>
      <c r="R35" s="2"/>
      <c r="S35" s="2"/>
      <c r="T35" s="2"/>
      <c r="U35" s="2"/>
      <c r="V35" s="2"/>
      <c r="W35" s="2"/>
      <c r="X35" s="3">
        <v>341972.79756451002</v>
      </c>
      <c r="Y35" s="3"/>
      <c r="Z35" s="33">
        <f t="shared" si="9"/>
        <v>0.19424027429308155</v>
      </c>
      <c r="AA35" s="5">
        <v>-0.14400000000000002</v>
      </c>
      <c r="AB35">
        <f t="shared" si="11"/>
        <v>0.3951405073517309</v>
      </c>
      <c r="AC35">
        <v>12.949849741935488</v>
      </c>
      <c r="AD35">
        <f t="shared" si="8"/>
        <v>0.62014884798392256</v>
      </c>
      <c r="AE35" s="99">
        <v>106.22440962054507</v>
      </c>
      <c r="AF35" s="119">
        <f t="shared" si="0"/>
        <v>1375.5901435118651</v>
      </c>
      <c r="AG35" s="33">
        <f t="shared" si="3"/>
        <v>-0.19709053309389746</v>
      </c>
      <c r="AH35">
        <v>3509</v>
      </c>
      <c r="AI35" s="33">
        <f t="shared" si="4"/>
        <v>6.883947608894303E-2</v>
      </c>
      <c r="AJ35" s="29">
        <f t="shared" si="1"/>
        <v>6.883947608894303E-2</v>
      </c>
      <c r="AK35" s="33">
        <f t="shared" si="5"/>
        <v>0.30083284784330733</v>
      </c>
      <c r="AM35">
        <v>2.4347837210566325</v>
      </c>
      <c r="CH35" s="99">
        <v>2.4347837210566325</v>
      </c>
    </row>
    <row r="36" spans="1:86">
      <c r="A36" s="1">
        <v>2014</v>
      </c>
      <c r="B36" s="1">
        <v>4</v>
      </c>
      <c r="C36" s="1">
        <v>11</v>
      </c>
      <c r="D36" t="str">
        <f t="shared" si="10"/>
        <v>2014M11</v>
      </c>
      <c r="E36" s="33">
        <f t="shared" si="2"/>
        <v>1.9331544870148747E-2</v>
      </c>
      <c r="H36" s="507"/>
      <c r="I36" s="527">
        <f t="shared" si="6"/>
        <v>1.9331544870148747E-2</v>
      </c>
      <c r="J36" s="2">
        <v>0.21799999999999997</v>
      </c>
      <c r="N36" s="2"/>
      <c r="O36" s="2"/>
      <c r="P36" s="2"/>
      <c r="Q36" s="2"/>
      <c r="R36" s="2"/>
      <c r="S36" s="2"/>
      <c r="T36" s="2"/>
      <c r="U36" s="2"/>
      <c r="V36" s="2"/>
      <c r="W36" s="2"/>
      <c r="X36" s="3">
        <v>330450.83183212997</v>
      </c>
      <c r="Y36" s="3"/>
      <c r="Z36" s="33">
        <f t="shared" si="9"/>
        <v>0.14595301543967287</v>
      </c>
      <c r="AA36" s="5">
        <v>-0.14400000000000002</v>
      </c>
      <c r="AB36">
        <f t="shared" si="11"/>
        <v>0.33873015822391683</v>
      </c>
      <c r="AC36">
        <v>14.731345500000002</v>
      </c>
      <c r="AD36">
        <f t="shared" si="8"/>
        <v>0.84303083948454982</v>
      </c>
      <c r="AE36" s="99">
        <v>97.082787679038418</v>
      </c>
      <c r="AF36" s="119">
        <f t="shared" si="0"/>
        <v>1430.1600874030582</v>
      </c>
      <c r="AG36" s="33">
        <f t="shared" si="3"/>
        <v>-0.26674402123071039</v>
      </c>
      <c r="AH36">
        <v>3534</v>
      </c>
      <c r="AI36" s="33">
        <f t="shared" si="4"/>
        <v>8.1395348837209225E-2</v>
      </c>
      <c r="AJ36" s="29">
        <f t="shared" si="1"/>
        <v>8.1395348837209225E-2</v>
      </c>
      <c r="AK36" s="33">
        <f t="shared" si="5"/>
        <v>0.35141338210822903</v>
      </c>
      <c r="AM36">
        <v>1.9331544870148747</v>
      </c>
      <c r="CH36" s="99">
        <v>1.9331544870148747</v>
      </c>
    </row>
    <row r="37" spans="1:86">
      <c r="A37" s="1">
        <v>2014</v>
      </c>
      <c r="B37" s="1">
        <v>4</v>
      </c>
      <c r="C37" s="1">
        <v>12</v>
      </c>
      <c r="D37" t="str">
        <f t="shared" si="10"/>
        <v>2014M12</v>
      </c>
      <c r="E37" s="33">
        <f t="shared" si="2"/>
        <v>0.03</v>
      </c>
      <c r="H37" s="507"/>
      <c r="I37" s="527">
        <f t="shared" si="6"/>
        <v>0.03</v>
      </c>
      <c r="J37" s="2">
        <v>0.24900000000000005</v>
      </c>
      <c r="N37" s="2"/>
      <c r="O37" s="2"/>
      <c r="P37" s="2"/>
      <c r="Q37" s="2"/>
      <c r="R37" s="2"/>
      <c r="S37" s="2"/>
      <c r="T37" s="2"/>
      <c r="U37" s="2"/>
      <c r="V37" s="2"/>
      <c r="W37" s="2"/>
      <c r="X37" s="3">
        <v>330790.97813041497</v>
      </c>
      <c r="Y37" s="3"/>
      <c r="Z37" s="33">
        <f t="shared" si="9"/>
        <v>0.11054761465372653</v>
      </c>
      <c r="AA37" s="5">
        <v>-0.14400000000000002</v>
      </c>
      <c r="AB37">
        <f t="shared" si="11"/>
        <v>0.29736870870762444</v>
      </c>
      <c r="AC37">
        <v>15.629198419354838</v>
      </c>
      <c r="AD37">
        <f t="shared" si="8"/>
        <v>0.95536074306954144</v>
      </c>
      <c r="AE37" s="99">
        <v>90.309453830286756</v>
      </c>
      <c r="AF37" s="119">
        <f t="shared" si="0"/>
        <v>1411.4643730571165</v>
      </c>
      <c r="AG37" s="33">
        <f t="shared" si="3"/>
        <v>-0.32838078706329021</v>
      </c>
      <c r="AH37">
        <v>4012</v>
      </c>
      <c r="AI37" s="33">
        <f t="shared" si="4"/>
        <v>0.10859353412544892</v>
      </c>
      <c r="AJ37" s="29">
        <f t="shared" si="1"/>
        <v>0.10859353412544892</v>
      </c>
      <c r="AK37" s="33">
        <f t="shared" si="5"/>
        <v>0.31325784326770534</v>
      </c>
      <c r="AM37">
        <v>3</v>
      </c>
      <c r="CH37" s="99">
        <v>3</v>
      </c>
    </row>
    <row r="38" spans="1:86">
      <c r="A38" s="1">
        <v>2015</v>
      </c>
      <c r="B38" s="1">
        <v>1</v>
      </c>
      <c r="C38" s="1">
        <v>1</v>
      </c>
      <c r="D38" t="str">
        <f t="shared" si="10"/>
        <v>2015M1</v>
      </c>
      <c r="E38" s="33">
        <f t="shared" si="2"/>
        <v>3.136586173545268E-2</v>
      </c>
      <c r="G38" s="126">
        <f>AVERAGE(I38:I49)</f>
        <v>3.1457242112885801E-2</v>
      </c>
      <c r="H38" s="507"/>
      <c r="I38" s="527">
        <f t="shared" si="6"/>
        <v>3.136586173545268E-2</v>
      </c>
      <c r="J38" s="2">
        <v>0.28499999999999998</v>
      </c>
      <c r="N38" s="2"/>
      <c r="O38" s="2"/>
      <c r="P38" s="2"/>
      <c r="Q38" s="2"/>
      <c r="R38" s="2"/>
      <c r="S38" s="2"/>
      <c r="T38" s="2"/>
      <c r="U38" s="2"/>
      <c r="V38" s="2"/>
      <c r="W38" s="2"/>
      <c r="X38" s="3">
        <v>329963.04891961999</v>
      </c>
      <c r="Y38" s="3"/>
      <c r="Z38" s="33">
        <f t="shared" si="9"/>
        <v>9.6957454403301613E-2</v>
      </c>
      <c r="AA38" s="5">
        <v>-0.16</v>
      </c>
      <c r="AB38">
        <f t="shared" si="11"/>
        <v>0.30590173143250188</v>
      </c>
      <c r="AC38">
        <v>15.818962580645165</v>
      </c>
      <c r="AD38">
        <f t="shared" si="8"/>
        <v>0.97910203686290154</v>
      </c>
      <c r="AE38" s="99">
        <v>81.129787004963418</v>
      </c>
      <c r="AF38" s="119">
        <f t="shared" si="0"/>
        <v>1283.3890648072286</v>
      </c>
      <c r="AG38" s="33">
        <f t="shared" si="3"/>
        <v>-0.37303089284466673</v>
      </c>
      <c r="AH38">
        <v>3455</v>
      </c>
      <c r="AI38" s="33">
        <f t="shared" si="4"/>
        <v>9.0937796021471451E-2</v>
      </c>
      <c r="AJ38" s="29">
        <f t="shared" si="1"/>
        <v>9.0937796021471451E-2</v>
      </c>
      <c r="AK38" s="33">
        <f t="shared" si="5"/>
        <v>0.24083583702123468</v>
      </c>
      <c r="AM38">
        <v>3.1365861735452683</v>
      </c>
      <c r="CH38" s="99">
        <v>3.1365861735452683</v>
      </c>
    </row>
    <row r="39" spans="1:86">
      <c r="A39" s="1">
        <v>2015</v>
      </c>
      <c r="B39" s="1">
        <v>1</v>
      </c>
      <c r="C39" s="1">
        <v>2</v>
      </c>
      <c r="D39" t="str">
        <f t="shared" si="10"/>
        <v>2015M2</v>
      </c>
      <c r="E39" s="33">
        <f t="shared" si="2"/>
        <v>5.2585287076712464E-2</v>
      </c>
      <c r="H39" s="507"/>
      <c r="I39" s="527">
        <f t="shared" si="6"/>
        <v>5.2585287076712464E-2</v>
      </c>
      <c r="J39" s="2">
        <v>0.34499999999999997</v>
      </c>
      <c r="N39" s="2"/>
      <c r="O39" s="2"/>
      <c r="P39" s="2"/>
      <c r="Q39" s="2"/>
      <c r="R39" s="2"/>
      <c r="S39" s="2"/>
      <c r="T39" s="2"/>
      <c r="U39" s="2"/>
      <c r="V39" s="2"/>
      <c r="W39" s="2"/>
      <c r="X39" s="3">
        <v>329169.85037036997</v>
      </c>
      <c r="Y39" s="3"/>
      <c r="Z39" s="33">
        <f t="shared" si="9"/>
        <v>9.1983789947901684E-2</v>
      </c>
      <c r="AA39" s="5">
        <v>-0.16</v>
      </c>
      <c r="AB39">
        <f t="shared" si="11"/>
        <v>0.2999807023189307</v>
      </c>
      <c r="AC39">
        <v>24.687130357142852</v>
      </c>
      <c r="AD39">
        <f t="shared" si="8"/>
        <v>1.852393591230713</v>
      </c>
      <c r="AE39" s="99">
        <v>82.513853808485834</v>
      </c>
      <c r="AF39" s="119">
        <f t="shared" si="0"/>
        <v>2037.0302652403179</v>
      </c>
      <c r="AG39" s="33">
        <f t="shared" si="3"/>
        <v>-0.35662686190324211</v>
      </c>
      <c r="AH39">
        <v>3633</v>
      </c>
      <c r="AI39" s="33">
        <f t="shared" si="4"/>
        <v>0.13212838890620127</v>
      </c>
      <c r="AJ39" s="29">
        <f t="shared" si="1"/>
        <v>0.13212838890620127</v>
      </c>
      <c r="AK39" s="33">
        <f t="shared" si="5"/>
        <v>0.83515341587718472</v>
      </c>
      <c r="AM39">
        <v>5.2585287076712461</v>
      </c>
      <c r="CH39" s="99">
        <v>5.2585287076712461</v>
      </c>
    </row>
    <row r="40" spans="1:86">
      <c r="A40" s="1">
        <v>2015</v>
      </c>
      <c r="B40" s="1">
        <v>1</v>
      </c>
      <c r="C40" s="1">
        <v>3</v>
      </c>
      <c r="D40" t="str">
        <f t="shared" si="10"/>
        <v>2015M3</v>
      </c>
      <c r="E40" s="33">
        <f t="shared" si="2"/>
        <v>0.10835274745452665</v>
      </c>
      <c r="H40" s="507"/>
      <c r="I40" s="527">
        <f t="shared" si="6"/>
        <v>0.10835274745452665</v>
      </c>
      <c r="J40" s="2">
        <v>0.45800000000000013</v>
      </c>
      <c r="N40" s="2"/>
      <c r="O40" s="2"/>
      <c r="P40" s="2"/>
      <c r="Q40" s="2"/>
      <c r="R40" s="2"/>
      <c r="S40" s="2"/>
      <c r="T40" s="2"/>
      <c r="U40" s="2"/>
      <c r="V40" s="2"/>
      <c r="W40" s="2"/>
      <c r="X40" s="3">
        <v>331799.58214036003</v>
      </c>
      <c r="Y40" s="3"/>
      <c r="Z40" s="33">
        <f t="shared" si="9"/>
        <v>4.0960191533398582E-2</v>
      </c>
      <c r="AA40" s="5">
        <v>-0.16</v>
      </c>
      <c r="AB40">
        <f t="shared" si="11"/>
        <v>0.23923832325404604</v>
      </c>
      <c r="AC40">
        <v>23.186529741935477</v>
      </c>
      <c r="AD40">
        <f t="shared" si="8"/>
        <v>1.337344947936872</v>
      </c>
      <c r="AE40" s="99">
        <v>80.62085835343855</v>
      </c>
      <c r="AF40" s="119">
        <f t="shared" si="0"/>
        <v>1869.3179300323702</v>
      </c>
      <c r="AG40" s="33">
        <f t="shared" si="3"/>
        <v>-0.35594982107158613</v>
      </c>
      <c r="AH40">
        <v>3863</v>
      </c>
      <c r="AI40" s="33">
        <f t="shared" si="4"/>
        <v>0.13118594436310405</v>
      </c>
      <c r="AJ40" s="29">
        <f t="shared" si="1"/>
        <v>0.13118594436310405</v>
      </c>
      <c r="AK40" s="33">
        <f t="shared" si="5"/>
        <v>0.50536743193616673</v>
      </c>
      <c r="AM40">
        <v>10.835274745452665</v>
      </c>
      <c r="CH40" s="99">
        <v>10.835274745452665</v>
      </c>
    </row>
    <row r="41" spans="1:86">
      <c r="A41" s="1">
        <v>2015</v>
      </c>
      <c r="B41" s="1">
        <v>2</v>
      </c>
      <c r="C41" s="1">
        <v>4</v>
      </c>
      <c r="D41" t="str">
        <f t="shared" si="10"/>
        <v>2015M4</v>
      </c>
      <c r="E41" s="33">
        <f t="shared" si="2"/>
        <v>0.13965954227288052</v>
      </c>
      <c r="H41" s="507"/>
      <c r="I41" s="527">
        <f t="shared" si="6"/>
        <v>0.13965954227288052</v>
      </c>
      <c r="J41" s="2">
        <v>0.6090000000000001</v>
      </c>
      <c r="N41" s="2"/>
      <c r="O41" s="2"/>
      <c r="P41" s="2"/>
      <c r="Q41" s="2"/>
      <c r="R41" s="2"/>
      <c r="S41" s="2"/>
      <c r="T41" s="2"/>
      <c r="U41" s="2"/>
      <c r="V41" s="2"/>
      <c r="W41" s="2"/>
      <c r="X41" s="3">
        <v>331175.20960626996</v>
      </c>
      <c r="Y41" s="3"/>
      <c r="Z41" s="33">
        <f t="shared" si="9"/>
        <v>-8.3586819635060872E-3</v>
      </c>
      <c r="AA41" s="5">
        <v>-0.14499999999999999</v>
      </c>
      <c r="AB41">
        <f t="shared" si="11"/>
        <v>0.15981440706022676</v>
      </c>
      <c r="AC41">
        <v>22.709472500000004</v>
      </c>
      <c r="AD41">
        <f t="shared" si="8"/>
        <v>0.7798163355640686</v>
      </c>
      <c r="AE41" s="99">
        <v>75.240359242048555</v>
      </c>
      <c r="AF41" s="119">
        <f t="shared" si="0"/>
        <v>1708.6688690974229</v>
      </c>
      <c r="AG41" s="33">
        <f t="shared" si="3"/>
        <v>-0.39772990429183874</v>
      </c>
      <c r="AH41">
        <v>3998</v>
      </c>
      <c r="AI41" s="33">
        <f t="shared" si="4"/>
        <v>0.16491841491841486</v>
      </c>
      <c r="AJ41" s="29">
        <f t="shared" si="1"/>
        <v>0.16491841491841486</v>
      </c>
      <c r="AK41" s="33">
        <f t="shared" si="5"/>
        <v>7.1930154763120591E-2</v>
      </c>
      <c r="AM41">
        <v>13.965954227288051</v>
      </c>
      <c r="CH41" s="99">
        <v>13.965954227288051</v>
      </c>
    </row>
    <row r="42" spans="1:86">
      <c r="A42" s="1">
        <v>2015</v>
      </c>
      <c r="B42" s="1">
        <v>2</v>
      </c>
      <c r="C42" s="1">
        <v>5</v>
      </c>
      <c r="D42" t="str">
        <f t="shared" si="10"/>
        <v>2015M5</v>
      </c>
      <c r="E42" s="33">
        <f t="shared" si="2"/>
        <v>2.2223897560082407E-2</v>
      </c>
      <c r="H42" s="507"/>
      <c r="I42" s="527">
        <f t="shared" si="6"/>
        <v>2.2223897560082407E-2</v>
      </c>
      <c r="J42" s="2">
        <v>0.58400000000000007</v>
      </c>
      <c r="N42" s="2"/>
      <c r="O42" s="2"/>
      <c r="P42" s="2"/>
      <c r="Q42" s="2"/>
      <c r="R42" s="2"/>
      <c r="S42" s="2"/>
      <c r="T42" s="2"/>
      <c r="U42" s="2"/>
      <c r="V42" s="2"/>
      <c r="W42" s="2"/>
      <c r="X42" s="3">
        <v>329989.44214850001</v>
      </c>
      <c r="Y42" s="3"/>
      <c r="Z42" s="33">
        <f t="shared" si="9"/>
        <v>-3.2069176088872942E-2</v>
      </c>
      <c r="AA42" s="5">
        <v>-0.14499999999999999</v>
      </c>
      <c r="AB42">
        <f t="shared" si="11"/>
        <v>0.13208283498377438</v>
      </c>
      <c r="AC42">
        <v>20.91525567741936</v>
      </c>
      <c r="AD42">
        <f t="shared" si="8"/>
        <v>0.79628374708844651</v>
      </c>
      <c r="AE42" s="99">
        <v>78.055616289718472</v>
      </c>
      <c r="AF42" s="119">
        <f t="shared" si="0"/>
        <v>1632.5531717580013</v>
      </c>
      <c r="AG42" s="33">
        <f t="shared" si="3"/>
        <v>-0.37163350721600619</v>
      </c>
      <c r="AH42">
        <v>4042</v>
      </c>
      <c r="AI42" s="33">
        <f t="shared" si="4"/>
        <v>0.17842565597667637</v>
      </c>
      <c r="AJ42" s="29">
        <f t="shared" si="1"/>
        <v>0.17842565597667637</v>
      </c>
      <c r="AK42" s="33">
        <f t="shared" si="5"/>
        <v>0.1287245182028578</v>
      </c>
      <c r="AM42">
        <v>2.2223897560082406</v>
      </c>
      <c r="CH42" s="99">
        <v>2.2223897560082406</v>
      </c>
    </row>
    <row r="43" spans="1:86">
      <c r="A43" s="1">
        <v>2015</v>
      </c>
      <c r="B43" s="1">
        <v>2</v>
      </c>
      <c r="C43" s="1">
        <v>6</v>
      </c>
      <c r="D43" t="str">
        <f t="shared" si="10"/>
        <v>2015M6</v>
      </c>
      <c r="E43" s="33">
        <f t="shared" si="2"/>
        <v>4.0086137467079648E-3</v>
      </c>
      <c r="H43" s="507"/>
      <c r="I43" s="527">
        <f t="shared" si="6"/>
        <v>4.0086137467079648E-3</v>
      </c>
      <c r="J43" s="2">
        <v>0.57499999999999996</v>
      </c>
      <c r="N43" s="2"/>
      <c r="O43" s="2"/>
      <c r="P43" s="2"/>
      <c r="Q43" s="2"/>
      <c r="R43" s="2"/>
      <c r="S43" s="2"/>
      <c r="T43" s="2"/>
      <c r="U43" s="2"/>
      <c r="V43" s="2"/>
      <c r="W43" s="2"/>
      <c r="X43" s="3">
        <v>329999.43896086002</v>
      </c>
      <c r="Y43" s="3"/>
      <c r="Z43" s="33">
        <f t="shared" si="9"/>
        <v>-4.8835471234985883E-2</v>
      </c>
      <c r="AA43" s="5">
        <v>-0.14499999999999999</v>
      </c>
      <c r="AB43">
        <f t="shared" si="11"/>
        <v>0.11247313305849604</v>
      </c>
      <c r="AC43">
        <v>21.232832466666661</v>
      </c>
      <c r="AD43">
        <f t="shared" si="8"/>
        <v>0.79794126240238539</v>
      </c>
      <c r="AE43" s="99">
        <v>76.636306340616414</v>
      </c>
      <c r="AF43" s="119">
        <f t="shared" si="0"/>
        <v>1627.2058533944523</v>
      </c>
      <c r="AG43" s="33">
        <f t="shared" si="3"/>
        <v>-0.38034722566925272</v>
      </c>
      <c r="AH43">
        <v>4299</v>
      </c>
      <c r="AI43" s="33">
        <f t="shared" si="4"/>
        <v>0.19383504582060529</v>
      </c>
      <c r="AJ43" s="29">
        <f t="shared" si="1"/>
        <v>0.19383504582060529</v>
      </c>
      <c r="AK43" s="33">
        <f t="shared" si="5"/>
        <v>0.11409929133136432</v>
      </c>
      <c r="AM43">
        <v>0.40086137467079652</v>
      </c>
      <c r="CH43" s="99">
        <v>0.40086137467079652</v>
      </c>
    </row>
    <row r="44" spans="1:86">
      <c r="A44" s="1">
        <v>2015</v>
      </c>
      <c r="B44" s="1">
        <v>3</v>
      </c>
      <c r="C44" s="1">
        <v>7</v>
      </c>
      <c r="D44" t="str">
        <f t="shared" si="10"/>
        <v>2015M7</v>
      </c>
      <c r="E44" s="33">
        <f t="shared" si="2"/>
        <v>-1.0092080094883755E-2</v>
      </c>
      <c r="H44" s="507"/>
      <c r="I44" s="527">
        <f t="shared" si="6"/>
        <v>-1.0092080094883755E-2</v>
      </c>
      <c r="J44" s="2">
        <v>0.55300000000000016</v>
      </c>
      <c r="N44" s="2"/>
      <c r="O44" s="2"/>
      <c r="P44" s="2"/>
      <c r="Q44" s="2"/>
      <c r="R44" s="2"/>
      <c r="S44" s="2"/>
      <c r="T44" s="2"/>
      <c r="U44" s="2"/>
      <c r="V44" s="2"/>
      <c r="W44" s="2"/>
      <c r="X44" s="3">
        <v>331353.08380455</v>
      </c>
      <c r="Y44" s="3"/>
      <c r="Z44" s="33">
        <f t="shared" si="9"/>
        <v>-5.2897537383546744E-2</v>
      </c>
      <c r="AA44" s="5">
        <v>-7.0000000000000007E-2</v>
      </c>
      <c r="AB44">
        <f t="shared" si="11"/>
        <v>1.8389744748874559E-2</v>
      </c>
      <c r="AC44">
        <v>21.757373225806454</v>
      </c>
      <c r="AD44">
        <f t="shared" si="8"/>
        <v>0.85032133860421522</v>
      </c>
      <c r="AE44" s="99">
        <v>72.834044572271949</v>
      </c>
      <c r="AF44" s="119">
        <f t="shared" si="0"/>
        <v>1584.6774913039435</v>
      </c>
      <c r="AG44" s="33">
        <f t="shared" si="3"/>
        <v>-0.38322669229954887</v>
      </c>
      <c r="AH44">
        <v>4390</v>
      </c>
      <c r="AI44" s="33">
        <f t="shared" si="4"/>
        <v>0.24116482895108859</v>
      </c>
      <c r="AJ44" s="29">
        <f t="shared" si="1"/>
        <v>0.24116482895108859</v>
      </c>
      <c r="AK44" s="33">
        <f t="shared" si="5"/>
        <v>0.14122881231964812</v>
      </c>
      <c r="AM44">
        <v>-1.0092080094883755</v>
      </c>
      <c r="CH44" s="99">
        <v>-1.0092080094883755</v>
      </c>
    </row>
    <row r="45" spans="1:86">
      <c r="A45" s="1">
        <v>2015</v>
      </c>
      <c r="B45" s="1">
        <v>3</v>
      </c>
      <c r="C45" s="1">
        <v>8</v>
      </c>
      <c r="D45" t="str">
        <f t="shared" si="10"/>
        <v>2015M8</v>
      </c>
      <c r="E45" s="33">
        <f t="shared" si="2"/>
        <v>-7.6169643968493975E-3</v>
      </c>
      <c r="H45" s="507"/>
      <c r="I45" s="527">
        <f t="shared" si="6"/>
        <v>-7.6169643968493975E-3</v>
      </c>
      <c r="J45" s="2">
        <v>0.52800000000000014</v>
      </c>
      <c r="N45" s="2"/>
      <c r="O45" s="2"/>
      <c r="P45" s="2"/>
      <c r="Q45" s="2"/>
      <c r="R45" s="2"/>
      <c r="S45" s="2"/>
      <c r="T45" s="2"/>
      <c r="U45" s="2"/>
      <c r="V45" s="2"/>
      <c r="W45" s="2"/>
      <c r="X45" s="3">
        <v>330551.32936924999</v>
      </c>
      <c r="Y45" s="3"/>
      <c r="Z45" s="33">
        <f t="shared" si="9"/>
        <v>-4.2190684646750798E-2</v>
      </c>
      <c r="AA45" s="5">
        <v>-7.0000000000000007E-2</v>
      </c>
      <c r="AB45">
        <f t="shared" si="11"/>
        <v>2.9902489627149809E-2</v>
      </c>
      <c r="AC45">
        <v>21.626867290322579</v>
      </c>
      <c r="AD45">
        <f t="shared" si="8"/>
        <v>0.66688518018553955</v>
      </c>
      <c r="AE45" s="99">
        <v>66.031057257738681</v>
      </c>
      <c r="AF45" s="119">
        <f t="shared" si="0"/>
        <v>1428.044912352806</v>
      </c>
      <c r="AG45" s="33">
        <f t="shared" si="3"/>
        <v>-0.42204224386742528</v>
      </c>
      <c r="AH45">
        <v>4205</v>
      </c>
      <c r="AI45" s="33">
        <f t="shared" si="4"/>
        <v>0.24777448071216623</v>
      </c>
      <c r="AJ45" s="29">
        <f t="shared" si="1"/>
        <v>0.24777448071216623</v>
      </c>
      <c r="AK45" s="33">
        <f t="shared" si="5"/>
        <v>-3.6610781529323067E-2</v>
      </c>
      <c r="AM45">
        <v>-0.76169643968493972</v>
      </c>
      <c r="CH45" s="99">
        <v>-0.76169643968493972</v>
      </c>
    </row>
    <row r="46" spans="1:86">
      <c r="A46" s="1">
        <v>2015</v>
      </c>
      <c r="B46" s="1">
        <v>3</v>
      </c>
      <c r="C46" s="1">
        <v>9</v>
      </c>
      <c r="D46" t="str">
        <f t="shared" si="10"/>
        <v>2015M9</v>
      </c>
      <c r="E46" s="33">
        <f t="shared" si="2"/>
        <v>2.2999999999999972E-2</v>
      </c>
      <c r="H46" s="507"/>
      <c r="I46" s="527">
        <f t="shared" si="6"/>
        <v>2.2999999999999972E-2</v>
      </c>
      <c r="J46" s="2">
        <v>0.51900000000000002</v>
      </c>
      <c r="N46" s="2"/>
      <c r="O46" s="2"/>
      <c r="P46" s="2"/>
      <c r="Q46" s="2"/>
      <c r="R46" s="2"/>
      <c r="S46" s="2"/>
      <c r="T46" s="2"/>
      <c r="U46" s="2"/>
      <c r="V46" s="2"/>
      <c r="W46" s="2"/>
      <c r="X46" s="3">
        <v>324991.11653649999</v>
      </c>
      <c r="Y46" s="3"/>
      <c r="Z46" s="33">
        <f t="shared" si="9"/>
        <v>-6.1868540532891036E-2</v>
      </c>
      <c r="AA46" s="5">
        <v>-7.0000000000000007E-2</v>
      </c>
      <c r="AB46">
        <f>(1+Z46)/(1+AA46)-1</f>
        <v>8.7435048033430718E-3</v>
      </c>
      <c r="AC46">
        <v>21.783419200000001</v>
      </c>
      <c r="AD46">
        <f t="shared" si="8"/>
        <v>0.67405362266440072</v>
      </c>
      <c r="AE46" s="99">
        <v>65.024125925561179</v>
      </c>
      <c r="AF46" s="119">
        <f t="shared" si="0"/>
        <v>1416.4477931500871</v>
      </c>
      <c r="AG46" s="33">
        <f t="shared" si="3"/>
        <v>-0.41461694305646468</v>
      </c>
      <c r="AH46">
        <v>4343</v>
      </c>
      <c r="AI46" s="33">
        <f t="shared" si="4"/>
        <v>0.24762999138178676</v>
      </c>
      <c r="AJ46" s="29">
        <f t="shared" si="1"/>
        <v>0.24762999138178676</v>
      </c>
      <c r="AK46" s="33">
        <f t="shared" si="5"/>
        <v>-2.0037372877313553E-2</v>
      </c>
      <c r="AM46">
        <v>2.2999999999999972</v>
      </c>
      <c r="CH46" s="99">
        <v>2.2999999999999972</v>
      </c>
    </row>
    <row r="47" spans="1:86">
      <c r="A47" s="1">
        <v>2015</v>
      </c>
      <c r="B47" s="1">
        <v>4</v>
      </c>
      <c r="C47" s="1">
        <v>10</v>
      </c>
      <c r="D47" t="str">
        <f t="shared" si="10"/>
        <v>2015M10</v>
      </c>
      <c r="E47" s="33">
        <f t="shared" si="2"/>
        <v>-1.2999999999999972E-2</v>
      </c>
      <c r="H47" s="507"/>
      <c r="I47" s="527">
        <f t="shared" si="6"/>
        <v>-1.2999999999999972E-2</v>
      </c>
      <c r="J47" s="2">
        <v>0.46400000000000008</v>
      </c>
      <c r="N47" s="2"/>
      <c r="O47" s="2"/>
      <c r="P47" s="2"/>
      <c r="Q47" s="2"/>
      <c r="R47" s="2"/>
      <c r="S47" s="2"/>
      <c r="T47" s="2"/>
      <c r="U47" s="2"/>
      <c r="V47" s="2"/>
      <c r="W47" s="2"/>
      <c r="X47" s="6">
        <v>319782.74367385497</v>
      </c>
      <c r="Y47" s="6"/>
      <c r="Z47" s="33">
        <f t="shared" si="9"/>
        <v>-6.488835968442519E-2</v>
      </c>
      <c r="AA47" s="5">
        <v>-2.4E-2</v>
      </c>
      <c r="AB47">
        <f t="shared" si="11"/>
        <v>-4.1893811152075022E-2</v>
      </c>
      <c r="AC47">
        <v>21.841307419354834</v>
      </c>
      <c r="AD47">
        <f t="shared" si="8"/>
        <v>0.6866070151089203</v>
      </c>
      <c r="AE47" s="99">
        <v>64.008531170670352</v>
      </c>
      <c r="AF47" s="119">
        <f t="shared" si="0"/>
        <v>1398.0300067599676</v>
      </c>
      <c r="AG47" s="33">
        <f t="shared" si="3"/>
        <v>-0.39742163407335773</v>
      </c>
      <c r="AH47">
        <v>4532</v>
      </c>
      <c r="AI47" s="33">
        <f t="shared" si="4"/>
        <v>0.29153605015673989</v>
      </c>
      <c r="AJ47" s="29">
        <f t="shared" si="1"/>
        <v>0.29153605015673989</v>
      </c>
      <c r="AK47" s="33">
        <f t="shared" si="5"/>
        <v>1.6312899124744984E-2</v>
      </c>
      <c r="AM47">
        <v>-1.2999999999999972</v>
      </c>
      <c r="CH47" s="99">
        <v>-1.2999999999999972</v>
      </c>
    </row>
    <row r="48" spans="1:86">
      <c r="A48" s="1">
        <v>2015</v>
      </c>
      <c r="B48" s="1">
        <v>4</v>
      </c>
      <c r="C48" s="1">
        <v>11</v>
      </c>
      <c r="D48" t="str">
        <f t="shared" si="10"/>
        <v>2015M11</v>
      </c>
      <c r="E48" s="33">
        <f t="shared" si="2"/>
        <v>0.02</v>
      </c>
      <c r="H48" s="507"/>
      <c r="I48" s="527">
        <f t="shared" si="6"/>
        <v>0.02</v>
      </c>
      <c r="J48" s="2">
        <v>0.46599999999999997</v>
      </c>
      <c r="N48" s="2"/>
      <c r="O48" s="2"/>
      <c r="P48" s="2"/>
      <c r="Q48" s="2"/>
      <c r="R48" s="2"/>
      <c r="S48" s="2"/>
      <c r="T48" s="2"/>
      <c r="U48" s="2"/>
      <c r="V48" s="2"/>
      <c r="W48" s="2"/>
      <c r="X48" s="6">
        <v>319793.17031257</v>
      </c>
      <c r="Y48" s="6"/>
      <c r="Z48" s="33">
        <f t="shared" si="9"/>
        <v>-3.2251882860970027E-2</v>
      </c>
      <c r="AA48" s="5">
        <v>-2.4E-2</v>
      </c>
      <c r="AB48">
        <f t="shared" si="11"/>
        <v>-8.4547980132889666E-3</v>
      </c>
      <c r="AC48">
        <v>23.312625100000002</v>
      </c>
      <c r="AD48">
        <f t="shared" si="8"/>
        <v>0.58251838571025294</v>
      </c>
      <c r="AE48" s="99">
        <v>60.390522247148461</v>
      </c>
      <c r="AF48" s="119">
        <f t="shared" si="0"/>
        <v>1407.8616047409816</v>
      </c>
      <c r="AG48" s="33">
        <f t="shared" si="3"/>
        <v>-0.37794820594971801</v>
      </c>
      <c r="AH48">
        <v>4498</v>
      </c>
      <c r="AI48" s="33">
        <f t="shared" si="4"/>
        <v>0.27277872099603839</v>
      </c>
      <c r="AJ48" s="29">
        <f t="shared" si="1"/>
        <v>0.27277872099603839</v>
      </c>
      <c r="AK48" s="33">
        <f t="shared" si="5"/>
        <v>-1.5591599051381078E-2</v>
      </c>
      <c r="AM48">
        <v>2</v>
      </c>
      <c r="CH48" s="99">
        <v>2</v>
      </c>
    </row>
    <row r="49" spans="1:86" s="13" customFormat="1">
      <c r="A49" s="280">
        <v>2015</v>
      </c>
      <c r="B49" s="280">
        <v>4</v>
      </c>
      <c r="C49" s="280">
        <v>12</v>
      </c>
      <c r="D49" s="13" t="str">
        <f t="shared" si="10"/>
        <v>2015M12</v>
      </c>
      <c r="E49" s="30">
        <f t="shared" si="2"/>
        <v>7.0000000000000288E-3</v>
      </c>
      <c r="H49" s="509"/>
      <c r="I49" s="528">
        <f t="shared" si="6"/>
        <v>7.0000000000000288E-3</v>
      </c>
      <c r="J49" s="11">
        <v>0.43300000000000011</v>
      </c>
      <c r="N49" s="11"/>
      <c r="O49" s="11"/>
      <c r="P49" s="11"/>
      <c r="Q49" s="11"/>
      <c r="R49" s="11"/>
      <c r="S49" s="11"/>
      <c r="T49" s="11"/>
      <c r="U49" s="11"/>
      <c r="V49" s="11"/>
      <c r="W49" s="11"/>
      <c r="X49" s="49">
        <v>328613.57709758001</v>
      </c>
      <c r="Y49" s="49"/>
      <c r="Z49" s="30">
        <f t="shared" si="9"/>
        <v>-6.582407552773395E-3</v>
      </c>
      <c r="AA49" s="490">
        <v>-2.4E-2</v>
      </c>
      <c r="AB49" s="13">
        <f t="shared" si="11"/>
        <v>1.784589390084701E-2</v>
      </c>
      <c r="AC49" s="13">
        <v>23.408386193548385</v>
      </c>
      <c r="AD49" s="13">
        <f t="shared" si="8"/>
        <v>0.49773427692619099</v>
      </c>
      <c r="AE49" s="382">
        <v>54.037596087183609</v>
      </c>
      <c r="AF49" s="389">
        <f t="shared" si="0"/>
        <v>1264.932918179773</v>
      </c>
      <c r="AG49" s="30">
        <f t="shared" si="3"/>
        <v>-0.40163965348817987</v>
      </c>
      <c r="AH49" s="13">
        <v>5230</v>
      </c>
      <c r="AI49" s="30">
        <f t="shared" si="4"/>
        <v>0.30358923230309065</v>
      </c>
      <c r="AJ49" s="31">
        <f t="shared" si="1"/>
        <v>0.30358923230309065</v>
      </c>
      <c r="AK49" s="30">
        <f t="shared" si="5"/>
        <v>-0.10381519907581405</v>
      </c>
      <c r="AM49">
        <v>0.70000000000000284</v>
      </c>
      <c r="CH49" s="99">
        <v>0.70000000000000284</v>
      </c>
    </row>
    <row r="50" spans="1:86">
      <c r="A50" s="1">
        <v>2016</v>
      </c>
      <c r="B50" s="1">
        <v>1</v>
      </c>
      <c r="C50" s="1">
        <v>1</v>
      </c>
      <c r="D50" t="str">
        <f t="shared" si="10"/>
        <v>2016M1</v>
      </c>
      <c r="E50" s="33">
        <f t="shared" si="2"/>
        <v>9.0000000000000566E-3</v>
      </c>
      <c r="G50" s="126">
        <f>AVERAGE(I50:I61)</f>
        <v>9.8333333333333311E-3</v>
      </c>
      <c r="H50" s="507"/>
      <c r="I50" s="527">
        <f t="shared" si="6"/>
        <v>9.0000000000000566E-3</v>
      </c>
      <c r="J50" s="2">
        <v>0.40300000000000014</v>
      </c>
      <c r="N50" s="2"/>
      <c r="O50" s="2"/>
      <c r="P50" s="2"/>
      <c r="Q50" s="2"/>
      <c r="R50" s="2"/>
      <c r="S50" s="2"/>
      <c r="T50" s="2"/>
      <c r="U50" s="2"/>
      <c r="V50" s="2"/>
      <c r="W50" s="2"/>
      <c r="X50" s="6">
        <v>335539.56912101503</v>
      </c>
      <c r="Y50" s="6"/>
      <c r="Z50" s="33">
        <f t="shared" si="9"/>
        <v>1.6900438457136069E-2</v>
      </c>
      <c r="AA50" s="5">
        <v>1E-3</v>
      </c>
      <c r="AB50">
        <f t="shared" si="11"/>
        <v>1.5884553903232845E-2</v>
      </c>
      <c r="AC50">
        <v>24.259692548387093</v>
      </c>
      <c r="AD50">
        <f t="shared" si="8"/>
        <v>0.53358302889402753</v>
      </c>
      <c r="AE50" s="99">
        <v>46.484003798612576</v>
      </c>
      <c r="AF50" s="119">
        <f t="shared" si="0"/>
        <v>1127.6876405723988</v>
      </c>
      <c r="AG50" s="33">
        <f t="shared" si="3"/>
        <v>-0.42704146633875983</v>
      </c>
      <c r="AH50">
        <v>4362</v>
      </c>
      <c r="AI50" s="33">
        <f t="shared" si="4"/>
        <v>0.2625180897250361</v>
      </c>
      <c r="AJ50" s="29">
        <f t="shared" si="1"/>
        <v>0.2625180897250361</v>
      </c>
      <c r="AK50" s="33">
        <f t="shared" si="5"/>
        <v>-0.12132051651711473</v>
      </c>
      <c r="AM50">
        <v>0.90000000000000568</v>
      </c>
      <c r="CH50" s="99">
        <v>0.90000000000000568</v>
      </c>
    </row>
    <row r="51" spans="1:86">
      <c r="A51" s="1">
        <v>2016</v>
      </c>
      <c r="B51" s="1">
        <v>1</v>
      </c>
      <c r="C51" s="1">
        <v>2</v>
      </c>
      <c r="D51" t="str">
        <f t="shared" si="10"/>
        <v>2016M2</v>
      </c>
      <c r="E51" s="33">
        <f t="shared" si="2"/>
        <v>-4.0000000000000565E-3</v>
      </c>
      <c r="H51" s="507"/>
      <c r="I51" s="527">
        <f t="shared" si="6"/>
        <v>-4.0000000000000565E-3</v>
      </c>
      <c r="J51" s="2">
        <v>0.3269999999999999</v>
      </c>
      <c r="N51" s="2"/>
      <c r="O51" s="2"/>
      <c r="P51" s="2"/>
      <c r="Q51" s="2"/>
      <c r="R51" s="2"/>
      <c r="S51" s="2"/>
      <c r="T51" s="2"/>
      <c r="U51" s="2"/>
      <c r="V51" s="2"/>
      <c r="W51" s="2"/>
      <c r="X51" s="6">
        <v>331794.49933681497</v>
      </c>
      <c r="Y51" s="6"/>
      <c r="Z51" s="33">
        <f t="shared" si="9"/>
        <v>7.973539993082035E-3</v>
      </c>
      <c r="AA51" s="5">
        <v>1E-3</v>
      </c>
      <c r="AB51">
        <f t="shared" si="11"/>
        <v>6.9665734196624474E-3</v>
      </c>
      <c r="AC51">
        <v>26.393052206896552</v>
      </c>
      <c r="AD51">
        <f t="shared" si="8"/>
        <v>6.9101666539388429E-2</v>
      </c>
      <c r="AE51" s="99">
        <v>46.633055638559647</v>
      </c>
      <c r="AF51" s="119">
        <f t="shared" si="0"/>
        <v>1230.7886720356164</v>
      </c>
      <c r="AG51" s="33">
        <f t="shared" si="3"/>
        <v>-0.43484574424563061</v>
      </c>
      <c r="AH51">
        <v>4585</v>
      </c>
      <c r="AI51" s="33">
        <f t="shared" si="4"/>
        <v>0.26204238921001921</v>
      </c>
      <c r="AJ51" s="29">
        <f t="shared" si="1"/>
        <v>0.26204238921001921</v>
      </c>
      <c r="AK51" s="33">
        <f t="shared" si="5"/>
        <v>-0.39579264332117592</v>
      </c>
      <c r="AM51">
        <v>-0.40000000000000568</v>
      </c>
      <c r="CH51" s="99">
        <v>-0.40000000000000568</v>
      </c>
    </row>
    <row r="52" spans="1:86">
      <c r="A52" s="1">
        <v>2016</v>
      </c>
      <c r="B52" s="1">
        <v>1</v>
      </c>
      <c r="C52" s="1">
        <v>3</v>
      </c>
      <c r="D52" t="str">
        <f t="shared" si="10"/>
        <v>2016M3</v>
      </c>
      <c r="E52" s="33">
        <f t="shared" si="2"/>
        <v>0.01</v>
      </c>
      <c r="H52" s="507"/>
      <c r="I52" s="527">
        <f t="shared" si="6"/>
        <v>0.01</v>
      </c>
      <c r="J52" s="2">
        <v>0.20900000000000005</v>
      </c>
      <c r="N52" s="2"/>
      <c r="O52" s="2"/>
      <c r="P52" s="2"/>
      <c r="Q52" s="2"/>
      <c r="R52" s="2"/>
      <c r="S52" s="2"/>
      <c r="T52" s="2"/>
      <c r="U52" s="2"/>
      <c r="V52" s="2"/>
      <c r="W52" s="2"/>
      <c r="X52" s="6">
        <v>327864.68493654998</v>
      </c>
      <c r="Y52" s="6"/>
      <c r="Z52" s="33">
        <f t="shared" si="9"/>
        <v>-1.1859259069667782E-2</v>
      </c>
      <c r="AA52" s="5">
        <v>1E-3</v>
      </c>
      <c r="AB52">
        <f t="shared" si="11"/>
        <v>-1.2846412657010697E-2</v>
      </c>
      <c r="AC52">
        <v>26.356162161290321</v>
      </c>
      <c r="AD52">
        <f t="shared" si="8"/>
        <v>0.13670145789959265</v>
      </c>
      <c r="AE52" s="99">
        <v>50.420567111173824</v>
      </c>
      <c r="AF52" s="119">
        <f t="shared" si="0"/>
        <v>1328.8926430463189</v>
      </c>
      <c r="AG52" s="33">
        <f t="shared" si="3"/>
        <v>-0.37459649846281573</v>
      </c>
      <c r="AH52">
        <v>4920</v>
      </c>
      <c r="AI52" s="33">
        <f t="shared" si="4"/>
        <v>0.27362153766502728</v>
      </c>
      <c r="AJ52" s="29">
        <f t="shared" si="1"/>
        <v>0.27362153766502728</v>
      </c>
      <c r="AK52" s="33">
        <f t="shared" si="5"/>
        <v>-0.28910292802717241</v>
      </c>
      <c r="AM52">
        <v>1</v>
      </c>
      <c r="CH52" s="99">
        <v>1</v>
      </c>
    </row>
    <row r="53" spans="1:86">
      <c r="A53" s="1">
        <v>2016</v>
      </c>
      <c r="B53" s="1">
        <v>2</v>
      </c>
      <c r="C53" s="1">
        <v>4</v>
      </c>
      <c r="D53" t="str">
        <f t="shared" si="10"/>
        <v>2016M4</v>
      </c>
      <c r="E53" s="33">
        <f t="shared" si="2"/>
        <v>3.5000000000000003E-2</v>
      </c>
      <c r="H53" s="507"/>
      <c r="I53" s="527">
        <f t="shared" si="6"/>
        <v>3.5000000000000003E-2</v>
      </c>
      <c r="J53" s="2">
        <v>9.7999999999999976E-2</v>
      </c>
      <c r="N53" s="2"/>
      <c r="O53" s="2"/>
      <c r="P53" s="2"/>
      <c r="Q53" s="2"/>
      <c r="R53" s="2"/>
      <c r="S53" s="2"/>
      <c r="T53" s="2"/>
      <c r="U53" s="2"/>
      <c r="V53" s="2"/>
      <c r="W53" s="2"/>
      <c r="X53" s="6">
        <v>331545.25451689999</v>
      </c>
      <c r="Y53" s="6"/>
      <c r="Z53" s="33">
        <f t="shared" si="9"/>
        <v>1.117368993500456E-3</v>
      </c>
      <c r="AA53" s="5">
        <v>1.7000000000000001E-2</v>
      </c>
      <c r="AB53">
        <f t="shared" si="11"/>
        <v>-1.5617139632742805E-2</v>
      </c>
      <c r="AC53">
        <v>25.629497566666668</v>
      </c>
      <c r="AD53">
        <f t="shared" si="8"/>
        <v>0.12858180949234566</v>
      </c>
      <c r="AE53" s="99">
        <v>52.443272457626271</v>
      </c>
      <c r="AF53" s="119">
        <f t="shared" si="0"/>
        <v>1344.0947238407696</v>
      </c>
      <c r="AG53" s="33">
        <f t="shared" si="3"/>
        <v>-0.30299013739533009</v>
      </c>
      <c r="AH53">
        <v>4895</v>
      </c>
      <c r="AI53" s="33">
        <f t="shared" si="4"/>
        <v>0.22436218109054518</v>
      </c>
      <c r="AJ53" s="29">
        <f t="shared" si="1"/>
        <v>0.22436218109054518</v>
      </c>
      <c r="AK53" s="33">
        <f t="shared" si="5"/>
        <v>-0.21336734802761037</v>
      </c>
      <c r="AM53">
        <v>3.5</v>
      </c>
      <c r="CH53" s="99">
        <v>3.5</v>
      </c>
    </row>
    <row r="54" spans="1:86">
      <c r="A54" s="1">
        <v>2016</v>
      </c>
      <c r="B54" s="1">
        <v>2</v>
      </c>
      <c r="C54" s="1">
        <v>5</v>
      </c>
      <c r="D54" t="str">
        <f t="shared" si="10"/>
        <v>2016M5</v>
      </c>
      <c r="E54" s="33">
        <f t="shared" si="2"/>
        <v>1E-3</v>
      </c>
      <c r="H54" s="507"/>
      <c r="I54" s="527">
        <f t="shared" si="6"/>
        <v>1E-3</v>
      </c>
      <c r="J54" s="2">
        <v>7.4999999999999997E-2</v>
      </c>
      <c r="N54" s="2"/>
      <c r="O54" s="2"/>
      <c r="P54" s="2"/>
      <c r="Q54" s="2"/>
      <c r="R54" s="2"/>
      <c r="S54" s="2"/>
      <c r="T54" s="2"/>
      <c r="U54" s="2"/>
      <c r="V54" s="2"/>
      <c r="W54" s="2"/>
      <c r="X54" s="6">
        <v>336636.35832628503</v>
      </c>
      <c r="Y54" s="6"/>
      <c r="Z54" s="33">
        <f t="shared" si="9"/>
        <v>2.0142814674639853E-2</v>
      </c>
      <c r="AA54" s="5">
        <v>1.7000000000000001E-2</v>
      </c>
      <c r="AB54">
        <f t="shared" si="11"/>
        <v>3.0902799160668071E-3</v>
      </c>
      <c r="AC54">
        <v>25.206477483870973</v>
      </c>
      <c r="AD54">
        <f t="shared" si="8"/>
        <v>0.20517185506293023</v>
      </c>
      <c r="AE54" s="99">
        <v>57.085990750602903</v>
      </c>
      <c r="AF54" s="119">
        <f t="shared" si="0"/>
        <v>1438.9367404995387</v>
      </c>
      <c r="AG54" s="33">
        <f t="shared" si="3"/>
        <v>-0.26864979787338761</v>
      </c>
      <c r="AH54">
        <v>4984</v>
      </c>
      <c r="AI54" s="33">
        <f t="shared" si="4"/>
        <v>0.23305294408708566</v>
      </c>
      <c r="AJ54" s="29">
        <f t="shared" si="1"/>
        <v>0.23305294408708566</v>
      </c>
      <c r="AK54" s="33">
        <f t="shared" si="5"/>
        <v>-0.11859732020242153</v>
      </c>
      <c r="AM54">
        <v>0.1</v>
      </c>
      <c r="CH54" s="99">
        <v>0.1</v>
      </c>
    </row>
    <row r="55" spans="1:86">
      <c r="A55" s="1">
        <v>2016</v>
      </c>
      <c r="B55" s="1">
        <v>2</v>
      </c>
      <c r="C55" s="1">
        <v>6</v>
      </c>
      <c r="D55" t="str">
        <f t="shared" si="10"/>
        <v>2016M6</v>
      </c>
      <c r="E55" s="33">
        <f t="shared" si="2"/>
        <v>-2.0000000000000282E-3</v>
      </c>
      <c r="H55" s="507"/>
      <c r="I55" s="527">
        <f t="shared" si="6"/>
        <v>-2.0000000000000282E-3</v>
      </c>
      <c r="J55" s="2">
        <v>6.9000000000000061E-2</v>
      </c>
      <c r="N55" s="2"/>
      <c r="O55" s="2"/>
      <c r="P55" s="2"/>
      <c r="Q55" s="2"/>
      <c r="R55" s="2"/>
      <c r="S55" s="2"/>
      <c r="T55" s="2"/>
      <c r="U55" s="2"/>
      <c r="V55" s="2"/>
      <c r="W55" s="2"/>
      <c r="X55" s="6">
        <v>345025.60658296</v>
      </c>
      <c r="Y55" s="6"/>
      <c r="Z55" s="33">
        <f t="shared" si="9"/>
        <v>4.5533918692153286E-2</v>
      </c>
      <c r="AA55" s="5">
        <v>1.7000000000000001E-2</v>
      </c>
      <c r="AB55">
        <f t="shared" si="11"/>
        <v>2.8056950533090763E-2</v>
      </c>
      <c r="AC55">
        <v>24.951341333333339</v>
      </c>
      <c r="AD55">
        <f t="shared" si="8"/>
        <v>0.17513013737118444</v>
      </c>
      <c r="AE55" s="99">
        <v>60.532657449668406</v>
      </c>
      <c r="AF55" s="119">
        <f t="shared" si="0"/>
        <v>1510.3709978404195</v>
      </c>
      <c r="AG55" s="33">
        <f t="shared" si="3"/>
        <v>-0.21013080692294861</v>
      </c>
      <c r="AH55">
        <v>5337</v>
      </c>
      <c r="AI55" s="33">
        <f t="shared" si="4"/>
        <v>0.24145150034891838</v>
      </c>
      <c r="AJ55" s="29">
        <f t="shared" si="1"/>
        <v>0.24145150034891838</v>
      </c>
      <c r="AK55" s="33">
        <f t="shared" si="5"/>
        <v>-7.1800906634097994E-2</v>
      </c>
      <c r="AM55">
        <v>-0.20000000000000284</v>
      </c>
      <c r="CH55" s="99">
        <v>-0.20000000000000284</v>
      </c>
    </row>
    <row r="56" spans="1:86">
      <c r="A56" s="1">
        <v>2016</v>
      </c>
      <c r="B56" s="1">
        <v>3</v>
      </c>
      <c r="C56" s="1">
        <v>7</v>
      </c>
      <c r="D56" t="str">
        <f t="shared" si="10"/>
        <v>2016M7</v>
      </c>
      <c r="E56" s="33">
        <f t="shared" si="2"/>
        <v>-1E-3</v>
      </c>
      <c r="H56" s="507"/>
      <c r="I56" s="527">
        <f t="shared" si="6"/>
        <v>-1E-3</v>
      </c>
      <c r="J56" s="2">
        <v>7.9000000000000056E-2</v>
      </c>
      <c r="N56" s="2"/>
      <c r="O56" s="2"/>
      <c r="P56" s="2"/>
      <c r="Q56" s="2"/>
      <c r="R56" s="2"/>
      <c r="S56" s="2"/>
      <c r="T56" s="2"/>
      <c r="U56" s="2"/>
      <c r="V56" s="2"/>
      <c r="W56" s="2"/>
      <c r="X56" s="6">
        <v>353657.42956511001</v>
      </c>
      <c r="Y56" s="6"/>
      <c r="Z56" s="33">
        <f t="shared" si="9"/>
        <v>6.7312926454356825E-2</v>
      </c>
      <c r="AA56" s="5">
        <v>2.7000000000000003E-2</v>
      </c>
      <c r="AB56">
        <f t="shared" si="11"/>
        <v>3.9253092944846024E-2</v>
      </c>
      <c r="AC56">
        <v>24.816780999999999</v>
      </c>
      <c r="AD56">
        <f t="shared" si="8"/>
        <v>0.14061475815310165</v>
      </c>
      <c r="AE56" s="99">
        <v>59.204374983035194</v>
      </c>
      <c r="AF56" s="119">
        <f t="shared" si="0"/>
        <v>1469.262008195863</v>
      </c>
      <c r="AG56" s="33">
        <f t="shared" si="3"/>
        <v>-0.18713322415745115</v>
      </c>
      <c r="AH56">
        <v>5374</v>
      </c>
      <c r="AI56" s="33">
        <f t="shared" si="4"/>
        <v>0.22414578587699308</v>
      </c>
      <c r="AJ56" s="29">
        <f t="shared" si="1"/>
        <v>0.22414578587699308</v>
      </c>
      <c r="AK56" s="33">
        <f t="shared" si="5"/>
        <v>-7.2832159061659629E-2</v>
      </c>
      <c r="AM56">
        <v>-0.1</v>
      </c>
      <c r="CH56" s="99">
        <v>-0.1</v>
      </c>
    </row>
    <row r="57" spans="1:86">
      <c r="A57" s="1">
        <v>2016</v>
      </c>
      <c r="B57" s="1">
        <v>3</v>
      </c>
      <c r="C57" s="1">
        <v>8</v>
      </c>
      <c r="D57" t="str">
        <f t="shared" si="10"/>
        <v>2016M8</v>
      </c>
      <c r="E57" s="33">
        <f t="shared" si="2"/>
        <v>-3.0000000000000001E-3</v>
      </c>
      <c r="H57" s="507"/>
      <c r="I57" s="527">
        <f t="shared" si="6"/>
        <v>-3.0000000000000001E-3</v>
      </c>
      <c r="J57" s="2">
        <v>8.4000000000000061E-2</v>
      </c>
      <c r="N57" s="2"/>
      <c r="O57" s="2"/>
      <c r="P57" s="2"/>
      <c r="Q57" s="2"/>
      <c r="R57" s="2"/>
      <c r="S57" s="2"/>
      <c r="T57" s="2"/>
      <c r="U57" s="2"/>
      <c r="V57" s="2"/>
      <c r="W57" s="2"/>
      <c r="X57" s="6">
        <v>356155.76920440001</v>
      </c>
      <c r="Y57" s="6"/>
      <c r="Z57" s="33">
        <f t="shared" si="9"/>
        <v>7.7459799916726357E-2</v>
      </c>
      <c r="AA57" s="5">
        <v>2.7000000000000003E-2</v>
      </c>
      <c r="AB57">
        <f t="shared" si="11"/>
        <v>4.9133203424271077E-2</v>
      </c>
      <c r="AC57">
        <v>25.064809193548385</v>
      </c>
      <c r="AD57">
        <f t="shared" si="8"/>
        <v>0.15896624587714503</v>
      </c>
      <c r="AE57" s="99">
        <v>58.540865749427141</v>
      </c>
      <c r="AF57" s="119">
        <f t="shared" si="0"/>
        <v>1467.3156300345231</v>
      </c>
      <c r="AG57" s="33">
        <f t="shared" si="3"/>
        <v>-0.11343437193614991</v>
      </c>
      <c r="AH57">
        <v>5202</v>
      </c>
      <c r="AI57" s="33">
        <f t="shared" si="4"/>
        <v>0.23709869203329359</v>
      </c>
      <c r="AJ57" s="29">
        <f t="shared" si="1"/>
        <v>0.23709869203329359</v>
      </c>
      <c r="AK57" s="33">
        <f t="shared" si="5"/>
        <v>2.7499637680873601E-2</v>
      </c>
      <c r="AM57">
        <v>-0.3</v>
      </c>
      <c r="CH57" s="99">
        <v>-0.3</v>
      </c>
    </row>
    <row r="58" spans="1:86">
      <c r="A58" s="1">
        <v>2016</v>
      </c>
      <c r="B58" s="1">
        <v>3</v>
      </c>
      <c r="C58" s="1">
        <v>9</v>
      </c>
      <c r="D58" t="str">
        <f t="shared" si="10"/>
        <v>2016M9</v>
      </c>
      <c r="E58" s="33">
        <f t="shared" si="2"/>
        <v>1.8000000000000002E-2</v>
      </c>
      <c r="H58" s="507"/>
      <c r="I58" s="527">
        <f t="shared" si="6"/>
        <v>1.8000000000000002E-2</v>
      </c>
      <c r="J58" s="2">
        <v>7.9000000000000056E-2</v>
      </c>
      <c r="N58" s="2"/>
      <c r="O58" s="2"/>
      <c r="P58" s="2"/>
      <c r="Q58" s="2"/>
      <c r="R58" s="2"/>
      <c r="S58" s="2"/>
      <c r="T58" s="2"/>
      <c r="U58" s="2"/>
      <c r="V58" s="2"/>
      <c r="W58" s="2"/>
      <c r="X58" s="6">
        <v>356418.74982934003</v>
      </c>
      <c r="Y58" s="6"/>
      <c r="Z58" s="33">
        <f t="shared" si="9"/>
        <v>9.6703053387338977E-2</v>
      </c>
      <c r="AA58" s="5">
        <v>2.7000000000000003E-2</v>
      </c>
      <c r="AB58">
        <f t="shared" si="11"/>
        <v>6.7870548575792666E-2</v>
      </c>
      <c r="AC58">
        <v>26.2754622</v>
      </c>
      <c r="AD58">
        <f t="shared" si="8"/>
        <v>0.20621386196341485</v>
      </c>
      <c r="AE58" s="99">
        <v>59.825801984106207</v>
      </c>
      <c r="AF58" s="119">
        <f t="shared" si="0"/>
        <v>1571.9505986180677</v>
      </c>
      <c r="AG58" s="33">
        <f t="shared" si="3"/>
        <v>-7.9944541621458365E-2</v>
      </c>
      <c r="AH58">
        <v>5358</v>
      </c>
      <c r="AI58" s="33">
        <f t="shared" si="4"/>
        <v>0.23370941745337315</v>
      </c>
      <c r="AJ58" s="29">
        <f t="shared" si="1"/>
        <v>0.23370941745337315</v>
      </c>
      <c r="AK58" s="33">
        <f t="shared" si="5"/>
        <v>0.10978364767130078</v>
      </c>
      <c r="AM58">
        <v>1.8</v>
      </c>
      <c r="CH58" s="99">
        <v>1.8</v>
      </c>
    </row>
    <row r="59" spans="1:86">
      <c r="A59" s="1">
        <v>2016</v>
      </c>
      <c r="B59" s="1">
        <v>4</v>
      </c>
      <c r="C59" s="1">
        <v>10</v>
      </c>
      <c r="D59" t="str">
        <f t="shared" si="10"/>
        <v>2016M10</v>
      </c>
      <c r="E59" s="33">
        <f t="shared" si="2"/>
        <v>2.7999999999999997E-2</v>
      </c>
      <c r="H59" s="507"/>
      <c r="I59" s="527">
        <f t="shared" si="6"/>
        <v>2.7999999999999997E-2</v>
      </c>
      <c r="J59" s="2">
        <v>0.12400000000000005</v>
      </c>
      <c r="N59" s="2"/>
      <c r="O59" s="2"/>
      <c r="P59" s="2"/>
      <c r="Q59" s="2"/>
      <c r="R59" s="2"/>
      <c r="S59" s="2"/>
      <c r="T59" s="2"/>
      <c r="U59" s="2"/>
      <c r="V59" s="2"/>
      <c r="W59" s="2"/>
      <c r="X59" s="6">
        <v>354918.02336845</v>
      </c>
      <c r="Y59" s="6"/>
      <c r="Z59" s="33">
        <f t="shared" si="9"/>
        <v>0.10987234423890402</v>
      </c>
      <c r="AA59" s="5">
        <v>4.5999999999999999E-2</v>
      </c>
      <c r="AB59">
        <f t="shared" si="11"/>
        <v>6.1063426614631044E-2</v>
      </c>
      <c r="AC59">
        <v>25.757272387096773</v>
      </c>
      <c r="AD59">
        <f t="shared" si="8"/>
        <v>0.17929169223046504</v>
      </c>
      <c r="AE59" s="99">
        <v>69.760769006476821</v>
      </c>
      <c r="AF59" s="119">
        <f t="shared" si="0"/>
        <v>1796.8471292331617</v>
      </c>
      <c r="AG59" s="33">
        <f t="shared" si="3"/>
        <v>8.9866736989619111E-2</v>
      </c>
      <c r="AH59">
        <v>5350</v>
      </c>
      <c r="AI59" s="33">
        <f t="shared" si="4"/>
        <v>0.18049426301853488</v>
      </c>
      <c r="AJ59" s="29">
        <f t="shared" si="1"/>
        <v>0.18049426301853488</v>
      </c>
      <c r="AK59" s="33">
        <f t="shared" si="5"/>
        <v>0.28527078857018284</v>
      </c>
      <c r="AM59">
        <v>2.8</v>
      </c>
      <c r="CH59" s="99">
        <v>2.8</v>
      </c>
    </row>
    <row r="60" spans="1:86">
      <c r="A60" s="1">
        <v>2016</v>
      </c>
      <c r="B60" s="1">
        <v>4</v>
      </c>
      <c r="C60" s="1">
        <v>11</v>
      </c>
      <c r="D60" t="str">
        <f t="shared" si="10"/>
        <v>2016M11</v>
      </c>
      <c r="E60" s="33">
        <f t="shared" si="2"/>
        <v>1.8000000000000002E-2</v>
      </c>
      <c r="H60" s="507"/>
      <c r="I60" s="527">
        <f t="shared" si="6"/>
        <v>1.8000000000000002E-2</v>
      </c>
      <c r="J60" s="2">
        <v>0.12099999999999994</v>
      </c>
      <c r="N60" s="2"/>
      <c r="O60" s="2"/>
      <c r="P60" s="2"/>
      <c r="Q60" s="2"/>
      <c r="R60" s="2"/>
      <c r="S60" s="2"/>
      <c r="T60" s="2"/>
      <c r="U60" s="2"/>
      <c r="V60" s="2"/>
      <c r="W60" s="2"/>
      <c r="X60" s="6">
        <v>356116.18136723002</v>
      </c>
      <c r="Y60" s="6"/>
      <c r="Z60" s="33">
        <f t="shared" si="9"/>
        <v>0.11358282298260924</v>
      </c>
      <c r="AA60" s="5">
        <v>4.5999999999999999E-2</v>
      </c>
      <c r="AB60">
        <f t="shared" si="11"/>
        <v>6.4610729428880687E-2</v>
      </c>
      <c r="AC60">
        <v>25.700937800000002</v>
      </c>
      <c r="AD60">
        <f t="shared" si="8"/>
        <v>0.10244718000462338</v>
      </c>
      <c r="AE60" s="99">
        <v>70.493266997760585</v>
      </c>
      <c r="AF60" s="119">
        <f t="shared" si="0"/>
        <v>1811.7430704282376</v>
      </c>
      <c r="AG60" s="33">
        <f t="shared" si="3"/>
        <v>0.16729023652530439</v>
      </c>
      <c r="AH60">
        <v>5406</v>
      </c>
      <c r="AI60" s="33">
        <f t="shared" si="4"/>
        <v>0.20186749666518455</v>
      </c>
      <c r="AJ60" s="29">
        <f t="shared" si="1"/>
        <v>0.20186749666518455</v>
      </c>
      <c r="AK60" s="33">
        <f t="shared" si="5"/>
        <v>0.28687582950425172</v>
      </c>
      <c r="AM60">
        <v>1.8</v>
      </c>
      <c r="CH60" s="99">
        <v>1.8</v>
      </c>
    </row>
    <row r="61" spans="1:86">
      <c r="A61" s="1">
        <v>2016</v>
      </c>
      <c r="B61" s="1">
        <v>4</v>
      </c>
      <c r="C61" s="1">
        <v>12</v>
      </c>
      <c r="D61" t="str">
        <f t="shared" si="10"/>
        <v>2016M12</v>
      </c>
      <c r="E61" s="33">
        <f t="shared" si="2"/>
        <v>9.0000000000000011E-3</v>
      </c>
      <c r="H61" s="507"/>
      <c r="I61" s="527">
        <f t="shared" si="6"/>
        <v>9.0000000000000011E-3</v>
      </c>
      <c r="J61" s="2">
        <v>0.12400000000000005</v>
      </c>
      <c r="N61" s="2"/>
      <c r="O61" s="2"/>
      <c r="P61" s="2"/>
      <c r="Q61" s="2"/>
      <c r="R61" s="2"/>
      <c r="S61" s="2"/>
      <c r="T61" s="2"/>
      <c r="U61" s="2"/>
      <c r="V61" s="2"/>
      <c r="W61" s="2"/>
      <c r="X61" s="6">
        <v>369581.74383797997</v>
      </c>
      <c r="Y61" s="6"/>
      <c r="Z61" s="33">
        <f t="shared" si="9"/>
        <v>0.124669732462803</v>
      </c>
      <c r="AA61" s="5">
        <v>4.5999999999999999E-2</v>
      </c>
      <c r="AB61">
        <f t="shared" si="11"/>
        <v>7.5210069276102187E-2</v>
      </c>
      <c r="AC61">
        <v>26.204524935483875</v>
      </c>
      <c r="AD61">
        <f t="shared" si="8"/>
        <v>0.1194502995130069</v>
      </c>
      <c r="AE61" s="99">
        <v>71.704367532448543</v>
      </c>
      <c r="AF61" s="119">
        <f t="shared" si="0"/>
        <v>1878.9788869871481</v>
      </c>
      <c r="AG61" s="33">
        <f t="shared" si="3"/>
        <v>0.32693481436075689</v>
      </c>
      <c r="AH61">
        <v>6475</v>
      </c>
      <c r="AI61" s="33">
        <f t="shared" si="4"/>
        <v>0.23804971319311674</v>
      </c>
      <c r="AJ61" s="29">
        <f t="shared" si="1"/>
        <v>0.23804971319311674</v>
      </c>
      <c r="AK61" s="33">
        <f t="shared" si="5"/>
        <v>0.48543757537038545</v>
      </c>
      <c r="AM61">
        <v>0.9</v>
      </c>
      <c r="CH61" s="99">
        <v>0.9</v>
      </c>
    </row>
    <row r="62" spans="1:86">
      <c r="A62" s="1">
        <v>2017</v>
      </c>
      <c r="B62" s="1">
        <v>1</v>
      </c>
      <c r="C62" s="1">
        <v>1</v>
      </c>
      <c r="D62" t="str">
        <f t="shared" si="10"/>
        <v>2017M1</v>
      </c>
      <c r="E62" s="33">
        <f t="shared" si="2"/>
        <v>1.1000000000000001E-2</v>
      </c>
      <c r="G62" s="126">
        <f>AVERAGE(I62:I73)</f>
        <v>1.0750000000000003E-2</v>
      </c>
      <c r="H62" s="507"/>
      <c r="I62" s="527">
        <f t="shared" si="6"/>
        <v>1.1000000000000001E-2</v>
      </c>
      <c r="J62" s="2">
        <v>0.12599999999999995</v>
      </c>
      <c r="K62" s="33">
        <f t="shared" ref="K62:K96" si="12">-0.0958005*AB62+0.0733532*AD62+0.3412766*AI62+0.0222426</f>
        <v>0.15230615903509254</v>
      </c>
      <c r="L62" s="29">
        <f t="shared" ref="L62:L109" si="13">J62/K62</f>
        <v>0.82728105546256048</v>
      </c>
      <c r="M62" s="33"/>
      <c r="N62" s="10">
        <f t="shared" ref="N62:N121" si="14">0.1540186+-0.8162613*AB62+0.4122748*AD62</f>
        <v>0.13959976686395309</v>
      </c>
      <c r="O62" s="2"/>
      <c r="P62" s="2"/>
      <c r="Q62" s="2"/>
      <c r="R62" s="2"/>
      <c r="S62" s="2"/>
      <c r="T62" s="2"/>
      <c r="U62" s="2"/>
      <c r="V62" s="2"/>
      <c r="W62" s="2"/>
      <c r="X62" s="6">
        <v>371788.61919610004</v>
      </c>
      <c r="Y62" s="6"/>
      <c r="Z62" s="33">
        <f t="shared" si="9"/>
        <v>0.10803211725533179</v>
      </c>
      <c r="AA62" s="5">
        <v>2.7999999999999997E-2</v>
      </c>
      <c r="AB62">
        <f t="shared" si="11"/>
        <v>7.7852254139427757E-2</v>
      </c>
      <c r="AC62">
        <v>27.150611903225798</v>
      </c>
      <c r="AD62">
        <f t="shared" si="8"/>
        <v>0.11916553967337506</v>
      </c>
      <c r="AE62" s="99">
        <v>77.512350540647304</v>
      </c>
      <c r="AF62" s="119">
        <f t="shared" si="0"/>
        <v>2104.5077472359094</v>
      </c>
      <c r="AG62" s="33">
        <f t="shared" si="3"/>
        <v>0.66750589894239787</v>
      </c>
      <c r="AH62">
        <v>6008</v>
      </c>
      <c r="AI62" s="33">
        <f t="shared" si="4"/>
        <v>0.37734983952315448</v>
      </c>
      <c r="AJ62" s="29">
        <f t="shared" si="1"/>
        <v>0.37734983952315448</v>
      </c>
      <c r="AK62" s="33">
        <f t="shared" si="5"/>
        <v>0.86621513929840543</v>
      </c>
      <c r="AM62">
        <v>1.1000000000000001</v>
      </c>
      <c r="CH62" s="99">
        <v>1.1000000000000001</v>
      </c>
    </row>
    <row r="63" spans="1:86">
      <c r="A63" s="1">
        <v>2017</v>
      </c>
      <c r="B63" s="1">
        <v>1</v>
      </c>
      <c r="C63" s="1">
        <v>2</v>
      </c>
      <c r="D63" t="str">
        <f t="shared" si="10"/>
        <v>2017M2</v>
      </c>
      <c r="E63" s="33">
        <f t="shared" si="2"/>
        <v>0.01</v>
      </c>
      <c r="H63" s="507"/>
      <c r="I63" s="527">
        <f t="shared" si="6"/>
        <v>0.01</v>
      </c>
      <c r="J63" s="2">
        <v>0.14200000000000002</v>
      </c>
      <c r="K63" s="33">
        <f t="shared" si="12"/>
        <v>0.13908415595697088</v>
      </c>
      <c r="L63" s="29">
        <f t="shared" si="13"/>
        <v>1.0209646024952779</v>
      </c>
      <c r="M63" s="33"/>
      <c r="N63" s="10">
        <f t="shared" si="14"/>
        <v>0.11449651978615634</v>
      </c>
      <c r="O63" s="2"/>
      <c r="P63" s="2"/>
      <c r="Q63" s="2"/>
      <c r="R63" s="2"/>
      <c r="S63" s="2"/>
      <c r="T63" s="2"/>
      <c r="U63" s="2"/>
      <c r="V63" s="2"/>
      <c r="W63" s="2"/>
      <c r="X63" s="6">
        <v>361742.49769675999</v>
      </c>
      <c r="Y63" s="6"/>
      <c r="Z63" s="33">
        <f t="shared" si="9"/>
        <v>9.026068370574114E-2</v>
      </c>
      <c r="AA63" s="5">
        <v>2.7999999999999997E-2</v>
      </c>
      <c r="AB63">
        <f t="shared" si="11"/>
        <v>6.0564867418036128E-2</v>
      </c>
      <c r="AC63">
        <v>27.027771071428578</v>
      </c>
      <c r="AD63">
        <f t="shared" si="8"/>
        <v>2.4048710227086767E-2</v>
      </c>
      <c r="AE63" s="99">
        <v>76.601965909017878</v>
      </c>
      <c r="AF63" s="119">
        <f t="shared" si="0"/>
        <v>2070.3803982103113</v>
      </c>
      <c r="AG63" s="33">
        <f t="shared" si="3"/>
        <v>0.64265379697052771</v>
      </c>
      <c r="AH63">
        <v>6209</v>
      </c>
      <c r="AI63" s="33">
        <f t="shared" si="4"/>
        <v>0.35419847328244281</v>
      </c>
      <c r="AJ63" s="29">
        <f t="shared" si="1"/>
        <v>0.35419847328244281</v>
      </c>
      <c r="AK63" s="33">
        <f t="shared" si="5"/>
        <v>0.68215750213729542</v>
      </c>
      <c r="AM63">
        <v>1</v>
      </c>
      <c r="CH63" s="99">
        <v>1</v>
      </c>
    </row>
    <row r="64" spans="1:86">
      <c r="A64" s="1">
        <v>2017</v>
      </c>
      <c r="B64" s="1">
        <v>1</v>
      </c>
      <c r="C64" s="1">
        <v>3</v>
      </c>
      <c r="D64" t="str">
        <f t="shared" si="10"/>
        <v>2017M3</v>
      </c>
      <c r="E64" s="33">
        <f t="shared" si="2"/>
        <v>1.8000000000000002E-2</v>
      </c>
      <c r="H64" s="507"/>
      <c r="I64" s="527">
        <f t="shared" si="6"/>
        <v>1.8000000000000002E-2</v>
      </c>
      <c r="J64" s="2">
        <v>0.15099999999999994</v>
      </c>
      <c r="K64" s="33">
        <f t="shared" si="12"/>
        <v>0.14481893979350746</v>
      </c>
      <c r="L64" s="29">
        <f t="shared" si="13"/>
        <v>1.0426812971791248</v>
      </c>
      <c r="M64" s="33"/>
      <c r="N64" s="10">
        <f t="shared" si="14"/>
        <v>0.11046208008036676</v>
      </c>
      <c r="O64" s="2"/>
      <c r="P64" s="2"/>
      <c r="Q64" s="2"/>
      <c r="R64" s="2"/>
      <c r="S64" s="2"/>
      <c r="T64" s="2"/>
      <c r="U64" s="2"/>
      <c r="V64" s="2"/>
      <c r="W64" s="2"/>
      <c r="X64" s="6">
        <v>359198.56904437498</v>
      </c>
      <c r="Y64" s="6"/>
      <c r="Z64" s="33">
        <f t="shared" si="9"/>
        <v>9.556956130816241E-2</v>
      </c>
      <c r="AA64" s="5">
        <v>2.7999999999999997E-2</v>
      </c>
      <c r="AB64">
        <f t="shared" si="11"/>
        <v>6.5729145241403053E-2</v>
      </c>
      <c r="AC64">
        <v>27.001562419354837</v>
      </c>
      <c r="AD64">
        <f t="shared" si="8"/>
        <v>2.4487641793782267E-2</v>
      </c>
      <c r="AE64" s="99">
        <v>69.384106887103982</v>
      </c>
      <c r="AF64" s="119">
        <f t="shared" si="0"/>
        <v>1873.4792930233259</v>
      </c>
      <c r="AG64" s="33">
        <f t="shared" si="3"/>
        <v>0.37610722890357184</v>
      </c>
      <c r="AH64">
        <v>6752</v>
      </c>
      <c r="AI64" s="33">
        <f t="shared" si="4"/>
        <v>0.37235772357723573</v>
      </c>
      <c r="AJ64" s="29">
        <f t="shared" si="1"/>
        <v>0.37235772357723573</v>
      </c>
      <c r="AK64" s="33">
        <f t="shared" si="5"/>
        <v>0.40980484979479659</v>
      </c>
      <c r="AM64">
        <v>1.8</v>
      </c>
      <c r="CH64" s="99">
        <v>1.8</v>
      </c>
    </row>
    <row r="65" spans="1:86">
      <c r="A65" s="1">
        <v>2017</v>
      </c>
      <c r="B65" s="1">
        <v>2</v>
      </c>
      <c r="C65" s="1">
        <v>4</v>
      </c>
      <c r="D65" t="str">
        <f t="shared" si="10"/>
        <v>2017M4</v>
      </c>
      <c r="E65" s="33">
        <f t="shared" si="2"/>
        <v>9.0000000000000011E-3</v>
      </c>
      <c r="H65" s="507"/>
      <c r="I65" s="527">
        <f t="shared" si="6"/>
        <v>9.0000000000000011E-3</v>
      </c>
      <c r="J65" s="2">
        <v>0.12200000000000003</v>
      </c>
      <c r="K65" s="33">
        <f t="shared" si="12"/>
        <v>0.14241209488446657</v>
      </c>
      <c r="L65" s="29">
        <f t="shared" si="13"/>
        <v>0.85666881102320636</v>
      </c>
      <c r="M65" s="33"/>
      <c r="N65" s="10">
        <f t="shared" si="14"/>
        <v>0.11984179979155074</v>
      </c>
      <c r="O65" s="2"/>
      <c r="P65" s="2"/>
      <c r="Q65" s="2"/>
      <c r="R65" s="2"/>
      <c r="S65" s="2"/>
      <c r="T65" s="2"/>
      <c r="U65" s="2"/>
      <c r="V65" s="2"/>
      <c r="W65" s="2"/>
      <c r="X65" s="6">
        <v>362635.65076933999</v>
      </c>
      <c r="Y65" s="6"/>
      <c r="Z65" s="33">
        <f t="shared" si="9"/>
        <v>9.3774215823846818E-2</v>
      </c>
      <c r="AA65" s="5">
        <v>2.6000000000000002E-2</v>
      </c>
      <c r="AB65">
        <f t="shared" si="11"/>
        <v>6.6056740569051531E-2</v>
      </c>
      <c r="AC65">
        <v>26.856827100000014</v>
      </c>
      <c r="AD65">
        <f t="shared" si="8"/>
        <v>4.7887381722597322E-2</v>
      </c>
      <c r="AE65" s="99">
        <v>69.872811564950169</v>
      </c>
      <c r="AF65" s="119">
        <f t="shared" si="0"/>
        <v>1876.5620191907481</v>
      </c>
      <c r="AG65" s="33">
        <f t="shared" si="3"/>
        <v>0.33235033380891355</v>
      </c>
      <c r="AH65">
        <v>6659</v>
      </c>
      <c r="AI65" s="33">
        <f t="shared" si="4"/>
        <v>0.36036772216547508</v>
      </c>
      <c r="AJ65" s="29">
        <f t="shared" si="1"/>
        <v>0.36036772216547508</v>
      </c>
      <c r="AK65" s="33">
        <f t="shared" si="5"/>
        <v>0.39615310283225114</v>
      </c>
      <c r="AM65">
        <v>0.9</v>
      </c>
      <c r="CH65" s="99">
        <v>0.9</v>
      </c>
    </row>
    <row r="66" spans="1:86">
      <c r="A66" s="1">
        <v>2017</v>
      </c>
      <c r="B66" s="1">
        <v>2</v>
      </c>
      <c r="C66" s="1">
        <v>5</v>
      </c>
      <c r="D66" t="str">
        <f t="shared" si="10"/>
        <v>2017M5</v>
      </c>
      <c r="E66" s="33">
        <f t="shared" si="2"/>
        <v>1.3000000000000001E-2</v>
      </c>
      <c r="H66" s="507"/>
      <c r="I66" s="527">
        <f t="shared" si="6"/>
        <v>1.3000000000000001E-2</v>
      </c>
      <c r="J66" s="2">
        <v>0.13500000000000001</v>
      </c>
      <c r="K66" s="33">
        <f t="shared" si="12"/>
        <v>0.14651699709473912</v>
      </c>
      <c r="L66" s="29">
        <f t="shared" si="13"/>
        <v>0.92139480522323214</v>
      </c>
      <c r="M66" s="33"/>
      <c r="N66" s="10">
        <f t="shared" si="14"/>
        <v>0.11976826091492918</v>
      </c>
      <c r="O66" s="2"/>
      <c r="P66" s="2"/>
      <c r="Q66" s="2"/>
      <c r="R66" s="2"/>
      <c r="S66" s="2"/>
      <c r="T66" s="2"/>
      <c r="U66" s="2"/>
      <c r="V66" s="2"/>
      <c r="W66" s="2"/>
      <c r="X66" s="6">
        <v>368305.48513058503</v>
      </c>
      <c r="Y66" s="6"/>
      <c r="Z66" s="33">
        <f t="shared" si="9"/>
        <v>9.4075182377076016E-2</v>
      </c>
      <c r="AA66" s="5">
        <v>2.6000000000000002E-2</v>
      </c>
      <c r="AB66">
        <f t="shared" si="11"/>
        <v>6.6350080289547808E-2</v>
      </c>
      <c r="AC66">
        <v>26.423692999999993</v>
      </c>
      <c r="AD66">
        <f t="shared" si="8"/>
        <v>4.8289790467862304E-2</v>
      </c>
      <c r="AE66" s="99">
        <v>67.657497165909064</v>
      </c>
      <c r="AF66" s="119">
        <f t="shared" si="0"/>
        <v>1787.7609342603507</v>
      </c>
      <c r="AG66" s="33">
        <f t="shared" si="3"/>
        <v>0.18518565196653802</v>
      </c>
      <c r="AH66">
        <v>6840</v>
      </c>
      <c r="AI66" s="33">
        <f t="shared" si="4"/>
        <v>0.37239165329052959</v>
      </c>
      <c r="AJ66" s="29">
        <f t="shared" si="1"/>
        <v>0.37239165329052959</v>
      </c>
      <c r="AK66" s="33">
        <f t="shared" si="5"/>
        <v>0.24241801876551916</v>
      </c>
      <c r="AM66">
        <v>1.3</v>
      </c>
      <c r="CH66" s="99">
        <v>1.3</v>
      </c>
    </row>
    <row r="67" spans="1:86">
      <c r="A67" s="1">
        <v>2017</v>
      </c>
      <c r="B67" s="1">
        <v>2</v>
      </c>
      <c r="C67" s="1">
        <v>6</v>
      </c>
      <c r="D67" t="str">
        <f t="shared" si="10"/>
        <v>2017M6</v>
      </c>
      <c r="E67" s="33">
        <f t="shared" si="2"/>
        <v>1.6E-2</v>
      </c>
      <c r="H67" s="507"/>
      <c r="I67" s="527">
        <f t="shared" si="6"/>
        <v>1.6E-2</v>
      </c>
      <c r="J67" s="2">
        <v>0.15599999999999994</v>
      </c>
      <c r="K67" s="33">
        <f t="shared" si="12"/>
        <v>0.14932148326647038</v>
      </c>
      <c r="L67" s="29">
        <f t="shared" si="13"/>
        <v>1.0447257593980062</v>
      </c>
      <c r="M67" s="33"/>
      <c r="N67" s="10">
        <f t="shared" si="14"/>
        <v>0.12470079085249484</v>
      </c>
      <c r="O67" s="2"/>
      <c r="P67" s="2"/>
      <c r="Q67" s="2"/>
      <c r="R67" s="2"/>
      <c r="S67" s="2"/>
      <c r="T67" s="2"/>
      <c r="U67" s="2"/>
      <c r="V67" s="2"/>
      <c r="W67" s="2"/>
      <c r="X67" s="6">
        <v>375005.31244599004</v>
      </c>
      <c r="Y67" s="6"/>
      <c r="Z67" s="33">
        <f t="shared" si="9"/>
        <v>8.6891248913206542E-2</v>
      </c>
      <c r="AA67" s="5">
        <v>2.6000000000000002E-2</v>
      </c>
      <c r="AB67">
        <f t="shared" si="11"/>
        <v>5.9348195821838701E-2</v>
      </c>
      <c r="AC67">
        <v>26.108858166666668</v>
      </c>
      <c r="AD67">
        <f t="shared" si="8"/>
        <v>4.6390966235829723E-2</v>
      </c>
      <c r="AE67" s="99">
        <v>66.375820838822406</v>
      </c>
      <c r="AF67" s="119">
        <f t="shared" ref="AF67:AF121" si="15">AC67*AE67</f>
        <v>1732.9968919768919</v>
      </c>
      <c r="AG67" s="33">
        <f t="shared" si="3"/>
        <v>9.6529107350234344E-2</v>
      </c>
      <c r="AH67">
        <v>7360</v>
      </c>
      <c r="AI67" s="33">
        <f t="shared" si="4"/>
        <v>0.37905190181750048</v>
      </c>
      <c r="AJ67" s="29">
        <f t="shared" si="1"/>
        <v>0.37905190181750048</v>
      </c>
      <c r="AK67" s="33">
        <f t="shared" si="5"/>
        <v>0.14739815214592356</v>
      </c>
      <c r="AM67">
        <v>1.6</v>
      </c>
      <c r="CH67" s="99">
        <v>1.6</v>
      </c>
    </row>
    <row r="68" spans="1:86">
      <c r="A68" s="1">
        <v>2017</v>
      </c>
      <c r="B68" s="1">
        <v>3</v>
      </c>
      <c r="C68" s="1">
        <v>7</v>
      </c>
      <c r="D68" t="str">
        <f t="shared" si="10"/>
        <v>2017M7</v>
      </c>
      <c r="E68" s="33">
        <f t="shared" si="2"/>
        <v>2E-3</v>
      </c>
      <c r="H68" s="507"/>
      <c r="I68" s="527">
        <f t="shared" si="6"/>
        <v>2E-3</v>
      </c>
      <c r="J68" s="2">
        <v>0.15900000000000006</v>
      </c>
      <c r="K68" s="33">
        <f t="shared" si="12"/>
        <v>0.14554023109602834</v>
      </c>
      <c r="L68" s="29">
        <f t="shared" si="13"/>
        <v>1.092481431440705</v>
      </c>
      <c r="M68" s="33"/>
      <c r="N68" s="10">
        <f t="shared" si="14"/>
        <v>0.13144413735986904</v>
      </c>
      <c r="O68" s="2"/>
      <c r="P68" s="2"/>
      <c r="Q68" s="2"/>
      <c r="R68" s="2"/>
      <c r="S68" s="2"/>
      <c r="T68" s="2"/>
      <c r="U68" s="2"/>
      <c r="V68" s="2"/>
      <c r="W68" s="2"/>
      <c r="X68" s="6">
        <v>380655.38214676001</v>
      </c>
      <c r="Y68" s="6"/>
      <c r="Z68" s="33">
        <f t="shared" si="9"/>
        <v>7.6339277291160412E-2</v>
      </c>
      <c r="AA68" s="5">
        <v>2.4E-2</v>
      </c>
      <c r="AB68">
        <f t="shared" si="11"/>
        <v>5.111257547964887E-2</v>
      </c>
      <c r="AC68">
        <v>25.969315225806444</v>
      </c>
      <c r="AD68">
        <f t="shared" si="8"/>
        <v>4.6441729320432223E-2</v>
      </c>
      <c r="AE68" s="99">
        <v>68.486520349079683</v>
      </c>
      <c r="AF68" s="119">
        <f t="shared" si="15"/>
        <v>1778.5480356638579</v>
      </c>
      <c r="AG68" s="33">
        <f t="shared" si="3"/>
        <v>0.15678140962900544</v>
      </c>
      <c r="AH68">
        <v>7339</v>
      </c>
      <c r="AI68" s="33">
        <f t="shared" si="4"/>
        <v>0.3656494231484928</v>
      </c>
      <c r="AJ68" s="29">
        <f t="shared" si="1"/>
        <v>0.3656494231484928</v>
      </c>
      <c r="AK68" s="33">
        <f t="shared" si="5"/>
        <v>0.21050433873790397</v>
      </c>
      <c r="AM68">
        <v>0.2</v>
      </c>
      <c r="CH68" s="99">
        <v>0.2</v>
      </c>
    </row>
    <row r="69" spans="1:86">
      <c r="A69" s="1">
        <v>2017</v>
      </c>
      <c r="B69" s="1">
        <v>3</v>
      </c>
      <c r="C69" s="1">
        <v>8</v>
      </c>
      <c r="D69" t="str">
        <f t="shared" si="10"/>
        <v>2017M8</v>
      </c>
      <c r="E69" s="33">
        <f t="shared" si="2"/>
        <v>-1E-3</v>
      </c>
      <c r="H69" s="507"/>
      <c r="I69" s="527">
        <f t="shared" si="6"/>
        <v>-1E-3</v>
      </c>
      <c r="J69" s="2">
        <v>0.16200000000000003</v>
      </c>
      <c r="K69" s="33">
        <f t="shared" si="12"/>
        <v>0.14551932659928563</v>
      </c>
      <c r="L69" s="29">
        <f t="shared" si="13"/>
        <v>1.1132541895695889</v>
      </c>
      <c r="M69" s="33"/>
      <c r="N69" s="10">
        <f t="shared" si="14"/>
        <v>0.13077456811510044</v>
      </c>
      <c r="O69" s="2"/>
      <c r="P69" s="2"/>
      <c r="Q69" s="2"/>
      <c r="R69" s="2"/>
      <c r="S69" s="2"/>
      <c r="T69" s="2"/>
      <c r="U69" s="2"/>
      <c r="V69" s="2"/>
      <c r="W69" s="2"/>
      <c r="X69" s="6">
        <v>379281.25692618499</v>
      </c>
      <c r="Y69" s="6"/>
      <c r="Z69" s="33">
        <f t="shared" si="9"/>
        <v>6.4930824435173173E-2</v>
      </c>
      <c r="AA69" s="5">
        <v>2.4E-2</v>
      </c>
      <c r="AB69">
        <f t="shared" si="11"/>
        <v>3.9971508237473863E-2</v>
      </c>
      <c r="AC69">
        <v>25.635271419354826</v>
      </c>
      <c r="AD69">
        <f t="shared" si="8"/>
        <v>2.2759488069563183E-2</v>
      </c>
      <c r="AE69" s="99">
        <v>73.514102967898481</v>
      </c>
      <c r="AF69" s="119">
        <f t="shared" si="15"/>
        <v>1884.5539827324758</v>
      </c>
      <c r="AG69" s="33">
        <f t="shared" si="3"/>
        <v>0.25577409945663243</v>
      </c>
      <c r="AH69">
        <v>7114</v>
      </c>
      <c r="AI69" s="33">
        <f t="shared" si="4"/>
        <v>0.36755094194540572</v>
      </c>
      <c r="AJ69" s="29">
        <f t="shared" si="1"/>
        <v>0.36755094194540572</v>
      </c>
      <c r="AK69" s="33">
        <f t="shared" si="5"/>
        <v>0.2843548750912821</v>
      </c>
      <c r="AM69">
        <v>-0.1</v>
      </c>
      <c r="CH69" s="99">
        <v>-0.1</v>
      </c>
    </row>
    <row r="70" spans="1:86">
      <c r="A70" s="1">
        <v>2017</v>
      </c>
      <c r="B70" s="1">
        <v>3</v>
      </c>
      <c r="C70" s="1">
        <v>9</v>
      </c>
      <c r="D70" t="str">
        <f t="shared" si="10"/>
        <v>2017M9</v>
      </c>
      <c r="E70" s="33">
        <f t="shared" si="2"/>
        <v>0.02</v>
      </c>
      <c r="H70" s="507"/>
      <c r="I70" s="527">
        <f t="shared" si="6"/>
        <v>0.02</v>
      </c>
      <c r="J70" s="2">
        <v>0.16400000000000006</v>
      </c>
      <c r="K70" s="33">
        <f t="shared" si="12"/>
        <v>0.14577226763320128</v>
      </c>
      <c r="L70" s="29">
        <f t="shared" si="13"/>
        <v>1.1250425246361964</v>
      </c>
      <c r="M70" s="33"/>
      <c r="N70" s="10">
        <f t="shared" si="14"/>
        <v>0.12628056746245134</v>
      </c>
      <c r="O70" s="2"/>
      <c r="P70" s="2"/>
      <c r="Q70" s="2"/>
      <c r="R70" s="2"/>
      <c r="S70" s="2"/>
      <c r="T70" s="2"/>
      <c r="U70" s="2"/>
      <c r="V70" s="2"/>
      <c r="W70" s="2"/>
      <c r="X70" s="6">
        <v>376204.63798137999</v>
      </c>
      <c r="Y70" s="6"/>
      <c r="Z70" s="33">
        <f t="shared" si="9"/>
        <v>5.551303953990594E-2</v>
      </c>
      <c r="AA70" s="5">
        <v>2.4E-2</v>
      </c>
      <c r="AB70">
        <f t="shared" si="11"/>
        <v>3.0774452675689457E-2</v>
      </c>
      <c r="AC70">
        <v>26.10860709999999</v>
      </c>
      <c r="AD70">
        <f t="shared" si="8"/>
        <v>-6.3502251161164924E-3</v>
      </c>
      <c r="AE70" s="99">
        <v>78.642224546826228</v>
      </c>
      <c r="AF70" s="119">
        <f t="shared" si="15"/>
        <v>2053.2389421630605</v>
      </c>
      <c r="AG70" s="33">
        <f t="shared" si="3"/>
        <v>0.3145201892607965</v>
      </c>
      <c r="AH70">
        <v>7351</v>
      </c>
      <c r="AI70" s="33">
        <f t="shared" si="4"/>
        <v>0.37196715192235907</v>
      </c>
      <c r="AJ70" s="29">
        <f t="shared" si="1"/>
        <v>0.37196715192235907</v>
      </c>
      <c r="AK70" s="33">
        <f t="shared" si="5"/>
        <v>0.30617269013931026</v>
      </c>
      <c r="AM70">
        <v>2</v>
      </c>
      <c r="CH70" s="99">
        <v>2</v>
      </c>
    </row>
    <row r="71" spans="1:86">
      <c r="A71" s="1">
        <v>2017</v>
      </c>
      <c r="B71" s="1">
        <v>4</v>
      </c>
      <c r="C71" s="1">
        <v>10</v>
      </c>
      <c r="D71" t="str">
        <f t="shared" si="10"/>
        <v>2017M10</v>
      </c>
      <c r="E71" s="33">
        <f t="shared" si="2"/>
        <v>1.2E-2</v>
      </c>
      <c r="H71" s="507"/>
      <c r="I71" s="527">
        <f t="shared" si="6"/>
        <v>1.2E-2</v>
      </c>
      <c r="J71" s="2">
        <v>0.14599999999999994</v>
      </c>
      <c r="K71" s="33">
        <f t="shared" si="12"/>
        <v>0.15085756680728429</v>
      </c>
      <c r="L71" s="29">
        <f t="shared" si="13"/>
        <v>0.96780031051747151</v>
      </c>
      <c r="M71" s="33"/>
      <c r="N71" s="10">
        <f t="shared" si="14"/>
        <v>0.14074762448491274</v>
      </c>
      <c r="O71" s="2"/>
      <c r="P71" s="2"/>
      <c r="Q71" s="2"/>
      <c r="R71" s="2"/>
      <c r="S71" s="2"/>
      <c r="T71" s="2"/>
      <c r="U71" s="2"/>
      <c r="V71" s="2"/>
      <c r="W71" s="2"/>
      <c r="X71" s="6">
        <v>375008.647536395</v>
      </c>
      <c r="Y71" s="6"/>
      <c r="Z71" s="33">
        <f t="shared" si="9"/>
        <v>5.6606379065422541E-2</v>
      </c>
      <c r="AA71" s="5">
        <v>2.2000000000000002E-2</v>
      </c>
      <c r="AB71">
        <f t="shared" si="11"/>
        <v>3.386142765696909E-2</v>
      </c>
      <c r="AC71">
        <v>26.654977096774203</v>
      </c>
      <c r="AD71">
        <f t="shared" si="8"/>
        <v>3.4852475688657902E-2</v>
      </c>
      <c r="AE71" s="99">
        <v>80.489654633214499</v>
      </c>
      <c r="AF71" s="119">
        <f t="shared" si="15"/>
        <v>2145.4499007755981</v>
      </c>
      <c r="AG71" s="33">
        <f t="shared" si="3"/>
        <v>0.15379540362781219</v>
      </c>
      <c r="AH71">
        <v>7377</v>
      </c>
      <c r="AI71" s="33">
        <f t="shared" si="4"/>
        <v>0.3788785046728973</v>
      </c>
      <c r="AJ71" s="29">
        <f t="shared" si="1"/>
        <v>0.3788785046728973</v>
      </c>
      <c r="AK71" s="33">
        <f t="shared" si="5"/>
        <v>0.19400802988243582</v>
      </c>
      <c r="AM71">
        <v>1.2</v>
      </c>
      <c r="CH71" s="99">
        <v>1.2</v>
      </c>
    </row>
    <row r="72" spans="1:86">
      <c r="A72" s="1">
        <v>2017</v>
      </c>
      <c r="B72" s="1">
        <v>4</v>
      </c>
      <c r="C72" s="1">
        <v>11</v>
      </c>
      <c r="D72" t="str">
        <f t="shared" si="10"/>
        <v>2017M11</v>
      </c>
      <c r="E72" s="33">
        <f t="shared" si="2"/>
        <v>9.0000000000000011E-3</v>
      </c>
      <c r="H72" s="507"/>
      <c r="I72" s="527">
        <f t="shared" si="6"/>
        <v>9.0000000000000011E-3</v>
      </c>
      <c r="J72" s="2">
        <v>0.13599999999999995</v>
      </c>
      <c r="K72" s="33">
        <f t="shared" si="12"/>
        <v>0.15236168520318666</v>
      </c>
      <c r="L72" s="29">
        <f t="shared" si="13"/>
        <v>0.89261286273273321</v>
      </c>
      <c r="M72" s="33"/>
      <c r="N72" s="10">
        <f t="shared" si="14"/>
        <v>0.13933414156294732</v>
      </c>
      <c r="O72" s="2"/>
      <c r="P72" s="2"/>
      <c r="Q72" s="2"/>
      <c r="R72" s="2"/>
      <c r="S72" s="2"/>
      <c r="T72" s="2"/>
      <c r="U72" s="2"/>
      <c r="V72" s="2"/>
      <c r="W72" s="2"/>
      <c r="X72" s="6">
        <v>377681.583605355</v>
      </c>
      <c r="Y72" s="6"/>
      <c r="Z72" s="33">
        <f t="shared" si="9"/>
        <v>6.0557209603139484E-2</v>
      </c>
      <c r="AA72" s="5">
        <v>2.2000000000000002E-2</v>
      </c>
      <c r="AB72">
        <f t="shared" si="11"/>
        <v>3.7727210961975954E-2</v>
      </c>
      <c r="AC72">
        <v>26.705274633333335</v>
      </c>
      <c r="AD72">
        <f t="shared" si="8"/>
        <v>3.9077828254707958E-2</v>
      </c>
      <c r="AE72" s="99">
        <v>85.021682965864315</v>
      </c>
      <c r="AF72" s="119">
        <f t="shared" si="15"/>
        <v>2270.5273933916051</v>
      </c>
      <c r="AG72" s="33">
        <f t="shared" si="3"/>
        <v>0.20609650519623757</v>
      </c>
      <c r="AH72">
        <v>7479</v>
      </c>
      <c r="AI72" s="33">
        <f t="shared" si="4"/>
        <v>0.3834628190899001</v>
      </c>
      <c r="AJ72" s="29">
        <f t="shared" si="1"/>
        <v>0.3834628190899001</v>
      </c>
      <c r="AK72" s="33">
        <f t="shared" si="5"/>
        <v>0.25322813728489968</v>
      </c>
      <c r="AM72">
        <v>0.9</v>
      </c>
      <c r="CH72" s="99">
        <v>0.9</v>
      </c>
    </row>
    <row r="73" spans="1:86">
      <c r="A73" s="1">
        <v>2017</v>
      </c>
      <c r="B73" s="1">
        <v>4</v>
      </c>
      <c r="C73" s="1">
        <v>12</v>
      </c>
      <c r="D73" t="str">
        <f t="shared" si="10"/>
        <v>2017M12</v>
      </c>
      <c r="E73" s="33">
        <f t="shared" si="2"/>
        <v>0.01</v>
      </c>
      <c r="H73" s="507"/>
      <c r="I73" s="527">
        <f t="shared" si="6"/>
        <v>0.01</v>
      </c>
      <c r="J73" s="2">
        <v>0.13700000000000004</v>
      </c>
      <c r="K73" s="33">
        <f t="shared" si="12"/>
        <v>0.14440835548265918</v>
      </c>
      <c r="L73" s="29">
        <f t="shared" si="13"/>
        <v>0.94869856762859717</v>
      </c>
      <c r="M73" s="33"/>
      <c r="N73" s="10">
        <f t="shared" si="14"/>
        <v>0.15047985002636619</v>
      </c>
      <c r="O73" s="2"/>
      <c r="P73" s="2"/>
      <c r="Q73" s="2"/>
      <c r="R73" s="2"/>
      <c r="S73" s="2"/>
      <c r="T73" s="2"/>
      <c r="U73" s="2"/>
      <c r="V73" s="2"/>
      <c r="W73" s="2"/>
      <c r="X73" s="6">
        <v>388901.53028718499</v>
      </c>
      <c r="Y73" s="6"/>
      <c r="Z73" s="33">
        <f t="shared" si="9"/>
        <v>5.2274731561617882E-2</v>
      </c>
      <c r="AA73" s="5">
        <v>2.2000000000000002E-2</v>
      </c>
      <c r="AB73">
        <f t="shared" si="11"/>
        <v>2.9623025011367821E-2</v>
      </c>
      <c r="AC73">
        <v>27.516507935483883</v>
      </c>
      <c r="AD73">
        <f t="shared" si="8"/>
        <v>5.0067040071519742E-2</v>
      </c>
      <c r="AE73" s="99">
        <v>88.799368336620205</v>
      </c>
      <c r="AF73" s="119">
        <f t="shared" si="15"/>
        <v>2443.4485235005664</v>
      </c>
      <c r="AG73" s="33">
        <f t="shared" si="3"/>
        <v>0.2384094775877581</v>
      </c>
      <c r="AH73">
        <v>8777</v>
      </c>
      <c r="AI73" s="33">
        <f t="shared" si="4"/>
        <v>0.3555212355212356</v>
      </c>
      <c r="AJ73" s="29">
        <f t="shared" si="1"/>
        <v>0.3555212355212356</v>
      </c>
      <c r="AK73" s="33">
        <f t="shared" si="5"/>
        <v>0.30041297452709426</v>
      </c>
      <c r="AM73">
        <v>1</v>
      </c>
      <c r="CH73" s="99">
        <v>1</v>
      </c>
    </row>
    <row r="74" spans="1:86">
      <c r="A74" s="1">
        <v>2018</v>
      </c>
      <c r="B74" s="1">
        <v>1</v>
      </c>
      <c r="C74" s="1">
        <v>1</v>
      </c>
      <c r="D74" t="str">
        <f t="shared" si="10"/>
        <v>2018M1</v>
      </c>
      <c r="E74" s="33">
        <f t="shared" si="2"/>
        <v>1.4999999999999999E-2</v>
      </c>
      <c r="G74" s="126">
        <f>AVERAGE(I74:I85)</f>
        <v>7.8333333333333328E-3</v>
      </c>
      <c r="H74" s="507"/>
      <c r="I74" s="527">
        <f t="shared" si="6"/>
        <v>1.4999999999999999E-2</v>
      </c>
      <c r="J74" s="2">
        <v>0.14099999999999993</v>
      </c>
      <c r="K74" s="33">
        <f t="shared" si="12"/>
        <v>0.11938071485334339</v>
      </c>
      <c r="L74" s="29">
        <f t="shared" si="13"/>
        <v>1.1810952897477232</v>
      </c>
      <c r="M74" s="33"/>
      <c r="N74" s="10">
        <f t="shared" si="14"/>
        <v>0.14715345217168646</v>
      </c>
      <c r="O74" s="2"/>
      <c r="P74" s="2"/>
      <c r="Q74" s="2"/>
      <c r="R74" s="2"/>
      <c r="S74" s="2"/>
      <c r="T74" s="2"/>
      <c r="U74" s="2"/>
      <c r="V74" s="2"/>
      <c r="W74" s="2"/>
      <c r="X74" s="6">
        <v>395691.731361265</v>
      </c>
      <c r="Y74" s="6"/>
      <c r="Z74" s="33">
        <f t="shared" si="9"/>
        <v>6.4292210495440871E-2</v>
      </c>
      <c r="AA74" s="5">
        <v>3.1E-2</v>
      </c>
      <c r="AB74">
        <f t="shared" si="11"/>
        <v>3.2291183797711787E-2</v>
      </c>
      <c r="AC74">
        <v>28.434328612903219</v>
      </c>
      <c r="AD74">
        <f t="shared" si="8"/>
        <v>4.7281317793242739E-2</v>
      </c>
      <c r="AE74" s="99">
        <v>89.641661435302382</v>
      </c>
      <c r="AF74" s="119">
        <f t="shared" si="15"/>
        <v>2548.9004586580013</v>
      </c>
      <c r="AG74" s="33">
        <f t="shared" si="3"/>
        <v>0.15648230004706787</v>
      </c>
      <c r="AH74">
        <v>7711.47</v>
      </c>
      <c r="AI74" s="33">
        <f t="shared" si="4"/>
        <v>0.28353362183754993</v>
      </c>
      <c r="AJ74" s="29">
        <f t="shared" si="1"/>
        <v>0.28353362183754993</v>
      </c>
      <c r="AK74" s="33">
        <f t="shared" si="5"/>
        <v>0.21116230719785367</v>
      </c>
      <c r="AM74">
        <v>1.5</v>
      </c>
      <c r="CH74" s="99">
        <v>1.5</v>
      </c>
    </row>
    <row r="75" spans="1:86">
      <c r="A75" s="1">
        <v>2018</v>
      </c>
      <c r="B75" s="1">
        <v>1</v>
      </c>
      <c r="C75" s="1">
        <v>2</v>
      </c>
      <c r="D75" t="str">
        <f t="shared" si="10"/>
        <v>2018M2</v>
      </c>
      <c r="E75" s="33">
        <f t="shared" si="2"/>
        <v>9.0000000000000011E-3</v>
      </c>
      <c r="H75" s="507"/>
      <c r="I75" s="527">
        <f t="shared" si="6"/>
        <v>9.0000000000000011E-3</v>
      </c>
      <c r="J75" s="2">
        <v>0.14000000000000001</v>
      </c>
      <c r="K75" s="33">
        <f t="shared" si="12"/>
        <v>0.10504744851125125</v>
      </c>
      <c r="L75" s="29">
        <f t="shared" si="13"/>
        <v>1.3327310847060234</v>
      </c>
      <c r="M75" s="33"/>
      <c r="N75" s="10">
        <f t="shared" si="14"/>
        <v>0.10013243264876281</v>
      </c>
      <c r="O75" s="2"/>
      <c r="P75" s="2"/>
      <c r="Q75" s="2"/>
      <c r="R75" s="2"/>
      <c r="S75" s="2"/>
      <c r="T75" s="2"/>
      <c r="U75" s="2"/>
      <c r="V75" s="2"/>
      <c r="W75" s="2"/>
      <c r="X75" s="6">
        <v>398576.13637790002</v>
      </c>
      <c r="Y75" s="6"/>
      <c r="Z75" s="33">
        <f t="shared" si="9"/>
        <v>0.10182281295579698</v>
      </c>
      <c r="AA75" s="5">
        <v>3.1E-2</v>
      </c>
      <c r="AB75">
        <f t="shared" si="11"/>
        <v>6.8693320034720839E-2</v>
      </c>
      <c r="AC75">
        <v>27.171049392857139</v>
      </c>
      <c r="AD75">
        <f t="shared" si="8"/>
        <v>5.3011519540366869E-3</v>
      </c>
      <c r="AE75" s="99">
        <v>86.47548087515618</v>
      </c>
      <c r="AF75" s="119">
        <f t="shared" si="15"/>
        <v>2349.6295621299414</v>
      </c>
      <c r="AG75" s="33">
        <f t="shared" si="3"/>
        <v>0.12889375421337523</v>
      </c>
      <c r="AH75">
        <v>7828.16</v>
      </c>
      <c r="AI75" s="33">
        <f t="shared" si="4"/>
        <v>0.26077629247866008</v>
      </c>
      <c r="AJ75" s="29">
        <f t="shared" si="1"/>
        <v>0.26077629247866008</v>
      </c>
      <c r="AK75" s="33">
        <f t="shared" si="5"/>
        <v>0.13487819154442349</v>
      </c>
      <c r="AM75">
        <v>0.9</v>
      </c>
      <c r="CH75" s="99">
        <v>0.9</v>
      </c>
    </row>
    <row r="76" spans="1:86">
      <c r="A76" s="1">
        <v>2018</v>
      </c>
      <c r="B76" s="1">
        <v>1</v>
      </c>
      <c r="C76" s="1">
        <v>3</v>
      </c>
      <c r="D76" t="str">
        <f t="shared" si="10"/>
        <v>2018M3</v>
      </c>
      <c r="E76" s="33">
        <f t="shared" si="2"/>
        <v>1.1000000000000001E-2</v>
      </c>
      <c r="H76" s="507"/>
      <c r="I76" s="527">
        <f t="shared" si="6"/>
        <v>1.1000000000000001E-2</v>
      </c>
      <c r="J76" s="2">
        <v>0.13200000000000003</v>
      </c>
      <c r="K76" s="33">
        <f t="shared" si="12"/>
        <v>9.5410127602288813E-2</v>
      </c>
      <c r="L76" s="29">
        <f t="shared" si="13"/>
        <v>1.3835009271786516</v>
      </c>
      <c r="M76" s="33"/>
      <c r="N76" s="10">
        <f t="shared" si="14"/>
        <v>8.0688230265695479E-2</v>
      </c>
      <c r="O76" s="2"/>
      <c r="P76" s="2"/>
      <c r="Q76" s="2"/>
      <c r="R76" s="2"/>
      <c r="S76" s="2"/>
      <c r="T76" s="2"/>
      <c r="U76" s="2"/>
      <c r="V76" s="2"/>
      <c r="W76" s="2"/>
      <c r="X76" s="6">
        <v>399028.87744614005</v>
      </c>
      <c r="Y76" s="6"/>
      <c r="Z76" s="33">
        <f t="shared" si="9"/>
        <v>0.11088660098989567</v>
      </c>
      <c r="AA76" s="5">
        <v>3.1E-2</v>
      </c>
      <c r="AB76">
        <f t="shared" si="11"/>
        <v>7.7484579039666102E-2</v>
      </c>
      <c r="AC76">
        <v>26.341204741935485</v>
      </c>
      <c r="AD76">
        <f t="shared" si="8"/>
        <v>-2.4456276535538723E-2</v>
      </c>
      <c r="AE76" s="99">
        <v>86.154866743385099</v>
      </c>
      <c r="AF76" s="119">
        <f t="shared" si="15"/>
        <v>2269.4229844016754</v>
      </c>
      <c r="AG76" s="33">
        <f t="shared" si="3"/>
        <v>0.24170895337125398</v>
      </c>
      <c r="AH76">
        <v>8381.94</v>
      </c>
      <c r="AI76" s="33">
        <f t="shared" si="4"/>
        <v>0.2414010663507109</v>
      </c>
      <c r="AJ76" s="29">
        <f t="shared" si="1"/>
        <v>0.2414010663507109</v>
      </c>
      <c r="AK76" s="33">
        <f t="shared" si="5"/>
        <v>0.21134137583095236</v>
      </c>
      <c r="AM76">
        <v>1.1000000000000001</v>
      </c>
      <c r="CH76" s="99">
        <v>1.1000000000000001</v>
      </c>
    </row>
    <row r="77" spans="1:86">
      <c r="A77" s="1">
        <v>2018</v>
      </c>
      <c r="B77" s="1">
        <v>2</v>
      </c>
      <c r="C77" s="1">
        <v>4</v>
      </c>
      <c r="D77" t="str">
        <f t="shared" si="10"/>
        <v>2018M4</v>
      </c>
      <c r="E77" s="33">
        <f t="shared" si="2"/>
        <v>8.0000000000000002E-3</v>
      </c>
      <c r="H77" s="507"/>
      <c r="I77" s="527">
        <f t="shared" si="6"/>
        <v>8.0000000000000002E-3</v>
      </c>
      <c r="J77" s="2">
        <v>0.13099999999999995</v>
      </c>
      <c r="K77" s="33">
        <f t="shared" si="12"/>
        <v>0.10695733910538292</v>
      </c>
      <c r="L77" s="29">
        <f t="shared" si="13"/>
        <v>1.2247873880905757</v>
      </c>
      <c r="M77" s="33"/>
      <c r="N77" s="10">
        <f t="shared" si="14"/>
        <v>8.6118137596295913E-2</v>
      </c>
      <c r="O77" s="2"/>
      <c r="P77" s="2"/>
      <c r="Q77" s="2"/>
      <c r="R77" s="2"/>
      <c r="S77" s="2"/>
      <c r="T77" s="2"/>
      <c r="U77" s="2"/>
      <c r="V77" s="2"/>
      <c r="W77" s="2"/>
      <c r="X77" s="6">
        <v>402736.60908731003</v>
      </c>
      <c r="Y77" s="6"/>
      <c r="Z77" s="33">
        <f t="shared" si="9"/>
        <v>0.11058195252699221</v>
      </c>
      <c r="AA77" s="5">
        <v>3.7999999999999999E-2</v>
      </c>
      <c r="AB77">
        <f t="shared" si="11"/>
        <v>6.9924809756254591E-2</v>
      </c>
      <c r="AC77">
        <v>26.151748566666662</v>
      </c>
      <c r="AD77">
        <f t="shared" si="8"/>
        <v>-2.6253232770499291E-2</v>
      </c>
      <c r="AE77" s="99">
        <v>90.740455130918136</v>
      </c>
      <c r="AF77" s="119">
        <f t="shared" si="15"/>
        <v>2373.0215674086689</v>
      </c>
      <c r="AG77" s="33">
        <f t="shared" si="3"/>
        <v>0.2986518375115117</v>
      </c>
      <c r="AH77">
        <v>8480.24</v>
      </c>
      <c r="AI77" s="33">
        <f t="shared" si="4"/>
        <v>0.27350052560444515</v>
      </c>
      <c r="AJ77" s="29">
        <f t="shared" si="1"/>
        <v>0.27350052560444515</v>
      </c>
      <c r="AK77" s="33">
        <f t="shared" si="5"/>
        <v>0.26455802853348542</v>
      </c>
      <c r="AM77">
        <v>0.8</v>
      </c>
      <c r="CH77" s="99">
        <v>0.8</v>
      </c>
    </row>
    <row r="78" spans="1:86">
      <c r="A78" s="1">
        <v>2018</v>
      </c>
      <c r="B78" s="1">
        <v>2</v>
      </c>
      <c r="C78" s="1">
        <v>5</v>
      </c>
      <c r="D78" t="str">
        <f t="shared" si="10"/>
        <v>2018M5</v>
      </c>
      <c r="E78" s="33">
        <f t="shared" si="2"/>
        <v>0</v>
      </c>
      <c r="H78" s="507"/>
      <c r="I78" s="527">
        <f>AM78/100</f>
        <v>0</v>
      </c>
      <c r="J78" s="2">
        <v>0.11700000000000003</v>
      </c>
      <c r="K78" s="33">
        <f t="shared" si="12"/>
        <v>0.10873253940308931</v>
      </c>
      <c r="L78" s="29">
        <f t="shared" si="13"/>
        <v>1.0760348341195445</v>
      </c>
      <c r="M78" s="33"/>
      <c r="N78" s="10">
        <f t="shared" si="14"/>
        <v>9.1656465244871907E-2</v>
      </c>
      <c r="O78" s="2"/>
      <c r="P78" s="2"/>
      <c r="Q78" s="2"/>
      <c r="R78" s="2"/>
      <c r="S78" s="2"/>
      <c r="T78" s="2"/>
      <c r="U78" s="2"/>
      <c r="V78" s="2"/>
      <c r="W78" s="2"/>
      <c r="X78" s="6">
        <v>409736.94888907997</v>
      </c>
      <c r="Y78" s="6"/>
      <c r="Z78" s="33">
        <f t="shared" si="9"/>
        <v>0.11249211709080353</v>
      </c>
      <c r="AA78" s="5">
        <v>3.7999999999999999E-2</v>
      </c>
      <c r="AB78">
        <f t="shared" si="11"/>
        <v>7.176504536686279E-2</v>
      </c>
      <c r="AC78">
        <v>26.181224580645161</v>
      </c>
      <c r="AD78">
        <f t="shared" si="8"/>
        <v>-9.176174554965999E-3</v>
      </c>
      <c r="AE78" s="99">
        <v>98.185253276709858</v>
      </c>
      <c r="AF78" s="119">
        <f t="shared" si="15"/>
        <v>2570.6101665450669</v>
      </c>
      <c r="AG78" s="33">
        <f t="shared" si="3"/>
        <v>0.45121024852487412</v>
      </c>
      <c r="AH78">
        <v>8724.75</v>
      </c>
      <c r="AI78" s="33">
        <f t="shared" si="4"/>
        <v>0.27554824561403501</v>
      </c>
      <c r="AJ78" s="29">
        <f t="shared" ref="AJ78:AJ98" si="16">AI78</f>
        <v>0.27554824561403501</v>
      </c>
      <c r="AK78" s="33">
        <f t="shared" si="5"/>
        <v>0.43789368996845424</v>
      </c>
      <c r="AM78">
        <v>0</v>
      </c>
      <c r="CH78" s="99">
        <v>0</v>
      </c>
    </row>
    <row r="79" spans="1:86">
      <c r="A79" s="1">
        <v>2018</v>
      </c>
      <c r="B79" s="1">
        <v>2</v>
      </c>
      <c r="C79" s="1">
        <v>6</v>
      </c>
      <c r="D79" t="str">
        <f t="shared" si="10"/>
        <v>2018M6</v>
      </c>
      <c r="E79" s="33">
        <f t="shared" ref="E79:E121" si="17">CH79/100</f>
        <v>0</v>
      </c>
      <c r="H79" s="507"/>
      <c r="I79" s="527">
        <f t="shared" si="6"/>
        <v>0</v>
      </c>
      <c r="J79" s="2">
        <v>9.900000000000006E-2</v>
      </c>
      <c r="K79" s="33">
        <f t="shared" si="12"/>
        <v>9.9106116164833322E-2</v>
      </c>
      <c r="L79" s="29">
        <f t="shared" si="13"/>
        <v>0.99892926724464948</v>
      </c>
      <c r="M79" s="33"/>
      <c r="N79" s="10">
        <f t="shared" si="14"/>
        <v>0.10445552969644802</v>
      </c>
      <c r="O79" s="2"/>
      <c r="P79" s="2"/>
      <c r="Q79" s="2"/>
      <c r="R79" s="2"/>
      <c r="S79" s="2"/>
      <c r="T79" s="2"/>
      <c r="U79" s="2"/>
      <c r="V79" s="2"/>
      <c r="W79" s="2"/>
      <c r="X79" s="6">
        <v>413593.61552715499</v>
      </c>
      <c r="Y79" s="6"/>
      <c r="Z79" s="33">
        <f t="shared" si="9"/>
        <v>0.10290068380490647</v>
      </c>
      <c r="AA79" s="5">
        <v>3.7999999999999999E-2</v>
      </c>
      <c r="AB79">
        <f t="shared" si="11"/>
        <v>6.2524743550006256E-2</v>
      </c>
      <c r="AC79">
        <v>26.202170466666676</v>
      </c>
      <c r="AD79">
        <f t="shared" si="8"/>
        <v>3.5739709260491637E-3</v>
      </c>
      <c r="AE79" s="99">
        <v>97.727948001731448</v>
      </c>
      <c r="AF79" s="119">
        <f t="shared" si="15"/>
        <v>2560.6843528989043</v>
      </c>
      <c r="AG79" s="33">
        <f t="shared" ref="AG79:AG109" si="18">AE79/AE67-1</f>
        <v>0.47234259052012462</v>
      </c>
      <c r="AH79">
        <v>9141.17</v>
      </c>
      <c r="AI79" s="33">
        <f t="shared" ref="AI79:AI107" si="19">AH79/AH67-1</f>
        <v>0.24200679347826082</v>
      </c>
      <c r="AJ79" s="29">
        <f t="shared" si="16"/>
        <v>0.24200679347826082</v>
      </c>
      <c r="AK79" s="33">
        <f t="shared" ref="AK79:AK121" si="20">AF79/AF67-1</f>
        <v>0.47760470013182754</v>
      </c>
      <c r="AM79">
        <v>0</v>
      </c>
      <c r="CH79" s="99">
        <v>0</v>
      </c>
    </row>
    <row r="80" spans="1:86">
      <c r="A80" s="1">
        <v>2018</v>
      </c>
      <c r="B80" s="1">
        <v>3</v>
      </c>
      <c r="C80" s="1">
        <v>7</v>
      </c>
      <c r="D80" t="str">
        <f t="shared" si="10"/>
        <v>2018M7</v>
      </c>
      <c r="E80" s="33">
        <f t="shared" si="17"/>
        <v>-6.9999999999999993E-3</v>
      </c>
      <c r="H80" s="507"/>
      <c r="I80" s="527">
        <f t="shared" ref="I80:I100" si="21">AM80/100</f>
        <v>-6.9999999999999993E-3</v>
      </c>
      <c r="J80" s="2">
        <v>8.9000000000000051E-2</v>
      </c>
      <c r="K80" s="33">
        <f t="shared" si="12"/>
        <v>0.10152825853536607</v>
      </c>
      <c r="L80" s="29">
        <f t="shared" si="13"/>
        <v>0.87660323622115555</v>
      </c>
      <c r="M80" s="33"/>
      <c r="N80" s="10">
        <f t="shared" si="14"/>
        <v>0.10045198659775488</v>
      </c>
      <c r="O80" s="2"/>
      <c r="P80" s="2"/>
      <c r="Q80" s="2"/>
      <c r="R80" s="2"/>
      <c r="S80" s="2"/>
      <c r="T80" s="2"/>
      <c r="U80" s="2"/>
      <c r="V80" s="2"/>
      <c r="W80" s="2"/>
      <c r="X80" s="6">
        <v>420276.45875314501</v>
      </c>
      <c r="Y80" s="6"/>
      <c r="Z80" s="33">
        <f t="shared" si="9"/>
        <v>0.10408647418285888</v>
      </c>
      <c r="AA80" s="5">
        <v>2.8000000000000001E-2</v>
      </c>
      <c r="AB80">
        <f t="shared" si="11"/>
        <v>7.4014079944415334E-2</v>
      </c>
      <c r="AC80">
        <v>26.400686419354855</v>
      </c>
      <c r="AD80">
        <f t="shared" ref="AD80:AD108" si="22">AC80/AC68-1</f>
        <v>1.6610803550173969E-2</v>
      </c>
      <c r="AE80" s="99">
        <v>98.385843190687083</v>
      </c>
      <c r="AF80" s="119">
        <f t="shared" si="15"/>
        <v>2597.4537941811486</v>
      </c>
      <c r="AG80" s="33">
        <f t="shared" si="18"/>
        <v>0.43657237496092449</v>
      </c>
      <c r="AH80">
        <v>9170.2800000000007</v>
      </c>
      <c r="AI80" s="33">
        <f t="shared" si="19"/>
        <v>0.24952718353999193</v>
      </c>
      <c r="AJ80" s="29">
        <f t="shared" si="16"/>
        <v>0.24952718353999193</v>
      </c>
      <c r="AK80" s="33">
        <f t="shared" si="20"/>
        <v>0.46043499646700692</v>
      </c>
      <c r="AM80">
        <v>-0.7</v>
      </c>
      <c r="CH80" s="99">
        <v>-0.7</v>
      </c>
    </row>
    <row r="81" spans="1:86">
      <c r="A81" s="1">
        <v>2018</v>
      </c>
      <c r="B81" s="1">
        <v>3</v>
      </c>
      <c r="C81" s="1">
        <v>8</v>
      </c>
      <c r="D81" t="str">
        <f t="shared" si="10"/>
        <v>2018M8</v>
      </c>
      <c r="E81" s="33">
        <f t="shared" si="17"/>
        <v>0</v>
      </c>
      <c r="H81" s="507"/>
      <c r="I81" s="527">
        <f t="shared" si="21"/>
        <v>0</v>
      </c>
      <c r="J81" s="2">
        <v>0.09</v>
      </c>
      <c r="K81" s="33">
        <f t="shared" si="12"/>
        <v>0.10921302838968648</v>
      </c>
      <c r="L81" s="29">
        <f t="shared" si="13"/>
        <v>0.82407750546819503</v>
      </c>
      <c r="M81" s="33"/>
      <c r="N81" s="10">
        <f t="shared" si="14"/>
        <v>0.11810846253601041</v>
      </c>
      <c r="O81" s="2"/>
      <c r="P81" s="2"/>
      <c r="Q81" s="2"/>
      <c r="R81" s="2"/>
      <c r="S81" s="2"/>
      <c r="T81" s="2"/>
      <c r="U81" s="2"/>
      <c r="V81" s="2"/>
      <c r="W81" s="2"/>
      <c r="X81" s="6">
        <v>421242.39181953506</v>
      </c>
      <c r="Y81" s="6"/>
      <c r="Z81" s="33">
        <f t="shared" ref="Z81:Z108" si="23">X81/X69-1</f>
        <v>0.11063329422976587</v>
      </c>
      <c r="AA81" s="5">
        <v>2.8000000000000001E-2</v>
      </c>
      <c r="AB81">
        <f t="shared" si="11"/>
        <v>8.0382581935569908E-2</v>
      </c>
      <c r="AC81">
        <v>27.482209032258066</v>
      </c>
      <c r="AD81">
        <f t="shared" si="22"/>
        <v>7.204673524575167E-2</v>
      </c>
      <c r="AE81" s="99">
        <v>97.316461206278575</v>
      </c>
      <c r="AF81" s="119">
        <f t="shared" si="15"/>
        <v>2674.4713291505809</v>
      </c>
      <c r="AG81" s="33">
        <f t="shared" si="18"/>
        <v>0.32377948281262325</v>
      </c>
      <c r="AH81">
        <v>8977.2800000000007</v>
      </c>
      <c r="AI81" s="33">
        <f t="shared" si="19"/>
        <v>0.26191734607815587</v>
      </c>
      <c r="AJ81" s="29">
        <f t="shared" si="16"/>
        <v>0.26191734607815587</v>
      </c>
      <c r="AK81" s="33">
        <f t="shared" si="20"/>
        <v>0.41915347273458226</v>
      </c>
      <c r="AM81">
        <v>0</v>
      </c>
      <c r="CH81" s="99">
        <v>0</v>
      </c>
    </row>
    <row r="82" spans="1:86">
      <c r="A82" s="1">
        <v>2018</v>
      </c>
      <c r="B82" s="1">
        <v>3</v>
      </c>
      <c r="C82" s="1">
        <v>9</v>
      </c>
      <c r="D82" t="str">
        <f t="shared" si="10"/>
        <v>2018M9</v>
      </c>
      <c r="E82" s="33">
        <f t="shared" si="17"/>
        <v>1.9E-2</v>
      </c>
      <c r="H82" s="507"/>
      <c r="I82" s="527">
        <f t="shared" si="21"/>
        <v>1.9E-2</v>
      </c>
      <c r="J82" s="2">
        <v>8.9000000000000051E-2</v>
      </c>
      <c r="K82" s="33">
        <f t="shared" si="12"/>
        <v>9.7587461555855348E-2</v>
      </c>
      <c r="L82" s="29">
        <f t="shared" si="13"/>
        <v>0.9120024087219426</v>
      </c>
      <c r="M82" s="33"/>
      <c r="N82" s="10">
        <f t="shared" si="14"/>
        <v>0.11011408815513397</v>
      </c>
      <c r="O82" s="2"/>
      <c r="P82" s="2"/>
      <c r="Q82" s="2"/>
      <c r="R82" s="2"/>
      <c r="S82" s="2"/>
      <c r="T82" s="2"/>
      <c r="U82" s="2"/>
      <c r="V82" s="2"/>
      <c r="W82" s="2"/>
      <c r="X82" s="6">
        <v>423121.501683485</v>
      </c>
      <c r="Y82" s="6"/>
      <c r="Z82" s="33">
        <f t="shared" si="23"/>
        <v>0.12471101885890934</v>
      </c>
      <c r="AA82" s="5">
        <v>2.8000000000000001E-2</v>
      </c>
      <c r="AB82">
        <f t="shared" si="11"/>
        <v>9.4076866594269726E-2</v>
      </c>
      <c r="AC82">
        <v>28.191267433333341</v>
      </c>
      <c r="AD82">
        <f t="shared" si="22"/>
        <v>7.9769109296273122E-2</v>
      </c>
      <c r="AE82" s="99">
        <v>106.67795328557538</v>
      </c>
      <c r="AF82" s="119">
        <f t="shared" si="15"/>
        <v>3007.3867103142966</v>
      </c>
      <c r="AG82" s="33">
        <f t="shared" si="18"/>
        <v>0.35649714768757268</v>
      </c>
      <c r="AH82">
        <v>9042</v>
      </c>
      <c r="AI82" s="33">
        <f t="shared" si="19"/>
        <v>0.23003672969663991</v>
      </c>
      <c r="AJ82" s="29">
        <f t="shared" si="16"/>
        <v>0.23003672969663991</v>
      </c>
      <c r="AK82" s="33">
        <f t="shared" si="20"/>
        <v>0.46470371692154533</v>
      </c>
      <c r="AM82">
        <v>1.9</v>
      </c>
      <c r="CH82" s="99">
        <v>1.9</v>
      </c>
    </row>
    <row r="83" spans="1:86">
      <c r="A83" s="1">
        <v>2018</v>
      </c>
      <c r="B83" s="1">
        <v>4</v>
      </c>
      <c r="C83" s="1">
        <v>10</v>
      </c>
      <c r="D83" t="str">
        <f t="shared" si="10"/>
        <v>2018M10</v>
      </c>
      <c r="E83" s="33">
        <f t="shared" si="17"/>
        <v>1.7000000000000001E-2</v>
      </c>
      <c r="H83" s="507"/>
      <c r="I83" s="527">
        <f t="shared" si="21"/>
        <v>1.7000000000000001E-2</v>
      </c>
      <c r="J83" s="7">
        <v>9.5000000000000001E-2</v>
      </c>
      <c r="K83" s="33">
        <f t="shared" si="12"/>
        <v>0.10223816142533639</v>
      </c>
      <c r="L83" s="29">
        <f t="shared" si="13"/>
        <v>0.92920293827249278</v>
      </c>
      <c r="M83" s="33"/>
      <c r="N83" s="10">
        <f t="shared" si="14"/>
        <v>9.8189557369009639E-2</v>
      </c>
      <c r="O83" s="7"/>
      <c r="P83" s="7"/>
      <c r="Q83" s="7"/>
      <c r="R83" s="7"/>
      <c r="S83" s="7"/>
      <c r="T83" s="7"/>
      <c r="U83" s="7"/>
      <c r="V83" s="7"/>
      <c r="W83" s="7"/>
      <c r="X83" s="6">
        <v>424687.53344728501</v>
      </c>
      <c r="Y83" s="6"/>
      <c r="Z83" s="33">
        <f t="shared" si="23"/>
        <v>0.13247397423300389</v>
      </c>
      <c r="AA83" s="5">
        <v>3.3000000000000002E-2</v>
      </c>
      <c r="AB83">
        <f t="shared" si="11"/>
        <v>9.629619964472802E-2</v>
      </c>
      <c r="AC83">
        <v>28.127382419354841</v>
      </c>
      <c r="AD83">
        <f t="shared" si="22"/>
        <v>5.5239414284052435E-2</v>
      </c>
      <c r="AE83" s="99">
        <v>104.57609401954434</v>
      </c>
      <c r="AF83" s="119">
        <f t="shared" si="15"/>
        <v>2941.4517884101306</v>
      </c>
      <c r="AG83" s="33">
        <f t="shared" si="18"/>
        <v>0.29924888479258605</v>
      </c>
      <c r="AH83">
        <v>9218</v>
      </c>
      <c r="AI83" s="33">
        <f t="shared" si="19"/>
        <v>0.24955944150738785</v>
      </c>
      <c r="AJ83" s="29">
        <f t="shared" si="16"/>
        <v>0.24955944150738785</v>
      </c>
      <c r="AK83" s="33">
        <f t="shared" si="20"/>
        <v>0.3710186321977369</v>
      </c>
      <c r="AM83">
        <v>1.7</v>
      </c>
      <c r="CH83" s="99">
        <v>1.7</v>
      </c>
    </row>
    <row r="84" spans="1:86">
      <c r="A84" s="1">
        <v>2018</v>
      </c>
      <c r="B84" s="1">
        <v>4</v>
      </c>
      <c r="C84" s="1">
        <v>11</v>
      </c>
      <c r="D84" t="str">
        <f t="shared" si="10"/>
        <v>2018M11</v>
      </c>
      <c r="E84" s="33">
        <f t="shared" si="17"/>
        <v>1.3999999999999999E-2</v>
      </c>
      <c r="H84" s="507"/>
      <c r="I84" s="527">
        <f t="shared" si="21"/>
        <v>1.3999999999999999E-2</v>
      </c>
      <c r="J84" s="7">
        <v>0.1</v>
      </c>
      <c r="K84" s="33">
        <f t="shared" si="12"/>
        <v>9.2883045322199653E-2</v>
      </c>
      <c r="L84" s="29">
        <f t="shared" si="13"/>
        <v>1.0766227534111583</v>
      </c>
      <c r="M84" s="33"/>
      <c r="N84" s="10">
        <f t="shared" si="14"/>
        <v>9.2162992146314862E-2</v>
      </c>
      <c r="O84" s="7"/>
      <c r="P84" s="7"/>
      <c r="Q84" s="7"/>
      <c r="R84" s="7"/>
      <c r="S84" s="7"/>
      <c r="T84" s="7"/>
      <c r="U84" s="7"/>
      <c r="V84" s="7"/>
      <c r="W84" s="7"/>
      <c r="X84" s="6">
        <v>428772.78269590996</v>
      </c>
      <c r="Y84" s="6"/>
      <c r="Z84" s="33">
        <f t="shared" si="23"/>
        <v>0.13527585486916638</v>
      </c>
      <c r="AA84" s="5">
        <v>3.3000000000000002E-2</v>
      </c>
      <c r="AB84">
        <f t="shared" si="11"/>
        <v>9.9008571993384864E-2</v>
      </c>
      <c r="AC84">
        <v>27.933498133333334</v>
      </c>
      <c r="AD84">
        <f t="shared" si="22"/>
        <v>4.5991794387575391E-2</v>
      </c>
      <c r="AE84" s="99">
        <v>91.460188676505638</v>
      </c>
      <c r="AF84" s="119">
        <f t="shared" si="15"/>
        <v>2554.8030096694847</v>
      </c>
      <c r="AG84" s="33">
        <f t="shared" si="18"/>
        <v>7.5727808319512313E-2</v>
      </c>
      <c r="AH84">
        <v>9161</v>
      </c>
      <c r="AI84" s="33">
        <f t="shared" si="19"/>
        <v>0.22489637652092531</v>
      </c>
      <c r="AJ84" s="29">
        <f t="shared" si="16"/>
        <v>0.22489637652092531</v>
      </c>
      <c r="AK84" s="33">
        <f t="shared" si="20"/>
        <v>0.12520246049674055</v>
      </c>
      <c r="AM84">
        <v>1.4</v>
      </c>
      <c r="CH84" s="99">
        <v>1.4</v>
      </c>
    </row>
    <row r="85" spans="1:86">
      <c r="A85" s="1">
        <v>2018</v>
      </c>
      <c r="B85" s="1">
        <v>4</v>
      </c>
      <c r="C85" s="1">
        <v>12</v>
      </c>
      <c r="D85" t="str">
        <f t="shared" si="10"/>
        <v>2018M12</v>
      </c>
      <c r="E85" s="33">
        <f t="shared" si="17"/>
        <v>8.0000000000000002E-3</v>
      </c>
      <c r="H85" s="507"/>
      <c r="I85" s="527">
        <f t="shared" si="21"/>
        <v>8.0000000000000002E-3</v>
      </c>
      <c r="J85" s="7">
        <v>9.8000000000000004E-2</v>
      </c>
      <c r="K85" s="33">
        <f t="shared" si="12"/>
        <v>8.507053468024503E-2</v>
      </c>
      <c r="L85" s="29">
        <f t="shared" si="13"/>
        <v>1.1519852363494953</v>
      </c>
      <c r="M85" s="33"/>
      <c r="N85" s="10">
        <f t="shared" si="14"/>
        <v>9.2216492846450726E-2</v>
      </c>
      <c r="O85" s="7"/>
      <c r="P85" s="7"/>
      <c r="Q85" s="7"/>
      <c r="R85" s="7"/>
      <c r="S85" s="7"/>
      <c r="T85" s="7"/>
      <c r="U85" s="7"/>
      <c r="V85" s="7"/>
      <c r="W85" s="7"/>
      <c r="X85" s="6">
        <v>434162.50218434003</v>
      </c>
      <c r="Y85" s="6"/>
      <c r="Z85" s="33">
        <f t="shared" si="23"/>
        <v>0.11638157315486009</v>
      </c>
      <c r="AA85" s="5">
        <v>3.3000000000000002E-2</v>
      </c>
      <c r="AB85">
        <f t="shared" si="11"/>
        <v>8.0717883015353431E-2</v>
      </c>
      <c r="AC85">
        <v>27.789138709677424</v>
      </c>
      <c r="AD85">
        <f t="shared" si="22"/>
        <v>9.9078987360154969E-3</v>
      </c>
      <c r="AE85" s="99">
        <v>86.379851948152307</v>
      </c>
      <c r="AF85" s="119">
        <f t="shared" si="15"/>
        <v>2400.421687508604</v>
      </c>
      <c r="AG85" s="33">
        <f t="shared" si="18"/>
        <v>-2.7246999993243315E-2</v>
      </c>
      <c r="AH85">
        <v>10573</v>
      </c>
      <c r="AI85" s="33">
        <f t="shared" si="19"/>
        <v>0.20462572633018117</v>
      </c>
      <c r="AJ85" s="29">
        <f t="shared" si="16"/>
        <v>0.20462572633018117</v>
      </c>
      <c r="AK85" s="33">
        <f t="shared" si="20"/>
        <v>-1.7609061774021217E-2</v>
      </c>
      <c r="AM85">
        <v>0.8</v>
      </c>
      <c r="CH85" s="99">
        <v>0.8</v>
      </c>
    </row>
    <row r="86" spans="1:86">
      <c r="A86" s="66">
        <v>2019</v>
      </c>
      <c r="B86" s="66">
        <v>1</v>
      </c>
      <c r="C86" s="66">
        <v>1</v>
      </c>
      <c r="D86" s="67" t="str">
        <f t="shared" si="10"/>
        <v>2019M1</v>
      </c>
      <c r="E86" s="761">
        <f t="shared" si="17"/>
        <v>0.01</v>
      </c>
      <c r="F86" s="67"/>
      <c r="G86" s="67"/>
      <c r="H86" s="517"/>
      <c r="I86" s="603">
        <f t="shared" si="21"/>
        <v>0.01</v>
      </c>
      <c r="J86" s="68">
        <v>9.1999999999999998E-2</v>
      </c>
      <c r="K86" s="33">
        <f t="shared" si="12"/>
        <v>8.1380424506379861E-2</v>
      </c>
      <c r="L86" s="29">
        <f t="shared" si="13"/>
        <v>1.1304929970325679</v>
      </c>
      <c r="M86" s="33"/>
      <c r="N86" s="10">
        <f t="shared" si="14"/>
        <v>9.2087322316131079E-2</v>
      </c>
      <c r="O86" s="10">
        <f t="shared" ref="O86:O110" si="24">J86/N86</f>
        <v>0.99905174443197176</v>
      </c>
      <c r="P86" s="103">
        <f t="shared" ref="P86:P110" si="25">(1+J86)/(1+N86)</f>
        <v>0.9999200409030059</v>
      </c>
      <c r="X86" s="69">
        <v>432356.91939646</v>
      </c>
      <c r="Y86" s="6"/>
      <c r="Z86" s="33">
        <f t="shared" si="23"/>
        <v>9.2660991193975306E-2</v>
      </c>
      <c r="AA86" s="70">
        <v>2.5000000000000001E-2</v>
      </c>
      <c r="AB86" s="67">
        <f t="shared" si="11"/>
        <v>6.6010723116073589E-2</v>
      </c>
      <c r="AC86" s="67">
        <v>27.879174999999993</v>
      </c>
      <c r="AD86">
        <f t="shared" si="22"/>
        <v>-1.9524062637839235E-2</v>
      </c>
      <c r="AE86" s="99">
        <v>84.192802594714394</v>
      </c>
      <c r="AF86" s="119">
        <f t="shared" si="15"/>
        <v>2347.2258772784962</v>
      </c>
      <c r="AG86" s="33">
        <f t="shared" si="18"/>
        <v>-6.0784893467426659E-2</v>
      </c>
      <c r="AH86">
        <f>'ІЦВ (Стрим Інфл)+'!AS110</f>
        <v>9223</v>
      </c>
      <c r="AI86" s="33">
        <f t="shared" si="19"/>
        <v>0.19601061794962571</v>
      </c>
      <c r="AJ86" s="29">
        <f t="shared" si="16"/>
        <v>0.19601061794962571</v>
      </c>
      <c r="AK86" s="33">
        <f t="shared" si="20"/>
        <v>-7.9122188037773378E-2</v>
      </c>
      <c r="AM86">
        <v>1</v>
      </c>
      <c r="CH86" s="99">
        <v>1</v>
      </c>
    </row>
    <row r="87" spans="1:86">
      <c r="A87" s="1">
        <v>2019</v>
      </c>
      <c r="B87" s="1">
        <v>1</v>
      </c>
      <c r="C87" s="1">
        <v>2</v>
      </c>
      <c r="D87" t="str">
        <f t="shared" si="10"/>
        <v>2019M2</v>
      </c>
      <c r="E87" s="33">
        <f t="shared" si="17"/>
        <v>5.0000000000000001E-3</v>
      </c>
      <c r="H87" s="507"/>
      <c r="I87" s="527">
        <f t="shared" si="21"/>
        <v>5.0000000000000001E-3</v>
      </c>
      <c r="J87" s="2">
        <v>8.7999999999999995E-2</v>
      </c>
      <c r="K87" s="33">
        <f t="shared" si="12"/>
        <v>9.0494285520816856E-2</v>
      </c>
      <c r="L87" s="29">
        <f t="shared" si="13"/>
        <v>0.97243709360804786</v>
      </c>
      <c r="M87" s="33"/>
      <c r="N87" s="10">
        <f t="shared" si="14"/>
        <v>0.13344590520300431</v>
      </c>
      <c r="O87" s="10">
        <f t="shared" si="24"/>
        <v>0.65944323931206561</v>
      </c>
      <c r="P87" s="103">
        <f t="shared" si="25"/>
        <v>0.95990465447500584</v>
      </c>
      <c r="X87" s="6">
        <v>426076.80296577001</v>
      </c>
      <c r="Y87" s="6"/>
      <c r="Z87" s="33">
        <f t="shared" si="23"/>
        <v>6.8997273238144752E-2</v>
      </c>
      <c r="AA87" s="5">
        <v>2.5000000000000001E-2</v>
      </c>
      <c r="AB87">
        <f t="shared" si="11"/>
        <v>4.2924169012824143E-2</v>
      </c>
      <c r="AC87" s="48">
        <v>28.124344464285709</v>
      </c>
      <c r="AD87">
        <f t="shared" si="22"/>
        <v>3.5084955963429865E-2</v>
      </c>
      <c r="AE87" s="99">
        <v>81.430764385691305</v>
      </c>
      <c r="AF87" s="119">
        <f>AC87*AE87</f>
        <v>2290.1868675732712</v>
      </c>
      <c r="AG87" s="33">
        <f t="shared" si="18"/>
        <v>-5.833695792623439E-2</v>
      </c>
      <c r="AH87">
        <f>'ІЦВ (Стрим Інфл)+'!AS111</f>
        <v>9429</v>
      </c>
      <c r="AI87" s="33">
        <f t="shared" si="19"/>
        <v>0.20449760863344646</v>
      </c>
      <c r="AJ87" s="29">
        <f t="shared" si="16"/>
        <v>0.20449760863344646</v>
      </c>
      <c r="AK87" s="33">
        <f t="shared" si="20"/>
        <v>-2.5298751562686905E-2</v>
      </c>
      <c r="AM87">
        <v>0.5</v>
      </c>
      <c r="CH87" s="99">
        <v>0.5</v>
      </c>
    </row>
    <row r="88" spans="1:86">
      <c r="A88" s="1">
        <v>2019</v>
      </c>
      <c r="B88" s="1">
        <v>1</v>
      </c>
      <c r="C88" s="1">
        <v>3</v>
      </c>
      <c r="D88" t="str">
        <f t="shared" si="10"/>
        <v>2019M3</v>
      </c>
      <c r="E88" s="33">
        <f t="shared" si="17"/>
        <v>9.0000000000000011E-3</v>
      </c>
      <c r="H88" s="507"/>
      <c r="I88" s="527">
        <f t="shared" si="21"/>
        <v>9.0000000000000011E-3</v>
      </c>
      <c r="J88" s="2">
        <v>8.5999999999999993E-2</v>
      </c>
      <c r="K88" s="33">
        <f t="shared" si="12"/>
        <v>9.5837549827115093E-2</v>
      </c>
      <c r="L88" s="29">
        <f t="shared" si="13"/>
        <v>0.89735182248647405</v>
      </c>
      <c r="M88" s="33"/>
      <c r="N88" s="10">
        <f t="shared" si="14"/>
        <v>0.13331226846429278</v>
      </c>
      <c r="O88" s="10">
        <f t="shared" si="24"/>
        <v>0.64510191740555967</v>
      </c>
      <c r="P88" s="103">
        <f t="shared" si="25"/>
        <v>0.95825310483190695</v>
      </c>
      <c r="X88" s="6">
        <v>423476.26525835495</v>
      </c>
      <c r="Y88" s="6"/>
      <c r="Z88" s="33">
        <f t="shared" si="23"/>
        <v>6.1267214464985065E-2</v>
      </c>
      <c r="AA88" s="5">
        <v>2.5000000000000001E-2</v>
      </c>
      <c r="AB88">
        <f t="shared" si="11"/>
        <v>3.5382648258521998E-2</v>
      </c>
      <c r="AC88" s="48">
        <v>26.863534580645165</v>
      </c>
      <c r="AD88">
        <f t="shared" si="22"/>
        <v>1.9829383045572246E-2</v>
      </c>
      <c r="AE88" s="99">
        <v>78.858609013849886</v>
      </c>
      <c r="AF88" s="119">
        <f t="shared" si="15"/>
        <v>2118.4209702251328</v>
      </c>
      <c r="AG88" s="33">
        <f t="shared" si="18"/>
        <v>-8.4687702567834533E-2</v>
      </c>
      <c r="AH88" s="140">
        <f>'ІЦВ (Стрим Інфл)+'!AS112</f>
        <v>10237</v>
      </c>
      <c r="AI88" s="33">
        <f t="shared" si="19"/>
        <v>0.22131630624891119</v>
      </c>
      <c r="AJ88" s="29">
        <f t="shared" si="16"/>
        <v>0.22131630624891119</v>
      </c>
      <c r="AK88" s="33">
        <f t="shared" si="20"/>
        <v>-6.6537624415729524E-2</v>
      </c>
      <c r="AM88">
        <v>0.9</v>
      </c>
      <c r="CH88" s="99">
        <v>0.9</v>
      </c>
    </row>
    <row r="89" spans="1:86">
      <c r="A89" s="1">
        <v>2019</v>
      </c>
      <c r="B89" s="1">
        <v>2</v>
      </c>
      <c r="C89" s="1">
        <v>4</v>
      </c>
      <c r="D89" t="str">
        <f t="shared" si="10"/>
        <v>2019M4</v>
      </c>
      <c r="E89" s="33">
        <f t="shared" si="17"/>
        <v>0.01</v>
      </c>
      <c r="H89" s="507"/>
      <c r="I89" s="527">
        <f t="shared" si="21"/>
        <v>0.01</v>
      </c>
      <c r="J89" s="2">
        <v>8.7999999999999995E-2</v>
      </c>
      <c r="K89" s="33">
        <f t="shared" si="12"/>
        <v>9.4011176583461975E-2</v>
      </c>
      <c r="L89" s="29">
        <f t="shared" si="13"/>
        <v>0.93605891552558829</v>
      </c>
      <c r="M89" s="33"/>
      <c r="N89" s="10">
        <f t="shared" si="14"/>
        <v>0.14679609820681505</v>
      </c>
      <c r="O89" s="10">
        <f t="shared" si="24"/>
        <v>0.59947097419456186</v>
      </c>
      <c r="P89" s="103">
        <f t="shared" si="25"/>
        <v>0.94873012011572821</v>
      </c>
      <c r="X89" s="6">
        <v>430357.62153219001</v>
      </c>
      <c r="Y89" s="6"/>
      <c r="Z89" s="33">
        <f t="shared" si="23"/>
        <v>6.8583316792270921E-2</v>
      </c>
      <c r="AA89" s="5">
        <v>4.5999999999999999E-2</v>
      </c>
      <c r="AB89">
        <f t="shared" si="11"/>
        <v>2.1590169017467353E-2</v>
      </c>
      <c r="AC89" s="48">
        <v>26.811495299999994</v>
      </c>
      <c r="AD89">
        <f t="shared" si="22"/>
        <v>2.5227633695371843E-2</v>
      </c>
      <c r="AE89" s="99">
        <v>79.286322698186922</v>
      </c>
      <c r="AF89" s="119">
        <f t="shared" si="15"/>
        <v>2125.7848683767215</v>
      </c>
      <c r="AG89" s="33">
        <f t="shared" si="18"/>
        <v>-0.12622961187714421</v>
      </c>
      <c r="AH89" s="140">
        <f>'ІЦВ (Стрим Інфл)+'!AS113</f>
        <v>10269</v>
      </c>
      <c r="AI89" s="33">
        <f t="shared" si="19"/>
        <v>0.21093270945161935</v>
      </c>
      <c r="AJ89" s="29">
        <f t="shared" si="16"/>
        <v>0.21093270945161935</v>
      </c>
      <c r="AK89" s="33">
        <f t="shared" si="20"/>
        <v>-0.10418645259171788</v>
      </c>
      <c r="AM89">
        <v>1</v>
      </c>
      <c r="CH89" s="99">
        <v>1</v>
      </c>
    </row>
    <row r="90" spans="1:86">
      <c r="A90" s="1">
        <v>2019</v>
      </c>
      <c r="B90" s="1">
        <v>2</v>
      </c>
      <c r="C90" s="1">
        <v>5</v>
      </c>
      <c r="D90" t="str">
        <f t="shared" ref="D90:D121" si="26">A90&amp;"M"&amp;C90</f>
        <v>2019M5</v>
      </c>
      <c r="E90" s="33">
        <f t="shared" si="17"/>
        <v>6.9999999999999993E-3</v>
      </c>
      <c r="H90" s="507"/>
      <c r="I90" s="527">
        <f t="shared" si="21"/>
        <v>6.9999999999999993E-3</v>
      </c>
      <c r="J90" s="2">
        <v>9.6000000000000002E-2</v>
      </c>
      <c r="K90" s="33">
        <f t="shared" si="12"/>
        <v>8.1075073314534424E-2</v>
      </c>
      <c r="L90" s="29">
        <f t="shared" si="13"/>
        <v>1.1840877359131536</v>
      </c>
      <c r="M90" s="33"/>
      <c r="N90" s="10">
        <f t="shared" si="14"/>
        <v>0.14901490051369931</v>
      </c>
      <c r="O90" s="10">
        <f t="shared" si="24"/>
        <v>0.64423087670467216</v>
      </c>
      <c r="P90" s="103">
        <f t="shared" si="25"/>
        <v>0.95386056308756528</v>
      </c>
      <c r="X90" s="6">
        <v>432846.04593996506</v>
      </c>
      <c r="Y90" s="6"/>
      <c r="Z90" s="33">
        <f t="shared" si="23"/>
        <v>5.6399836806372505E-2</v>
      </c>
      <c r="AA90" s="5">
        <v>4.5999999999999999E-2</v>
      </c>
      <c r="AB90">
        <f>(1+Z90)/(1+AA90)-1</f>
        <v>9.9424826064746785E-3</v>
      </c>
      <c r="AC90" s="48">
        <v>26.378847709677427</v>
      </c>
      <c r="AD90">
        <f t="shared" si="22"/>
        <v>7.5482767593064715E-3</v>
      </c>
      <c r="AE90" s="99">
        <v>76.12559379242478</v>
      </c>
      <c r="AF90" s="119">
        <f t="shared" si="15"/>
        <v>2008.1054454591385</v>
      </c>
      <c r="AG90" s="33">
        <f t="shared" si="18"/>
        <v>-0.22467385628792547</v>
      </c>
      <c r="AH90" s="140">
        <f>'ІЦВ (Стрим Інфл)+'!AS114</f>
        <v>10239</v>
      </c>
      <c r="AI90" s="33">
        <f t="shared" si="19"/>
        <v>0.17355798160405733</v>
      </c>
      <c r="AJ90" s="29">
        <f t="shared" si="16"/>
        <v>0.17355798160405733</v>
      </c>
      <c r="AK90" s="33">
        <f t="shared" si="20"/>
        <v>-0.21882147997646095</v>
      </c>
      <c r="AM90">
        <v>0.7</v>
      </c>
      <c r="CH90" s="99">
        <v>0.7</v>
      </c>
    </row>
    <row r="91" spans="1:86">
      <c r="A91" s="1">
        <v>2019</v>
      </c>
      <c r="B91" s="1">
        <v>2</v>
      </c>
      <c r="C91" s="1">
        <v>6</v>
      </c>
      <c r="D91" t="str">
        <f t="shared" si="26"/>
        <v>2019M6</v>
      </c>
      <c r="E91" s="33">
        <f t="shared" si="17"/>
        <v>-5.0000000000000001E-3</v>
      </c>
      <c r="H91" s="507"/>
      <c r="I91" s="527">
        <f t="shared" si="21"/>
        <v>-5.0000000000000001E-3</v>
      </c>
      <c r="J91" s="2">
        <v>0.09</v>
      </c>
      <c r="K91" s="33">
        <f t="shared" si="12"/>
        <v>8.3427373169041238E-2</v>
      </c>
      <c r="L91" s="29">
        <f t="shared" si="13"/>
        <v>1.0787826175186079</v>
      </c>
      <c r="M91" s="33"/>
      <c r="N91" s="10">
        <f t="shared" si="14"/>
        <v>0.15065109626063922</v>
      </c>
      <c r="O91" s="10">
        <f t="shared" si="24"/>
        <v>0.59740687080226973</v>
      </c>
      <c r="P91" s="103">
        <f t="shared" si="25"/>
        <v>0.9472897592869447</v>
      </c>
      <c r="X91" s="6">
        <v>436888.291464095</v>
      </c>
      <c r="Y91" s="6"/>
      <c r="Z91" s="33">
        <f t="shared" si="23"/>
        <v>5.6322619746557834E-2</v>
      </c>
      <c r="AA91" s="5">
        <v>4.5999999999999999E-2</v>
      </c>
      <c r="AB91">
        <f>(1+Z91)/(1+AA91)-1</f>
        <v>9.8686613255811739E-3</v>
      </c>
      <c r="AC91" s="48">
        <v>26.500110633333332</v>
      </c>
      <c r="AD91">
        <f t="shared" si="22"/>
        <v>1.1370820102314827E-2</v>
      </c>
      <c r="AE91" s="99">
        <v>67.697687412338013</v>
      </c>
      <c r="AF91" s="119">
        <f t="shared" si="15"/>
        <v>1793.9962060477746</v>
      </c>
      <c r="AG91" s="33">
        <f t="shared" si="18"/>
        <v>-0.30728426415810339</v>
      </c>
      <c r="AH91" s="140">
        <f>'ІЦВ (Стрим Інфл)+'!AS115</f>
        <v>10783</v>
      </c>
      <c r="AI91" s="33">
        <f t="shared" si="19"/>
        <v>0.17960829959403446</v>
      </c>
      <c r="AJ91" s="29">
        <f t="shared" si="16"/>
        <v>0.17960829959403446</v>
      </c>
      <c r="AK91" s="33">
        <f t="shared" si="20"/>
        <v>-0.2994075181438024</v>
      </c>
      <c r="AM91">
        <v>-0.5</v>
      </c>
      <c r="CH91" s="99">
        <v>-0.5</v>
      </c>
    </row>
    <row r="92" spans="1:86">
      <c r="A92" s="1">
        <v>2019</v>
      </c>
      <c r="B92" s="1">
        <v>3</v>
      </c>
      <c r="C92" s="1">
        <v>7</v>
      </c>
      <c r="D92" t="str">
        <f t="shared" si="26"/>
        <v>2019M7</v>
      </c>
      <c r="E92" s="33">
        <f t="shared" si="17"/>
        <v>-6.0000000000000001E-3</v>
      </c>
      <c r="H92" s="507"/>
      <c r="I92" s="527">
        <f t="shared" si="21"/>
        <v>-6.0000000000000001E-3</v>
      </c>
      <c r="J92" s="2">
        <v>9.0999999999999998E-2</v>
      </c>
      <c r="K92" s="33">
        <f t="shared" si="12"/>
        <v>8.6843259927011529E-2</v>
      </c>
      <c r="L92" s="29">
        <f t="shared" si="13"/>
        <v>1.0478648553322625</v>
      </c>
      <c r="M92" s="33"/>
      <c r="N92" s="10">
        <f t="shared" si="14"/>
        <v>0.13868195370728756</v>
      </c>
      <c r="O92" s="10">
        <f t="shared" si="24"/>
        <v>0.65617766095271024</v>
      </c>
      <c r="P92" s="103">
        <f t="shared" si="25"/>
        <v>0.95812531009906132</v>
      </c>
      <c r="X92">
        <v>440716.09829615499</v>
      </c>
      <c r="Z92" s="33">
        <f t="shared" si="23"/>
        <v>4.8633795962898407E-2</v>
      </c>
      <c r="AA92" s="5">
        <v>4.2000000000000003E-2</v>
      </c>
      <c r="AB92">
        <f>(1+Z92)/(1+AA92)-1</f>
        <v>6.3664068741826618E-3</v>
      </c>
      <c r="AC92" s="48">
        <v>25.751355387096769</v>
      </c>
      <c r="AD92">
        <f t="shared" si="22"/>
        <v>-2.4595232939930267E-2</v>
      </c>
      <c r="AE92" s="99">
        <v>69.028324351340643</v>
      </c>
      <c r="AF92" s="119">
        <f t="shared" si="15"/>
        <v>1777.5729121471591</v>
      </c>
      <c r="AG92" s="33">
        <f t="shared" si="18"/>
        <v>-0.29839169831016232</v>
      </c>
      <c r="AH92" s="140">
        <f>'ІЦВ (Стрим Інфл)+'!AS116</f>
        <v>10971</v>
      </c>
      <c r="AI92" s="33">
        <f t="shared" si="19"/>
        <v>0.19636477839280797</v>
      </c>
      <c r="AJ92" s="29">
        <f t="shared" si="16"/>
        <v>0.19636477839280797</v>
      </c>
      <c r="AK92" s="33">
        <f t="shared" si="20"/>
        <v>-0.31564791792281266</v>
      </c>
      <c r="AM92">
        <v>-0.6</v>
      </c>
      <c r="CH92" s="99">
        <v>-0.6</v>
      </c>
    </row>
    <row r="93" spans="1:86">
      <c r="A93" s="1">
        <v>2019</v>
      </c>
      <c r="B93" s="1">
        <v>3</v>
      </c>
      <c r="C93" s="1">
        <v>8</v>
      </c>
      <c r="D93" t="str">
        <f t="shared" si="26"/>
        <v>2019M8</v>
      </c>
      <c r="E93" s="33">
        <f t="shared" si="17"/>
        <v>-3.0000000000000001E-3</v>
      </c>
      <c r="H93" s="507"/>
      <c r="I93" s="527">
        <f t="shared" si="21"/>
        <v>-3.0000000000000001E-3</v>
      </c>
      <c r="J93" s="2">
        <v>8.7999999999999995E-2</v>
      </c>
      <c r="K93" s="33">
        <f t="shared" si="12"/>
        <v>7.5111000871384448E-2</v>
      </c>
      <c r="L93" s="29">
        <f t="shared" si="13"/>
        <v>1.1715993526791886</v>
      </c>
      <c r="M93" s="33"/>
      <c r="N93" s="10">
        <f t="shared" si="14"/>
        <v>0.11657420047431907</v>
      </c>
      <c r="O93" s="10">
        <f t="shared" si="24"/>
        <v>0.75488401071544231</v>
      </c>
      <c r="P93" s="103">
        <f t="shared" si="25"/>
        <v>0.97440904468132905</v>
      </c>
      <c r="X93">
        <v>441038.58954311995</v>
      </c>
      <c r="Z93" s="33">
        <f>X93/X81-1</f>
        <v>4.6994789954724725E-2</v>
      </c>
      <c r="AA93" s="5">
        <v>4.2000000000000003E-2</v>
      </c>
      <c r="AB93">
        <f t="shared" ref="AB93:AB107" si="27">(1+Z93)/(1+AA93)-1</f>
        <v>4.7934644479123989E-3</v>
      </c>
      <c r="AC93" s="48">
        <v>25.246989612903228</v>
      </c>
      <c r="AD93">
        <f t="shared" si="22"/>
        <v>-8.1333324287402919E-2</v>
      </c>
      <c r="AE93" s="99">
        <v>64.748615798844725</v>
      </c>
      <c r="AF93" s="119">
        <f t="shared" si="15"/>
        <v>1634.7076305232947</v>
      </c>
      <c r="AG93" s="33">
        <f t="shared" si="18"/>
        <v>-0.33465916252750738</v>
      </c>
      <c r="AH93" s="140">
        <f>'ІЦВ (Стрим Інфл)+'!AS117</f>
        <v>10537</v>
      </c>
      <c r="AI93" s="33">
        <f t="shared" si="19"/>
        <v>0.17374082127325874</v>
      </c>
      <c r="AJ93" s="29">
        <f t="shared" si="16"/>
        <v>0.17374082127325874</v>
      </c>
      <c r="AK93" s="33">
        <f t="shared" si="20"/>
        <v>-0.38877354462330982</v>
      </c>
      <c r="AM93">
        <v>-0.3</v>
      </c>
      <c r="CH93" s="99">
        <v>-0.3</v>
      </c>
    </row>
    <row r="94" spans="1:86">
      <c r="A94" s="1">
        <v>2019</v>
      </c>
      <c r="B94" s="1">
        <v>3</v>
      </c>
      <c r="C94" s="1">
        <v>9</v>
      </c>
      <c r="D94" t="str">
        <f t="shared" si="26"/>
        <v>2019M9</v>
      </c>
      <c r="E94" s="33">
        <f t="shared" si="17"/>
        <v>6.9999999999999993E-3</v>
      </c>
      <c r="H94" s="507"/>
      <c r="I94" s="527">
        <f t="shared" si="21"/>
        <v>6.9999999999999993E-3</v>
      </c>
      <c r="J94" s="2">
        <v>7.4999999999999997E-2</v>
      </c>
      <c r="K94" s="33">
        <f t="shared" si="12"/>
        <v>7.4891831598566744E-2</v>
      </c>
      <c r="L94" s="29">
        <f t="shared" si="13"/>
        <v>1.0014443284284067</v>
      </c>
      <c r="M94" s="33"/>
      <c r="N94" s="10">
        <f t="shared" si="14"/>
        <v>9.9394969367932906E-2</v>
      </c>
      <c r="O94" s="10">
        <f t="shared" si="24"/>
        <v>0.75456535151563431</v>
      </c>
      <c r="P94" s="103">
        <f t="shared" si="25"/>
        <v>0.97781055030481168</v>
      </c>
      <c r="X94">
        <v>443369.82757093501</v>
      </c>
      <c r="Z94" s="33">
        <f t="shared" si="23"/>
        <v>4.7854637041340187E-2</v>
      </c>
      <c r="AA94" s="5">
        <v>4.2000000000000003E-2</v>
      </c>
      <c r="AB94">
        <f t="shared" si="27"/>
        <v>5.6186535905375923E-3</v>
      </c>
      <c r="AC94" s="48">
        <v>24.769724166666666</v>
      </c>
      <c r="AD94">
        <f t="shared" si="22"/>
        <v>-0.12136890527387367</v>
      </c>
      <c r="AE94" s="99">
        <v>68.511280915940574</v>
      </c>
      <c r="AF94" s="119">
        <f t="shared" si="15"/>
        <v>1697.005530592862</v>
      </c>
      <c r="AG94" s="33">
        <f t="shared" si="18"/>
        <v>-0.35777469659043015</v>
      </c>
      <c r="AH94" s="140">
        <f>'ІЦВ (Стрим Інфл)+'!AS118</f>
        <v>10687.06</v>
      </c>
      <c r="AI94" s="33">
        <f t="shared" si="19"/>
        <v>0.18193541251935397</v>
      </c>
      <c r="AJ94" s="29">
        <f t="shared" si="16"/>
        <v>0.18193541251935397</v>
      </c>
      <c r="AK94" s="33">
        <f t="shared" si="20"/>
        <v>-0.43572087860443098</v>
      </c>
      <c r="AM94">
        <v>0.7</v>
      </c>
      <c r="CH94" s="99">
        <v>0.7</v>
      </c>
    </row>
    <row r="95" spans="1:86">
      <c r="A95" s="1">
        <v>2019</v>
      </c>
      <c r="B95" s="1">
        <v>4</v>
      </c>
      <c r="C95" s="1">
        <v>10</v>
      </c>
      <c r="D95" t="str">
        <f t="shared" si="26"/>
        <v>2019M10</v>
      </c>
      <c r="E95" s="33">
        <f t="shared" si="17"/>
        <v>6.9999999999999993E-3</v>
      </c>
      <c r="H95" s="507"/>
      <c r="I95" s="527">
        <f t="shared" si="21"/>
        <v>6.9999999999999993E-3</v>
      </c>
      <c r="J95" s="11">
        <v>6.5000000000000002E-2</v>
      </c>
      <c r="K95" s="33">
        <f t="shared" si="12"/>
        <v>6.7161720113390652E-2</v>
      </c>
      <c r="L95" s="29">
        <f t="shared" si="13"/>
        <v>0.96781321101155582</v>
      </c>
      <c r="M95" s="33"/>
      <c r="N95" s="10">
        <f t="shared" si="14"/>
        <v>8.5729418246312028E-2</v>
      </c>
      <c r="O95" s="10">
        <f t="shared" si="24"/>
        <v>0.75819947609169991</v>
      </c>
      <c r="P95" s="103">
        <f t="shared" si="25"/>
        <v>0.98090738088335627</v>
      </c>
      <c r="X95" s="12">
        <v>441428.77420384996</v>
      </c>
      <c r="Y95" s="19"/>
      <c r="Z95" s="33">
        <f t="shared" si="23"/>
        <v>3.9420137013847611E-2</v>
      </c>
      <c r="AA95" s="296">
        <v>1.4999999999999999E-2</v>
      </c>
      <c r="AB95" s="13">
        <f>(1+Z95)/(1+AA95)-1</f>
        <v>2.4059248289505231E-2</v>
      </c>
      <c r="AC95" s="32">
        <v>24.808206516129029</v>
      </c>
      <c r="AD95">
        <f t="shared" si="22"/>
        <v>-0.11800514721703503</v>
      </c>
      <c r="AE95" s="99">
        <v>70.938397253426501</v>
      </c>
      <c r="AF95" s="119">
        <f t="shared" si="15"/>
        <v>1759.854408986205</v>
      </c>
      <c r="AG95" s="33">
        <f t="shared" si="18"/>
        <v>-0.32165761287499661</v>
      </c>
      <c r="AH95" s="140">
        <f>'ІЦВ (Стрим Інфл)+'!AS119</f>
        <v>10727.34</v>
      </c>
      <c r="AI95" s="33">
        <f t="shared" si="19"/>
        <v>0.16373833803428073</v>
      </c>
      <c r="AJ95" s="29">
        <f>AI95</f>
        <v>0.16373833803428073</v>
      </c>
      <c r="AK95" s="33">
        <f t="shared" si="20"/>
        <v>-0.40170550613123757</v>
      </c>
      <c r="AM95">
        <v>0.7</v>
      </c>
      <c r="CH95" s="99">
        <v>0.7</v>
      </c>
    </row>
    <row r="96" spans="1:86">
      <c r="A96" s="1">
        <v>2019</v>
      </c>
      <c r="B96" s="1">
        <v>4</v>
      </c>
      <c r="C96" s="1">
        <v>11</v>
      </c>
      <c r="D96" t="str">
        <f t="shared" si="26"/>
        <v>2019M11</v>
      </c>
      <c r="E96" s="33">
        <f t="shared" si="17"/>
        <v>1E-3</v>
      </c>
      <c r="H96" s="507"/>
      <c r="I96" s="527">
        <f t="shared" si="21"/>
        <v>1E-3</v>
      </c>
      <c r="J96" s="15">
        <v>5.0999999999999997E-2</v>
      </c>
      <c r="K96" s="33">
        <f t="shared" si="12"/>
        <v>6.743578227996995E-2</v>
      </c>
      <c r="L96" s="29">
        <f t="shared" si="13"/>
        <v>0.75627505570063247</v>
      </c>
      <c r="M96" s="33"/>
      <c r="N96" s="10">
        <f t="shared" si="14"/>
        <v>8.4362618025059649E-2</v>
      </c>
      <c r="O96" s="10">
        <f t="shared" si="24"/>
        <v>0.60453315928211959</v>
      </c>
      <c r="P96" s="103">
        <f t="shared" si="25"/>
        <v>0.96923296923881175</v>
      </c>
      <c r="X96">
        <v>444281.63442717993</v>
      </c>
      <c r="Z96" s="33">
        <f t="shared" si="23"/>
        <v>3.6170326935767827E-2</v>
      </c>
      <c r="AA96" s="296">
        <v>1.4999999999999999E-2</v>
      </c>
      <c r="AB96" s="9">
        <f>(1+Z96)/(1+AA96)-1</f>
        <v>2.0857464961347771E-2</v>
      </c>
      <c r="AC96" s="8">
        <v>24.367518633333326</v>
      </c>
      <c r="AD96">
        <f t="shared" si="22"/>
        <v>-0.12765961080057808</v>
      </c>
      <c r="AE96" s="99">
        <v>75.040539965662433</v>
      </c>
      <c r="AF96" s="119">
        <f t="shared" si="15"/>
        <v>1828.5517558686734</v>
      </c>
      <c r="AG96" s="33">
        <f t="shared" si="18"/>
        <v>-0.17952782460267436</v>
      </c>
      <c r="AH96" s="140">
        <f>'ІЦВ (Стрим Інфл)+'!AS120</f>
        <v>10679.14</v>
      </c>
      <c r="AI96" s="33">
        <f t="shared" si="19"/>
        <v>0.16571771640650579</v>
      </c>
      <c r="AJ96" s="29">
        <f>AI96</f>
        <v>0.16571771640650579</v>
      </c>
      <c r="AK96" s="33">
        <f t="shared" si="20"/>
        <v>-0.28426898318660054</v>
      </c>
      <c r="AM96">
        <v>0.1</v>
      </c>
      <c r="CH96" s="99">
        <v>0.1</v>
      </c>
    </row>
    <row r="97" spans="1:86">
      <c r="A97" s="1">
        <v>2019</v>
      </c>
      <c r="B97" s="1">
        <v>4</v>
      </c>
      <c r="C97" s="1">
        <v>12</v>
      </c>
      <c r="D97" t="str">
        <f t="shared" si="26"/>
        <v>2019M12</v>
      </c>
      <c r="E97" s="33">
        <f t="shared" si="17"/>
        <v>-2E-3</v>
      </c>
      <c r="H97" s="513">
        <v>100</v>
      </c>
      <c r="I97" s="527">
        <f t="shared" si="21"/>
        <v>-2E-3</v>
      </c>
      <c r="J97" s="15">
        <v>4.0999999999999995E-2</v>
      </c>
      <c r="K97" s="33">
        <f>-0.0958005*AB97+0.0733532*AD97+0.3412766*AI97+0.0222426</f>
        <v>6.1121042215019003E-2</v>
      </c>
      <c r="L97" s="29">
        <f t="shared" si="13"/>
        <v>0.67080007987699608</v>
      </c>
      <c r="M97" s="33"/>
      <c r="N97" s="10">
        <f>0.1540186+-0.8162613*AB97+0.4122748*AD97</f>
        <v>5.2317840415951347E-2</v>
      </c>
      <c r="O97" s="10">
        <f t="shared" si="24"/>
        <v>0.7836714909107636</v>
      </c>
      <c r="P97" s="103">
        <f t="shared" si="25"/>
        <v>0.98924484601394014</v>
      </c>
      <c r="X97" s="13">
        <v>462103.13809027494</v>
      </c>
      <c r="Z97" s="33">
        <f t="shared" si="23"/>
        <v>6.4355248934123033E-2</v>
      </c>
      <c r="AA97" s="333">
        <v>1.4999999999999999E-2</v>
      </c>
      <c r="AB97" s="44">
        <f>(1+Z97)/(1+AA97)-1</f>
        <v>4.8625861018840588E-2</v>
      </c>
      <c r="AC97" s="14">
        <v>23.609435129032253</v>
      </c>
      <c r="AD97">
        <f t="shared" si="22"/>
        <v>-0.15040781307805018</v>
      </c>
      <c r="AE97" s="99">
        <v>76.053551258676862</v>
      </c>
      <c r="AF97" s="119">
        <f t="shared" si="15"/>
        <v>1795.5813847742606</v>
      </c>
      <c r="AG97" s="33">
        <f t="shared" si="18"/>
        <v>-0.11954524645022069</v>
      </c>
      <c r="AH97" s="140">
        <f>'ІЦВ (Стрим Інфл)+'!AS121</f>
        <v>12263.61</v>
      </c>
      <c r="AI97" s="33">
        <f t="shared" si="19"/>
        <v>0.15989879882720137</v>
      </c>
      <c r="AJ97" s="29">
        <f>AI97</f>
        <v>0.15989879882720137</v>
      </c>
      <c r="AK97" s="33">
        <f t="shared" si="20"/>
        <v>-0.25197252044581664</v>
      </c>
      <c r="AM97">
        <v>-0.2</v>
      </c>
      <c r="CH97" s="99">
        <v>-0.2</v>
      </c>
    </row>
    <row r="98" spans="1:86">
      <c r="A98" s="1">
        <v>2020</v>
      </c>
      <c r="B98" s="1">
        <v>1</v>
      </c>
      <c r="C98" s="1">
        <v>1</v>
      </c>
      <c r="D98" t="str">
        <f t="shared" si="26"/>
        <v>2020M1</v>
      </c>
      <c r="E98" s="33">
        <f t="shared" si="17"/>
        <v>2E-3</v>
      </c>
      <c r="F98" s="123">
        <v>3.2000000000000001E-2</v>
      </c>
      <c r="G98" s="123"/>
      <c r="H98" s="513">
        <f>H97*(1+I98)</f>
        <v>100.2</v>
      </c>
      <c r="I98" s="527">
        <f t="shared" si="21"/>
        <v>2E-3</v>
      </c>
      <c r="J98" s="103">
        <v>3.2000000000000001E-2</v>
      </c>
      <c r="K98" s="33">
        <f t="shared" ref="K98:K121" si="28">-0.0958005*AB98+0.0733532*AD98+0.3412766*AI98+0.0222426</f>
        <v>5.9191994132464676E-2</v>
      </c>
      <c r="L98" s="29">
        <f t="shared" si="13"/>
        <v>0.54061365002145034</v>
      </c>
      <c r="N98" s="10">
        <f>0.1540186+-0.8162613*AB98+0.4122748*AD98</f>
        <v>2.3351400276727365E-2</v>
      </c>
      <c r="O98" s="10">
        <f t="shared" si="24"/>
        <v>1.3703674991984127</v>
      </c>
      <c r="P98" s="103">
        <f t="shared" si="25"/>
        <v>1.0084512511742632</v>
      </c>
      <c r="Q98" s="112">
        <v>2.3E-2</v>
      </c>
      <c r="R98" s="112"/>
      <c r="S98" s="112"/>
      <c r="T98" s="112"/>
      <c r="U98" s="112"/>
      <c r="V98" s="112"/>
      <c r="W98" s="112"/>
      <c r="X98" s="248">
        <v>469757.91973092995</v>
      </c>
      <c r="Y98" s="251">
        <f>X98/X86-1</f>
        <v>8.6504919099430921E-2</v>
      </c>
      <c r="Z98" s="4">
        <f>X98/X86-1</f>
        <v>8.6504919099430921E-2</v>
      </c>
      <c r="AA98" s="334">
        <v>-5.0000000000000001E-3</v>
      </c>
      <c r="AB98" s="9">
        <f t="shared" si="27"/>
        <v>9.1964742813498424E-2</v>
      </c>
      <c r="AC98" s="107">
        <v>24.119351612903227</v>
      </c>
      <c r="AD98">
        <f t="shared" si="22"/>
        <v>-0.13486135752212058</v>
      </c>
      <c r="AE98" s="99">
        <v>73.389945487840421</v>
      </c>
      <c r="AF98" s="119">
        <f t="shared" si="15"/>
        <v>1770.1179000730237</v>
      </c>
      <c r="AG98" s="33">
        <f t="shared" si="18"/>
        <v>-0.12831093364211366</v>
      </c>
      <c r="AH98" s="140">
        <f>'ІЦВ (Стрим Інфл)+'!AS122</f>
        <v>10727</v>
      </c>
      <c r="AI98" s="33">
        <f t="shared" si="19"/>
        <v>0.16307058440854383</v>
      </c>
      <c r="AJ98" s="29">
        <f t="shared" si="16"/>
        <v>0.16307058440854383</v>
      </c>
      <c r="AK98" s="33">
        <f t="shared" si="20"/>
        <v>-0.24586810446832819</v>
      </c>
      <c r="AM98">
        <v>0.2</v>
      </c>
      <c r="CH98" s="99">
        <v>0.2</v>
      </c>
    </row>
    <row r="99" spans="1:86">
      <c r="A99" s="1">
        <v>2020</v>
      </c>
      <c r="B99" s="1">
        <v>1</v>
      </c>
      <c r="C99" s="1">
        <v>2</v>
      </c>
      <c r="D99" t="str">
        <f t="shared" si="26"/>
        <v>2020M2</v>
      </c>
      <c r="E99" s="33">
        <f t="shared" si="17"/>
        <v>-3.0000000000000001E-3</v>
      </c>
      <c r="F99" s="123">
        <v>2.4E-2</v>
      </c>
      <c r="G99" s="123"/>
      <c r="H99" s="513">
        <f>H98*(1+I99)</f>
        <v>99.8994</v>
      </c>
      <c r="I99" s="527">
        <f t="shared" si="21"/>
        <v>-3.0000000000000001E-3</v>
      </c>
      <c r="J99" s="103">
        <v>2.4E-2</v>
      </c>
      <c r="K99" s="33">
        <f t="shared" si="28"/>
        <v>5.6086289973213715E-2</v>
      </c>
      <c r="L99" s="29">
        <f t="shared" si="13"/>
        <v>0.42791206213607952</v>
      </c>
      <c r="N99" s="10">
        <f t="shared" si="14"/>
        <v>3.1765881736591554E-2</v>
      </c>
      <c r="O99" s="10">
        <f t="shared" si="24"/>
        <v>0.75552758771226147</v>
      </c>
      <c r="P99" s="103">
        <f t="shared" si="25"/>
        <v>0.99247321328020599</v>
      </c>
      <c r="Q99" s="112">
        <v>2.3E-2</v>
      </c>
      <c r="R99" s="112"/>
      <c r="S99" s="112"/>
      <c r="T99" s="112"/>
      <c r="U99" s="112"/>
      <c r="V99" s="112"/>
      <c r="W99" s="112"/>
      <c r="X99" s="249">
        <v>463359.74034885998</v>
      </c>
      <c r="Y99" s="252">
        <v>9.026068370574114E-2</v>
      </c>
      <c r="Z99" s="4">
        <f t="shared" si="23"/>
        <v>8.7502856582608146E-2</v>
      </c>
      <c r="AA99" s="334">
        <v>1E-3</v>
      </c>
      <c r="AB99" s="9">
        <f t="shared" si="27"/>
        <v>8.6416440142465856E-2</v>
      </c>
      <c r="AC99" s="107">
        <v>24.596524137931045</v>
      </c>
      <c r="AD99">
        <f t="shared" si="22"/>
        <v>-0.12543653527052123</v>
      </c>
      <c r="AE99" s="99">
        <v>65.28552628876659</v>
      </c>
      <c r="AF99" s="119">
        <f t="shared" si="15"/>
        <v>1605.7970232191792</v>
      </c>
      <c r="AG99" s="33">
        <f t="shared" si="18"/>
        <v>-0.19826951421521588</v>
      </c>
      <c r="AH99" s="140">
        <f>'ІЦВ (Стрим Інфл)+'!AS123</f>
        <v>10847</v>
      </c>
      <c r="AI99" s="33">
        <f t="shared" si="19"/>
        <v>0.15038710361650232</v>
      </c>
      <c r="AJ99" s="29">
        <f>AI99</f>
        <v>0.15038710361650232</v>
      </c>
      <c r="AK99" s="33">
        <f t="shared" si="20"/>
        <v>-0.29883580857281111</v>
      </c>
      <c r="AM99">
        <v>-0.3</v>
      </c>
      <c r="CH99" s="99">
        <v>-0.3</v>
      </c>
    </row>
    <row r="100" spans="1:86">
      <c r="A100" s="1">
        <v>2020</v>
      </c>
      <c r="B100" s="1">
        <v>1</v>
      </c>
      <c r="C100" s="1">
        <v>3</v>
      </c>
      <c r="D100" t="str">
        <f t="shared" si="26"/>
        <v>2020M3</v>
      </c>
      <c r="E100" s="33">
        <f t="shared" si="17"/>
        <v>8.0000000000000002E-3</v>
      </c>
      <c r="F100" s="123">
        <v>2.3E-2</v>
      </c>
      <c r="G100" s="123"/>
      <c r="H100" s="513">
        <f t="shared" ref="H100:H119" si="29">H99*(1+I100)</f>
        <v>100.6985952</v>
      </c>
      <c r="I100" s="527">
        <f t="shared" si="21"/>
        <v>8.0000000000000002E-3</v>
      </c>
      <c r="J100" s="103">
        <v>2.3E-2</v>
      </c>
      <c r="K100" s="33">
        <f t="shared" si="28"/>
        <v>4.3804924077727389E-2</v>
      </c>
      <c r="L100" s="29">
        <f t="shared" si="13"/>
        <v>0.52505512757398765</v>
      </c>
      <c r="N100" s="10">
        <f>0.1540186+-0.8162613*AB100+0.4122748*AD100</f>
        <v>-2.1046943789640084E-3</v>
      </c>
      <c r="O100" s="10">
        <f t="shared" si="24"/>
        <v>-10.927952404814834</v>
      </c>
      <c r="P100" s="103">
        <f t="shared" si="25"/>
        <v>1.0251576435298893</v>
      </c>
      <c r="Q100" s="112">
        <v>2.3E-2</v>
      </c>
      <c r="R100" s="112"/>
      <c r="S100" s="112"/>
      <c r="T100" s="112"/>
      <c r="U100" s="112"/>
      <c r="V100" s="112"/>
      <c r="W100" s="112"/>
      <c r="X100" s="249">
        <v>481846.77134785004</v>
      </c>
      <c r="Y100" s="252">
        <v>8.2000000000000003E-2</v>
      </c>
      <c r="Z100" s="4">
        <f t="shared" si="23"/>
        <v>0.13783654688152192</v>
      </c>
      <c r="AA100" s="334">
        <v>-3.8000000000000006E-2</v>
      </c>
      <c r="AB100" s="9">
        <f t="shared" si="27"/>
        <v>0.18278227326561525</v>
      </c>
      <c r="AC100" s="107">
        <v>26.412293548387101</v>
      </c>
      <c r="AD100">
        <f t="shared" si="22"/>
        <v>-1.6797530157597995E-2</v>
      </c>
      <c r="AE100" s="99">
        <v>47.666385441363957</v>
      </c>
      <c r="AF100" s="119">
        <f t="shared" si="15"/>
        <v>1258.9785646678702</v>
      </c>
      <c r="AG100" s="33">
        <f t="shared" si="18"/>
        <v>-0.39554620557671338</v>
      </c>
      <c r="AH100" s="140">
        <f>'ІЦВ (Стрим Інфл)+'!AS124</f>
        <v>11446</v>
      </c>
      <c r="AI100" s="33">
        <f t="shared" si="19"/>
        <v>0.11810100615414676</v>
      </c>
      <c r="AJ100" s="29">
        <f t="shared" ref="AJ100:AJ121" si="30">AI100</f>
        <v>0.11810100615414676</v>
      </c>
      <c r="AK100" s="33">
        <f t="shared" si="20"/>
        <v>-0.40569953641741296</v>
      </c>
      <c r="AM100">
        <v>0.8</v>
      </c>
      <c r="CH100" s="99">
        <v>0.8</v>
      </c>
    </row>
    <row r="101" spans="1:86">
      <c r="A101" s="1">
        <v>2020</v>
      </c>
      <c r="B101" s="1">
        <v>2</v>
      </c>
      <c r="C101" s="1">
        <v>4</v>
      </c>
      <c r="D101" t="str">
        <f t="shared" si="26"/>
        <v>2020M4</v>
      </c>
      <c r="E101" s="33">
        <f t="shared" si="17"/>
        <v>8.0000000000000002E-3</v>
      </c>
      <c r="F101" s="123">
        <v>2.1000000000000001E-2</v>
      </c>
      <c r="G101" s="123"/>
      <c r="H101" s="513">
        <f t="shared" si="29"/>
        <v>101.50418396160001</v>
      </c>
      <c r="I101" s="527">
        <v>8.0000000000000002E-3</v>
      </c>
      <c r="J101" s="103">
        <v>2.1000000000000001E-2</v>
      </c>
      <c r="K101" s="33">
        <f t="shared" si="28"/>
        <v>-1.0333548411083658E-2</v>
      </c>
      <c r="L101" s="29">
        <f t="shared" si="13"/>
        <v>-2.0322157660262778</v>
      </c>
      <c r="N101" s="10">
        <f>0.1540186+-0.8162613*AB101+0.4122748*AD101</f>
        <v>-0.17241177697169752</v>
      </c>
      <c r="O101" s="10">
        <f t="shared" si="24"/>
        <v>-0.12180142429276908</v>
      </c>
      <c r="P101" s="103">
        <f t="shared" si="25"/>
        <v>1.2337053278307502</v>
      </c>
      <c r="Q101" s="113">
        <v>4.8000000000000001E-2</v>
      </c>
      <c r="R101" s="113"/>
      <c r="S101" s="113"/>
      <c r="T101" s="113"/>
      <c r="U101" s="113"/>
      <c r="V101" s="113"/>
      <c r="W101" s="113"/>
      <c r="X101" s="249">
        <v>512013.24899625999</v>
      </c>
      <c r="Y101" s="252">
        <v>7.5999999999999998E-2</v>
      </c>
      <c r="Z101" s="4">
        <f t="shared" si="23"/>
        <v>0.18973900630213958</v>
      </c>
      <c r="AA101" s="123">
        <v>-0.15483019148108079</v>
      </c>
      <c r="AB101" s="9">
        <f>(1+Z101)/(1+AA101)-1</f>
        <v>0.40769227001499919</v>
      </c>
      <c r="AC101" s="107">
        <v>27.224653333333325</v>
      </c>
      <c r="AD101">
        <f t="shared" si="22"/>
        <v>1.5409734843596423E-2</v>
      </c>
      <c r="AE101" s="99">
        <v>36.716302443477453</v>
      </c>
      <c r="AF101" s="119">
        <f t="shared" si="15"/>
        <v>999.58860570549291</v>
      </c>
      <c r="AG101" s="33">
        <f t="shared" si="18"/>
        <v>-0.53691505427433506</v>
      </c>
      <c r="AH101" s="140">
        <f>'ІЦВ (Стрим Інфл)+'!AS125</f>
        <v>10430</v>
      </c>
      <c r="AI101" s="33">
        <f t="shared" si="19"/>
        <v>1.5678254942058656E-2</v>
      </c>
      <c r="AJ101" s="29">
        <f t="shared" si="30"/>
        <v>1.5678254942058656E-2</v>
      </c>
      <c r="AK101" s="33">
        <f t="shared" si="20"/>
        <v>-0.5297790380506413</v>
      </c>
      <c r="AM101">
        <v>0.8</v>
      </c>
      <c r="CH101" s="99">
        <v>0.8</v>
      </c>
    </row>
    <row r="102" spans="1:86">
      <c r="A102" s="1">
        <v>2020</v>
      </c>
      <c r="B102" s="1">
        <v>2</v>
      </c>
      <c r="C102" s="1">
        <v>5</v>
      </c>
      <c r="D102" t="str">
        <f t="shared" si="26"/>
        <v>2020M5</v>
      </c>
      <c r="E102" s="33">
        <f t="shared" si="17"/>
        <v>3.0000000000000001E-3</v>
      </c>
      <c r="F102" s="123">
        <v>1.7000000000000001E-2</v>
      </c>
      <c r="G102" s="123"/>
      <c r="H102" s="513">
        <f>H101*(1+I102)</f>
        <v>101.80869651348479</v>
      </c>
      <c r="I102" s="527">
        <v>3.0000000000000001E-3</v>
      </c>
      <c r="J102" s="103">
        <v>1.7000000000000001E-2</v>
      </c>
      <c r="K102" s="33">
        <f t="shared" si="28"/>
        <v>2.2003880347048477E-3</v>
      </c>
      <c r="L102" s="29">
        <f t="shared" si="13"/>
        <v>7.7259100358088988</v>
      </c>
      <c r="N102" s="10">
        <f>0.1540186+-0.8162613*AB102+0.4122748*AD102</f>
        <v>-0.10631189306617284</v>
      </c>
      <c r="O102" s="10">
        <f t="shared" si="24"/>
        <v>-0.15990685058555501</v>
      </c>
      <c r="P102" s="103">
        <f t="shared" si="25"/>
        <v>1.1379809041984972</v>
      </c>
      <c r="Q102" s="113">
        <v>4.8000000000000001E-2</v>
      </c>
      <c r="R102" s="113"/>
      <c r="S102" s="113"/>
      <c r="T102" s="113"/>
      <c r="U102" s="113"/>
      <c r="V102" s="113"/>
      <c r="W102" s="113"/>
      <c r="X102" s="249">
        <v>519652.13026646001</v>
      </c>
      <c r="Y102" s="252">
        <v>7.0000000000000007E-2</v>
      </c>
      <c r="Z102" s="4">
        <f>X102/X90-1</f>
        <v>0.20054725032312026</v>
      </c>
      <c r="AA102" s="123">
        <v>-9.547523151101614E-2</v>
      </c>
      <c r="AB102" s="9">
        <f>(1+Z102)/(1+AA102)-1</f>
        <v>0.32726851949963121</v>
      </c>
      <c r="AC102" s="107">
        <v>26.814329032258055</v>
      </c>
      <c r="AD102">
        <f t="shared" si="22"/>
        <v>1.6508731820793932E-2</v>
      </c>
      <c r="AE102" s="99">
        <v>40.076756156125917</v>
      </c>
      <c r="AF102" s="119">
        <f t="shared" si="15"/>
        <v>1074.6313261159339</v>
      </c>
      <c r="AG102" s="33">
        <f t="shared" si="18"/>
        <v>-0.47354425549171963</v>
      </c>
      <c r="AH102" s="140">
        <f>'ІЦВ (Стрим Інфл)+'!AS126</f>
        <v>10542</v>
      </c>
      <c r="AI102" s="33">
        <f t="shared" si="19"/>
        <v>2.9592733665396942E-2</v>
      </c>
      <c r="AJ102" s="29">
        <f t="shared" si="30"/>
        <v>2.9592733665396942E-2</v>
      </c>
      <c r="AK102" s="33">
        <f t="shared" si="20"/>
        <v>-0.46485313879011603</v>
      </c>
      <c r="AM102">
        <v>0.3</v>
      </c>
      <c r="CH102" s="99">
        <v>0.3</v>
      </c>
    </row>
    <row r="103" spans="1:86">
      <c r="A103" s="1">
        <v>2020</v>
      </c>
      <c r="B103" s="1">
        <v>2</v>
      </c>
      <c r="C103" s="1">
        <v>6</v>
      </c>
      <c r="D103" t="str">
        <f t="shared" si="26"/>
        <v>2020M6</v>
      </c>
      <c r="E103" s="33">
        <f t="shared" si="17"/>
        <v>2E-3</v>
      </c>
      <c r="F103" s="123">
        <v>2.4E-2</v>
      </c>
      <c r="G103" s="123"/>
      <c r="H103" s="513">
        <f t="shared" si="29"/>
        <v>102.01231390651176</v>
      </c>
      <c r="I103" s="527">
        <v>2E-3</v>
      </c>
      <c r="J103" s="326">
        <v>2.4E-2</v>
      </c>
      <c r="K103" s="33">
        <f t="shared" si="28"/>
        <v>1.5322724705243752E-2</v>
      </c>
      <c r="L103" s="29">
        <f t="shared" si="13"/>
        <v>1.5663010633994296</v>
      </c>
      <c r="N103" s="10">
        <f>0.1540186+-0.8162613*AB103+0.4122748*AD103</f>
        <v>-0.12126042866889865</v>
      </c>
      <c r="O103" s="10">
        <f t="shared" si="24"/>
        <v>-0.19792112120543423</v>
      </c>
      <c r="P103" s="103">
        <f t="shared" si="25"/>
        <v>1.1653054367960924</v>
      </c>
      <c r="Q103" s="113">
        <v>4.8000000000000001E-2</v>
      </c>
      <c r="R103" s="113"/>
      <c r="S103" s="113"/>
      <c r="T103" s="113"/>
      <c r="U103" s="113"/>
      <c r="V103" s="113"/>
      <c r="W103" s="113"/>
      <c r="X103" s="250">
        <v>532652.29741945001</v>
      </c>
      <c r="Y103" s="252">
        <v>6.7000000000000004E-2</v>
      </c>
      <c r="Z103" s="4">
        <f t="shared" si="23"/>
        <v>0.2191956338185026</v>
      </c>
      <c r="AA103" s="123">
        <v>-9.0962163214060171E-2</v>
      </c>
      <c r="AB103" s="9">
        <f t="shared" si="27"/>
        <v>0.34119349545358757</v>
      </c>
      <c r="AC103" s="107">
        <v>26.707343333333327</v>
      </c>
      <c r="AD103">
        <f t="shared" si="22"/>
        <v>7.8200692392327298E-3</v>
      </c>
      <c r="AE103" s="99">
        <v>42.583189604491473</v>
      </c>
      <c r="AF103" s="119">
        <f t="shared" si="15"/>
        <v>1137.2838649955843</v>
      </c>
      <c r="AG103" s="33">
        <f t="shared" si="18"/>
        <v>-0.37098014375110522</v>
      </c>
      <c r="AH103" s="140">
        <f>'ІЦВ (Стрим Інфл)+'!AS127</f>
        <v>11579</v>
      </c>
      <c r="AI103" s="33">
        <f t="shared" si="19"/>
        <v>7.381990169711572E-2</v>
      </c>
      <c r="AJ103" s="29">
        <f t="shared" si="30"/>
        <v>7.381990169711572E-2</v>
      </c>
      <c r="AK103" s="33">
        <f t="shared" si="20"/>
        <v>-0.36606116492238661</v>
      </c>
      <c r="AM103">
        <v>0.2</v>
      </c>
      <c r="CH103" s="99">
        <v>0.2</v>
      </c>
    </row>
    <row r="104" spans="1:86">
      <c r="A104" s="1">
        <v>2020</v>
      </c>
      <c r="B104" s="1">
        <v>3</v>
      </c>
      <c r="C104" s="1">
        <v>7</v>
      </c>
      <c r="D104" t="str">
        <f t="shared" si="26"/>
        <v>2020M7</v>
      </c>
      <c r="E104" s="33">
        <f t="shared" si="17"/>
        <v>-6.0000000000000001E-3</v>
      </c>
      <c r="F104" s="123">
        <v>2.4E-2</v>
      </c>
      <c r="G104" s="123"/>
      <c r="H104" s="513">
        <f t="shared" si="29"/>
        <v>101.4002400230727</v>
      </c>
      <c r="I104" s="527">
        <v>-6.0000000000000001E-3</v>
      </c>
      <c r="J104" s="326">
        <v>2.4E-2</v>
      </c>
      <c r="K104" s="33">
        <f t="shared" si="28"/>
        <v>2.4770102734210129E-2</v>
      </c>
      <c r="L104" s="29">
        <f t="shared" si="13"/>
        <v>0.9689099903026831</v>
      </c>
      <c r="N104" s="10">
        <f t="shared" si="14"/>
        <v>-5.8128598625621405E-2</v>
      </c>
      <c r="O104" s="10">
        <f t="shared" si="24"/>
        <v>-0.41287766379114971</v>
      </c>
      <c r="P104" s="103">
        <f t="shared" si="25"/>
        <v>1.0871972527308711</v>
      </c>
      <c r="Q104" s="113">
        <v>5.2999999999999999E-2</v>
      </c>
      <c r="R104" s="113"/>
      <c r="S104" s="113"/>
      <c r="T104" s="113"/>
      <c r="U104" s="113"/>
      <c r="V104" s="113"/>
      <c r="W104" s="113"/>
      <c r="X104" s="250">
        <v>548906.36791107</v>
      </c>
      <c r="Y104" s="252">
        <v>6.5000000000000002E-2</v>
      </c>
      <c r="Z104" s="4">
        <f>X104/X92-1</f>
        <v>0.24548744652892784</v>
      </c>
      <c r="AA104" s="123">
        <v>-3.4900430089345638E-2</v>
      </c>
      <c r="AB104" s="9">
        <f t="shared" si="27"/>
        <v>0.29052740811420197</v>
      </c>
      <c r="AC104" s="107">
        <v>27.312838709677415</v>
      </c>
      <c r="AD104">
        <f t="shared" si="22"/>
        <v>6.0636937322648965E-2</v>
      </c>
      <c r="AE104" s="99">
        <v>43.928905275267631</v>
      </c>
      <c r="AF104" s="119">
        <f t="shared" si="15"/>
        <v>1199.8231044760821</v>
      </c>
      <c r="AG104" s="33">
        <f t="shared" si="18"/>
        <v>-0.36361043545432004</v>
      </c>
      <c r="AH104" s="140">
        <f>'ІЦВ (Стрим Інфл)+'!AS128</f>
        <v>11804</v>
      </c>
      <c r="AI104" s="33">
        <f t="shared" si="19"/>
        <v>7.5927445082490275E-2</v>
      </c>
      <c r="AJ104" s="29">
        <f t="shared" si="30"/>
        <v>7.5927445082490275E-2</v>
      </c>
      <c r="AK104" s="33">
        <f t="shared" si="20"/>
        <v>-0.32502172131617579</v>
      </c>
      <c r="AM104">
        <v>-0.6</v>
      </c>
      <c r="CH104" s="99">
        <v>-0.6</v>
      </c>
    </row>
    <row r="105" spans="1:86">
      <c r="A105" s="1">
        <v>2020</v>
      </c>
      <c r="B105" s="1">
        <v>3</v>
      </c>
      <c r="C105" s="1">
        <v>8</v>
      </c>
      <c r="D105" t="str">
        <f t="shared" si="26"/>
        <v>2020M8</v>
      </c>
      <c r="E105" s="33">
        <f t="shared" si="17"/>
        <v>-2E-3</v>
      </c>
      <c r="F105" s="123">
        <v>2.5000000000000001E-2</v>
      </c>
      <c r="G105" s="123"/>
      <c r="H105" s="513">
        <f t="shared" si="29"/>
        <v>101.19743954302655</v>
      </c>
      <c r="I105" s="527">
        <v>-2E-3</v>
      </c>
      <c r="J105" s="326">
        <v>2.5000000000000001E-2</v>
      </c>
      <c r="K105" s="33">
        <f t="shared" si="28"/>
        <v>2.8125418261584219E-2</v>
      </c>
      <c r="L105" s="29">
        <f t="shared" si="13"/>
        <v>0.88887566995392397</v>
      </c>
      <c r="M105" s="29">
        <f t="shared" ref="M105:M110" si="31">K105*L105</f>
        <v>2.5000000000000001E-2</v>
      </c>
      <c r="N105" s="10">
        <f t="shared" si="14"/>
        <v>-6.5871568052256385E-2</v>
      </c>
      <c r="O105" s="10">
        <f t="shared" si="24"/>
        <v>-0.37952641388720737</v>
      </c>
      <c r="P105" s="103">
        <f t="shared" si="25"/>
        <v>1.0972795227555387</v>
      </c>
      <c r="Q105" s="113">
        <v>5.2999999999999999E-2</v>
      </c>
      <c r="R105" s="113"/>
      <c r="S105" s="113"/>
      <c r="T105" s="113"/>
      <c r="U105" s="113"/>
      <c r="V105" s="113"/>
      <c r="W105" s="113"/>
      <c r="X105" s="250">
        <v>562323.00620272011</v>
      </c>
      <c r="Y105" s="252">
        <v>0.06</v>
      </c>
      <c r="Z105" s="4">
        <f t="shared" si="23"/>
        <v>0.2749972894327477</v>
      </c>
      <c r="AA105" s="123">
        <v>-3.0337678147108183E-2</v>
      </c>
      <c r="AB105" s="9">
        <f t="shared" si="27"/>
        <v>0.31488793644822932</v>
      </c>
      <c r="AC105" s="107">
        <v>27.521419354838709</v>
      </c>
      <c r="AD105" s="100">
        <f>AC105/AC93-1</f>
        <v>9.0087165908012468E-2</v>
      </c>
      <c r="AE105" s="99">
        <v>45.245384641143417</v>
      </c>
      <c r="AF105" s="119">
        <f t="shared" si="15"/>
        <v>1245.2172045798866</v>
      </c>
      <c r="AG105" s="33">
        <f t="shared" si="18"/>
        <v>-0.30121464246111795</v>
      </c>
      <c r="AH105" s="140">
        <f>'ІЦВ (Стрим Інфл)+'!AS129</f>
        <v>11446</v>
      </c>
      <c r="AI105" s="33">
        <f t="shared" si="19"/>
        <v>8.6267438549871844E-2</v>
      </c>
      <c r="AJ105" s="29">
        <f t="shared" si="30"/>
        <v>8.6267438549871844E-2</v>
      </c>
      <c r="AK105" s="33">
        <f t="shared" si="20"/>
        <v>-0.23826305002242287</v>
      </c>
      <c r="AM105">
        <v>-0.2</v>
      </c>
      <c r="CH105" s="99">
        <v>-0.2</v>
      </c>
    </row>
    <row r="106" spans="1:86">
      <c r="A106" s="1">
        <v>2020</v>
      </c>
      <c r="B106" s="1">
        <v>3</v>
      </c>
      <c r="C106" s="1">
        <v>9</v>
      </c>
      <c r="D106" t="str">
        <f t="shared" si="26"/>
        <v>2020M9</v>
      </c>
      <c r="E106" s="33">
        <f t="shared" si="17"/>
        <v>5.0000000000000001E-3</v>
      </c>
      <c r="F106" s="123">
        <v>2.3E-2</v>
      </c>
      <c r="G106" s="123"/>
      <c r="H106" s="513">
        <f t="shared" si="29"/>
        <v>101.70342674074168</v>
      </c>
      <c r="I106" s="527">
        <v>5.0000000000000001E-3</v>
      </c>
      <c r="J106" s="326">
        <v>2.3E-2</v>
      </c>
      <c r="K106" s="33">
        <f t="shared" si="28"/>
        <v>4.2255212160422689E-2</v>
      </c>
      <c r="L106" s="29">
        <f t="shared" si="13"/>
        <v>0.54431154937005355</v>
      </c>
      <c r="M106" s="29">
        <f t="shared" si="31"/>
        <v>2.3000000000000003E-2</v>
      </c>
      <c r="N106" s="10">
        <f t="shared" si="14"/>
        <v>-5.6977887797114969E-2</v>
      </c>
      <c r="O106" s="10">
        <f t="shared" si="24"/>
        <v>-0.4036653672017057</v>
      </c>
      <c r="P106" s="103">
        <f t="shared" si="25"/>
        <v>1.0848101934855883</v>
      </c>
      <c r="Q106" s="113">
        <v>5.2999999999999999E-2</v>
      </c>
      <c r="R106" s="113"/>
      <c r="S106" s="113"/>
      <c r="T106" s="113"/>
      <c r="U106" s="113"/>
      <c r="V106" s="113"/>
      <c r="W106" s="113"/>
      <c r="X106" s="250">
        <v>567879.80887951003</v>
      </c>
      <c r="Y106" s="252">
        <v>5.551303953990594E-2</v>
      </c>
      <c r="Z106" s="4">
        <f t="shared" si="23"/>
        <v>0.2808264648740777</v>
      </c>
      <c r="AA106" s="123">
        <v>-3.2524244960255855E-2</v>
      </c>
      <c r="AB106" s="9">
        <f t="shared" si="27"/>
        <v>0.32388481902728516</v>
      </c>
      <c r="AC106" s="107">
        <v>27.976716666666668</v>
      </c>
      <c r="AD106">
        <f t="shared" si="22"/>
        <v>0.12947227342627188</v>
      </c>
      <c r="AE106" s="99">
        <v>45.799805196649295</v>
      </c>
      <c r="AF106" s="119">
        <f t="shared" si="15"/>
        <v>1281.3281733751851</v>
      </c>
      <c r="AG106" s="33">
        <f t="shared" si="18"/>
        <v>-0.33149979705031296</v>
      </c>
      <c r="AH106" s="140">
        <f>'ІЦВ (Стрим Інфл)+'!AS130</f>
        <v>11988</v>
      </c>
      <c r="AI106" s="33">
        <f t="shared" si="19"/>
        <v>0.12173039170735445</v>
      </c>
      <c r="AJ106" s="29">
        <f t="shared" si="30"/>
        <v>0.12173039170735445</v>
      </c>
      <c r="AK106" s="33">
        <f t="shared" si="20"/>
        <v>-0.24494755598849272</v>
      </c>
      <c r="AM106">
        <v>0.5</v>
      </c>
      <c r="CH106" s="99">
        <v>0.5</v>
      </c>
    </row>
    <row r="107" spans="1:86">
      <c r="A107" s="1">
        <v>2020</v>
      </c>
      <c r="B107" s="1">
        <v>4</v>
      </c>
      <c r="C107" s="1">
        <v>10</v>
      </c>
      <c r="D107" t="str">
        <f t="shared" si="26"/>
        <v>2020M10</v>
      </c>
      <c r="E107" s="33">
        <f t="shared" si="17"/>
        <v>0.01</v>
      </c>
      <c r="F107" s="123">
        <v>2.5999999999999999E-2</v>
      </c>
      <c r="G107" s="123"/>
      <c r="H107" s="513">
        <f t="shared" si="29"/>
        <v>102.72046100814909</v>
      </c>
      <c r="I107" s="527">
        <v>0.01</v>
      </c>
      <c r="J107" s="326">
        <v>2.5999999999999999E-2</v>
      </c>
      <c r="K107" s="33">
        <f t="shared" si="28"/>
        <v>4.3677199288690564E-2</v>
      </c>
      <c r="L107" s="29">
        <f t="shared" si="13"/>
        <v>0.59527626366675568</v>
      </c>
      <c r="M107" s="29">
        <f t="shared" si="31"/>
        <v>2.5999999999999999E-2</v>
      </c>
      <c r="N107" s="10">
        <f t="shared" si="14"/>
        <v>-8.5645991892998527E-2</v>
      </c>
      <c r="O107" s="10">
        <f t="shared" si="24"/>
        <v>-0.30357521029685769</v>
      </c>
      <c r="P107" s="103">
        <f t="shared" si="25"/>
        <v>1.1221036829314508</v>
      </c>
      <c r="Q107" s="113">
        <v>0.06</v>
      </c>
      <c r="R107" s="113"/>
      <c r="S107" s="113"/>
      <c r="T107" s="113"/>
      <c r="U107" s="113"/>
      <c r="V107" s="113"/>
      <c r="W107" s="113"/>
      <c r="X107" s="250">
        <v>581722.47843255999</v>
      </c>
      <c r="Y107" s="252">
        <v>5.0999999999999997E-2</v>
      </c>
      <c r="Z107" s="4">
        <f t="shared" si="23"/>
        <v>0.31781730695227184</v>
      </c>
      <c r="AA107" s="123">
        <v>-3.4715254031296022E-2</v>
      </c>
      <c r="AB107" s="9">
        <f t="shared" si="27"/>
        <v>0.36521095195572228</v>
      </c>
      <c r="AC107" s="107">
        <v>28.324951612903224</v>
      </c>
      <c r="AD107">
        <f t="shared" si="22"/>
        <v>0.14175732915185901</v>
      </c>
      <c r="AE107" s="99">
        <v>46.37453884114494</v>
      </c>
      <c r="AF107" s="119">
        <f t="shared" si="15"/>
        <v>1313.5565687461315</v>
      </c>
      <c r="AG107" s="33">
        <f t="shared" si="18"/>
        <v>-0.34627027623033968</v>
      </c>
      <c r="AH107" s="140">
        <f>'ІЦВ (Стрим Інфл)+'!AS131</f>
        <v>12174</v>
      </c>
      <c r="AI107" s="33">
        <f t="shared" si="19"/>
        <v>0.13485728987801271</v>
      </c>
      <c r="AJ107" s="29">
        <f t="shared" si="30"/>
        <v>0.13485728987801271</v>
      </c>
      <c r="AK107" s="33">
        <f t="shared" si="20"/>
        <v>-0.25359929660157021</v>
      </c>
      <c r="AM107">
        <v>1</v>
      </c>
      <c r="CH107" s="99">
        <v>1</v>
      </c>
    </row>
    <row r="108" spans="1:86">
      <c r="A108" s="1">
        <v>2020</v>
      </c>
      <c r="B108" s="1">
        <v>4</v>
      </c>
      <c r="C108" s="1">
        <v>11</v>
      </c>
      <c r="D108" t="str">
        <f t="shared" si="26"/>
        <v>2020M11</v>
      </c>
      <c r="E108" s="33">
        <f t="shared" si="17"/>
        <v>1.3000000000000001E-2</v>
      </c>
      <c r="F108" s="123">
        <v>3.7999999999999999E-2</v>
      </c>
      <c r="G108" s="123"/>
      <c r="H108" s="513">
        <f t="shared" si="29"/>
        <v>104.05582700125501</v>
      </c>
      <c r="I108" s="527">
        <v>1.3000000000000001E-2</v>
      </c>
      <c r="J108" s="326">
        <v>3.7999999999999999E-2</v>
      </c>
      <c r="K108" s="33">
        <f t="shared" si="28"/>
        <v>4.5709615594864993E-2</v>
      </c>
      <c r="L108" s="29">
        <f t="shared" si="13"/>
        <v>0.83133492823048172</v>
      </c>
      <c r="M108" s="29">
        <f t="shared" si="31"/>
        <v>3.7999999999999999E-2</v>
      </c>
      <c r="N108" s="10">
        <f t="shared" si="14"/>
        <v>-3.6680003601817682E-2</v>
      </c>
      <c r="O108" s="10">
        <f t="shared" si="24"/>
        <v>-1.0359868121200759</v>
      </c>
      <c r="P108" s="103">
        <f t="shared" si="25"/>
        <v>1.0775235683688114</v>
      </c>
      <c r="Q108" s="113">
        <v>0.06</v>
      </c>
      <c r="R108" s="113"/>
      <c r="S108" s="113"/>
      <c r="T108" s="113"/>
      <c r="U108" s="113"/>
      <c r="V108" s="113"/>
      <c r="W108" s="113"/>
      <c r="X108" s="250">
        <v>586269.83144441003</v>
      </c>
      <c r="Y108" s="252">
        <v>4.7E-2</v>
      </c>
      <c r="Z108" s="4">
        <f t="shared" si="23"/>
        <v>0.31959051649816206</v>
      </c>
      <c r="AA108" s="123">
        <v>3.2274565818540273E-3</v>
      </c>
      <c r="AB108" s="9">
        <f>(1+Z108)/(1+AA108)-1</f>
        <v>0.31534529666303635</v>
      </c>
      <c r="AC108" s="107">
        <v>28.310153333333343</v>
      </c>
      <c r="AD108">
        <f t="shared" si="22"/>
        <v>0.16179877645016871</v>
      </c>
      <c r="AE108" s="99">
        <v>47.714579463070976</v>
      </c>
      <c r="AF108" s="119">
        <f t="shared" si="15"/>
        <v>1350.8070608350574</v>
      </c>
      <c r="AG108" s="33">
        <f t="shared" si="18"/>
        <v>-0.36414930536341372</v>
      </c>
      <c r="AH108" s="140">
        <f>'ІЦВ (Стрим Інфл)+'!AS132</f>
        <v>11987.410099999999</v>
      </c>
      <c r="AI108" s="33">
        <f>AH108/AH96-1</f>
        <v>0.12250706517566012</v>
      </c>
      <c r="AJ108" s="29">
        <f t="shared" si="30"/>
        <v>0.12250706517566012</v>
      </c>
      <c r="AK108" s="33">
        <f t="shared" si="20"/>
        <v>-0.26126944096622418</v>
      </c>
      <c r="AM108">
        <v>1.3</v>
      </c>
      <c r="CH108" s="99">
        <v>1.3</v>
      </c>
    </row>
    <row r="109" spans="1:86" s="13" customFormat="1">
      <c r="A109" s="280">
        <v>2020</v>
      </c>
      <c r="B109" s="280">
        <v>4</v>
      </c>
      <c r="C109" s="280">
        <v>12</v>
      </c>
      <c r="D109" s="13" t="str">
        <f t="shared" si="26"/>
        <v>2020M12</v>
      </c>
      <c r="E109" s="30">
        <f t="shared" si="17"/>
        <v>9.0000000000000011E-3</v>
      </c>
      <c r="F109" s="281">
        <v>0.05</v>
      </c>
      <c r="G109" s="281"/>
      <c r="H109" s="518">
        <f t="shared" si="29"/>
        <v>104.99232944426629</v>
      </c>
      <c r="I109" s="528">
        <v>9.0000000000000011E-3</v>
      </c>
      <c r="J109" s="327">
        <v>0.05</v>
      </c>
      <c r="K109" s="30">
        <f t="shared" si="28"/>
        <v>6.1335260046116613E-2</v>
      </c>
      <c r="L109" s="31">
        <f t="shared" si="13"/>
        <v>0.81519178303648043</v>
      </c>
      <c r="M109" s="31">
        <f t="shared" si="31"/>
        <v>0.05</v>
      </c>
      <c r="N109" s="283">
        <f t="shared" si="14"/>
        <v>-8.1421442757551032E-3</v>
      </c>
      <c r="O109" s="283">
        <f t="shared" si="24"/>
        <v>-6.1408884817830129</v>
      </c>
      <c r="P109" s="282">
        <f t="shared" si="25"/>
        <v>1.0586194321496807</v>
      </c>
      <c r="Q109" s="383">
        <v>0.06</v>
      </c>
      <c r="R109" s="383"/>
      <c r="S109" s="383"/>
      <c r="T109" s="383"/>
      <c r="U109" s="383"/>
      <c r="V109" s="383"/>
      <c r="W109" s="383"/>
      <c r="X109" s="384">
        <v>595992.85887780006</v>
      </c>
      <c r="Y109" s="385">
        <v>4.2999999999999997E-2</v>
      </c>
      <c r="Z109" s="386">
        <f>X109/X97-1</f>
        <v>0.28973990815307737</v>
      </c>
      <c r="AA109" s="281">
        <v>-5.0000000000000001E-3</v>
      </c>
      <c r="AB109" s="44">
        <f>(1+Z109)/(1+AA109)-1</f>
        <v>0.29622101321917316</v>
      </c>
      <c r="AC109" s="387">
        <v>28.169719354838708</v>
      </c>
      <c r="AD109" s="388">
        <f>AC109/AC97-1</f>
        <v>0.193155160251959</v>
      </c>
      <c r="AE109" s="382">
        <v>49.345176454322342</v>
      </c>
      <c r="AF109" s="389">
        <f t="shared" si="15"/>
        <v>1390.0397722332555</v>
      </c>
      <c r="AG109" s="30">
        <f t="shared" si="18"/>
        <v>-0.35117853620684669</v>
      </c>
      <c r="AH109" s="390">
        <f>'ІЦВ (Стрим Інфл)+'!AS133</f>
        <v>14179</v>
      </c>
      <c r="AI109" s="30">
        <f>AH109/AH97-1</f>
        <v>0.15618484279914302</v>
      </c>
      <c r="AJ109" s="31">
        <f t="shared" si="30"/>
        <v>0.15618484279914302</v>
      </c>
      <c r="AK109" s="30">
        <f t="shared" si="20"/>
        <v>-0.22585532239296946</v>
      </c>
      <c r="AM109">
        <v>0.9</v>
      </c>
      <c r="CH109" s="99">
        <v>0.9</v>
      </c>
    </row>
    <row r="110" spans="1:86">
      <c r="A110" s="1">
        <v>2021</v>
      </c>
      <c r="B110" s="1">
        <v>1</v>
      </c>
      <c r="C110" s="1">
        <v>1</v>
      </c>
      <c r="D110" t="str">
        <f t="shared" si="26"/>
        <v>2021M1</v>
      </c>
      <c r="E110" s="33">
        <f t="shared" si="17"/>
        <v>1.3000000000000001E-2</v>
      </c>
      <c r="F110" s="123">
        <v>6.0999999999999999E-2</v>
      </c>
      <c r="G110" s="123"/>
      <c r="H110" s="513">
        <f>H109*(1+I110)</f>
        <v>106.35722972704174</v>
      </c>
      <c r="I110" s="529">
        <v>1.2999999999999901E-2</v>
      </c>
      <c r="J110" s="103">
        <v>6.0999999999999999E-2</v>
      </c>
      <c r="K110" s="33">
        <f t="shared" si="28"/>
        <v>5.45782555812949E-2</v>
      </c>
      <c r="L110" s="29">
        <f>J110/K110</f>
        <v>1.1176612251584304</v>
      </c>
      <c r="M110" s="29">
        <f t="shared" si="31"/>
        <v>6.0999999999999999E-2</v>
      </c>
      <c r="N110" s="10">
        <f t="shared" si="14"/>
        <v>-4.3063252058711587E-2</v>
      </c>
      <c r="O110" s="10">
        <f t="shared" si="24"/>
        <v>-1.4165209798097413</v>
      </c>
      <c r="P110" s="103">
        <f t="shared" si="25"/>
        <v>1.1087462178483463</v>
      </c>
      <c r="R110" s="29">
        <f t="shared" ref="R110:R120" si="32">J110</f>
        <v>6.0999999999999999E-2</v>
      </c>
      <c r="X110" s="254">
        <f>'ІЦВ (Стрим Інфл)+'!AK134</f>
        <v>612696.52761580993</v>
      </c>
      <c r="Z110" s="4">
        <f t="shared" ref="Z110:Z121" si="33">X110/X98-1</f>
        <v>0.30428142215623111</v>
      </c>
      <c r="AA110" s="123">
        <f>'ІЦВ (Стрим Інфл)+'!$AO134</f>
        <v>-1.7350080429817508E-2</v>
      </c>
      <c r="AB110">
        <f t="shared" ref="AB110:AB121" si="34">(1+Z110)/(1+AA110)-1</f>
        <v>0.32731036372214062</v>
      </c>
      <c r="AC110">
        <f>'ІЦВ (Стрим Інфл)+'!$AH134</f>
        <v>28.219770967741901</v>
      </c>
      <c r="AD110" s="263">
        <f t="shared" ref="AD110:AD121" si="35">AC110/AC98-1</f>
        <v>0.17000537247630887</v>
      </c>
      <c r="AF110" s="119">
        <f t="shared" si="15"/>
        <v>0</v>
      </c>
      <c r="AH110" s="140">
        <f>'ІЦВ (Стрим Інфл)+'!AS134</f>
        <v>12337</v>
      </c>
      <c r="AI110" s="33">
        <f t="shared" ref="AI110:AI121" si="36">AH110/AH98-1</f>
        <v>0.1500885615735994</v>
      </c>
      <c r="AJ110" s="29">
        <f t="shared" si="30"/>
        <v>0.1500885615735994</v>
      </c>
      <c r="AK110" s="33">
        <f t="shared" si="20"/>
        <v>-1</v>
      </c>
      <c r="AM110">
        <v>1.3</v>
      </c>
      <c r="CH110" s="99">
        <v>1.3</v>
      </c>
    </row>
    <row r="111" spans="1:86">
      <c r="A111" s="1">
        <v>2021</v>
      </c>
      <c r="B111" s="1">
        <v>1</v>
      </c>
      <c r="C111" s="1">
        <v>2</v>
      </c>
      <c r="D111" t="str">
        <f t="shared" si="26"/>
        <v>2021M2</v>
      </c>
      <c r="E111" s="33">
        <f t="shared" si="17"/>
        <v>0.01</v>
      </c>
      <c r="F111" s="123">
        <v>7.4999999999999997E-2</v>
      </c>
      <c r="G111" s="123"/>
      <c r="H111" s="513">
        <f t="shared" si="29"/>
        <v>107.42080202431215</v>
      </c>
      <c r="I111" s="529">
        <v>1.0000000000000009E-2</v>
      </c>
      <c r="J111" s="103">
        <v>7.4999999999999997E-2</v>
      </c>
      <c r="K111" s="33">
        <f t="shared" si="28"/>
        <v>5.2250061478918718E-2</v>
      </c>
      <c r="L111" s="29">
        <f t="shared" ref="L111:L120" si="37">J111/K111</f>
        <v>1.4354050096239632</v>
      </c>
      <c r="M111" s="29">
        <f>K111*L111</f>
        <v>7.4999999999999997E-2</v>
      </c>
      <c r="N111" s="10">
        <f t="shared" si="14"/>
        <v>-7.500854124099296E-2</v>
      </c>
      <c r="O111" s="257">
        <v>-1.2</v>
      </c>
      <c r="R111" s="29">
        <f t="shared" si="32"/>
        <v>7.4999999999999997E-2</v>
      </c>
      <c r="X111" s="254">
        <f>'ІЦВ (Стрим Інфл)+'!AK135</f>
        <v>616036.92753105995</v>
      </c>
      <c r="Y111" s="29">
        <f>AVERAGE(Y98:Y109)</f>
        <v>6.6106553528756523E-2</v>
      </c>
      <c r="Z111" s="4">
        <f t="shared" si="33"/>
        <v>0.32950032962995546</v>
      </c>
      <c r="AA111" s="123">
        <f>'ІЦВ (Стрим Інфл)+'!$AO135</f>
        <v>-1.3797583744952834E-2</v>
      </c>
      <c r="AB111">
        <f t="shared" si="34"/>
        <v>0.34810086420040398</v>
      </c>
      <c r="AC111">
        <f>'ІЦВ (Стрим Інфл)+'!$AH135</f>
        <v>27.884660714285701</v>
      </c>
      <c r="AD111" s="101">
        <f t="shared" si="35"/>
        <v>0.13368297723351574</v>
      </c>
      <c r="AF111" s="119">
        <f t="shared" si="15"/>
        <v>0</v>
      </c>
      <c r="AH111" s="140">
        <f>'ІЦВ (Стрим Інфл)+'!AS135</f>
        <v>12549</v>
      </c>
      <c r="AI111" s="33">
        <f t="shared" si="36"/>
        <v>0.15690974462985152</v>
      </c>
      <c r="AJ111" s="29">
        <f t="shared" si="30"/>
        <v>0.15690974462985152</v>
      </c>
      <c r="AK111" s="33">
        <f t="shared" si="20"/>
        <v>-1</v>
      </c>
      <c r="AM111">
        <v>1</v>
      </c>
      <c r="CH111" s="99">
        <v>1</v>
      </c>
    </row>
    <row r="112" spans="1:86">
      <c r="A112" s="1">
        <v>2021</v>
      </c>
      <c r="B112" s="1">
        <v>1</v>
      </c>
      <c r="C112" s="1">
        <v>3</v>
      </c>
      <c r="D112" t="str">
        <f t="shared" si="26"/>
        <v>2021M3</v>
      </c>
      <c r="E112" s="33">
        <f t="shared" si="17"/>
        <v>1.7000000000000001E-2</v>
      </c>
      <c r="F112" s="123">
        <v>7.4456249999999988E-2</v>
      </c>
      <c r="G112" s="123"/>
      <c r="H112" s="513">
        <f t="shared" si="29"/>
        <v>109.24695565872547</v>
      </c>
      <c r="I112" s="529">
        <v>1.7000000000000126E-2</v>
      </c>
      <c r="J112" s="103">
        <v>8.5000000000000006E-2</v>
      </c>
      <c r="K112" s="33">
        <f t="shared" si="28"/>
        <v>6.6890107778131175E-2</v>
      </c>
      <c r="L112" s="29">
        <f t="shared" si="37"/>
        <v>1.270740963401312</v>
      </c>
      <c r="M112" s="29">
        <f>K112*L112</f>
        <v>8.5000000000000006E-2</v>
      </c>
      <c r="N112" s="10">
        <f t="shared" si="14"/>
        <v>-2.6972352943563611E-2</v>
      </c>
      <c r="O112" s="257">
        <v>-2</v>
      </c>
      <c r="R112" s="29">
        <f t="shared" si="32"/>
        <v>8.5000000000000006E-2</v>
      </c>
      <c r="X112" s="120">
        <f>'ІЦВ (Стрим Інфл)+'!AK136</f>
        <v>608678.19999999995</v>
      </c>
      <c r="Z112" s="4">
        <f t="shared" si="33"/>
        <v>0.26321942201121251</v>
      </c>
      <c r="AA112" s="123">
        <f>'ІЦВ (Стрим Інфл)+'!$AO136</f>
        <v>1.2046222823793022E-2</v>
      </c>
      <c r="AB112">
        <f t="shared" si="34"/>
        <v>0.24818352514236031</v>
      </c>
      <c r="AC112">
        <f>'ІЦВ (Стрим Інфл)+'!$AH136</f>
        <v>27.795558064516101</v>
      </c>
      <c r="AD112" s="101">
        <f t="shared" si="35"/>
        <v>5.237199539657067E-2</v>
      </c>
      <c r="AE112" s="98"/>
      <c r="AF112" s="119">
        <f t="shared" si="15"/>
        <v>0</v>
      </c>
      <c r="AH112" s="140">
        <f>'ІЦВ (Стрим Інфл)+'!AS136</f>
        <v>13612</v>
      </c>
      <c r="AI112" s="33">
        <f t="shared" si="36"/>
        <v>0.18923641446793638</v>
      </c>
      <c r="AJ112" s="29">
        <f t="shared" si="30"/>
        <v>0.18923641446793638</v>
      </c>
      <c r="AK112" s="33">
        <f t="shared" si="20"/>
        <v>-1</v>
      </c>
      <c r="AM112">
        <v>1.7</v>
      </c>
      <c r="CH112" s="99">
        <v>1.7</v>
      </c>
    </row>
    <row r="113" spans="1:86">
      <c r="A113" s="1">
        <v>2021</v>
      </c>
      <c r="B113" s="1">
        <v>2</v>
      </c>
      <c r="C113" s="1">
        <v>4</v>
      </c>
      <c r="D113" t="str">
        <f t="shared" si="26"/>
        <v>2021M4</v>
      </c>
      <c r="E113" s="33">
        <f t="shared" si="17"/>
        <v>6.9999999999999993E-3</v>
      </c>
      <c r="F113" s="123">
        <v>7.6712499999999989E-2</v>
      </c>
      <c r="G113" s="123"/>
      <c r="H113" s="513">
        <f t="shared" si="29"/>
        <v>110.01168434833656</v>
      </c>
      <c r="I113" s="529">
        <v>7.0000000000001172E-3</v>
      </c>
      <c r="J113" s="103">
        <v>8.4000000000000005E-2</v>
      </c>
      <c r="K113" s="33">
        <f t="shared" si="28"/>
        <v>0.11878008419201436</v>
      </c>
      <c r="L113" s="29">
        <f t="shared" si="37"/>
        <v>0.70718926132607818</v>
      </c>
      <c r="M113" s="29">
        <f t="shared" ref="M113:M121" si="38">K113*L113</f>
        <v>8.4000000000000005E-2</v>
      </c>
      <c r="N113" s="10">
        <f t="shared" si="14"/>
        <v>0.10316179456971442</v>
      </c>
      <c r="O113">
        <v>1</v>
      </c>
      <c r="R113" s="29">
        <f t="shared" si="32"/>
        <v>8.4000000000000005E-2</v>
      </c>
      <c r="X113" s="120">
        <f>'ІЦВ (Стрим Інфл)+'!AK137</f>
        <v>621683.62517782894</v>
      </c>
      <c r="Z113" s="4">
        <f t="shared" si="33"/>
        <v>0.21419441078246404</v>
      </c>
      <c r="AA113" s="123">
        <f>'ІЦВ (Стрим Інфл)+'!$AO137</f>
        <v>0.1290732489909665</v>
      </c>
      <c r="AB113">
        <f t="shared" si="34"/>
        <v>7.539029187660673E-2</v>
      </c>
      <c r="AC113">
        <f>'ІЦВ (Стрим Інфл)+'!$AH137</f>
        <v>27.93</v>
      </c>
      <c r="AD113" s="101">
        <f t="shared" si="35"/>
        <v>2.5908380100585493E-2</v>
      </c>
      <c r="AF113" s="119">
        <f t="shared" si="15"/>
        <v>0</v>
      </c>
      <c r="AH113" s="140">
        <f>'ІЦВ (Стрим Інфл)+'!AS137</f>
        <v>13543</v>
      </c>
      <c r="AI113" s="33">
        <f t="shared" si="36"/>
        <v>0.29846596356663468</v>
      </c>
      <c r="AJ113" s="29">
        <f t="shared" si="30"/>
        <v>0.29846596356663468</v>
      </c>
      <c r="AK113" s="33">
        <f t="shared" si="20"/>
        <v>-1</v>
      </c>
      <c r="AM113">
        <v>0.7</v>
      </c>
      <c r="CH113" s="99">
        <v>0.7</v>
      </c>
    </row>
    <row r="114" spans="1:86">
      <c r="A114" s="1">
        <v>2021</v>
      </c>
      <c r="B114" s="1">
        <v>2</v>
      </c>
      <c r="C114" s="1">
        <v>5</v>
      </c>
      <c r="D114" t="str">
        <f t="shared" si="26"/>
        <v>2021M5</v>
      </c>
      <c r="E114" s="33">
        <f t="shared" si="17"/>
        <v>1.3000000000000001E-2</v>
      </c>
      <c r="F114" s="123">
        <v>7.896874999999999E-2</v>
      </c>
      <c r="G114" s="123"/>
      <c r="H114" s="513">
        <f t="shared" si="29"/>
        <v>111.44183624486492</v>
      </c>
      <c r="I114" s="529">
        <v>1.2999999999999901E-2</v>
      </c>
      <c r="J114" s="103">
        <v>9.5000000000000001E-2</v>
      </c>
      <c r="K114" s="33">
        <f t="shared" si="28"/>
        <v>0.10361300692315753</v>
      </c>
      <c r="L114" s="29">
        <f t="shared" si="37"/>
        <v>0.91687330404815692</v>
      </c>
      <c r="M114" s="29">
        <f t="shared" si="38"/>
        <v>9.5000000000000001E-2</v>
      </c>
      <c r="N114" s="10">
        <f>0.1540186+-0.8162613*AB114+0.4122748*AD114</f>
        <v>2.546061503010473E-2</v>
      </c>
      <c r="O114">
        <v>0.8</v>
      </c>
      <c r="R114" s="29">
        <f t="shared" si="32"/>
        <v>9.5000000000000001E-2</v>
      </c>
      <c r="X114" s="120">
        <f>'ІЦВ (Стрим Інфл)+'!AK138</f>
        <v>644141.86903595994</v>
      </c>
      <c r="Z114" s="4">
        <f t="shared" si="33"/>
        <v>0.23956360711090663</v>
      </c>
      <c r="AA114" s="123">
        <f>'ІЦВ (Стрим Інфл)+'!$AO138</f>
        <v>5.7381904989615908E-2</v>
      </c>
      <c r="AB114">
        <f t="shared" si="34"/>
        <v>0.17229508209059041</v>
      </c>
      <c r="AC114">
        <f>'ІЦВ (Стрим Інфл)+'!$AH138</f>
        <v>27.6</v>
      </c>
      <c r="AD114" s="101">
        <f t="shared" si="35"/>
        <v>2.9300414968309374E-2</v>
      </c>
      <c r="AF114" s="119">
        <f t="shared" si="15"/>
        <v>0</v>
      </c>
      <c r="AH114" s="140">
        <f>'ІЦВ (Стрим Інфл)+'!AS138</f>
        <v>13499</v>
      </c>
      <c r="AI114" s="33">
        <f t="shared" si="36"/>
        <v>0.28049705938152147</v>
      </c>
      <c r="AJ114" s="29">
        <f t="shared" si="30"/>
        <v>0.28049705938152147</v>
      </c>
      <c r="AK114" s="33">
        <f t="shared" si="20"/>
        <v>-1</v>
      </c>
      <c r="AM114">
        <v>1.3</v>
      </c>
      <c r="CH114" s="99">
        <v>1.3</v>
      </c>
    </row>
    <row r="115" spans="1:86">
      <c r="A115" s="1">
        <v>2021</v>
      </c>
      <c r="B115" s="1">
        <v>2</v>
      </c>
      <c r="C115" s="1">
        <v>6</v>
      </c>
      <c r="D115" t="str">
        <f t="shared" si="26"/>
        <v>2021M6</v>
      </c>
      <c r="E115" s="33">
        <f t="shared" si="17"/>
        <v>2E-3</v>
      </c>
      <c r="F115" s="123">
        <v>8.1224999999999992E-2</v>
      </c>
      <c r="G115" s="123"/>
      <c r="H115" s="513">
        <f t="shared" si="29"/>
        <v>111.66471991735465</v>
      </c>
      <c r="I115" s="529">
        <v>2.0000000000000018E-3</v>
      </c>
      <c r="J115" s="103">
        <v>9.5000000000000001E-2</v>
      </c>
      <c r="K115" s="33">
        <f>-0.0958005*AB115+0.0733532*AD115+0.3412766*AI115+0.0222426</f>
        <v>8.6649025741499311E-2</v>
      </c>
      <c r="L115" s="29">
        <f t="shared" si="37"/>
        <v>1.0963770127481203</v>
      </c>
      <c r="M115" s="29">
        <f>K115*L115</f>
        <v>9.4999999999999987E-2</v>
      </c>
      <c r="N115" s="10">
        <f>0.1540186+-0.8162613*AB115+0.4122748*AD115</f>
        <v>1.1960579913918443E-2</v>
      </c>
      <c r="O115">
        <v>0.8</v>
      </c>
      <c r="Q115" s="33"/>
      <c r="R115" s="29">
        <f t="shared" si="32"/>
        <v>9.5000000000000001E-2</v>
      </c>
      <c r="S115" s="33"/>
      <c r="T115" s="33"/>
      <c r="U115" s="33"/>
      <c r="V115" s="33"/>
      <c r="W115" s="33"/>
      <c r="X115" s="120">
        <f>'ІЦВ (Стрим Інфл)+'!AK139</f>
        <v>645019.00763998996</v>
      </c>
      <c r="Z115" s="4">
        <f t="shared" si="33"/>
        <v>0.21095696153930987</v>
      </c>
      <c r="AA115" s="123">
        <f>'ІЦВ (Стрим Інфл)+'!$AO139</f>
        <v>2.2676195510342809E-2</v>
      </c>
      <c r="AB115">
        <f t="shared" si="34"/>
        <v>0.1841059436560073</v>
      </c>
      <c r="AC115">
        <f>'ІЦВ (Стрим Інфл)+'!$AH139</f>
        <v>27.239873333333321</v>
      </c>
      <c r="AD115" s="101">
        <f t="shared" si="35"/>
        <v>1.9939459846436636E-2</v>
      </c>
      <c r="AF115" s="119">
        <f t="shared" si="15"/>
        <v>0</v>
      </c>
      <c r="AH115" s="140">
        <f>'ІЦВ (Стрим Інфл)+'!AS139</f>
        <v>14313</v>
      </c>
      <c r="AI115" s="33">
        <f t="shared" si="36"/>
        <v>0.23611710855859736</v>
      </c>
      <c r="AJ115" s="29">
        <f t="shared" si="30"/>
        <v>0.23611710855859736</v>
      </c>
      <c r="AK115" s="33">
        <f t="shared" si="20"/>
        <v>-1</v>
      </c>
      <c r="AM115">
        <v>0.2</v>
      </c>
      <c r="CH115" s="99">
        <v>0.2</v>
      </c>
    </row>
    <row r="116" spans="1:86">
      <c r="A116" s="1">
        <v>2021</v>
      </c>
      <c r="B116" s="1">
        <v>3</v>
      </c>
      <c r="C116" s="1">
        <v>7</v>
      </c>
      <c r="D116" t="str">
        <f t="shared" si="26"/>
        <v>2021M7</v>
      </c>
      <c r="E116" s="33">
        <f t="shared" si="17"/>
        <v>1E-3</v>
      </c>
      <c r="F116" s="123">
        <v>8.1224999999999992E-2</v>
      </c>
      <c r="G116" s="123"/>
      <c r="H116" s="513">
        <f t="shared" si="29"/>
        <v>111.77638463727199</v>
      </c>
      <c r="I116" s="529">
        <v>9.9999999999988987E-4</v>
      </c>
      <c r="J116" s="103">
        <v>0.10199999999999999</v>
      </c>
      <c r="K116" s="33">
        <f t="shared" si="28"/>
        <v>8.0880525626324168E-2</v>
      </c>
      <c r="L116" s="29">
        <f t="shared" si="37"/>
        <v>1.2611194006237032</v>
      </c>
      <c r="M116" s="29">
        <f t="shared" si="38"/>
        <v>0.10200000000000001</v>
      </c>
      <c r="N116" s="10">
        <f>0.1540186+-0.8162613*AB116+0.4122748*AD116</f>
        <v>2.8448956703317482E-2</v>
      </c>
      <c r="O116">
        <v>1</v>
      </c>
      <c r="Q116" s="33"/>
      <c r="R116" s="29">
        <f t="shared" si="32"/>
        <v>0.10199999999999999</v>
      </c>
      <c r="S116" s="33"/>
      <c r="T116" s="33"/>
      <c r="U116" s="33"/>
      <c r="V116" s="33"/>
      <c r="W116" s="33"/>
      <c r="X116" s="120">
        <f>'ІЦВ (Стрим Інфл)+'!AK140</f>
        <v>648425</v>
      </c>
      <c r="Y116" s="82"/>
      <c r="Z116" s="4">
        <f t="shared" si="33"/>
        <v>0.18130347524963186</v>
      </c>
      <c r="AA116" s="123">
        <f>'ІЦВ (Стрим Інфл)+'!$AO140</f>
        <v>2.5421474220125244E-2</v>
      </c>
      <c r="AB116" s="82">
        <f t="shared" si="34"/>
        <v>0.15201749226878758</v>
      </c>
      <c r="AC116">
        <f>'ІЦВ (Стрим Інфл)+'!$AH140</f>
        <v>27.214548387096801</v>
      </c>
      <c r="AD116" s="101">
        <f t="shared" si="35"/>
        <v>-3.5986857179289844E-3</v>
      </c>
      <c r="AE116" s="82"/>
      <c r="AF116" s="119">
        <f t="shared" si="15"/>
        <v>0</v>
      </c>
      <c r="AG116" s="82"/>
      <c r="AH116" s="140">
        <f>'ІЦВ (Стрим Інфл)+'!AS140</f>
        <v>14345</v>
      </c>
      <c r="AI116" s="33">
        <f t="shared" si="36"/>
        <v>0.21526601152151814</v>
      </c>
      <c r="AJ116" s="29">
        <f t="shared" si="30"/>
        <v>0.21526601152151814</v>
      </c>
      <c r="AK116" s="33">
        <f t="shared" si="20"/>
        <v>-1</v>
      </c>
      <c r="AM116">
        <v>0.1</v>
      </c>
      <c r="CH116" s="99">
        <v>0.1</v>
      </c>
    </row>
    <row r="117" spans="1:86">
      <c r="A117" s="1">
        <v>2021</v>
      </c>
      <c r="B117" s="1">
        <v>3</v>
      </c>
      <c r="C117" s="1">
        <v>8</v>
      </c>
      <c r="D117" t="str">
        <f t="shared" si="26"/>
        <v>2021M8</v>
      </c>
      <c r="E117" s="33">
        <f t="shared" si="17"/>
        <v>-2E-3</v>
      </c>
      <c r="F117" s="123">
        <v>7.7615000000000003E-2</v>
      </c>
      <c r="G117" s="123"/>
      <c r="H117" s="513">
        <f t="shared" si="29"/>
        <v>111.55283186799744</v>
      </c>
      <c r="I117" s="529">
        <v>-2.0000000000000018E-3</v>
      </c>
      <c r="J117" s="103">
        <v>0.10199999999999999</v>
      </c>
      <c r="K117" s="33">
        <f>-0.0958005*AB117+0.0733532*AD117+0.3412766*AI117+0.0222426</f>
        <v>8.57583947226295E-2</v>
      </c>
      <c r="L117" s="29">
        <f t="shared" si="37"/>
        <v>1.1893879349059777</v>
      </c>
      <c r="M117" s="29">
        <f t="shared" si="38"/>
        <v>0.10199999999999999</v>
      </c>
      <c r="N117" s="10">
        <f t="shared" si="14"/>
        <v>5.3011655145241102E-2</v>
      </c>
      <c r="O117">
        <v>1</v>
      </c>
      <c r="Q117" s="33"/>
      <c r="R117" s="29">
        <f t="shared" si="32"/>
        <v>0.10199999999999999</v>
      </c>
      <c r="S117" s="33"/>
      <c r="T117" s="33"/>
      <c r="U117" s="33"/>
      <c r="V117" s="33"/>
      <c r="W117" s="33"/>
      <c r="X117" s="120">
        <f>'ІЦВ (Стрим Інфл)+'!AK141</f>
        <v>654730.97259354999</v>
      </c>
      <c r="Z117" s="4">
        <f t="shared" si="33"/>
        <v>0.16433253729888553</v>
      </c>
      <c r="AA117" s="123">
        <f>'ІЦВ (Стрим Інфл)+'!$AO141</f>
        <v>4.9165891630436151E-2</v>
      </c>
      <c r="AB117">
        <f t="shared" si="34"/>
        <v>0.10976971953355918</v>
      </c>
      <c r="AC117">
        <f>'ІЦВ (Стрим Інфл)+'!$AH141</f>
        <v>26.76</v>
      </c>
      <c r="AD117" s="101">
        <f t="shared" si="35"/>
        <v>-2.7666427556718221E-2</v>
      </c>
      <c r="AF117" s="119">
        <f t="shared" si="15"/>
        <v>0</v>
      </c>
      <c r="AH117" s="140">
        <f>'ІЦВ (Стрим Інфл)+'!AS141</f>
        <v>13997</v>
      </c>
      <c r="AI117" s="33">
        <f t="shared" si="36"/>
        <v>0.22287261925563517</v>
      </c>
      <c r="AJ117" s="29">
        <f t="shared" si="30"/>
        <v>0.22287261925563517</v>
      </c>
      <c r="AK117" s="33">
        <f t="shared" si="20"/>
        <v>-1</v>
      </c>
      <c r="AM117">
        <v>-0.2</v>
      </c>
      <c r="CH117" s="99">
        <v>-0.2</v>
      </c>
    </row>
    <row r="118" spans="1:86">
      <c r="A118" s="1">
        <v>2021</v>
      </c>
      <c r="B118" s="1">
        <v>3</v>
      </c>
      <c r="C118" s="1">
        <v>9</v>
      </c>
      <c r="D118" t="str">
        <f t="shared" si="26"/>
        <v>2021M9</v>
      </c>
      <c r="E118" s="33">
        <f t="shared" si="17"/>
        <v>1.2E-2</v>
      </c>
      <c r="F118" s="123">
        <v>7.4004999999999987E-2</v>
      </c>
      <c r="G118" s="123"/>
      <c r="H118" s="513">
        <f t="shared" si="29"/>
        <v>112.89146585041341</v>
      </c>
      <c r="I118" s="529">
        <v>1.2000000000000011E-2</v>
      </c>
      <c r="J118" s="103">
        <v>0.11</v>
      </c>
      <c r="K118" s="33">
        <f>-0.0958005*AB118+0.0733532*AD118+0.3412766*AI118+0.0222426</f>
        <v>6.8269600316926832E-2</v>
      </c>
      <c r="L118" s="29">
        <f t="shared" si="37"/>
        <v>1.6112588837395976</v>
      </c>
      <c r="M118" s="29">
        <f t="shared" si="38"/>
        <v>0.11</v>
      </c>
      <c r="N118" s="10">
        <f>0.1540186+-0.8162613*AB118+0.4122748*AD118</f>
        <v>9.6628851655515859E-3</v>
      </c>
      <c r="O118">
        <v>1</v>
      </c>
      <c r="Q118" s="33"/>
      <c r="R118" s="29">
        <f t="shared" si="32"/>
        <v>0.11</v>
      </c>
      <c r="S118" s="33"/>
      <c r="T118" s="33"/>
      <c r="U118" s="33"/>
      <c r="V118" s="33"/>
      <c r="W118" s="33"/>
      <c r="X118" s="120">
        <f>'ІЦВ (Стрим Інфл)+'!AK142</f>
        <v>644383.72109488992</v>
      </c>
      <c r="Z118" s="4">
        <f t="shared" si="33"/>
        <v>0.13471849327823548</v>
      </c>
      <c r="AA118" s="123">
        <f>'ІЦВ (Стрим Інфл)+'!$AO142</f>
        <v>-1.7000000000000001E-2</v>
      </c>
      <c r="AB118">
        <f t="shared" si="34"/>
        <v>0.15434231259230469</v>
      </c>
      <c r="AC118">
        <f>'ІЦВ (Стрим Інфл)+'!$AH142</f>
        <v>26.73</v>
      </c>
      <c r="AD118" s="101">
        <f t="shared" si="35"/>
        <v>-4.4562651204602899E-2</v>
      </c>
      <c r="AF118" s="119">
        <f t="shared" si="15"/>
        <v>0</v>
      </c>
      <c r="AH118" s="140">
        <f>'ІЦВ (Стрим Інфл)+'!AS142</f>
        <v>14239</v>
      </c>
      <c r="AI118" s="33">
        <f t="shared" si="36"/>
        <v>0.18777110443777101</v>
      </c>
      <c r="AJ118" s="29">
        <f t="shared" si="30"/>
        <v>0.18777110443777101</v>
      </c>
      <c r="AK118" s="33">
        <f t="shared" si="20"/>
        <v>-1</v>
      </c>
      <c r="AM118">
        <v>1.2</v>
      </c>
      <c r="CH118" s="99">
        <v>1.2</v>
      </c>
    </row>
    <row r="119" spans="1:86">
      <c r="A119" s="1">
        <v>2021</v>
      </c>
      <c r="B119" s="1">
        <v>4</v>
      </c>
      <c r="C119" s="1">
        <v>10</v>
      </c>
      <c r="D119" t="str">
        <f t="shared" si="26"/>
        <v>2021M10</v>
      </c>
      <c r="E119" s="33">
        <f t="shared" si="17"/>
        <v>9.0000000000000011E-3</v>
      </c>
      <c r="F119" s="123">
        <v>7.0394999999999985E-2</v>
      </c>
      <c r="G119" s="123"/>
      <c r="H119" s="513">
        <f t="shared" si="29"/>
        <v>113.90748904306714</v>
      </c>
      <c r="I119" s="529">
        <v>9.000000000000119E-3</v>
      </c>
      <c r="J119" s="103">
        <v>0.109</v>
      </c>
      <c r="K119" s="33">
        <f>-0.0958005*AB119+0.0733532*AD119+0.3412766*AI119+0.0222426</f>
        <v>6.4777185091467071E-2</v>
      </c>
      <c r="L119" s="29">
        <f t="shared" si="37"/>
        <v>1.6826912105873257</v>
      </c>
      <c r="M119" s="29">
        <f>K119*L119</f>
        <v>0.109</v>
      </c>
      <c r="N119" s="10">
        <f t="shared" si="14"/>
        <v>8.4215530839639646E-2</v>
      </c>
      <c r="O119">
        <v>1</v>
      </c>
      <c r="R119" s="29">
        <f t="shared" si="32"/>
        <v>0.109</v>
      </c>
      <c r="X119" s="120">
        <f>'ІЦВ (Стрим Інфл)+'!AK143</f>
        <v>653973.42193310999</v>
      </c>
      <c r="Z119" s="4">
        <f t="shared" si="33"/>
        <v>0.12420173910973631</v>
      </c>
      <c r="AA119" s="123">
        <f>'ІЦВ (Стрим Інфл)+'!$AO143</f>
        <v>7.0000000000000007E-2</v>
      </c>
      <c r="AB119">
        <f t="shared" si="34"/>
        <v>5.0655830943678648E-2</v>
      </c>
      <c r="AC119">
        <f>'ІЦВ (Стрим Інфл)+'!$AH143</f>
        <v>26.37</v>
      </c>
      <c r="AD119" s="101">
        <f t="shared" si="35"/>
        <v>-6.9018709709380732E-2</v>
      </c>
      <c r="AF119" s="119">
        <f t="shared" si="15"/>
        <v>0</v>
      </c>
      <c r="AH119" s="140">
        <f>'ІЦВ (Стрим Інфл)+'!AS143</f>
        <v>14045</v>
      </c>
      <c r="AI119" s="33">
        <f t="shared" si="36"/>
        <v>0.15368818794151462</v>
      </c>
      <c r="AJ119" s="29">
        <f t="shared" si="30"/>
        <v>0.15368818794151462</v>
      </c>
      <c r="AK119" s="33">
        <f t="shared" si="20"/>
        <v>-1</v>
      </c>
      <c r="AM119">
        <v>0.9</v>
      </c>
      <c r="CH119" s="99">
        <v>0.9</v>
      </c>
    </row>
    <row r="120" spans="1:86">
      <c r="A120" s="1">
        <v>2021</v>
      </c>
      <c r="B120" s="1">
        <v>4</v>
      </c>
      <c r="C120" s="1">
        <v>11</v>
      </c>
      <c r="D120" t="str">
        <f t="shared" si="26"/>
        <v>2021M11</v>
      </c>
      <c r="E120" s="33">
        <f t="shared" si="17"/>
        <v>8.0000000000000002E-3</v>
      </c>
      <c r="F120" s="123">
        <v>6.6784999999999997E-2</v>
      </c>
      <c r="G120" s="123"/>
      <c r="H120" s="514">
        <f>(J120+1)*H108</f>
        <v>114.77357718238427</v>
      </c>
      <c r="I120" s="530">
        <f>H120/H119-1</f>
        <v>7.6034345642512768E-3</v>
      </c>
      <c r="J120" s="103">
        <v>0.10299999999999999</v>
      </c>
      <c r="K120" s="33">
        <f>-0.0958005*AB120+0.0733532*AD120+0.3412766*AI120+0.0222426</f>
        <v>7.8956825895409533E-2</v>
      </c>
      <c r="L120" s="371">
        <f t="shared" si="37"/>
        <v>1.3045103932678264</v>
      </c>
      <c r="M120" s="29">
        <f>K120*L120</f>
        <v>0.10299999999999998</v>
      </c>
      <c r="N120" s="10">
        <f t="shared" si="14"/>
        <v>9.0244718478758618E-2</v>
      </c>
      <c r="O120">
        <v>1</v>
      </c>
      <c r="R120" s="29">
        <f t="shared" si="32"/>
        <v>0.10299999999999999</v>
      </c>
      <c r="X120" s="120">
        <f>'ІЦВ (Стрим Інфл)+'!AK144</f>
        <v>655456.80323993997</v>
      </c>
      <c r="Z120" s="4">
        <f t="shared" si="33"/>
        <v>0.11801216450976515</v>
      </c>
      <c r="AA120" s="123">
        <f>'ІЦВ (Стрим Інфл)+'!$AO144</f>
        <v>7.0000000000000007E-2</v>
      </c>
      <c r="AB120">
        <f t="shared" si="34"/>
        <v>4.4871181784827074E-2</v>
      </c>
      <c r="AC120">
        <f>'ІЦВ (Стрим Інфл)+'!$AH144</f>
        <v>26.446000000000002</v>
      </c>
      <c r="AD120" s="101">
        <f t="shared" si="35"/>
        <v>-6.5847518075376255E-2</v>
      </c>
      <c r="AF120" s="119">
        <f t="shared" si="15"/>
        <v>0</v>
      </c>
      <c r="AH120" s="140">
        <f>'ІЦВ (Стрим Інфл)+'!AS144</f>
        <v>14300.160072592294</v>
      </c>
      <c r="AI120" s="33">
        <f t="shared" si="36"/>
        <v>0.19293158015777689</v>
      </c>
      <c r="AJ120" s="29">
        <f t="shared" si="30"/>
        <v>0.19293158015777689</v>
      </c>
      <c r="AK120" s="33">
        <f t="shared" si="20"/>
        <v>-1</v>
      </c>
      <c r="AM120">
        <v>0.8</v>
      </c>
      <c r="CH120" s="99">
        <v>0.8</v>
      </c>
    </row>
    <row r="121" spans="1:86" ht="18.75" thickBot="1">
      <c r="A121" s="1">
        <v>2021</v>
      </c>
      <c r="B121" s="1">
        <v>4</v>
      </c>
      <c r="C121" s="1">
        <v>12</v>
      </c>
      <c r="D121" t="str">
        <f t="shared" si="26"/>
        <v>2021M12</v>
      </c>
      <c r="E121" s="33">
        <f t="shared" si="17"/>
        <v>6.0000000000000001E-3</v>
      </c>
      <c r="F121" s="123">
        <v>6.1369999999999994E-2</v>
      </c>
      <c r="G121" s="123"/>
      <c r="H121" s="515">
        <f>(J121+1)*H109</f>
        <v>115.49156238869293</v>
      </c>
      <c r="I121" s="531">
        <f>H121/H120-1</f>
        <v>6.2556663644606214E-3</v>
      </c>
      <c r="J121" s="103">
        <v>0.1</v>
      </c>
      <c r="K121" s="33">
        <f t="shared" si="28"/>
        <v>8.9016506245615259E-2</v>
      </c>
      <c r="L121" s="297">
        <v>1.5</v>
      </c>
      <c r="M121" s="29">
        <f t="shared" si="38"/>
        <v>0.1335247593684229</v>
      </c>
      <c r="N121" s="10">
        <f t="shared" si="14"/>
        <v>5.877786214837822E-2</v>
      </c>
      <c r="O121">
        <v>1</v>
      </c>
      <c r="R121" s="29">
        <f>J121</f>
        <v>0.1</v>
      </c>
      <c r="X121" s="120">
        <f>'ІЦВ (Стрим Інфл)+'!AK145</f>
        <v>668382.80699214095</v>
      </c>
      <c r="Z121" s="4">
        <f t="shared" si="33"/>
        <v>0.1214610998035186</v>
      </c>
      <c r="AA121" s="123">
        <f>'ІЦВ (Стрим Інфл)+'!$AO145</f>
        <v>0.02</v>
      </c>
      <c r="AB121">
        <f t="shared" si="34"/>
        <v>9.9471666474037823E-2</v>
      </c>
      <c r="AC121">
        <f>'ІЦВ (Стрим Інфл)+'!$AH145</f>
        <v>27.21</v>
      </c>
      <c r="AD121" s="101">
        <f t="shared" si="35"/>
        <v>-3.406918410331472E-2</v>
      </c>
      <c r="AF121" s="119">
        <f t="shared" si="15"/>
        <v>0</v>
      </c>
      <c r="AH121" s="140">
        <f>'ІЦВ (Стрим Інфл)+'!AS145</f>
        <v>17453</v>
      </c>
      <c r="AI121" s="33">
        <f t="shared" si="36"/>
        <v>0.23090485929896332</v>
      </c>
      <c r="AJ121" s="29">
        <f t="shared" si="30"/>
        <v>0.23090485929896332</v>
      </c>
      <c r="AK121" s="33">
        <f t="shared" si="20"/>
        <v>-1</v>
      </c>
      <c r="AM121">
        <v>0.6</v>
      </c>
      <c r="CH121" s="99">
        <v>0.6</v>
      </c>
    </row>
    <row r="122" spans="1:86" ht="18.75" thickBot="1">
      <c r="L122" s="264">
        <f>(L121/L119)^(1/2)</f>
        <v>0.94415525875507789</v>
      </c>
      <c r="O122" s="159">
        <f>(O109/O106)^(1/3)</f>
        <v>2.4778208711929954</v>
      </c>
      <c r="AM122">
        <v>1.3</v>
      </c>
      <c r="CH122" s="760">
        <v>1.3</v>
      </c>
    </row>
    <row r="123" spans="1:86" s="13" customFormat="1" ht="54">
      <c r="F123" s="519" t="s">
        <v>447</v>
      </c>
      <c r="G123" s="526" t="s">
        <v>345</v>
      </c>
      <c r="H123" s="469" t="s">
        <v>273</v>
      </c>
      <c r="I123" s="399" t="s">
        <v>421</v>
      </c>
      <c r="O123" s="759" t="s">
        <v>273</v>
      </c>
      <c r="P123" s="690" t="s">
        <v>479</v>
      </c>
      <c r="R123" s="469" t="s">
        <v>273</v>
      </c>
      <c r="AM123">
        <v>1.6</v>
      </c>
      <c r="AN123" s="36" t="s">
        <v>3</v>
      </c>
      <c r="AO123" s="36" t="s">
        <v>444</v>
      </c>
      <c r="AQ123" s="36" t="s">
        <v>4</v>
      </c>
      <c r="CH123" s="760">
        <v>1.6</v>
      </c>
    </row>
    <row r="124" spans="1:86" ht="18.75">
      <c r="A124" s="1">
        <v>2022</v>
      </c>
      <c r="B124" s="1">
        <v>1</v>
      </c>
      <c r="C124" s="1">
        <v>1</v>
      </c>
      <c r="D124" t="str">
        <f t="shared" ref="D124:D135" si="39">A124&amp;"M"&amp;C124</f>
        <v>2022M1</v>
      </c>
      <c r="E124" s="33">
        <f>F124/$H$121-1</f>
        <v>1.2999999999999901E-2</v>
      </c>
      <c r="F124" s="534">
        <f>(R124+1)*H110</f>
        <v>116.99295269974593</v>
      </c>
      <c r="G124" s="532">
        <f>F124/H121-1</f>
        <v>1.2999999999999901E-2</v>
      </c>
      <c r="H124" s="762">
        <f>CH122/100</f>
        <v>1.3000000000000001E-2</v>
      </c>
      <c r="J124" s="381">
        <f t="shared" ref="J124:J135" si="40">M124*$M$177</f>
        <v>9.2129788178948915E-2</v>
      </c>
      <c r="K124" s="381">
        <f t="shared" ref="K124:K135" si="41">-0.0958005*AB124+0.0733532*AD124+0.3412766*AI124+0.0222426</f>
        <v>7.6774823482457427E-2</v>
      </c>
      <c r="L124" s="397">
        <v>1.2</v>
      </c>
      <c r="M124" s="396">
        <f t="shared" ref="M124:M135" si="42">K124*L124</f>
        <v>9.2129788178948915E-2</v>
      </c>
      <c r="R124" s="486">
        <v>0.1</v>
      </c>
      <c r="S124" s="33">
        <f t="shared" ref="S124:S134" si="43">-1.42148*Z124+0.957716*AD124-0.0233571*AP124+0.3870935</f>
        <v>0.1888109753545715</v>
      </c>
      <c r="T124" s="29">
        <f>R124/S124</f>
        <v>0.52963022839222251</v>
      </c>
      <c r="U124" s="33"/>
      <c r="X124">
        <f>'ІЦВ (Стрим Інфл)+'!AK148</f>
        <v>692826.35255078005</v>
      </c>
      <c r="Z124" s="33">
        <f>X124/X110-1</f>
        <v>0.13078224100074443</v>
      </c>
      <c r="AA124" s="123">
        <f>'ІЦВ (Стрим Інфл)+'!$AO148</f>
        <v>5.5742132419516734E-2</v>
      </c>
      <c r="AB124">
        <f t="shared" ref="AB124:AB135" si="44">(1+Z124)/(1+AA124)-1</f>
        <v>7.1078065634506027E-2</v>
      </c>
      <c r="AC124">
        <f>'ІЦВ (Стрим Інфл)+'!$AH148</f>
        <v>27.98</v>
      </c>
      <c r="AD124">
        <f>AC124/AC110-1</f>
        <v>-8.4965596643566954E-3</v>
      </c>
      <c r="AH124" s="140">
        <f>'ІЦВ (Стрим Інфл)+'!AS148</f>
        <v>14577</v>
      </c>
      <c r="AI124" s="33">
        <f>AH124/AH110-1</f>
        <v>0.18156764205236287</v>
      </c>
      <c r="AM124">
        <v>4.5</v>
      </c>
      <c r="AN124" s="33">
        <f>'ІЦВ (Стрим Інфл)+'!AW148</f>
        <v>-0.1509552542239927</v>
      </c>
      <c r="AO124" s="140">
        <f>'ІЦВ (Стрим Інфл)+'!AX148</f>
        <v>14577</v>
      </c>
      <c r="AP124" s="33">
        <f>'ІЦВ (Стрим Інфл)+'!AY148</f>
        <v>0.18156764205236287</v>
      </c>
      <c r="AQ124" s="126">
        <f>(1+Z124)/(1+AN124)-1</f>
        <v>0.33182879539197385</v>
      </c>
      <c r="CH124" s="760">
        <v>4.5</v>
      </c>
    </row>
    <row r="125" spans="1:86" ht="18.75">
      <c r="A125" s="1">
        <v>2022</v>
      </c>
      <c r="B125" s="1">
        <v>1</v>
      </c>
      <c r="C125" s="1">
        <v>2</v>
      </c>
      <c r="D125" t="str">
        <f t="shared" si="39"/>
        <v>2022M2</v>
      </c>
      <c r="E125" s="33">
        <f t="shared" ref="E125:E135" si="45">F125/$H$121-1</f>
        <v>2.9640827272726877E-2</v>
      </c>
      <c r="F125" s="534">
        <f t="shared" ref="F125:F133" si="46">(R125+1)*H111</f>
        <v>118.91482784091355</v>
      </c>
      <c r="G125" s="532">
        <f>F125/F124-1</f>
        <v>1.6427272727272513E-2</v>
      </c>
      <c r="H125" s="762">
        <f t="shared" ref="H125:H136" si="47">CH123/100</f>
        <v>1.6E-2</v>
      </c>
      <c r="J125" s="381">
        <f t="shared" si="40"/>
        <v>8.9854489357318379E-2</v>
      </c>
      <c r="K125" s="381">
        <f t="shared" si="41"/>
        <v>7.6130175241836642E-2</v>
      </c>
      <c r="L125" s="396">
        <f>L124*$L$136</f>
        <v>1.1802743008522547</v>
      </c>
      <c r="M125" s="396">
        <f t="shared" si="42"/>
        <v>8.9854489357318379E-2</v>
      </c>
      <c r="R125" s="486">
        <v>0.10700000000000003</v>
      </c>
      <c r="S125" s="123">
        <f t="shared" si="43"/>
        <v>-1.4722294039727413E-2</v>
      </c>
      <c r="T125" s="29">
        <f t="shared" ref="T125:T133" si="48">R125/S125</f>
        <v>-7.2678890743022517</v>
      </c>
      <c r="U125" s="33"/>
      <c r="V125" s="29">
        <f t="shared" ref="V125:V135" si="49">T125/T124</f>
        <v>-13.72257224887842</v>
      </c>
      <c r="W125" s="29"/>
      <c r="X125">
        <f>'ІЦВ (Стрим Інфл)+'!AK149</f>
        <v>790775.49494611006</v>
      </c>
      <c r="Z125">
        <f>X125/X111-1</f>
        <v>0.28364950152479285</v>
      </c>
      <c r="AA125" s="123">
        <f>'ІЦВ (Стрим Інфл)+'!$AO149</f>
        <v>5.5742132419516734E-2</v>
      </c>
      <c r="AB125">
        <f t="shared" si="44"/>
        <v>0.21587408715323808</v>
      </c>
      <c r="AC125">
        <f>'ІЦВ (Стрим Інфл)+'!$AH149</f>
        <v>28.41</v>
      </c>
      <c r="AD125">
        <f>AC125/AC110-1</f>
        <v>6.7409842721810609E-3</v>
      </c>
      <c r="AH125" s="140">
        <f>'ІЦВ (Стрим Інфл)+'!AS149</f>
        <v>15272.755373084912</v>
      </c>
      <c r="AI125" s="33">
        <f t="shared" ref="AI125:AI135" si="50">AH125/AH111-1</f>
        <v>0.21704959543269675</v>
      </c>
      <c r="AM125">
        <v>3.1</v>
      </c>
      <c r="AN125" s="33">
        <f>'ІЦВ (Стрим Інфл)+'!AW149</f>
        <v>-0.1509552542239927</v>
      </c>
      <c r="AO125" s="140">
        <f>'ІЦВ (Стрим Інфл)+'!AX149</f>
        <v>15272.75537308491</v>
      </c>
      <c r="AP125" s="33">
        <f>'ІЦВ (Стрим Інфл)+'!AY149</f>
        <v>0.21704959543269675</v>
      </c>
      <c r="AQ125" s="126">
        <f>(1+Z125)/(1+AN125)-1</f>
        <v>0.51187497232736168</v>
      </c>
      <c r="CH125" s="760">
        <v>3.1</v>
      </c>
    </row>
    <row r="126" spans="1:86" ht="18.75">
      <c r="A126" s="1">
        <v>2022</v>
      </c>
      <c r="B126" s="1">
        <v>1</v>
      </c>
      <c r="C126" s="1">
        <v>3</v>
      </c>
      <c r="D126" t="str">
        <f t="shared" si="39"/>
        <v>2022M3</v>
      </c>
      <c r="E126" s="33">
        <f t="shared" si="45"/>
        <v>7.5522627063636216E-2</v>
      </c>
      <c r="F126" s="534">
        <f t="shared" si="46"/>
        <v>124.21378858397085</v>
      </c>
      <c r="G126" s="532">
        <f t="shared" ref="G126:G134" si="51">F126/F125-1</f>
        <v>4.4560975609756248E-2</v>
      </c>
      <c r="H126" s="762">
        <f t="shared" si="47"/>
        <v>4.4999999999999998E-2</v>
      </c>
      <c r="I126">
        <v>7.5</v>
      </c>
      <c r="J126" s="381">
        <f t="shared" si="40"/>
        <v>9.3205295302218924E-2</v>
      </c>
      <c r="K126" s="381">
        <f t="shared" si="41"/>
        <v>8.0288978203601008E-2</v>
      </c>
      <c r="L126" s="396">
        <f t="shared" ref="L126:L134" si="52">L125*$L$136</f>
        <v>1.1608728543768989</v>
      </c>
      <c r="M126" s="396">
        <f t="shared" si="42"/>
        <v>9.3205295302218924E-2</v>
      </c>
      <c r="R126" s="486">
        <v>0.13700000000000004</v>
      </c>
      <c r="S126" s="33">
        <f t="shared" si="43"/>
        <v>0.14182691608627501</v>
      </c>
      <c r="T126" s="29">
        <f t="shared" si="48"/>
        <v>0.96596614930738034</v>
      </c>
      <c r="U126" s="33"/>
      <c r="V126" s="29">
        <f t="shared" si="49"/>
        <v>-0.13290876338809796</v>
      </c>
      <c r="W126" s="29"/>
      <c r="X126">
        <f>'ІЦВ (Стрим Інфл)+'!AK150</f>
        <v>732841.50363818998</v>
      </c>
      <c r="Z126">
        <f t="shared" ref="Z126:Z135" si="53">X126/X112-1</f>
        <v>0.20398841890212283</v>
      </c>
      <c r="AA126" s="123">
        <f>'ІЦВ (Стрим Інфл)+'!$AO150</f>
        <v>5.5742132419516734E-2</v>
      </c>
      <c r="AB126">
        <f t="shared" si="44"/>
        <v>0.1404190303013293</v>
      </c>
      <c r="AC126">
        <f>'ІЦВ (Стрим Інфл)+'!$AH150</f>
        <v>29.25</v>
      </c>
      <c r="AD126">
        <f t="shared" ref="AD126:AD135" si="54">AC126/AC111-1</f>
        <v>4.8963812029271692E-2</v>
      </c>
      <c r="AH126" s="140">
        <f>'ІЦВ (Стрим Інфл)+'!AS150</f>
        <v>16320.50464595284</v>
      </c>
      <c r="AI126" s="33">
        <f t="shared" si="50"/>
        <v>0.19897918351108146</v>
      </c>
      <c r="AM126">
        <v>2.7</v>
      </c>
      <c r="AN126" s="33">
        <f>'ІЦВ (Стрим Інфл)+'!AW150</f>
        <v>-0.1509552542239927</v>
      </c>
      <c r="AO126" s="140">
        <f>'ІЦВ (Стрим Інфл)+'!AX150</f>
        <v>14890.936488757787</v>
      </c>
      <c r="AP126" s="33">
        <f>'ІЦВ (Стрим Інфл)+'!AY150</f>
        <v>9.3956544869070457E-2</v>
      </c>
      <c r="AQ126" s="126">
        <f t="shared" ref="AQ126:AQ134" si="55">(1+Z126)/(1+AN126)-1</f>
        <v>0.41805060910153236</v>
      </c>
      <c r="CH126" s="760">
        <v>2.7</v>
      </c>
    </row>
    <row r="127" spans="1:86" ht="18.75">
      <c r="A127" s="1">
        <v>2022</v>
      </c>
      <c r="B127" s="1">
        <v>2</v>
      </c>
      <c r="C127" s="1">
        <v>4</v>
      </c>
      <c r="D127" t="str">
        <f t="shared" si="39"/>
        <v>2022M4</v>
      </c>
      <c r="E127" s="33">
        <f t="shared" si="45"/>
        <v>0.1087701814137092</v>
      </c>
      <c r="F127" s="534">
        <f t="shared" si="46"/>
        <v>128.05360058146377</v>
      </c>
      <c r="G127" s="532">
        <f t="shared" si="51"/>
        <v>3.091292875989482E-2</v>
      </c>
      <c r="H127" s="762">
        <f t="shared" si="47"/>
        <v>3.1E-2</v>
      </c>
      <c r="J127" s="381">
        <f t="shared" si="40"/>
        <v>6.9680348275039938E-2</v>
      </c>
      <c r="K127" s="381">
        <f t="shared" si="41"/>
        <v>6.1027271307896182E-2</v>
      </c>
      <c r="L127" s="396">
        <f t="shared" si="52"/>
        <v>1.141790330481713</v>
      </c>
      <c r="M127" s="396">
        <f t="shared" si="42"/>
        <v>6.9680348275039938E-2</v>
      </c>
      <c r="R127" s="486">
        <v>0.16400000000000006</v>
      </c>
      <c r="S127" s="33">
        <f t="shared" si="43"/>
        <v>0.17411540500095549</v>
      </c>
      <c r="T127" s="29">
        <f t="shared" si="48"/>
        <v>0.94190402049204136</v>
      </c>
      <c r="U127" s="33"/>
      <c r="V127" s="29">
        <f t="shared" si="49"/>
        <v>0.97509009106313704</v>
      </c>
      <c r="W127" s="29"/>
      <c r="X127">
        <f>'ІЦВ (Стрим Інфл)+'!AK151</f>
        <v>736288.22226537007</v>
      </c>
      <c r="Z127">
        <f t="shared" si="53"/>
        <v>0.1843455295364409</v>
      </c>
      <c r="AA127" s="123">
        <f>'ІЦВ (Стрим Інфл)+'!$AO151</f>
        <v>2.7655277974961485E-2</v>
      </c>
      <c r="AB127">
        <f t="shared" si="44"/>
        <v>0.15247355306756583</v>
      </c>
      <c r="AC127">
        <f>'ІЦВ (Стрим Інфл)+'!$AH151</f>
        <v>29.25</v>
      </c>
      <c r="AD127">
        <f t="shared" si="54"/>
        <v>5.2326416044894852E-2</v>
      </c>
      <c r="AH127" s="140">
        <f>'ІЦВ (Стрим Інфл)+'!AS151</f>
        <v>15509.4452487291</v>
      </c>
      <c r="AI127" s="33">
        <f t="shared" si="50"/>
        <v>0.14520012174031605</v>
      </c>
      <c r="AM127">
        <v>3.1</v>
      </c>
      <c r="AN127" s="33">
        <f>'ІЦВ (Стрим Інфл)+'!AW151</f>
        <v>-0.37493955369360166</v>
      </c>
      <c r="AO127" s="140">
        <f>'ІЦВ (Стрим Інфл)+'!AX151</f>
        <v>14150.920525117603</v>
      </c>
      <c r="AP127" s="33">
        <f>'ІЦВ (Стрим Інфл)+'!AY151</f>
        <v>4.4888172865509945E-2</v>
      </c>
      <c r="AQ127" s="126">
        <f t="shared" si="55"/>
        <v>0.89476959634058595</v>
      </c>
      <c r="CH127" s="760">
        <v>3.1</v>
      </c>
    </row>
    <row r="128" spans="1:86" ht="18.75">
      <c r="A128" s="1">
        <v>2022</v>
      </c>
      <c r="B128" s="1">
        <v>2</v>
      </c>
      <c r="C128" s="1">
        <v>5</v>
      </c>
      <c r="D128" t="str">
        <f t="shared" si="39"/>
        <v>2022M5</v>
      </c>
      <c r="E128" s="33">
        <f t="shared" si="45"/>
        <v>0.13862315176208129</v>
      </c>
      <c r="F128" s="534">
        <f t="shared" si="46"/>
        <v>131.50136676894058</v>
      </c>
      <c r="G128" s="532">
        <f t="shared" si="51"/>
        <v>2.6924398625429058E-2</v>
      </c>
      <c r="H128" s="762">
        <f t="shared" si="47"/>
        <v>2.7000000000000003E-2</v>
      </c>
      <c r="J128" s="381">
        <f t="shared" si="40"/>
        <v>7.7030609161710742E-2</v>
      </c>
      <c r="K128" s="381">
        <f t="shared" si="41"/>
        <v>6.8592284363751949E-2</v>
      </c>
      <c r="L128" s="396">
        <f t="shared" si="52"/>
        <v>1.1230214866909738</v>
      </c>
      <c r="M128" s="396">
        <f t="shared" si="42"/>
        <v>7.7030609161710742E-2</v>
      </c>
      <c r="P128" s="29"/>
      <c r="Q128" s="33">
        <v>0.1813519080675951</v>
      </c>
      <c r="R128" s="486">
        <v>0.18</v>
      </c>
      <c r="S128" s="33">
        <f t="shared" si="43"/>
        <v>0.22186537064422274</v>
      </c>
      <c r="T128" s="29">
        <f t="shared" si="48"/>
        <v>0.81130281610573241</v>
      </c>
      <c r="U128" s="33"/>
      <c r="V128" s="29">
        <f t="shared" si="49"/>
        <v>0.86134340490649552</v>
      </c>
      <c r="W128" s="29"/>
      <c r="X128">
        <f>'ІЦВ (Стрим Інфл)+'!AK152</f>
        <v>739020.79961753008</v>
      </c>
      <c r="Z128">
        <f t="shared" si="53"/>
        <v>0.14729508380439316</v>
      </c>
      <c r="AA128" s="123">
        <f>'ІЦВ (Стрим Інфл)+'!$AO152</f>
        <v>2.7655277974961485E-2</v>
      </c>
      <c r="AB128">
        <f t="shared" si="44"/>
        <v>0.11642017356752832</v>
      </c>
      <c r="AC128">
        <f>'ІЦВ (Стрим Інфл)+'!$AH152</f>
        <v>29.25</v>
      </c>
      <c r="AD128">
        <f t="shared" si="54"/>
        <v>4.7261009667024734E-2</v>
      </c>
      <c r="AH128" s="140">
        <f>'ІЦВ (Стрим Інфл)+'!AS152</f>
        <v>15636.364894632838</v>
      </c>
      <c r="AI128" s="33">
        <f t="shared" si="50"/>
        <v>0.15833505405088055</v>
      </c>
      <c r="AM128">
        <v>0.7</v>
      </c>
      <c r="AN128" s="33">
        <f>'ІЦВ (Стрим Інфл)+'!AW152</f>
        <v>-0.37493955369360166</v>
      </c>
      <c r="AO128" s="140">
        <f>'ІЦВ (Стрим Інфл)+'!AX152</f>
        <v>14142.674067935133</v>
      </c>
      <c r="AP128" s="33">
        <f>'ІЦВ (Стрим Інфл)+'!AY152</f>
        <v>4.7683092668726168E-2</v>
      </c>
      <c r="AQ128" s="126">
        <f t="shared" si="55"/>
        <v>0.83549461589511731</v>
      </c>
      <c r="CH128" s="760">
        <v>0.7</v>
      </c>
    </row>
    <row r="129" spans="1:86" ht="18.75">
      <c r="A129" s="1">
        <v>2022</v>
      </c>
      <c r="B129" s="1">
        <v>2</v>
      </c>
      <c r="C129" s="1">
        <v>6</v>
      </c>
      <c r="D129" t="str">
        <f t="shared" si="39"/>
        <v>2022M6</v>
      </c>
      <c r="E129" s="33">
        <f t="shared" si="45"/>
        <v>0.1747406641099245</v>
      </c>
      <c r="F129" s="534">
        <f t="shared" si="46"/>
        <v>135.6726346995859</v>
      </c>
      <c r="G129" s="532">
        <f t="shared" si="51"/>
        <v>3.1720338983050933E-2</v>
      </c>
      <c r="H129" s="762">
        <f t="shared" si="47"/>
        <v>3.1E-2</v>
      </c>
      <c r="I129">
        <v>6.8</v>
      </c>
      <c r="J129" s="381">
        <f t="shared" si="40"/>
        <v>7.9995750035479068E-2</v>
      </c>
      <c r="K129" s="381">
        <f t="shared" si="41"/>
        <v>7.2423105615869315E-2</v>
      </c>
      <c r="L129" s="396">
        <f t="shared" si="52"/>
        <v>1.1045611667052073</v>
      </c>
      <c r="M129" s="396">
        <f t="shared" si="42"/>
        <v>7.9995750035479068E-2</v>
      </c>
      <c r="P129" s="29"/>
      <c r="Q129" s="33">
        <v>0.18343065123003935</v>
      </c>
      <c r="R129" s="486">
        <v>0.215</v>
      </c>
      <c r="S129" s="33">
        <f t="shared" si="43"/>
        <v>0.25816062710787846</v>
      </c>
      <c r="T129" s="29">
        <f t="shared" si="48"/>
        <v>0.8328148347352643</v>
      </c>
      <c r="U129" s="33"/>
      <c r="V129" s="29">
        <f t="shared" si="49"/>
        <v>1.0265153999252585</v>
      </c>
      <c r="W129" s="29"/>
      <c r="X129">
        <f>'ІЦВ (Стрим Інфл)+'!AK153</f>
        <v>729369.66297767998</v>
      </c>
      <c r="Z129">
        <f t="shared" si="53"/>
        <v>0.13077235606794613</v>
      </c>
      <c r="AA129" s="123">
        <f>'ІЦВ (Стрим Інфл)+'!$AO153</f>
        <v>2.7655277974961485E-2</v>
      </c>
      <c r="AB129">
        <f t="shared" si="44"/>
        <v>0.10034208970948044</v>
      </c>
      <c r="AC129">
        <f>'ІЦВ (Стрим Інфл)+'!$AH153</f>
        <v>29.25</v>
      </c>
      <c r="AD129">
        <f t="shared" si="54"/>
        <v>5.9782608695652106E-2</v>
      </c>
      <c r="AH129" s="140">
        <f>'ІЦВ (Стрим Інфл)+'!AS153</f>
        <v>16636.792145062591</v>
      </c>
      <c r="AI129" s="33">
        <f t="shared" si="50"/>
        <v>0.16235535143314395</v>
      </c>
      <c r="AN129" s="33">
        <f>'ІЦВ (Стрим Інфл)+'!AW153</f>
        <v>-0.37493955369360166</v>
      </c>
      <c r="AO129" s="140">
        <f>'ІЦВ (Стрим Інфл)+'!AX153</f>
        <v>14495.210112485704</v>
      </c>
      <c r="AP129" s="33">
        <f>'ІЦВ (Стрим Інфл)+'!AY153</f>
        <v>1.2730392823705916E-2</v>
      </c>
      <c r="AQ129" s="126">
        <f t="shared" si="55"/>
        <v>0.80906080803848024</v>
      </c>
      <c r="CH129" s="760">
        <v>1.1000000000000001</v>
      </c>
    </row>
    <row r="130" spans="1:86" ht="18.75">
      <c r="A130" s="1">
        <v>2022</v>
      </c>
      <c r="B130" s="1">
        <v>3</v>
      </c>
      <c r="C130" s="1">
        <v>7</v>
      </c>
      <c r="D130" t="str">
        <f t="shared" si="39"/>
        <v>2022M7</v>
      </c>
      <c r="E130" s="33">
        <f t="shared" si="45"/>
        <v>0.18269022603610674</v>
      </c>
      <c r="F130" s="534">
        <f t="shared" si="46"/>
        <v>136.59074202674637</v>
      </c>
      <c r="G130" s="532">
        <f>F130/F129-1</f>
        <v>6.7670781893003351E-3</v>
      </c>
      <c r="H130" s="762">
        <f t="shared" si="47"/>
        <v>6.9999999999999993E-3</v>
      </c>
      <c r="J130" s="381">
        <f t="shared" si="40"/>
        <v>9.4427081381564762E-2</v>
      </c>
      <c r="K130" s="381">
        <f t="shared" si="41"/>
        <v>8.6917072649490584E-2</v>
      </c>
      <c r="L130" s="396">
        <f t="shared" si="52"/>
        <v>1.0864042989846161</v>
      </c>
      <c r="M130" s="396">
        <f t="shared" si="42"/>
        <v>9.4427081381564762E-2</v>
      </c>
      <c r="P130" s="29"/>
      <c r="Q130" s="33">
        <v>0.20415660335621874</v>
      </c>
      <c r="R130" s="486">
        <v>0.222</v>
      </c>
      <c r="S130" s="33">
        <f t="shared" si="43"/>
        <v>0.54328457626924487</v>
      </c>
      <c r="T130" s="29">
        <f t="shared" si="48"/>
        <v>0.40862562586348788</v>
      </c>
      <c r="U130" s="33"/>
      <c r="V130" s="29">
        <f>T130/T129</f>
        <v>0.49065603639659233</v>
      </c>
      <c r="W130" s="29"/>
      <c r="X130">
        <f>'ІЦВ (Стрим Інфл)+'!AK154</f>
        <v>726893.0878877301</v>
      </c>
      <c r="Z130">
        <f t="shared" si="53"/>
        <v>0.12101335989162987</v>
      </c>
      <c r="AA130" s="123">
        <f>'ІЦВ (Стрим Інфл)+'!$AO154</f>
        <v>3.0399493591073926E-2</v>
      </c>
      <c r="AB130">
        <f t="shared" si="44"/>
        <v>8.794051905514344E-2</v>
      </c>
      <c r="AC130">
        <f>'ІЦВ (Стрим Інфл)+'!$AH154</f>
        <v>36.57</v>
      </c>
      <c r="AD130">
        <f t="shared" si="54"/>
        <v>0.34251725595395643</v>
      </c>
      <c r="AH130" s="140">
        <f>'ІЦВ (Стрим Інфл)+'!AS154</f>
        <v>16361.528346980933</v>
      </c>
      <c r="AI130" s="33">
        <f t="shared" si="50"/>
        <v>0.14057360383275941</v>
      </c>
      <c r="AN130" s="33">
        <f>'ІЦВ (Стрим Інфл)+'!AW154</f>
        <v>-0.41849408078066652</v>
      </c>
      <c r="AO130" s="140">
        <f>'ІЦВ (Стрим Інфл)+'!AX154</f>
        <v>14237.589049670072</v>
      </c>
      <c r="AP130" s="33">
        <f>'ІЦВ (Стрим Інфл)+'!AY154</f>
        <v>-7.4876925988098808E-3</v>
      </c>
      <c r="AQ130" s="126">
        <f t="shared" si="55"/>
        <v>0.92777635246874235</v>
      </c>
      <c r="CH130" s="760">
        <v>1.8629999999999995</v>
      </c>
    </row>
    <row r="131" spans="1:86" ht="18.75">
      <c r="A131" s="1">
        <v>2022</v>
      </c>
      <c r="B131" s="1">
        <v>3</v>
      </c>
      <c r="C131" s="1">
        <v>8</v>
      </c>
      <c r="D131" t="str">
        <f t="shared" si="39"/>
        <v>2022M8</v>
      </c>
      <c r="E131" s="33">
        <f t="shared" si="45"/>
        <v>0.19577918071443112</v>
      </c>
      <c r="F131" s="534">
        <f>(R131+1)*H117</f>
        <v>138.10240585258083</v>
      </c>
      <c r="G131" s="532">
        <f t="shared" si="51"/>
        <v>1.1067103109656307E-2</v>
      </c>
      <c r="H131" s="762">
        <f t="shared" si="47"/>
        <v>1.1000000000000001E-2</v>
      </c>
      <c r="J131" s="381">
        <f t="shared" si="40"/>
        <v>8.5121395298047825E-2</v>
      </c>
      <c r="K131" s="381">
        <f t="shared" si="41"/>
        <v>7.9660963247353084E-2</v>
      </c>
      <c r="L131" s="396">
        <f t="shared" si="52"/>
        <v>1.0685458953557931</v>
      </c>
      <c r="M131" s="396">
        <f t="shared" si="42"/>
        <v>8.5121395298047825E-2</v>
      </c>
      <c r="Q131" s="33">
        <v>0.23026070184661204</v>
      </c>
      <c r="R131" s="486">
        <v>0.23799999999999999</v>
      </c>
      <c r="S131" s="33">
        <f t="shared" si="43"/>
        <v>0.50105339899176704</v>
      </c>
      <c r="T131" s="29">
        <f t="shared" si="48"/>
        <v>0.47499927249053675</v>
      </c>
      <c r="V131" s="29">
        <f t="shared" si="49"/>
        <v>1.1624314346091029</v>
      </c>
      <c r="W131" s="29"/>
      <c r="X131">
        <f>'ІЦВ (Стрим Інфл)+'!AK155</f>
        <v>754216.07079393999</v>
      </c>
      <c r="Z131">
        <f t="shared" si="53"/>
        <v>0.15194805555983559</v>
      </c>
      <c r="AA131" s="123">
        <f>'ІЦВ (Стрим Інфл)+'!$AO155</f>
        <v>3.0399493591073926E-2</v>
      </c>
      <c r="AB131">
        <f t="shared" si="44"/>
        <v>0.11796255988553472</v>
      </c>
      <c r="AC131">
        <f>'ІЦВ (Стрим Інфл)+'!$AH155</f>
        <v>36.57</v>
      </c>
      <c r="AD131">
        <f t="shared" si="54"/>
        <v>0.34376655749830065</v>
      </c>
      <c r="AH131" s="140">
        <f>'ІЦВ (Стрим Інфл)+'!AS155</f>
        <v>15781.21113345392</v>
      </c>
      <c r="AI131" s="33">
        <f t="shared" si="50"/>
        <v>0.1274709675969079</v>
      </c>
      <c r="AN131" s="33">
        <f>'ІЦВ (Стрим Інфл)+'!AW155</f>
        <v>-0.41849408078066652</v>
      </c>
      <c r="AO131" s="140">
        <f>'ІЦВ (Стрим Інфл)+'!AX155</f>
        <v>13565.359088885536</v>
      </c>
      <c r="AP131" s="33">
        <f>'ІЦВ (Стрим Інфл)+'!AY155</f>
        <v>-3.0838101815707897E-2</v>
      </c>
      <c r="AQ131" s="126">
        <f t="shared" si="55"/>
        <v>0.98097391184996985</v>
      </c>
      <c r="CH131" s="760">
        <v>2.5</v>
      </c>
    </row>
    <row r="132" spans="1:86" ht="18.75">
      <c r="A132" s="1">
        <v>2022</v>
      </c>
      <c r="B132" s="1">
        <v>3</v>
      </c>
      <c r="C132" s="1">
        <v>9</v>
      </c>
      <c r="D132" t="str">
        <f t="shared" si="39"/>
        <v>2022M9</v>
      </c>
      <c r="E132" s="33">
        <f t="shared" si="45"/>
        <v>0.21794842445898488</v>
      </c>
      <c r="F132" s="534">
        <f>(R132+1)*H118</f>
        <v>140.66276644961511</v>
      </c>
      <c r="G132" s="532">
        <f>F132/F131-1</f>
        <v>1.8539579967689734E-2</v>
      </c>
      <c r="H132" s="762">
        <f t="shared" si="47"/>
        <v>1.8629999999999994E-2</v>
      </c>
      <c r="I132">
        <v>5.8</v>
      </c>
      <c r="J132" s="381">
        <f t="shared" si="40"/>
        <v>9.152682058829742E-2</v>
      </c>
      <c r="K132" s="381">
        <f t="shared" si="41"/>
        <v>8.7087032272877105E-2</v>
      </c>
      <c r="L132" s="396">
        <f t="shared" si="52"/>
        <v>1.0509810496413377</v>
      </c>
      <c r="M132" s="396">
        <f t="shared" si="42"/>
        <v>9.152682058829742E-2</v>
      </c>
      <c r="Q132" s="33">
        <v>0.22878940079849164</v>
      </c>
      <c r="R132" s="486">
        <v>0.246</v>
      </c>
      <c r="S132" s="33">
        <f t="shared" si="43"/>
        <v>0.52654554718463475</v>
      </c>
      <c r="T132" s="493">
        <f>R132/S132</f>
        <v>0.46719605039930073</v>
      </c>
      <c r="U132" s="109">
        <f>(T132/T128)^(1/4)</f>
        <v>0.87112212618637341</v>
      </c>
      <c r="V132" s="29">
        <f t="shared" si="49"/>
        <v>0.9835721388575569</v>
      </c>
      <c r="W132" s="29"/>
      <c r="X132">
        <f>'ІЦВ (Стрим Інфл)+'!AK156</f>
        <v>740492.30557939014</v>
      </c>
      <c r="Z132">
        <f t="shared" si="53"/>
        <v>0.14914806401564507</v>
      </c>
      <c r="AA132" s="123">
        <f>'ІЦВ (Стрим Інфл)+'!$AO156</f>
        <v>3.0399493591073926E-2</v>
      </c>
      <c r="AB132">
        <f t="shared" si="44"/>
        <v>0.1152451754520154</v>
      </c>
      <c r="AC132">
        <f>'ІЦВ (Стрим Інфл)+'!$AH156</f>
        <v>36.57</v>
      </c>
      <c r="AD132">
        <f t="shared" si="54"/>
        <v>0.36659192825112097</v>
      </c>
      <c r="AH132" s="140">
        <f>'ІЦВ (Стрим Інфл)+'!AS156</f>
        <v>16283.176623677064</v>
      </c>
      <c r="AI132" s="33">
        <f t="shared" si="50"/>
        <v>0.1435618107786405</v>
      </c>
      <c r="AN132" s="33">
        <f>'ІЦВ (Стрим Інфл)+'!AW156</f>
        <v>-0.41849408078066652</v>
      </c>
      <c r="AO132" s="140">
        <f>'ІЦВ (Стрим Інфл)+'!AX156</f>
        <v>14012.170619706394</v>
      </c>
      <c r="AP132" s="33">
        <f>'ІЦВ (Стрим Інфл)+'!AY156</f>
        <v>-1.5930148205183348E-2</v>
      </c>
      <c r="AQ132" s="126">
        <f t="shared" si="55"/>
        <v>0.97615884212901238</v>
      </c>
      <c r="CH132" s="760">
        <v>0.7</v>
      </c>
    </row>
    <row r="133" spans="1:86" ht="18.75">
      <c r="A133" s="1">
        <v>2022</v>
      </c>
      <c r="B133" s="1">
        <v>4</v>
      </c>
      <c r="C133" s="1">
        <v>10</v>
      </c>
      <c r="D133" t="str">
        <f t="shared" si="39"/>
        <v>2022M10</v>
      </c>
      <c r="E133" s="33">
        <f t="shared" si="45"/>
        <v>0.24863564182452702</v>
      </c>
      <c r="F133" s="534">
        <f t="shared" si="46"/>
        <v>144.20688112852301</v>
      </c>
      <c r="G133" s="532">
        <f t="shared" si="51"/>
        <v>2.5195826645264985E-2</v>
      </c>
      <c r="H133" s="762">
        <f t="shared" si="47"/>
        <v>2.5000000000000001E-2</v>
      </c>
      <c r="J133" s="381">
        <f t="shared" si="40"/>
        <v>9.8016836590533729E-2</v>
      </c>
      <c r="K133" s="381">
        <f t="shared" si="41"/>
        <v>9.4820904058205757E-2</v>
      </c>
      <c r="L133" s="396">
        <f t="shared" si="52"/>
        <v>1.0337049363119988</v>
      </c>
      <c r="M133" s="396">
        <f t="shared" si="42"/>
        <v>9.8016836590533729E-2</v>
      </c>
      <c r="Q133" s="33">
        <v>0.23891543099120371</v>
      </c>
      <c r="R133" s="486">
        <v>0.26600000000000001</v>
      </c>
      <c r="S133" s="33">
        <f>-1.42148*Z133+0.957716*AD133-0.0233571*AP133+0.3870935</f>
        <v>0.56546610460678703</v>
      </c>
      <c r="T133" s="29">
        <f t="shared" si="48"/>
        <v>0.47040839023405423</v>
      </c>
      <c r="U133" s="33"/>
      <c r="V133" s="29">
        <f t="shared" si="49"/>
        <v>1.0068757855123305</v>
      </c>
      <c r="W133" s="29"/>
      <c r="X133">
        <f>'ІЦВ (Стрим Інфл)+'!AK157</f>
        <v>734049.8</v>
      </c>
      <c r="Z133">
        <f t="shared" si="53"/>
        <v>0.12244592116632003</v>
      </c>
      <c r="AA133" s="123">
        <f>'ІЦВ (Стрим Інфл)+'!$AO157</f>
        <v>1.4035474258070604E-2</v>
      </c>
      <c r="AB133">
        <f t="shared" si="44"/>
        <v>0.10690991554074469</v>
      </c>
      <c r="AC133">
        <f>'ІЦВ (Стрим Інфл)+'!$AH157</f>
        <v>36.57</v>
      </c>
      <c r="AD133">
        <f t="shared" si="54"/>
        <v>0.36812570145903467</v>
      </c>
      <c r="AH133" s="140">
        <f>'ІЦВ (Стрим Інфл)+'!AS157</f>
        <v>16342.114949758128</v>
      </c>
      <c r="AI133" s="33">
        <f t="shared" si="50"/>
        <v>0.16355393020705788</v>
      </c>
      <c r="AN133" s="33">
        <f>'ІЦВ (Стрим Інфл)+'!AW157</f>
        <v>-0.4156575482252135</v>
      </c>
      <c r="AO133" s="140">
        <f>'ІЦВ (Стрим Інфл)+'!AX157</f>
        <v>14124.879834688234</v>
      </c>
      <c r="AP133" s="33">
        <f>'ІЦВ (Стрим Інфл)+'!AY157</f>
        <v>5.6874214801163614E-3</v>
      </c>
      <c r="AQ133" s="126">
        <f t="shared" si="55"/>
        <v>0.92087006130940141</v>
      </c>
      <c r="CH133" s="760">
        <v>0.7</v>
      </c>
    </row>
    <row r="134" spans="1:86" ht="18.75">
      <c r="A134" s="1">
        <v>2022</v>
      </c>
      <c r="B134" s="1">
        <v>4</v>
      </c>
      <c r="C134" s="1">
        <v>11</v>
      </c>
      <c r="D134" t="str">
        <f t="shared" si="39"/>
        <v>2022M11</v>
      </c>
      <c r="E134" s="33">
        <f t="shared" si="45"/>
        <v>0.25713577799801812</v>
      </c>
      <c r="F134" s="534">
        <f>(R134+1)*H120</f>
        <v>145.18857513571612</v>
      </c>
      <c r="G134" s="532">
        <f t="shared" si="51"/>
        <v>6.8075392762858566E-3</v>
      </c>
      <c r="H134" s="762">
        <f t="shared" si="47"/>
        <v>6.9999999999999993E-3</v>
      </c>
      <c r="J134" s="381">
        <f t="shared" si="40"/>
        <v>8.1108132660853038E-2</v>
      </c>
      <c r="K134" s="381">
        <f t="shared" si="41"/>
        <v>7.9774870474766835E-2</v>
      </c>
      <c r="L134" s="396">
        <f t="shared" si="52"/>
        <v>1.0167128091609741</v>
      </c>
      <c r="M134" s="396">
        <f t="shared" si="42"/>
        <v>8.1108132660853038E-2</v>
      </c>
      <c r="Q134" s="33">
        <v>0.24253638498662605</v>
      </c>
      <c r="R134" s="486">
        <v>0.26500000000000001</v>
      </c>
      <c r="S134" s="33">
        <f t="shared" si="43"/>
        <v>0.5345656550565816</v>
      </c>
      <c r="T134" s="745">
        <v>0.35499999999999998</v>
      </c>
      <c r="U134" s="33"/>
      <c r="V134" s="29">
        <f t="shared" si="49"/>
        <v>0.75466341028349393</v>
      </c>
      <c r="W134" s="29"/>
      <c r="X134">
        <f>'ІЦВ (Стрим Інфл)+'!AK158</f>
        <v>758328.94226985995</v>
      </c>
      <c r="Z134">
        <f t="shared" si="53"/>
        <v>0.15694724430568163</v>
      </c>
      <c r="AA134" s="123">
        <f>'ІЦВ (Стрим Інфл)+'!$AO158</f>
        <v>1.4035474258070604E-2</v>
      </c>
      <c r="AB134">
        <f t="shared" si="44"/>
        <v>0.14093369874675621</v>
      </c>
      <c r="AC134">
        <f>'ІЦВ (Стрим Інфл)+'!$AH158</f>
        <v>36.57</v>
      </c>
      <c r="AD134">
        <f t="shared" si="54"/>
        <v>0.38680318543799763</v>
      </c>
      <c r="AH134" s="140">
        <f>'ІЦВ (Стрим Інфл)+'!AS158</f>
        <v>16087.720427370554</v>
      </c>
      <c r="AI134" s="33">
        <f t="shared" si="50"/>
        <v>0.12500282134633589</v>
      </c>
      <c r="AN134" s="33">
        <f>'ІЦВ (Стрим Інфл)+'!AW158</f>
        <v>-0.4156575482252135</v>
      </c>
      <c r="AO134" s="140">
        <f>'ІЦВ (Стрим Інфл)+'!AX158</f>
        <v>14225.51306235059</v>
      </c>
      <c r="AP134" s="33">
        <f>'ІЦВ (Стрим Інфл)+'!AY158</f>
        <v>-5.2200122140432237E-3</v>
      </c>
      <c r="AQ134" s="126">
        <f t="shared" si="55"/>
        <v>0.97991304720675121</v>
      </c>
      <c r="CH134" s="760">
        <v>0.8</v>
      </c>
    </row>
    <row r="135" spans="1:86" ht="19.5" thickBot="1">
      <c r="A135" s="1">
        <v>2022</v>
      </c>
      <c r="B135" s="1">
        <v>4</v>
      </c>
      <c r="C135" s="1">
        <v>12</v>
      </c>
      <c r="D135" t="str">
        <f t="shared" si="39"/>
        <v>2022M12</v>
      </c>
      <c r="E135" s="33">
        <f t="shared" si="45"/>
        <v>0.26600000000000001</v>
      </c>
      <c r="F135" s="535">
        <f>(R135+1)*H121</f>
        <v>146.21231798408525</v>
      </c>
      <c r="G135" s="533">
        <f>F135/F134-1</f>
        <v>7.0511253892544534E-3</v>
      </c>
      <c r="H135" s="762">
        <f t="shared" si="47"/>
        <v>6.9999999999999993E-3</v>
      </c>
      <c r="I135">
        <v>5</v>
      </c>
      <c r="J135" s="381">
        <f t="shared" si="40"/>
        <v>6.2314286871682806E-2</v>
      </c>
      <c r="K135" s="381">
        <f t="shared" si="41"/>
        <v>6.2314286871682806E-2</v>
      </c>
      <c r="L135" s="397">
        <v>1</v>
      </c>
      <c r="M135" s="396">
        <f t="shared" si="42"/>
        <v>6.2314286871682806E-2</v>
      </c>
      <c r="P135" s="691">
        <v>0.3</v>
      </c>
      <c r="Q135" s="33">
        <v>0.24705417236795074</v>
      </c>
      <c r="R135" s="486">
        <v>0.26600000000000001</v>
      </c>
      <c r="S135" s="33">
        <f>-1.42148*Z135+0.957716*AD135-0.0233571*AP135+0.3870935</f>
        <v>0.49296957055001772</v>
      </c>
      <c r="T135" s="493">
        <v>0.42</v>
      </c>
      <c r="U135" s="109">
        <f>(T135/T132)^(1/3)</f>
        <v>0.96512457876395763</v>
      </c>
      <c r="V135" s="29">
        <f t="shared" si="49"/>
        <v>1.1830985915492958</v>
      </c>
      <c r="W135" s="29"/>
      <c r="X135">
        <f>'ІЦВ (Стрим Інфл)+'!AK159</f>
        <v>792536.82511305995</v>
      </c>
      <c r="Z135">
        <f t="shared" si="53"/>
        <v>0.18575286022038395</v>
      </c>
      <c r="AA135" s="123">
        <f>'ІЦВ (Стрим Інфл)+'!$AO159</f>
        <v>1.4035474258070604E-2</v>
      </c>
      <c r="AB135">
        <f t="shared" si="44"/>
        <v>0.16934061018718505</v>
      </c>
      <c r="AC135">
        <f>'ІЦВ (Стрим Інфл)+'!$AH159</f>
        <v>36.57</v>
      </c>
      <c r="AD135">
        <f t="shared" si="54"/>
        <v>0.3828178174393102</v>
      </c>
      <c r="AH135" s="140">
        <f>'ІЦВ (Стрим Інфл)+'!AS159</f>
        <v>18895.857590652045</v>
      </c>
      <c r="AI135" s="33">
        <f t="shared" si="50"/>
        <v>8.2671035962415873E-2</v>
      </c>
      <c r="AN135" s="33">
        <f>'ІЦВ (Стрим Інфл)+'!AW159</f>
        <v>-0.4156575482252135</v>
      </c>
      <c r="AO135" s="140">
        <f>'ІЦВ (Стрим Інфл)+'!AX159</f>
        <v>14995.155987512288</v>
      </c>
      <c r="AP135" s="33">
        <f>'ІЦВ (Стрим Інфл)+'!AY159</f>
        <v>-0.14082644889060403</v>
      </c>
      <c r="AQ135" s="126">
        <f>(1+Z135)/(1+AN135)-1</f>
        <v>1.0292088254395542</v>
      </c>
    </row>
    <row r="136" spans="1:86" ht="18.75">
      <c r="G136" s="123"/>
      <c r="H136" s="762">
        <f t="shared" si="47"/>
        <v>8.0000000000000002E-3</v>
      </c>
      <c r="J136" s="377"/>
      <c r="K136" s="377"/>
      <c r="L136" s="398">
        <f>(L135/L124)^(1/11)</f>
        <v>0.98356191737687892</v>
      </c>
      <c r="M136" s="377"/>
      <c r="P136" s="691"/>
      <c r="V136" s="29"/>
      <c r="W136" s="29"/>
    </row>
    <row r="137" spans="1:86">
      <c r="A137" s="576">
        <v>2023</v>
      </c>
      <c r="D137" s="576">
        <v>2023</v>
      </c>
      <c r="F137" s="545">
        <f>F135/AVERAGE(F124:F135)-1</f>
        <v>9.2282742528770223E-2</v>
      </c>
      <c r="P137" s="691"/>
      <c r="Q137" s="29"/>
      <c r="R137" s="103"/>
      <c r="S137" s="33"/>
      <c r="T137" s="493"/>
      <c r="X137">
        <f>'ІЦВ (Стрим Інфл)+'!AK163</f>
        <v>0</v>
      </c>
      <c r="Z137">
        <f>X137/AVERAGE(X124:X135)-1</f>
        <v>-1</v>
      </c>
      <c r="AC137">
        <f>'ІЦВ (Стрим Інфл)+'!$AH163</f>
        <v>0</v>
      </c>
      <c r="AD137">
        <f>AC137/AVERAGE(AC124:AC135)-1</f>
        <v>-1</v>
      </c>
      <c r="AP137" s="33">
        <f>'ІЦВ (Стрим Інфл)+'!AY163</f>
        <v>0.08</v>
      </c>
    </row>
    <row r="138" spans="1:86" ht="24">
      <c r="F138" s="545"/>
      <c r="H138" t="s">
        <v>1718</v>
      </c>
      <c r="P138" s="691"/>
      <c r="Q138" s="783" t="s">
        <v>495</v>
      </c>
      <c r="R138" s="855" t="s">
        <v>494</v>
      </c>
      <c r="U138" s="613" t="s">
        <v>494</v>
      </c>
      <c r="V138" s="613" t="s">
        <v>495</v>
      </c>
      <c r="W138" s="613"/>
    </row>
    <row r="139" spans="1:86">
      <c r="A139" s="1">
        <v>2023</v>
      </c>
      <c r="B139" s="1">
        <v>1</v>
      </c>
      <c r="C139" s="1">
        <v>1</v>
      </c>
      <c r="D139" t="str">
        <f t="shared" ref="D139:D150" si="56">A139&amp;"M"&amp;C139</f>
        <v>2023M1</v>
      </c>
      <c r="E139" s="33">
        <f>F139/F124-1</f>
        <v>0.25975123395853905</v>
      </c>
      <c r="F139" s="602">
        <f>F135*(1+G139)</f>
        <v>147.38201652795792</v>
      </c>
      <c r="G139" s="763">
        <v>8.0000000000000002E-3</v>
      </c>
      <c r="H139" s="126"/>
      <c r="I139" s="29">
        <f>E139</f>
        <v>0.25975123395853905</v>
      </c>
      <c r="J139">
        <v>1</v>
      </c>
      <c r="K139" s="391">
        <f>F124*(1+I139)</f>
        <v>147.38201652795792</v>
      </c>
      <c r="L139" s="33">
        <f>K139/F135-1</f>
        <v>8.0000000000000071E-3</v>
      </c>
      <c r="M139" s="119">
        <f>F135*(1+G139)</f>
        <v>147.38201652795792</v>
      </c>
      <c r="N139" s="33">
        <f>M139/F124-1</f>
        <v>0.25975123395853905</v>
      </c>
      <c r="O139" s="691">
        <v>0.26</v>
      </c>
      <c r="P139" s="691"/>
      <c r="Q139" s="486">
        <v>0.26</v>
      </c>
      <c r="R139" s="486">
        <v>0.26</v>
      </c>
      <c r="S139" s="33">
        <f t="shared" ref="S139:S150" si="57">-1.42148*Z139+0.957716*AD139-0.0233571*AP139+0.3870935</f>
        <v>0.43290361729253091</v>
      </c>
      <c r="T139" s="493">
        <v>0.65</v>
      </c>
      <c r="U139" s="549">
        <f>S139*$T139</f>
        <v>0.28138735124014508</v>
      </c>
      <c r="V139" s="29">
        <f>U139</f>
        <v>0.28138735124014508</v>
      </c>
      <c r="W139" s="29"/>
      <c r="X139">
        <f>'ІЦВ (Стрим Інфл)+'!AK165</f>
        <v>829830.78719953005</v>
      </c>
      <c r="Z139">
        <f>X139/X124-1</f>
        <v>0.19774714709442054</v>
      </c>
      <c r="AA139" s="123">
        <f>'ІЦВ (Стрим Інфл)+'!$AO165</f>
        <v>-0.105</v>
      </c>
      <c r="AB139">
        <f t="shared" ref="AB139:AB150" si="58">(1+Z139)/(1+AA139)-1</f>
        <v>0.33826496882058166</v>
      </c>
      <c r="AC139">
        <f>'ІЦВ (Стрим Інфл)+'!$AH165</f>
        <v>37.5</v>
      </c>
      <c r="AD139">
        <f>AC139/AC124-1</f>
        <v>0.34024303073624007</v>
      </c>
      <c r="AH139" s="140"/>
      <c r="AO139" s="140">
        <f>'ІЦВ (Стрим Інфл)+'!AX165</f>
        <v>13923.239283774847</v>
      </c>
      <c r="AP139" s="33">
        <f>'ІЦВ (Стрим Інфл)+'!AY165</f>
        <v>-4.484878344139076E-2</v>
      </c>
    </row>
    <row r="140" spans="1:86">
      <c r="A140" s="1">
        <v>2023</v>
      </c>
      <c r="B140" s="1">
        <v>1</v>
      </c>
      <c r="C140" s="1">
        <v>2</v>
      </c>
      <c r="D140" t="str">
        <f t="shared" si="56"/>
        <v>2023M2</v>
      </c>
      <c r="E140" s="33">
        <f>F140/F125-1</f>
        <v>0.24806715309048077</v>
      </c>
      <c r="F140" s="602">
        <f>F139*(1+G140)</f>
        <v>148.41369064365361</v>
      </c>
      <c r="G140" s="763">
        <v>7.0000000000000001E-3</v>
      </c>
      <c r="H140" s="126">
        <f>N213</f>
        <v>7.0000000000000001E-3</v>
      </c>
      <c r="I140" s="29">
        <f>E140</f>
        <v>0.24806715309048077</v>
      </c>
      <c r="J140">
        <v>2</v>
      </c>
      <c r="K140" s="391">
        <f>F125*(1+I140)</f>
        <v>148.41369064365361</v>
      </c>
      <c r="L140" s="33">
        <f>K140/K139-1</f>
        <v>6.9999999999998952E-3</v>
      </c>
      <c r="M140" s="119">
        <f>F139*(1+H140)</f>
        <v>148.41369064365361</v>
      </c>
      <c r="N140" s="33">
        <f t="shared" ref="N140:N150" si="59">M140/F125-1</f>
        <v>0.24806715309048077</v>
      </c>
      <c r="P140" s="691"/>
      <c r="Q140" s="486">
        <v>0.249</v>
      </c>
      <c r="R140" s="486">
        <v>0.249</v>
      </c>
      <c r="S140" s="33">
        <f>-1.42148*Z140+0.957716*AD140-0.0233571*AP140+0.3870935</f>
        <v>0.59421449412880867</v>
      </c>
      <c r="T140" s="493">
        <v>0.44</v>
      </c>
      <c r="U140" s="549">
        <f>S140*$T140</f>
        <v>0.26145437741667582</v>
      </c>
      <c r="V140" s="29">
        <f>U140</f>
        <v>0.26145437741667582</v>
      </c>
      <c r="W140" s="29"/>
      <c r="X140">
        <f>'ІЦВ (Стрим Інфл)+'!AK166</f>
        <v>847001.77082967001</v>
      </c>
      <c r="Z140">
        <f t="shared" ref="Z140:Z150" si="60">X140/X125-1</f>
        <v>7.1102703919007526E-2</v>
      </c>
      <c r="AA140" s="123">
        <f>'ІЦВ (Стрим Інфл)+'!$AO166</f>
        <v>-0.105</v>
      </c>
      <c r="AB140">
        <f t="shared" si="58"/>
        <v>0.19676279767486871</v>
      </c>
      <c r="AC140">
        <f>'ІЦВ (Стрим Інфл)+'!$AH166</f>
        <v>37.5</v>
      </c>
      <c r="AD140">
        <f t="shared" ref="AD140:AD150" si="61">AC140/AC125-1</f>
        <v>0.31995776135163667</v>
      </c>
      <c r="AH140" s="140"/>
      <c r="AO140" s="140">
        <f>'ІЦВ (Стрим Інфл)+'!AX166</f>
        <v>14119.703357108936</v>
      </c>
      <c r="AP140" s="33">
        <f>'ІЦВ (Стрим Інфл)+'!AY166</f>
        <v>-7.5497314519159531E-2</v>
      </c>
    </row>
    <row r="141" spans="1:86">
      <c r="A141" s="1">
        <v>2023</v>
      </c>
      <c r="B141" s="1">
        <v>1</v>
      </c>
      <c r="C141" s="1">
        <v>3</v>
      </c>
      <c r="D141" t="str">
        <f t="shared" si="56"/>
        <v>2023M3</v>
      </c>
      <c r="E141" s="33">
        <f t="shared" ref="E141:E149" si="62">F141/F126-1</f>
        <v>0.21274697214048022</v>
      </c>
      <c r="F141" s="602">
        <f t="shared" ref="F141:F149" si="63">F140*(1+G141)</f>
        <v>150.63989600330839</v>
      </c>
      <c r="G141" s="616">
        <v>1.4999999999999999E-2</v>
      </c>
      <c r="H141" s="126">
        <f t="shared" ref="H141:H150" si="64">N214</f>
        <v>1.1333333333333334E-2</v>
      </c>
      <c r="I141" s="29">
        <f>E141</f>
        <v>0.21274697214048022</v>
      </c>
      <c r="J141">
        <v>3</v>
      </c>
      <c r="K141" s="391">
        <f t="shared" ref="K141:K150" si="65">F126*(1+I141)</f>
        <v>150.63989600330839</v>
      </c>
      <c r="L141" s="33">
        <f t="shared" ref="L141:L150" si="66">K141/K140-1</f>
        <v>1.4999999999999902E-2</v>
      </c>
      <c r="M141" s="119">
        <f t="shared" ref="M141:M150" si="67">F140*(1+H141)</f>
        <v>150.09571247094837</v>
      </c>
      <c r="N141" s="33">
        <f t="shared" si="59"/>
        <v>0.20836594859580226</v>
      </c>
      <c r="P141" s="691">
        <v>0.28999999999999998</v>
      </c>
      <c r="Q141" s="486">
        <v>0.21299999999999999</v>
      </c>
      <c r="R141" s="486">
        <v>0.21299999999999999</v>
      </c>
      <c r="S141" s="33">
        <f t="shared" si="57"/>
        <v>0.40295820991106629</v>
      </c>
      <c r="T141" s="493">
        <v>0.57299999999999995</v>
      </c>
      <c r="U141" s="549">
        <f t="shared" ref="U141:U150" si="68">S141*$T141</f>
        <v>0.23089505427904097</v>
      </c>
      <c r="V141" s="29">
        <f>U141</f>
        <v>0.23089505427904097</v>
      </c>
      <c r="W141" s="29"/>
      <c r="X141">
        <f>'ІЦВ (Стрим Інфл)+'!AK167</f>
        <v>863753.46562943002</v>
      </c>
      <c r="Z141">
        <f t="shared" si="60"/>
        <v>0.17863611891702069</v>
      </c>
      <c r="AA141" s="123">
        <f>'ІЦВ (Стрим Інфл)+'!$AO167</f>
        <v>-0.105</v>
      </c>
      <c r="AB141">
        <f t="shared" si="58"/>
        <v>0.31691186471175503</v>
      </c>
      <c r="AC141">
        <f>'ІЦВ (Стрим Інфл)+'!$AH167</f>
        <v>37.5</v>
      </c>
      <c r="AD141">
        <f t="shared" si="61"/>
        <v>0.28205128205128216</v>
      </c>
      <c r="AH141" s="140"/>
      <c r="AO141" s="140">
        <f>'ІЦВ (Стрим Інфл)+'!AX167</f>
        <v>15103.00912193074</v>
      </c>
      <c r="AP141" s="33">
        <f>'ІЦВ (Стрим Інфл)+'!AY167</f>
        <v>1.4241725719068121E-2</v>
      </c>
    </row>
    <row r="142" spans="1:86">
      <c r="A142" s="1">
        <v>2023</v>
      </c>
      <c r="B142" s="1">
        <v>2</v>
      </c>
      <c r="C142" s="1">
        <v>4</v>
      </c>
      <c r="D142" t="str">
        <f t="shared" si="56"/>
        <v>2023M4</v>
      </c>
      <c r="E142" s="33">
        <f t="shared" si="62"/>
        <v>0.17873433554327023</v>
      </c>
      <c r="F142" s="602">
        <f t="shared" si="63"/>
        <v>150.94117579531502</v>
      </c>
      <c r="G142" s="616">
        <v>2E-3</v>
      </c>
      <c r="H142" s="126">
        <f t="shared" si="64"/>
        <v>8.3333333333333332E-3</v>
      </c>
      <c r="I142" s="29">
        <f>E142</f>
        <v>0.17873433554327023</v>
      </c>
      <c r="J142">
        <v>4</v>
      </c>
      <c r="K142" s="391">
        <f>F127*(1+I142)</f>
        <v>150.94117579531502</v>
      </c>
      <c r="L142" s="33">
        <f>K142/K141-1</f>
        <v>2.0000000000000018E-3</v>
      </c>
      <c r="M142" s="119">
        <f t="shared" si="67"/>
        <v>151.89522847000262</v>
      </c>
      <c r="N142" s="33">
        <f t="shared" si="59"/>
        <v>0.18618475216846053</v>
      </c>
      <c r="P142" s="691"/>
      <c r="Q142" s="29">
        <f>I142</f>
        <v>0.17873433554327023</v>
      </c>
      <c r="R142" s="29">
        <f>E164</f>
        <v>0.17873433554327023</v>
      </c>
      <c r="S142" s="33">
        <f>-1.42148*Z142+0.957716*AD142-0.0233571*AP142+0.3870935</f>
        <v>0.4052598513479943</v>
      </c>
      <c r="T142" s="493">
        <v>0.47799999999999998</v>
      </c>
      <c r="U142" s="549">
        <f>S142*$T142</f>
        <v>0.19371420894434127</v>
      </c>
      <c r="V142" s="29">
        <f>U142</f>
        <v>0.19371420894434127</v>
      </c>
      <c r="W142" s="29"/>
      <c r="X142">
        <f>'ІЦВ (Стрим Інфл)+'!AK168</f>
        <v>866592.27656392998</v>
      </c>
      <c r="Z142">
        <f t="shared" si="60"/>
        <v>0.17697424779884119</v>
      </c>
      <c r="AA142" s="123">
        <f>'ІЦВ (Стрим Інфл)+'!$AO168</f>
        <v>0.18</v>
      </c>
      <c r="AB142">
        <f t="shared" si="58"/>
        <v>-2.5641967806430133E-3</v>
      </c>
      <c r="AC142">
        <f>'ІЦВ (Стрим Інфл)+'!$AH168</f>
        <v>37.5</v>
      </c>
      <c r="AD142">
        <f t="shared" si="61"/>
        <v>0.28205128205128216</v>
      </c>
      <c r="AH142" s="140"/>
      <c r="AO142" s="140">
        <f>'ІЦВ (Стрим Інфл)+'!AX168</f>
        <v>14389.214131271798</v>
      </c>
      <c r="AP142" s="33">
        <f>'ІЦВ (Стрим Інфл)+'!AY168</f>
        <v>1.6839442051224118E-2</v>
      </c>
    </row>
    <row r="143" spans="1:86">
      <c r="A143" s="1">
        <v>2023</v>
      </c>
      <c r="B143" s="1">
        <v>2</v>
      </c>
      <c r="C143" s="1">
        <v>5</v>
      </c>
      <c r="D143" t="str">
        <f t="shared" si="56"/>
        <v>2023M5</v>
      </c>
      <c r="E143" s="33">
        <f t="shared" si="62"/>
        <v>0.15816017825180984</v>
      </c>
      <c r="F143" s="602">
        <f t="shared" si="63"/>
        <v>152.29964637747284</v>
      </c>
      <c r="G143" s="616">
        <v>8.9999999999999993E-3</v>
      </c>
      <c r="H143" s="126">
        <f t="shared" si="64"/>
        <v>7.6666666666666662E-3</v>
      </c>
      <c r="I143" s="29">
        <f>E143</f>
        <v>0.15816017825180984</v>
      </c>
      <c r="J143">
        <v>5</v>
      </c>
      <c r="K143" s="391">
        <f t="shared" si="65"/>
        <v>152.29964637747284</v>
      </c>
      <c r="L143" s="33">
        <f t="shared" si="66"/>
        <v>8.999999999999897E-3</v>
      </c>
      <c r="M143" s="119">
        <f t="shared" si="67"/>
        <v>152.09839147641244</v>
      </c>
      <c r="N143" s="33">
        <f t="shared" si="59"/>
        <v>0.15662973863733787</v>
      </c>
      <c r="P143" s="691"/>
      <c r="Q143" s="29">
        <f>I143</f>
        <v>0.15816017825180984</v>
      </c>
      <c r="R143" s="29">
        <f t="shared" ref="R143:R150" si="69">E165</f>
        <v>0.15356885940839327</v>
      </c>
      <c r="S143" s="33">
        <f t="shared" si="57"/>
        <v>0.41166106747732806</v>
      </c>
      <c r="T143" s="746">
        <f t="shared" ref="T143:T148" si="70">T142*$T$152</f>
        <v>0.45973536719770236</v>
      </c>
      <c r="U143" s="549">
        <f t="shared" si="68"/>
        <v>0.18925515201768756</v>
      </c>
      <c r="V143" s="29">
        <f>U143+$AB$171</f>
        <v>0.20982466145326362</v>
      </c>
      <c r="W143" s="29"/>
      <c r="X143" s="863">
        <f>'ІЦВ (Стрим Інфл)+'!AL211</f>
        <v>866430.10520516825</v>
      </c>
      <c r="Z143">
        <f t="shared" si="60"/>
        <v>0.17240286830029294</v>
      </c>
      <c r="AA143" s="123">
        <f>'ІЦВ (Стрим Інфл)+'!$AO169</f>
        <v>0.18</v>
      </c>
      <c r="AB143">
        <f t="shared" si="58"/>
        <v>-6.4382472031415672E-3</v>
      </c>
      <c r="AC143">
        <f>'ІЦВ (Стрим Інфл)+'!$AH169</f>
        <v>37.5</v>
      </c>
      <c r="AD143">
        <f t="shared" si="61"/>
        <v>0.28205128205128216</v>
      </c>
      <c r="AH143" s="140"/>
      <c r="AO143" s="140">
        <f>'ІЦВ (Стрим Інфл)+'!AX169</f>
        <v>14439.506637335338</v>
      </c>
      <c r="AP143" s="33">
        <f>'ІЦВ (Стрим Інфл)+'!AY169</f>
        <v>2.0988433161533093E-2</v>
      </c>
    </row>
    <row r="144" spans="1:86">
      <c r="A144" s="1">
        <v>2023</v>
      </c>
      <c r="B144" s="1">
        <v>2</v>
      </c>
      <c r="C144" s="1">
        <v>6</v>
      </c>
      <c r="D144" t="str">
        <f t="shared" si="56"/>
        <v>2023M6</v>
      </c>
      <c r="E144" s="33">
        <f>F144/F129-1</f>
        <v>0.13265540641364959</v>
      </c>
      <c r="F144" s="602">
        <f t="shared" si="63"/>
        <v>153.67034319487007</v>
      </c>
      <c r="G144" s="126">
        <f>G143</f>
        <v>8.9999999999999993E-3</v>
      </c>
      <c r="H144" s="126">
        <f t="shared" si="64"/>
        <v>4.0000000000000001E-3</v>
      </c>
      <c r="I144" s="29">
        <f>E144+$AB$168</f>
        <v>0.14962721302930412</v>
      </c>
      <c r="J144">
        <v>6</v>
      </c>
      <c r="K144" s="391">
        <f t="shared" si="65"/>
        <v>155.97295291402781</v>
      </c>
      <c r="L144" s="33">
        <f t="shared" si="66"/>
        <v>2.4118943306347118E-2</v>
      </c>
      <c r="M144" s="119">
        <f t="shared" si="67"/>
        <v>152.90884496298273</v>
      </c>
      <c r="N144" s="33">
        <f t="shared" si="59"/>
        <v>0.1270426442411341</v>
      </c>
      <c r="P144" s="691">
        <v>0.224</v>
      </c>
      <c r="Q144" s="29">
        <f>I144</f>
        <v>0.14962721302930412</v>
      </c>
      <c r="R144" s="29">
        <f t="shared" si="69"/>
        <v>0.1304014012280168</v>
      </c>
      <c r="S144" s="33">
        <f t="shared" si="57"/>
        <v>0.39837080399363589</v>
      </c>
      <c r="T144" s="746">
        <f t="shared" si="70"/>
        <v>0.44216863567449</v>
      </c>
      <c r="U144" s="549">
        <f t="shared" si="68"/>
        <v>0.17614707489441564</v>
      </c>
      <c r="V144" s="29">
        <f t="shared" ref="V144:V150" si="71">U144+$AB$171</f>
        <v>0.1967165843299917</v>
      </c>
      <c r="W144" s="29"/>
      <c r="X144" s="863">
        <f>'ІЦВ (Стрим Інфл)+'!AL212</f>
        <v>861291.37264714227</v>
      </c>
      <c r="Z144">
        <f t="shared" si="60"/>
        <v>0.18087084830329636</v>
      </c>
      <c r="AA144" s="123">
        <f>'ІЦВ (Стрим Інфл)+'!$AO170</f>
        <v>0.18</v>
      </c>
      <c r="AB144">
        <f t="shared" si="58"/>
        <v>7.3800703669180123E-4</v>
      </c>
      <c r="AC144">
        <f>'ІЦВ (Стрим Інфл)+'!$AH170</f>
        <v>37.5</v>
      </c>
      <c r="AD144">
        <f t="shared" si="61"/>
        <v>0.28205128205128216</v>
      </c>
      <c r="AH144" s="140"/>
      <c r="AO144" s="140">
        <f>'ІЦВ (Стрим Інфл)+'!AX170</f>
        <v>15577.166266833558</v>
      </c>
      <c r="AP144" s="33">
        <f>'ІЦВ (Стрим Інфл)+'!AY170</f>
        <v>7.4642322943348827E-2</v>
      </c>
    </row>
    <row r="145" spans="1:42">
      <c r="A145" s="1">
        <v>2023</v>
      </c>
      <c r="B145" s="1">
        <v>3</v>
      </c>
      <c r="C145" s="1">
        <v>7</v>
      </c>
      <c r="D145" t="str">
        <f t="shared" si="56"/>
        <v>2023M7</v>
      </c>
      <c r="E145" s="33">
        <f>F145/F130-1</f>
        <v>0.13516753758656841</v>
      </c>
      <c r="F145" s="602">
        <f t="shared" si="63"/>
        <v>155.05337628362389</v>
      </c>
      <c r="G145" s="126">
        <f t="shared" ref="G145:G150" si="72">G144</f>
        <v>8.9999999999999993E-3</v>
      </c>
      <c r="H145" s="126">
        <f t="shared" si="64"/>
        <v>2E-3</v>
      </c>
      <c r="I145" s="29">
        <f>E145+$AB$168</f>
        <v>0.15213934420222294</v>
      </c>
      <c r="J145">
        <v>7</v>
      </c>
      <c r="K145" s="391">
        <f t="shared" si="65"/>
        <v>157.37156794279059</v>
      </c>
      <c r="L145" s="33">
        <f t="shared" si="66"/>
        <v>8.9670356470952228E-3</v>
      </c>
      <c r="M145" s="119">
        <f t="shared" si="67"/>
        <v>153.97768388125982</v>
      </c>
      <c r="N145" s="33">
        <f t="shared" si="59"/>
        <v>0.12729224247942694</v>
      </c>
      <c r="P145" s="691"/>
      <c r="Q145" s="29">
        <f t="shared" ref="Q145:Q150" si="73">I145</f>
        <v>0.15213934420222294</v>
      </c>
      <c r="R145" s="29">
        <f t="shared" si="69"/>
        <v>0.11939803599900833</v>
      </c>
      <c r="S145" s="33">
        <f t="shared" si="57"/>
        <v>0.20088497533916336</v>
      </c>
      <c r="T145" s="746">
        <f>T144*$T$152</f>
        <v>0.42527313825338647</v>
      </c>
      <c r="U145" s="549">
        <f>S145*$T145</f>
        <v>8.5430983890440154E-2</v>
      </c>
      <c r="V145" s="29">
        <f t="shared" si="71"/>
        <v>0.10600049332601623</v>
      </c>
      <c r="W145" s="29"/>
      <c r="X145" s="863">
        <f>'ІЦВ (Стрим Інфл)+'!AL213</f>
        <v>833303.68962636881</v>
      </c>
      <c r="Z145">
        <f t="shared" si="60"/>
        <v>0.14639099409770973</v>
      </c>
      <c r="AA145" s="123">
        <f>'ІЦВ (Стрим Інфл)+'!$AO171</f>
        <v>3.2000000000000001E-2</v>
      </c>
      <c r="AB145">
        <f t="shared" si="58"/>
        <v>0.11084398652878846</v>
      </c>
      <c r="AC145">
        <f>'ІЦВ (Стрим Інфл)+'!$AH171</f>
        <v>37.5</v>
      </c>
      <c r="AD145">
        <f t="shared" si="61"/>
        <v>2.5430680885972112E-2</v>
      </c>
      <c r="AH145" s="140"/>
      <c r="AO145" s="140">
        <f>'ІЦВ (Стрим Інфл)+'!AX171</f>
        <v>15744.439932792207</v>
      </c>
      <c r="AP145" s="33">
        <f>'ІЦВ (Стрим Інфл)+'!AY171</f>
        <v>0.10583609892554491</v>
      </c>
    </row>
    <row r="146" spans="1:42">
      <c r="A146" s="1">
        <v>2023</v>
      </c>
      <c r="B146" s="1">
        <v>3</v>
      </c>
      <c r="C146" s="1">
        <v>8</v>
      </c>
      <c r="D146" t="str">
        <f t="shared" si="56"/>
        <v>2023M8</v>
      </c>
      <c r="E146" s="33">
        <f t="shared" si="62"/>
        <v>0.1328467140332068</v>
      </c>
      <c r="F146" s="602">
        <f t="shared" si="63"/>
        <v>156.4488566701765</v>
      </c>
      <c r="G146" s="126">
        <f t="shared" si="72"/>
        <v>8.9999999999999993E-3</v>
      </c>
      <c r="H146" s="126">
        <f t="shared" si="64"/>
        <v>1.1666666666666668E-3</v>
      </c>
      <c r="I146" s="29">
        <f>E146+$AB$168</f>
        <v>0.14981852064886134</v>
      </c>
      <c r="J146">
        <v>8</v>
      </c>
      <c r="K146" s="391">
        <f t="shared" si="65"/>
        <v>158.79270399546314</v>
      </c>
      <c r="L146" s="33">
        <f t="shared" si="66"/>
        <v>9.030449853490552E-3</v>
      </c>
      <c r="M146" s="119">
        <f t="shared" si="67"/>
        <v>155.23427188928812</v>
      </c>
      <c r="N146" s="33">
        <f>M146/F131-1</f>
        <v>0.12405190142013112</v>
      </c>
      <c r="P146" s="691"/>
      <c r="Q146" s="29">
        <f t="shared" si="73"/>
        <v>0.14981852064886134</v>
      </c>
      <c r="R146" s="29">
        <f t="shared" si="69"/>
        <v>0.10624474484040047</v>
      </c>
      <c r="S146" s="33">
        <f>-1.42148*Z146+0.957716*AD146-0.0233571*AP146+0.3870935</f>
        <v>0.22286796944836867</v>
      </c>
      <c r="T146" s="746">
        <f t="shared" si="70"/>
        <v>0.40902322672435121</v>
      </c>
      <c r="U146" s="549">
        <f t="shared" si="68"/>
        <v>9.1158175997275881E-2</v>
      </c>
      <c r="V146" s="29">
        <f t="shared" si="71"/>
        <v>0.11172768543285196</v>
      </c>
      <c r="W146" s="29"/>
      <c r="X146" s="863">
        <f>'ІЦВ (Стрим Інфл)+'!AL214</f>
        <v>852676.01062906417</v>
      </c>
      <c r="Z146">
        <f t="shared" si="60"/>
        <v>0.13054606451368556</v>
      </c>
      <c r="AA146" s="123">
        <f>'ІЦВ (Стрим Інфл)+'!$AO172</f>
        <v>3.2000000000000001E-2</v>
      </c>
      <c r="AB146">
        <f t="shared" si="58"/>
        <v>9.5490372590780526E-2</v>
      </c>
      <c r="AC146">
        <f>'ІЦВ (Стрим Інфл)+'!$AH172</f>
        <v>37.5</v>
      </c>
      <c r="AD146">
        <f t="shared" si="61"/>
        <v>2.5430680885972112E-2</v>
      </c>
      <c r="AH146" s="140"/>
      <c r="AO146" s="140">
        <f>'ІЦВ (Стрим Інфл)+'!AX172</f>
        <v>15314.83440659275</v>
      </c>
      <c r="AP146" s="33">
        <f>'ІЦВ (Стрим Інфл)+'!AY172</f>
        <v>0.1289663846156941</v>
      </c>
    </row>
    <row r="147" spans="1:42">
      <c r="A147" s="1">
        <v>2023</v>
      </c>
      <c r="B147" s="1">
        <v>3</v>
      </c>
      <c r="C147" s="1">
        <v>9</v>
      </c>
      <c r="D147" t="str">
        <f t="shared" si="56"/>
        <v>2023M9</v>
      </c>
      <c r="E147" s="33">
        <f>F147/F132-1</f>
        <v>0.12223654037653131</v>
      </c>
      <c r="F147" s="602">
        <f t="shared" si="63"/>
        <v>157.85689638020807</v>
      </c>
      <c r="G147" s="126">
        <f t="shared" si="72"/>
        <v>8.9999999999999993E-3</v>
      </c>
      <c r="H147" s="126">
        <f t="shared" si="64"/>
        <v>9.5999999999999992E-3</v>
      </c>
      <c r="I147" s="29">
        <f>E147+$AB$168</f>
        <v>0.13920834699218584</v>
      </c>
      <c r="J147">
        <v>9</v>
      </c>
      <c r="K147" s="391">
        <f t="shared" si="65"/>
        <v>160.24419765041392</v>
      </c>
      <c r="L147" s="33">
        <f t="shared" si="66"/>
        <v>9.1408082262536272E-3</v>
      </c>
      <c r="M147" s="119">
        <f t="shared" si="67"/>
        <v>157.95076569421019</v>
      </c>
      <c r="N147" s="33">
        <f t="shared" si="59"/>
        <v>0.12290387627764732</v>
      </c>
      <c r="P147" s="691">
        <v>0.245</v>
      </c>
      <c r="Q147" s="29">
        <f t="shared" si="73"/>
        <v>0.13920834699218584</v>
      </c>
      <c r="R147" s="29">
        <f t="shared" si="69"/>
        <v>9.930950807360972E-2</v>
      </c>
      <c r="S147" s="33">
        <f t="shared" si="57"/>
        <v>0.22048653198155141</v>
      </c>
      <c r="T147" s="746">
        <f t="shared" si="70"/>
        <v>0.39339423290901393</v>
      </c>
      <c r="U147" s="549">
        <f t="shared" si="68"/>
        <v>8.673813011565118E-2</v>
      </c>
      <c r="V147" s="29">
        <f t="shared" si="71"/>
        <v>0.10730763955122725</v>
      </c>
      <c r="W147" s="29"/>
      <c r="X147" s="863">
        <f>'ІЦВ (Стрим Інфл)+'!AL215</f>
        <v>838410.56501307269</v>
      </c>
      <c r="Z147">
        <f t="shared" si="60"/>
        <v>0.13223399986184514</v>
      </c>
      <c r="AA147" s="123">
        <f>'ІЦВ (Стрим Інфл)+'!$AO173</f>
        <v>3.2000000000000001E-2</v>
      </c>
      <c r="AB147">
        <f t="shared" si="58"/>
        <v>9.7125968858376988E-2</v>
      </c>
      <c r="AC147">
        <f>'ІЦВ (Стрим Інфл)+'!$AH173</f>
        <v>37.5</v>
      </c>
      <c r="AD147">
        <f t="shared" si="61"/>
        <v>2.5430680885972112E-2</v>
      </c>
      <c r="AH147" s="140"/>
      <c r="AO147" s="140">
        <f>'ІЦВ (Стрим Інфл)+'!AX173</f>
        <v>15808.5138858223</v>
      </c>
      <c r="AP147" s="33">
        <f>'ІЦВ (Стрим Інфл)+'!AY173</f>
        <v>0.12819878624583469</v>
      </c>
    </row>
    <row r="148" spans="1:42">
      <c r="A148" s="1">
        <v>2023</v>
      </c>
      <c r="B148" s="1">
        <v>4</v>
      </c>
      <c r="C148" s="1">
        <v>10</v>
      </c>
      <c r="D148" t="str">
        <f t="shared" si="56"/>
        <v>2023M10</v>
      </c>
      <c r="E148" s="33">
        <f t="shared" si="62"/>
        <v>0.10450768507832353</v>
      </c>
      <c r="F148" s="602">
        <f t="shared" si="63"/>
        <v>159.27760844762992</v>
      </c>
      <c r="G148" s="126">
        <f t="shared" si="72"/>
        <v>8.9999999999999993E-3</v>
      </c>
      <c r="H148" s="126">
        <f t="shared" si="64"/>
        <v>1.0400000000000001E-2</v>
      </c>
      <c r="I148" s="29">
        <f>E148+$AB$168+$AB$170</f>
        <v>0.12507719451389959</v>
      </c>
      <c r="J148">
        <v>10</v>
      </c>
      <c r="K148" s="391">
        <f t="shared" si="65"/>
        <v>162.24387324967807</v>
      </c>
      <c r="L148" s="33">
        <f t="shared" si="66"/>
        <v>1.2478926716751548E-2</v>
      </c>
      <c r="M148" s="119">
        <f t="shared" si="67"/>
        <v>159.49860810256223</v>
      </c>
      <c r="N148" s="33">
        <f t="shared" si="59"/>
        <v>0.10604020317456708</v>
      </c>
      <c r="P148" s="691"/>
      <c r="Q148" s="29">
        <f t="shared" si="73"/>
        <v>0.12507719451389959</v>
      </c>
      <c r="R148" s="29">
        <f t="shared" si="69"/>
        <v>8.1711551495338597E-2</v>
      </c>
      <c r="S148" s="33">
        <f>-1.42148*Z148+0.957716*AD148-0.0233571*AP148+0.3870935</f>
        <v>0.20184012860834163</v>
      </c>
      <c r="T148" s="746">
        <f t="shared" si="70"/>
        <v>0.37836243121314639</v>
      </c>
      <c r="U148" s="549">
        <f t="shared" si="68"/>
        <v>7.6368721776626278E-2</v>
      </c>
      <c r="V148" s="29">
        <f t="shared" si="71"/>
        <v>9.6938231212202353E-2</v>
      </c>
      <c r="W148" s="29"/>
      <c r="X148" s="863">
        <f>'ІЦВ (Стрим Інфл)+'!AL216</f>
        <v>840839.18926203332</v>
      </c>
      <c r="Z148">
        <f t="shared" si="60"/>
        <v>0.14547976072200175</v>
      </c>
      <c r="AA148" s="123">
        <f>'ІЦВ (Стрим Інфл)+'!$AO174</f>
        <v>3.3000000000000002E-2</v>
      </c>
      <c r="AB148">
        <f t="shared" si="58"/>
        <v>0.10888650602323513</v>
      </c>
      <c r="AC148">
        <f>'ІЦВ (Стрим Інфл)+'!$AH174</f>
        <v>37.5</v>
      </c>
      <c r="AD148">
        <f t="shared" si="61"/>
        <v>2.5430680885972112E-2</v>
      </c>
      <c r="AH148" s="140"/>
      <c r="AO148" s="140">
        <f>'ІЦВ (Стрим Інфл)+'!AX174</f>
        <v>15825.501007894374</v>
      </c>
      <c r="AP148" s="33">
        <f>'ІЦВ (Стрим Інфл)+'!AY174</f>
        <v>0.1203989834327448</v>
      </c>
    </row>
    <row r="149" spans="1:42">
      <c r="A149" s="1">
        <v>2023</v>
      </c>
      <c r="B149" s="1">
        <v>4</v>
      </c>
      <c r="C149" s="1">
        <v>11</v>
      </c>
      <c r="D149" t="str">
        <f t="shared" si="56"/>
        <v>2023M11</v>
      </c>
      <c r="E149" s="33">
        <f t="shared" si="62"/>
        <v>0.10691290119372443</v>
      </c>
      <c r="F149" s="602">
        <f t="shared" si="63"/>
        <v>160.71110692365858</v>
      </c>
      <c r="G149" s="126">
        <f t="shared" si="72"/>
        <v>8.9999999999999993E-3</v>
      </c>
      <c r="H149" s="126">
        <f t="shared" si="64"/>
        <v>8.8000000000000005E-3</v>
      </c>
      <c r="I149" s="29">
        <f>E149+$AB$168+$AB$170</f>
        <v>0.12748241062930049</v>
      </c>
      <c r="J149">
        <v>11</v>
      </c>
      <c r="K149" s="391">
        <f t="shared" si="65"/>
        <v>163.69756468985051</v>
      </c>
      <c r="L149" s="33">
        <f t="shared" si="66"/>
        <v>8.9599157802116025E-3</v>
      </c>
      <c r="M149" s="119">
        <f t="shared" si="67"/>
        <v>160.67925140196905</v>
      </c>
      <c r="N149" s="33">
        <f t="shared" si="59"/>
        <v>0.10669349328466726</v>
      </c>
      <c r="P149" s="691"/>
      <c r="Q149" s="29">
        <f t="shared" si="73"/>
        <v>0.12748241062930049</v>
      </c>
      <c r="R149" s="29">
        <f t="shared" si="69"/>
        <v>8.2992728372970337E-2</v>
      </c>
      <c r="S149" s="33">
        <f t="shared" si="57"/>
        <v>0.22674082285978392</v>
      </c>
      <c r="T149" s="746">
        <f>T148*$T$152</f>
        <v>0.36390500261002356</v>
      </c>
      <c r="U149" s="549">
        <f t="shared" si="68"/>
        <v>8.2512119734588552E-2</v>
      </c>
      <c r="V149" s="29">
        <f t="shared" si="71"/>
        <v>0.10308162917016463</v>
      </c>
      <c r="W149" s="29"/>
      <c r="X149" s="863">
        <f>'ІЦВ (Стрим Інфл)+'!AL217</f>
        <v>855450.98009963252</v>
      </c>
      <c r="Z149">
        <f t="shared" si="60"/>
        <v>0.12807375851838532</v>
      </c>
      <c r="AA149" s="123">
        <f>'ІЦВ (Стрим Інфл)+'!$AO175</f>
        <v>3.3000000000000002E-2</v>
      </c>
      <c r="AB149">
        <f t="shared" si="58"/>
        <v>9.203655229272556E-2</v>
      </c>
      <c r="AC149">
        <f>'ІЦВ (Стрим Інфл)+'!$AH175</f>
        <v>37.5</v>
      </c>
      <c r="AD149">
        <f>AC149/AC134-1</f>
        <v>2.5430680885972112E-2</v>
      </c>
      <c r="AH149" s="140"/>
      <c r="AO149" s="140">
        <f>'ІЦВ (Стрим Інфл)+'!AX175</f>
        <v>15841.771490582814</v>
      </c>
      <c r="AP149" s="33">
        <f>'ІЦВ (Стрим Інфл)+'!AY175</f>
        <v>0.11361688124344926</v>
      </c>
    </row>
    <row r="150" spans="1:42">
      <c r="A150" s="1">
        <v>2023</v>
      </c>
      <c r="B150" s="1">
        <v>4</v>
      </c>
      <c r="C150" s="1">
        <v>12</v>
      </c>
      <c r="D150" t="str">
        <f t="shared" si="56"/>
        <v>2023M12</v>
      </c>
      <c r="E150" s="33">
        <f>F150/F135-1</f>
        <v>0.10905503121578186</v>
      </c>
      <c r="F150" s="602">
        <f>F149*(1+G150)</f>
        <v>162.15750688597149</v>
      </c>
      <c r="G150" s="126">
        <f t="shared" si="72"/>
        <v>8.9999999999999993E-3</v>
      </c>
      <c r="H150" s="126">
        <f t="shared" si="64"/>
        <v>5.2000000000000006E-3</v>
      </c>
      <c r="I150" s="29">
        <f>E150+$AB$168+$AB$170</f>
        <v>0.12962454065135792</v>
      </c>
      <c r="J150">
        <v>12</v>
      </c>
      <c r="K150" s="391">
        <f t="shared" si="65"/>
        <v>165.16502254034256</v>
      </c>
      <c r="L150" s="33">
        <f t="shared" si="66"/>
        <v>8.964445215005945E-3</v>
      </c>
      <c r="M150" s="119">
        <f t="shared" si="67"/>
        <v>161.54680467966162</v>
      </c>
      <c r="N150" s="33">
        <f t="shared" si="59"/>
        <v>0.10487821345699122</v>
      </c>
      <c r="P150" s="691">
        <v>0.20799999999999999</v>
      </c>
      <c r="Q150" s="29">
        <f t="shared" si="73"/>
        <v>0.12962454065135792</v>
      </c>
      <c r="R150" s="29">
        <f t="shared" si="69"/>
        <v>8.2937747624325153E-2</v>
      </c>
      <c r="S150" s="33">
        <f t="shared" si="57"/>
        <v>0.25467991916313126</v>
      </c>
      <c r="T150" s="493">
        <v>0.35</v>
      </c>
      <c r="U150" s="549">
        <f t="shared" si="68"/>
        <v>8.9137971707095934E-2</v>
      </c>
      <c r="V150" s="29">
        <f t="shared" si="71"/>
        <v>0.10970748114267201</v>
      </c>
      <c r="W150" s="29"/>
      <c r="X150" s="863">
        <f>'ІЦВ (Стрим Інфл)+'!AL218</f>
        <v>876795.63494998321</v>
      </c>
      <c r="Z150">
        <f t="shared" si="60"/>
        <v>0.10631532462217552</v>
      </c>
      <c r="AA150" s="123">
        <f>'ІЦВ (Стрим Інфл)+'!$AO176</f>
        <v>3.3000000000000002E-2</v>
      </c>
      <c r="AB150">
        <f t="shared" si="58"/>
        <v>7.0973208733955184E-2</v>
      </c>
      <c r="AC150">
        <f>'ІЦВ (Стрим Інфл)+'!$AH176</f>
        <v>37.5</v>
      </c>
      <c r="AD150">
        <f t="shared" si="61"/>
        <v>2.5430680885972112E-2</v>
      </c>
      <c r="AH150" s="140"/>
      <c r="AO150" s="140">
        <f>'ІЦВ (Стрим Інфл)+'!AX176</f>
        <v>18618.478603682084</v>
      </c>
      <c r="AP150" s="33">
        <f>'ІЦВ (Стрим Інфл)+'!AY176</f>
        <v>0.24163287258813693</v>
      </c>
    </row>
    <row r="151" spans="1:42">
      <c r="E151" s="33"/>
      <c r="F151" s="545"/>
    </row>
    <row r="152" spans="1:42">
      <c r="E152" s="604">
        <f>AVERAGE(E139:E150)</f>
        <v>0.1584034740735305</v>
      </c>
      <c r="I152" s="604">
        <f>AVERAGE(I139:I150)</f>
        <v>0.16920312030430937</v>
      </c>
      <c r="K152" s="605" t="s">
        <v>490</v>
      </c>
      <c r="P152" s="691">
        <v>0.25800000000000001</v>
      </c>
      <c r="Q152" s="818">
        <f>AVERAGE(Q139:Q150)</f>
        <v>0.16932267370518436</v>
      </c>
      <c r="R152" s="589">
        <f>AVERAGE(R139:R150)</f>
        <v>0.14644157604877775</v>
      </c>
      <c r="T152">
        <f>(T150/T142)^(1/8)</f>
        <v>0.96178947112490032</v>
      </c>
      <c r="U152" s="589">
        <f>AVERAGE(U139:U150)</f>
        <v>0.1536832768344987</v>
      </c>
      <c r="V152" s="589">
        <f>AVERAGE(V139:V150)</f>
        <v>0.16739628312488272</v>
      </c>
    </row>
    <row r="153" spans="1:42">
      <c r="A153" s="1"/>
      <c r="B153" s="1"/>
      <c r="C153" s="1"/>
      <c r="G153" s="33">
        <f>F148/F133-1</f>
        <v>0.10450768507832353</v>
      </c>
    </row>
    <row r="154" spans="1:42">
      <c r="I154" s="309"/>
      <c r="J154" s="332"/>
      <c r="Y154" s="120"/>
      <c r="Z154" s="120"/>
      <c r="AA154" s="120"/>
      <c r="AB154" s="120"/>
      <c r="AC154" s="120"/>
      <c r="AD154" s="120"/>
      <c r="AE154" s="120"/>
    </row>
    <row r="155" spans="1:42">
      <c r="F155">
        <v>100</v>
      </c>
      <c r="T155" t="s">
        <v>1923</v>
      </c>
      <c r="U155" t="s">
        <v>1922</v>
      </c>
      <c r="Z155" s="124"/>
      <c r="AA155" s="124"/>
      <c r="AB155" s="124"/>
      <c r="AC155" s="124"/>
      <c r="AD155" s="124"/>
      <c r="AE155" s="124"/>
    </row>
    <row r="156" spans="1:42">
      <c r="I156" s="123"/>
      <c r="Z156" s="124"/>
      <c r="AA156" s="124"/>
      <c r="AB156" s="124"/>
      <c r="AC156" s="124"/>
      <c r="AD156" s="124"/>
      <c r="AE156" s="124"/>
    </row>
    <row r="157" spans="1:42">
      <c r="A157" s="1">
        <v>2024</v>
      </c>
      <c r="B157" s="1">
        <v>1</v>
      </c>
      <c r="C157" s="1">
        <v>1</v>
      </c>
      <c r="D157" t="str">
        <f>A157&amp;"M"&amp;C157</f>
        <v>2024M1</v>
      </c>
      <c r="E157" s="33">
        <f>F157/F139-1</f>
        <v>0.11125553723009896</v>
      </c>
      <c r="F157" s="119">
        <f>F150*(1+G157)</f>
        <v>163.77908195483121</v>
      </c>
      <c r="G157" s="616">
        <v>0.01</v>
      </c>
      <c r="I157" s="29">
        <f>E157+5%</f>
        <v>0.16125553723009894</v>
      </c>
      <c r="S157" s="140">
        <v>1</v>
      </c>
      <c r="T157" s="29">
        <f>U139</f>
        <v>0.28138735124014508</v>
      </c>
      <c r="U157" s="33">
        <f>'ІСЦ (Стрим Інфл)'!U139</f>
        <v>0.27997296732071508</v>
      </c>
      <c r="Z157" s="124"/>
      <c r="AA157" s="124"/>
      <c r="AB157" s="124"/>
      <c r="AC157" s="124"/>
      <c r="AD157" s="124"/>
      <c r="AE157" s="124"/>
    </row>
    <row r="158" spans="1:42">
      <c r="A158" s="1">
        <v>2024</v>
      </c>
      <c r="B158" s="1">
        <v>1</v>
      </c>
      <c r="C158" s="1">
        <v>2</v>
      </c>
      <c r="D158" t="str">
        <f>A158&amp;"M"&amp;C158</f>
        <v>2024M2</v>
      </c>
      <c r="S158" s="140">
        <v>2</v>
      </c>
      <c r="T158" s="29">
        <f t="shared" ref="T158:T168" si="74">U140</f>
        <v>0.26145437741667582</v>
      </c>
      <c r="U158" s="33">
        <f>'ІСЦ (Стрим Інфл)'!U140</f>
        <v>0.26056459163013396</v>
      </c>
      <c r="Z158" s="124"/>
      <c r="AA158" s="124"/>
      <c r="AB158" s="124"/>
      <c r="AC158" s="124"/>
      <c r="AD158" s="124"/>
      <c r="AE158" s="124"/>
    </row>
    <row r="159" spans="1:42">
      <c r="A159" s="1">
        <v>2024</v>
      </c>
      <c r="B159" s="1">
        <v>1</v>
      </c>
      <c r="C159" s="1">
        <v>3</v>
      </c>
      <c r="D159" t="str">
        <f>A159&amp;"M"&amp;C159</f>
        <v>2024M3</v>
      </c>
      <c r="S159" s="140">
        <v>3</v>
      </c>
      <c r="T159" s="29">
        <f t="shared" si="74"/>
        <v>0.23089505427904097</v>
      </c>
      <c r="U159" s="33">
        <f>'ІСЦ (Стрим Інфл)'!U141</f>
        <v>0.23168911337967341</v>
      </c>
      <c r="Z159" s="124"/>
      <c r="AA159" s="124"/>
      <c r="AB159" s="124"/>
      <c r="AC159" s="124"/>
      <c r="AD159" s="124"/>
      <c r="AE159" s="124"/>
    </row>
    <row r="160" spans="1:42">
      <c r="S160" s="140">
        <v>4</v>
      </c>
      <c r="T160" s="29">
        <f t="shared" si="74"/>
        <v>0.19371420894434127</v>
      </c>
      <c r="U160" s="33">
        <f>'ІСЦ (Стрим Інфл)'!U142</f>
        <v>0.19287473057208959</v>
      </c>
      <c r="Z160" s="124"/>
      <c r="AA160" s="124"/>
      <c r="AB160" s="124"/>
      <c r="AC160" s="124"/>
      <c r="AD160" s="124"/>
      <c r="AE160" s="124"/>
    </row>
    <row r="161" spans="4:31" ht="18.75" thickBot="1">
      <c r="D161" t="s">
        <v>1902</v>
      </c>
      <c r="E161" s="33">
        <f>F161/F124-1</f>
        <v>0.25975123395853905</v>
      </c>
      <c r="F161" s="535">
        <f>F135*(1+G161)</f>
        <v>147.38201652795792</v>
      </c>
      <c r="G161" s="33">
        <f>'Повернення до таргету 2023'!G27</f>
        <v>8.0000000000000002E-3</v>
      </c>
      <c r="S161" s="140">
        <v>5</v>
      </c>
      <c r="T161" s="29">
        <f t="shared" si="74"/>
        <v>0.18925515201768756</v>
      </c>
      <c r="U161" s="33">
        <f>'ІСЦ (Стрим Інфл)'!U143</f>
        <v>0.12526740801190045</v>
      </c>
      <c r="Z161" s="124"/>
      <c r="AA161" s="124"/>
      <c r="AB161" s="124"/>
      <c r="AC161" s="124"/>
      <c r="AD161" s="124"/>
      <c r="AE161" s="124"/>
    </row>
    <row r="162" spans="4:31" ht="72.75" thickBot="1">
      <c r="D162" t="s">
        <v>1903</v>
      </c>
      <c r="E162" s="33">
        <f t="shared" ref="E162:E172" si="75">F162/F125-1</f>
        <v>0.24806715309048077</v>
      </c>
      <c r="F162" s="535">
        <f>F161*(1+G162)</f>
        <v>148.41369064365361</v>
      </c>
      <c r="G162" s="33">
        <f>'Повернення до таргету 2023'!G28</f>
        <v>6.9999999999999993E-3</v>
      </c>
      <c r="L162" s="258" t="s">
        <v>270</v>
      </c>
      <c r="M162" s="258" t="s">
        <v>271</v>
      </c>
      <c r="N162" s="261" t="s">
        <v>272</v>
      </c>
      <c r="P162" s="117" t="s">
        <v>260</v>
      </c>
      <c r="Q162" s="117" t="s">
        <v>261</v>
      </c>
      <c r="R162" s="117"/>
      <c r="S162" s="140">
        <v>6</v>
      </c>
      <c r="T162" s="29">
        <f t="shared" si="74"/>
        <v>0.17614707489441564</v>
      </c>
      <c r="U162" s="33">
        <f>'ІСЦ (Стрим Інфл)'!U144</f>
        <v>0.10815547097458583</v>
      </c>
      <c r="V162" s="117"/>
      <c r="W162" s="117"/>
      <c r="X162" s="581" t="s">
        <v>0</v>
      </c>
    </row>
    <row r="163" spans="4:31" ht="18.75" thickBot="1">
      <c r="D163" t="s">
        <v>1904</v>
      </c>
      <c r="E163" s="33">
        <f t="shared" si="75"/>
        <v>0.21274697214048022</v>
      </c>
      <c r="F163" s="535">
        <f t="shared" ref="F163:F172" si="76">F162*(1+G163)</f>
        <v>150.63989600330839</v>
      </c>
      <c r="G163" s="33">
        <f>'Повернення до таргету 2023'!G29</f>
        <v>1.4999999999999999E-2</v>
      </c>
      <c r="L163" s="33" t="e">
        <f>#REF!</f>
        <v>#REF!</v>
      </c>
      <c r="M163" s="33">
        <f t="shared" ref="M163:M174" si="77">M110</f>
        <v>6.0999999999999999E-2</v>
      </c>
      <c r="N163" s="33">
        <v>6.1000000000000006E-2</v>
      </c>
      <c r="O163" s="29" t="e">
        <f t="shared" ref="O163:O174" si="78">L163/M163</f>
        <v>#REF!</v>
      </c>
      <c r="P163" s="99" t="e">
        <f>#REF!</f>
        <v>#REF!</v>
      </c>
      <c r="Q163" s="99">
        <f t="shared" ref="Q163:Q174" si="79">AC110</f>
        <v>28.219770967741901</v>
      </c>
      <c r="R163" s="99"/>
      <c r="S163" s="140">
        <v>7</v>
      </c>
      <c r="T163" s="29">
        <f t="shared" si="74"/>
        <v>8.5430983890440154E-2</v>
      </c>
      <c r="U163" s="33">
        <f>'ІСЦ (Стрим Інфл)'!U145</f>
        <v>-4.4987882790879256E-3</v>
      </c>
      <c r="W163" s="588" t="s">
        <v>480</v>
      </c>
      <c r="X163" s="589">
        <f>R137</f>
        <v>0</v>
      </c>
    </row>
    <row r="164" spans="4:31" ht="18.75" thickBot="1">
      <c r="D164" t="s">
        <v>1905</v>
      </c>
      <c r="E164" s="33">
        <f t="shared" si="75"/>
        <v>0.17873433554327023</v>
      </c>
      <c r="F164" s="535">
        <f t="shared" si="76"/>
        <v>150.94117579531502</v>
      </c>
      <c r="G164" s="33">
        <f>'Повернення до таргету 2023'!G30</f>
        <v>2E-3</v>
      </c>
      <c r="L164" s="33" t="e">
        <f>#REF!</f>
        <v>#REF!</v>
      </c>
      <c r="M164" s="33">
        <f t="shared" si="77"/>
        <v>7.4999999999999997E-2</v>
      </c>
      <c r="N164" s="33">
        <v>7.4999999999999997E-2</v>
      </c>
      <c r="O164" s="29" t="e">
        <f t="shared" si="78"/>
        <v>#REF!</v>
      </c>
      <c r="P164" s="99" t="e">
        <f>#REF!</f>
        <v>#REF!</v>
      </c>
      <c r="Q164" s="99">
        <f t="shared" si="79"/>
        <v>27.884660714285701</v>
      </c>
      <c r="R164" s="99"/>
      <c r="S164" s="140">
        <v>8</v>
      </c>
      <c r="T164" s="29">
        <f t="shared" si="74"/>
        <v>9.1158175997275881E-2</v>
      </c>
      <c r="U164" s="33">
        <f>'ІСЦ (Стрим Інфл)'!U146</f>
        <v>3.2200888386608034E-2</v>
      </c>
      <c r="W164" s="99"/>
    </row>
    <row r="165" spans="4:31" ht="22.5" thickBot="1">
      <c r="D165" t="s">
        <v>1906</v>
      </c>
      <c r="E165" s="33">
        <f t="shared" si="75"/>
        <v>0.15356885940839327</v>
      </c>
      <c r="F165" s="535">
        <f t="shared" si="76"/>
        <v>151.69588167429157</v>
      </c>
      <c r="G165" s="33">
        <f>'Повернення до таргету 2023'!G31</f>
        <v>5.0000000000000001E-3</v>
      </c>
      <c r="L165" s="33" t="e">
        <f>#REF!</f>
        <v>#REF!</v>
      </c>
      <c r="M165" s="33">
        <f t="shared" si="77"/>
        <v>8.5000000000000006E-2</v>
      </c>
      <c r="N165" s="33">
        <v>0.08</v>
      </c>
      <c r="O165" s="29" t="e">
        <f t="shared" si="78"/>
        <v>#REF!</v>
      </c>
      <c r="P165" s="99" t="e">
        <f>#REF!</f>
        <v>#REF!</v>
      </c>
      <c r="Q165" s="99">
        <f t="shared" si="79"/>
        <v>27.795558064516101</v>
      </c>
      <c r="R165" s="99"/>
      <c r="S165" s="140">
        <v>9</v>
      </c>
      <c r="T165" s="29">
        <f t="shared" si="74"/>
        <v>8.673813011565118E-2</v>
      </c>
      <c r="U165" s="33">
        <f>'ІСЦ (Стрим Інфл)'!U147</f>
        <v>1.7694716989422665E-2</v>
      </c>
      <c r="W165" s="594" t="s">
        <v>484</v>
      </c>
    </row>
    <row r="166" spans="4:31" ht="18.75" thickBot="1">
      <c r="D166" t="s">
        <v>1907</v>
      </c>
      <c r="E166" s="33">
        <f t="shared" si="75"/>
        <v>0.1304014012280168</v>
      </c>
      <c r="F166" s="535">
        <f t="shared" si="76"/>
        <v>153.36453637270876</v>
      </c>
      <c r="G166" s="33">
        <f>'Повернення до таргету 2023'!G32</f>
        <v>1.0999999999999999E-2</v>
      </c>
      <c r="L166" s="33" t="e">
        <f>#REF!</f>
        <v>#REF!</v>
      </c>
      <c r="M166" s="33">
        <f t="shared" si="77"/>
        <v>8.4000000000000005E-2</v>
      </c>
      <c r="N166" s="33">
        <f t="shared" ref="N166:N174" si="80">M166*$M$177</f>
        <v>8.4000000000000005E-2</v>
      </c>
      <c r="O166" s="29" t="e">
        <f t="shared" si="78"/>
        <v>#REF!</v>
      </c>
      <c r="P166" s="99" t="e">
        <f>#REF!</f>
        <v>#REF!</v>
      </c>
      <c r="Q166" s="99">
        <f t="shared" si="79"/>
        <v>27.93</v>
      </c>
      <c r="R166" s="99"/>
      <c r="S166" s="140">
        <v>10</v>
      </c>
      <c r="T166" s="29">
        <f t="shared" si="74"/>
        <v>7.6368721776626278E-2</v>
      </c>
      <c r="U166" s="33">
        <f>'ІСЦ (Стрим Інфл)'!U148</f>
        <v>1.5002044145306936E-2</v>
      </c>
    </row>
    <row r="167" spans="4:31" ht="33.75" customHeight="1" thickBot="1">
      <c r="D167" t="s">
        <v>1908</v>
      </c>
      <c r="E167" s="33">
        <f t="shared" si="75"/>
        <v>0.11939803599900833</v>
      </c>
      <c r="F167" s="535">
        <f t="shared" si="76"/>
        <v>152.8994083603871</v>
      </c>
      <c r="G167" s="33">
        <f>'Повернення до таргету 2023'!G33</f>
        <v>-3.0328263842645301E-3</v>
      </c>
      <c r="L167" s="33" t="e">
        <f>#REF!</f>
        <v>#REF!</v>
      </c>
      <c r="M167" s="33">
        <f t="shared" si="77"/>
        <v>9.5000000000000001E-2</v>
      </c>
      <c r="N167" s="33">
        <f t="shared" si="80"/>
        <v>9.5000000000000001E-2</v>
      </c>
      <c r="O167" s="29" t="e">
        <f t="shared" si="78"/>
        <v>#REF!</v>
      </c>
      <c r="P167" s="99" t="e">
        <f>#REF!</f>
        <v>#REF!</v>
      </c>
      <c r="Q167" s="99">
        <f t="shared" si="79"/>
        <v>27.6</v>
      </c>
      <c r="R167" s="99"/>
      <c r="S167" s="140">
        <v>11</v>
      </c>
      <c r="T167" s="29">
        <f t="shared" si="74"/>
        <v>8.2512119734588552E-2</v>
      </c>
      <c r="U167" s="33">
        <f>'ІСЦ (Стрим Інфл)'!U149</f>
        <v>3.4237353304377403E-2</v>
      </c>
      <c r="W167" s="592"/>
      <c r="X167" s="593" t="s">
        <v>485</v>
      </c>
      <c r="Y167" s="593" t="s">
        <v>489</v>
      </c>
      <c r="Z167" s="593" t="s">
        <v>486</v>
      </c>
      <c r="AA167" s="593" t="s">
        <v>488</v>
      </c>
      <c r="AB167" s="593" t="s">
        <v>487</v>
      </c>
    </row>
    <row r="168" spans="4:31" ht="18.75" thickBot="1">
      <c r="D168" t="s">
        <v>1909</v>
      </c>
      <c r="E168" s="33">
        <f t="shared" si="75"/>
        <v>0.10624474484040047</v>
      </c>
      <c r="F168" s="535">
        <f t="shared" si="76"/>
        <v>152.7750607242337</v>
      </c>
      <c r="G168" s="33">
        <f>'Повернення до таргету 2023'!G34</f>
        <v>-8.1326433821326388E-4</v>
      </c>
      <c r="L168" s="33" t="e">
        <f>#REF!</f>
        <v>#REF!</v>
      </c>
      <c r="M168" s="33">
        <f t="shared" si="77"/>
        <v>9.4999999999999987E-2</v>
      </c>
      <c r="N168" s="33">
        <f>M168*$M$177</f>
        <v>9.4999999999999987E-2</v>
      </c>
      <c r="O168" s="29" t="e">
        <f t="shared" si="78"/>
        <v>#REF!</v>
      </c>
      <c r="P168" s="99" t="e">
        <f>#REF!</f>
        <v>#REF!</v>
      </c>
      <c r="Q168" s="99">
        <f t="shared" si="79"/>
        <v>27.239873333333321</v>
      </c>
      <c r="R168" s="99"/>
      <c r="S168" s="140">
        <v>12</v>
      </c>
      <c r="T168" s="29">
        <f t="shared" si="74"/>
        <v>8.9137971707095934E-2</v>
      </c>
      <c r="U168" s="33">
        <f>'ІСЦ (Стрим Інфл)'!U150</f>
        <v>4.4204590961865478E-2</v>
      </c>
      <c r="W168" s="596" t="s">
        <v>481</v>
      </c>
      <c r="X168" s="595">
        <v>1.566628302983496E-2</v>
      </c>
      <c r="Y168" s="598">
        <v>1.68</v>
      </c>
      <c r="Z168" s="598">
        <v>3.5</v>
      </c>
      <c r="AA168" s="599">
        <f>Z168/Y168-1</f>
        <v>1.0833333333333335</v>
      </c>
      <c r="AB168" s="600">
        <f>X168*AA168</f>
        <v>1.6971806615654544E-2</v>
      </c>
    </row>
    <row r="169" spans="4:31" ht="18.75" thickBot="1">
      <c r="D169" t="s">
        <v>1910</v>
      </c>
      <c r="E169" s="33">
        <f t="shared" si="75"/>
        <v>9.930950807360972E-2</v>
      </c>
      <c r="F169" s="535">
        <f t="shared" si="76"/>
        <v>154.63191658999943</v>
      </c>
      <c r="G169" s="33">
        <f>'Повернення до таргету 2023'!G35</f>
        <v>1.2154181821059635E-2</v>
      </c>
      <c r="L169" s="33" t="e">
        <f>#REF!</f>
        <v>#REF!</v>
      </c>
      <c r="M169" s="33">
        <f t="shared" si="77"/>
        <v>0.10200000000000001</v>
      </c>
      <c r="N169" s="33">
        <f t="shared" si="80"/>
        <v>0.10200000000000001</v>
      </c>
      <c r="O169" s="29" t="e">
        <f t="shared" si="78"/>
        <v>#REF!</v>
      </c>
      <c r="P169" s="99" t="e">
        <f>#REF!</f>
        <v>#REF!</v>
      </c>
      <c r="Q169" s="99">
        <f t="shared" si="79"/>
        <v>27.214548387096801</v>
      </c>
      <c r="R169" s="99"/>
      <c r="S169" s="99"/>
      <c r="T169" s="99"/>
      <c r="U169" s="99"/>
      <c r="W169" s="596" t="s">
        <v>482</v>
      </c>
      <c r="X169" s="595">
        <v>2.3253211786406939E-2</v>
      </c>
      <c r="Y169" s="598">
        <v>7.99</v>
      </c>
      <c r="Z169" s="598">
        <v>7.99</v>
      </c>
      <c r="AA169" s="599">
        <f>Z169/Y169-1</f>
        <v>0</v>
      </c>
      <c r="AB169" s="600">
        <f>X169*AA169</f>
        <v>0</v>
      </c>
    </row>
    <row r="170" spans="4:31" ht="18.75" thickBot="1">
      <c r="D170" t="s">
        <v>1911</v>
      </c>
      <c r="E170" s="33">
        <f t="shared" si="75"/>
        <v>8.1711551495338597E-2</v>
      </c>
      <c r="F170" s="535">
        <f t="shared" si="76"/>
        <v>155.9902491218385</v>
      </c>
      <c r="G170" s="33">
        <f>'Повернення до таргету 2023'!G36</f>
        <v>8.7842960353432271E-3</v>
      </c>
      <c r="L170" s="33" t="e">
        <f>#REF!</f>
        <v>#REF!</v>
      </c>
      <c r="M170" s="33">
        <f t="shared" si="77"/>
        <v>0.10199999999999999</v>
      </c>
      <c r="N170" s="33">
        <f t="shared" si="80"/>
        <v>0.10199999999999999</v>
      </c>
      <c r="O170" s="29" t="e">
        <f t="shared" si="78"/>
        <v>#REF!</v>
      </c>
      <c r="P170" s="99" t="e">
        <f>#REF!</f>
        <v>#REF!</v>
      </c>
      <c r="Q170" s="99">
        <f t="shared" si="79"/>
        <v>26.76</v>
      </c>
      <c r="R170" s="99"/>
      <c r="S170" s="99"/>
      <c r="T170" s="589">
        <f>AVERAGE(T157:T168)</f>
        <v>0.1536832768344987</v>
      </c>
      <c r="U170" s="589">
        <f>AVERAGE(U157:U168)</f>
        <v>0.1114470906164659</v>
      </c>
      <c r="W170" s="596" t="s">
        <v>483</v>
      </c>
      <c r="X170" s="595">
        <v>1.7198267237428334E-2</v>
      </c>
      <c r="Y170" s="598">
        <v>1654</v>
      </c>
      <c r="Z170" s="598">
        <v>2000</v>
      </c>
      <c r="AA170" s="599">
        <f>Z170/Y170-1</f>
        <v>0.20918984280532049</v>
      </c>
      <c r="AB170" s="600">
        <f>X170*AA170</f>
        <v>3.5977028199215264E-3</v>
      </c>
    </row>
    <row r="171" spans="4:31" ht="18.75" thickBot="1">
      <c r="D171" t="s">
        <v>1912</v>
      </c>
      <c r="E171" s="33">
        <f t="shared" si="75"/>
        <v>8.2992728372970337E-2</v>
      </c>
      <c r="F171" s="535">
        <f t="shared" si="76"/>
        <v>157.23817111481321</v>
      </c>
      <c r="G171" s="33">
        <f>'Повернення до таргету 2023'!G37</f>
        <v>8.0000000000000002E-3</v>
      </c>
      <c r="L171" s="33" t="e">
        <f>#REF!</f>
        <v>#REF!</v>
      </c>
      <c r="M171" s="33">
        <f t="shared" si="77"/>
        <v>0.11</v>
      </c>
      <c r="N171" s="33">
        <f t="shared" si="80"/>
        <v>0.11</v>
      </c>
      <c r="O171" s="29" t="e">
        <f t="shared" si="78"/>
        <v>#REF!</v>
      </c>
      <c r="P171" s="99" t="e">
        <f>#REF!</f>
        <v>#REF!</v>
      </c>
      <c r="Q171" s="99">
        <f t="shared" si="79"/>
        <v>26.73</v>
      </c>
      <c r="R171" s="99"/>
      <c r="S171" s="99"/>
      <c r="T171" s="99"/>
      <c r="U171" s="99"/>
      <c r="W171" s="590"/>
      <c r="X171" s="497"/>
      <c r="Y171" s="497"/>
      <c r="Z171" s="497"/>
      <c r="AA171" s="597" t="s">
        <v>487</v>
      </c>
      <c r="AB171" s="591">
        <f>AB168+AB169+AB170</f>
        <v>2.0569509435576071E-2</v>
      </c>
    </row>
    <row r="172" spans="4:31" ht="18.75" thickBot="1">
      <c r="D172" t="s">
        <v>1913</v>
      </c>
      <c r="E172" s="33">
        <f t="shared" si="75"/>
        <v>8.2937747624325153E-2</v>
      </c>
      <c r="F172" s="535">
        <f t="shared" si="76"/>
        <v>158.3388383126169</v>
      </c>
      <c r="G172" s="33">
        <f>'Повернення до таргету 2023'!G38</f>
        <v>7.0000000000000001E-3</v>
      </c>
      <c r="L172" s="33" t="e">
        <f>#REF!</f>
        <v>#REF!</v>
      </c>
      <c r="M172" s="33">
        <f t="shared" si="77"/>
        <v>0.109</v>
      </c>
      <c r="N172" s="33">
        <f t="shared" si="80"/>
        <v>0.109</v>
      </c>
      <c r="O172" s="29" t="e">
        <f t="shared" si="78"/>
        <v>#REF!</v>
      </c>
      <c r="P172" s="99" t="e">
        <f>#REF!</f>
        <v>#REF!</v>
      </c>
      <c r="Q172" s="99">
        <f t="shared" si="79"/>
        <v>26.37</v>
      </c>
      <c r="R172" s="99"/>
      <c r="S172" s="99"/>
      <c r="T172" s="99"/>
      <c r="U172" s="99"/>
      <c r="V172" s="99"/>
      <c r="W172" s="99"/>
    </row>
    <row r="173" spans="4:31">
      <c r="L173" s="33" t="e">
        <f>#REF!</f>
        <v>#REF!</v>
      </c>
      <c r="M173" s="33">
        <f t="shared" si="77"/>
        <v>0.10299999999999998</v>
      </c>
      <c r="N173" s="33">
        <f t="shared" si="80"/>
        <v>0.10299999999999998</v>
      </c>
      <c r="O173" s="29" t="e">
        <f t="shared" si="78"/>
        <v>#REF!</v>
      </c>
      <c r="P173" s="99" t="e">
        <f>#REF!</f>
        <v>#REF!</v>
      </c>
      <c r="Q173" s="99">
        <f t="shared" si="79"/>
        <v>26.446000000000002</v>
      </c>
      <c r="R173" s="99"/>
      <c r="S173" s="99"/>
      <c r="T173" s="99"/>
      <c r="U173" s="99"/>
      <c r="V173" s="99"/>
      <c r="W173" s="99"/>
    </row>
    <row r="174" spans="4:31">
      <c r="L174" s="33" t="e">
        <f>#REF!</f>
        <v>#REF!</v>
      </c>
      <c r="M174" s="33">
        <f t="shared" si="77"/>
        <v>0.1335247593684229</v>
      </c>
      <c r="N174" s="33">
        <f t="shared" si="80"/>
        <v>0.1335247593684229</v>
      </c>
      <c r="O174" s="29" t="e">
        <f t="shared" si="78"/>
        <v>#REF!</v>
      </c>
      <c r="P174" s="99" t="e">
        <f>#REF!</f>
        <v>#REF!</v>
      </c>
      <c r="Q174" s="99">
        <f t="shared" si="79"/>
        <v>27.21</v>
      </c>
      <c r="R174" s="99"/>
      <c r="S174" s="99"/>
      <c r="T174" s="99"/>
      <c r="U174" s="99"/>
      <c r="V174" s="99"/>
      <c r="W174" s="99"/>
    </row>
    <row r="175" spans="4:31">
      <c r="L175" s="260" t="e">
        <f>AVERAGE(L163:L174)</f>
        <v>#REF!</v>
      </c>
      <c r="M175" s="260">
        <f>AVERAGE(M163:M174)</f>
        <v>9.6210396614035229E-2</v>
      </c>
      <c r="N175" s="260">
        <f>AVERAGE(N163:N174)</f>
        <v>9.5793729947368567E-2</v>
      </c>
    </row>
    <row r="176" spans="4:31" ht="36">
      <c r="M176" s="139" t="s">
        <v>264</v>
      </c>
    </row>
    <row r="177" spans="4:14">
      <c r="M177">
        <v>1</v>
      </c>
    </row>
    <row r="180" spans="4:14">
      <c r="F180" s="310">
        <v>2013</v>
      </c>
      <c r="G180" s="310">
        <v>2014</v>
      </c>
      <c r="H180" s="310">
        <v>2015</v>
      </c>
      <c r="I180" s="310">
        <v>2016</v>
      </c>
      <c r="J180" s="310">
        <v>2017</v>
      </c>
      <c r="K180" s="310">
        <v>2018</v>
      </c>
      <c r="L180" s="310">
        <v>2019</v>
      </c>
      <c r="M180" s="310">
        <v>2020</v>
      </c>
      <c r="N180" s="310">
        <v>2021</v>
      </c>
    </row>
    <row r="181" spans="4:14">
      <c r="D181">
        <v>1</v>
      </c>
      <c r="F181" s="320">
        <v>0.20000000000000284</v>
      </c>
      <c r="G181" s="320">
        <v>0.22742624098223985</v>
      </c>
      <c r="H181" s="320">
        <v>3.1365861735452683</v>
      </c>
      <c r="I181" s="320">
        <v>0.90000000000000568</v>
      </c>
      <c r="J181" s="320">
        <v>1.1000000000000001</v>
      </c>
      <c r="K181" s="321">
        <v>1.5</v>
      </c>
      <c r="L181" s="320">
        <v>1</v>
      </c>
      <c r="M181" s="320">
        <v>0.2</v>
      </c>
      <c r="N181" s="320">
        <v>1.3</v>
      </c>
    </row>
    <row r="182" spans="4:14">
      <c r="D182">
        <v>2</v>
      </c>
      <c r="F182" s="320">
        <v>-9.9999999999994316E-2</v>
      </c>
      <c r="G182" s="320">
        <v>0.57418967289784462</v>
      </c>
      <c r="H182" s="320">
        <v>5.2585287076712461</v>
      </c>
      <c r="I182" s="320">
        <v>-0.40000000000000568</v>
      </c>
      <c r="J182" s="320">
        <v>1</v>
      </c>
      <c r="K182" s="320">
        <v>0.9</v>
      </c>
      <c r="L182" s="320">
        <v>0.5</v>
      </c>
      <c r="M182" s="320">
        <v>-0.3</v>
      </c>
      <c r="N182" s="320">
        <v>1</v>
      </c>
    </row>
    <row r="183" spans="4:14">
      <c r="D183">
        <v>3</v>
      </c>
      <c r="F183" s="320">
        <v>0</v>
      </c>
      <c r="G183" s="320">
        <v>2.1717601079911333</v>
      </c>
      <c r="H183" s="320">
        <v>10.835274745452665</v>
      </c>
      <c r="I183" s="320">
        <v>1</v>
      </c>
      <c r="J183" s="320">
        <v>1.8</v>
      </c>
      <c r="K183" s="320">
        <v>1.1000000000000001</v>
      </c>
      <c r="L183" s="320">
        <v>0.9</v>
      </c>
      <c r="M183" s="320">
        <v>0.8</v>
      </c>
      <c r="N183" s="320">
        <v>1.7</v>
      </c>
    </row>
    <row r="184" spans="4:14">
      <c r="D184">
        <v>4</v>
      </c>
      <c r="F184" s="320">
        <v>0</v>
      </c>
      <c r="G184" s="320">
        <v>3.3477781478453039</v>
      </c>
      <c r="H184" s="320">
        <v>13.965954227288051</v>
      </c>
      <c r="I184" s="320">
        <v>3.5</v>
      </c>
      <c r="J184" s="320">
        <v>0.9</v>
      </c>
      <c r="K184" s="320">
        <v>0.8</v>
      </c>
      <c r="L184" s="320">
        <v>1</v>
      </c>
      <c r="M184" s="320">
        <v>0.8</v>
      </c>
      <c r="N184" s="320">
        <v>0.7</v>
      </c>
    </row>
    <row r="185" spans="4:14">
      <c r="D185">
        <v>5</v>
      </c>
      <c r="F185" s="320">
        <v>9.9999999999994316E-2</v>
      </c>
      <c r="G185" s="320">
        <v>3.8311894109004356</v>
      </c>
      <c r="H185" s="320">
        <v>2.2223897560082406</v>
      </c>
      <c r="I185" s="320">
        <v>0.1</v>
      </c>
      <c r="J185" s="320">
        <v>1.3</v>
      </c>
      <c r="K185" s="320">
        <v>0</v>
      </c>
      <c r="L185" s="320">
        <v>0.7</v>
      </c>
      <c r="M185" s="320">
        <v>0.3</v>
      </c>
      <c r="N185" s="320">
        <v>1.3</v>
      </c>
    </row>
    <row r="186" spans="4:14">
      <c r="D186">
        <v>6</v>
      </c>
      <c r="F186" s="320">
        <v>0</v>
      </c>
      <c r="G186" s="320">
        <v>0.9712730507046814</v>
      </c>
      <c r="H186" s="320">
        <v>0.40086137467079652</v>
      </c>
      <c r="I186" s="320">
        <v>-0.20000000000000284</v>
      </c>
      <c r="J186" s="320">
        <v>1.6</v>
      </c>
      <c r="K186" s="320">
        <v>0</v>
      </c>
      <c r="L186" s="320">
        <v>-0.5</v>
      </c>
      <c r="M186" s="320">
        <v>0.2</v>
      </c>
      <c r="N186" s="322"/>
    </row>
    <row r="187" spans="4:14">
      <c r="D187">
        <v>7</v>
      </c>
      <c r="F187" s="320">
        <v>-9.9999999999994316E-2</v>
      </c>
      <c r="G187" s="320">
        <v>0.36296293535743018</v>
      </c>
      <c r="H187" s="320">
        <v>-1.0092080094883755</v>
      </c>
      <c r="I187" s="320">
        <v>-0.1</v>
      </c>
      <c r="J187" s="320">
        <v>0.2</v>
      </c>
      <c r="K187" s="320">
        <v>-0.7</v>
      </c>
      <c r="L187" s="320">
        <v>-0.6</v>
      </c>
      <c r="M187" s="320">
        <v>-0.6</v>
      </c>
      <c r="N187" s="322"/>
    </row>
    <row r="188" spans="4:14">
      <c r="D188">
        <v>8</v>
      </c>
      <c r="F188" s="320">
        <v>-0.70000000000000284</v>
      </c>
      <c r="G188" s="320">
        <v>0.81904496056313292</v>
      </c>
      <c r="H188" s="320">
        <v>-0.76169643968493972</v>
      </c>
      <c r="I188" s="320">
        <v>-0.3</v>
      </c>
      <c r="J188" s="320">
        <v>-0.1</v>
      </c>
      <c r="K188" s="320">
        <v>0</v>
      </c>
      <c r="L188" s="320">
        <v>-0.3</v>
      </c>
      <c r="M188" s="320">
        <v>-0.2</v>
      </c>
      <c r="N188" s="322"/>
    </row>
    <row r="189" spans="4:14">
      <c r="D189">
        <v>9</v>
      </c>
      <c r="F189" s="320">
        <v>0</v>
      </c>
      <c r="G189" s="320">
        <v>2.948640436056337</v>
      </c>
      <c r="H189" s="320">
        <v>2.2999999999999972</v>
      </c>
      <c r="I189" s="320">
        <v>1.8</v>
      </c>
      <c r="J189" s="320">
        <v>2</v>
      </c>
      <c r="K189" s="320">
        <v>1.9</v>
      </c>
      <c r="L189" s="320">
        <v>0.7</v>
      </c>
      <c r="M189" s="320">
        <v>0.5</v>
      </c>
      <c r="N189" s="322"/>
    </row>
    <row r="190" spans="4:14">
      <c r="D190">
        <v>10</v>
      </c>
      <c r="F190" s="320">
        <v>0.40000000000000568</v>
      </c>
      <c r="G190" s="320">
        <v>2.4347837210566325</v>
      </c>
      <c r="H190" s="320">
        <v>-1.2999999999999972</v>
      </c>
      <c r="I190" s="320">
        <v>2.8</v>
      </c>
      <c r="J190" s="320">
        <v>1.2</v>
      </c>
      <c r="K190" s="320">
        <v>1.7</v>
      </c>
      <c r="L190" s="320">
        <v>0.7</v>
      </c>
      <c r="M190" s="320">
        <v>1</v>
      </c>
      <c r="N190" s="322"/>
    </row>
    <row r="191" spans="4:14">
      <c r="D191">
        <v>11</v>
      </c>
      <c r="F191" s="320">
        <v>0.20000000000000284</v>
      </c>
      <c r="G191" s="320">
        <v>1.9331544870148747</v>
      </c>
      <c r="H191" s="320">
        <v>2</v>
      </c>
      <c r="I191" s="320">
        <v>1.8</v>
      </c>
      <c r="J191" s="320">
        <v>0.9</v>
      </c>
      <c r="K191" s="320">
        <v>1.4</v>
      </c>
      <c r="L191" s="320">
        <v>0.1</v>
      </c>
      <c r="M191" s="320">
        <v>1.3</v>
      </c>
      <c r="N191" s="322"/>
    </row>
    <row r="192" spans="4:14">
      <c r="D192">
        <v>12</v>
      </c>
      <c r="F192" s="320">
        <v>0.5</v>
      </c>
      <c r="G192" s="320">
        <v>3</v>
      </c>
      <c r="H192" s="320">
        <v>0.70000000000000284</v>
      </c>
      <c r="I192" s="320">
        <v>0.9</v>
      </c>
      <c r="J192" s="320">
        <v>1</v>
      </c>
      <c r="K192" s="320">
        <v>0.8</v>
      </c>
      <c r="L192" s="320">
        <v>-0.2</v>
      </c>
      <c r="M192" s="320">
        <v>0.9</v>
      </c>
      <c r="N192" s="322"/>
    </row>
    <row r="194" spans="4:14">
      <c r="D194" s="316">
        <v>40909</v>
      </c>
      <c r="E194" s="316"/>
      <c r="F194" s="319">
        <v>100</v>
      </c>
    </row>
    <row r="195" spans="4:14">
      <c r="D195">
        <v>1</v>
      </c>
      <c r="F195" s="19">
        <f>F194*(1+F181/100)</f>
        <v>100.2</v>
      </c>
      <c r="G195" s="19">
        <f>F206*(1+G181/100)</f>
        <v>100.72472682762128</v>
      </c>
      <c r="H195" s="19">
        <f>G206*(1+H181/100)</f>
        <v>129.57758616878198</v>
      </c>
      <c r="I195" s="19">
        <f t="shared" ref="I195:N195" si="81">H206*(1+I181/100)</f>
        <v>181.76552193897368</v>
      </c>
      <c r="J195" s="19">
        <f t="shared" si="81"/>
        <v>204.63919920591283</v>
      </c>
      <c r="K195" s="19">
        <f t="shared" si="81"/>
        <v>233.53112704407755</v>
      </c>
      <c r="L195" s="19">
        <f t="shared" si="81"/>
        <v>255.10083228440914</v>
      </c>
      <c r="M195" s="19">
        <f t="shared" si="81"/>
        <v>263.33940666822468</v>
      </c>
      <c r="N195" s="19">
        <f t="shared" si="81"/>
        <v>279.52145480234765</v>
      </c>
    </row>
    <row r="196" spans="4:14">
      <c r="D196">
        <v>2</v>
      </c>
      <c r="F196" s="19">
        <f t="shared" ref="F196:N206" si="82">F195*(1+F182/100)</f>
        <v>100.09980000000002</v>
      </c>
      <c r="G196" s="19">
        <f t="shared" si="82"/>
        <v>101.30307780712005</v>
      </c>
      <c r="H196" s="19">
        <f t="shared" si="82"/>
        <v>136.39146073617482</v>
      </c>
      <c r="I196" s="19">
        <f t="shared" si="82"/>
        <v>181.03845985121779</v>
      </c>
      <c r="J196" s="19">
        <f t="shared" si="82"/>
        <v>206.68559119797197</v>
      </c>
      <c r="K196" s="19">
        <f t="shared" si="82"/>
        <v>235.63290718747422</v>
      </c>
      <c r="L196" s="19">
        <f t="shared" si="82"/>
        <v>256.37633644583116</v>
      </c>
      <c r="M196" s="19">
        <f t="shared" si="82"/>
        <v>262.54938844821999</v>
      </c>
      <c r="N196" s="19">
        <f t="shared" si="82"/>
        <v>282.31666935037111</v>
      </c>
    </row>
    <row r="197" spans="4:14">
      <c r="D197">
        <v>3</v>
      </c>
      <c r="F197" s="19">
        <f t="shared" si="82"/>
        <v>100.09980000000002</v>
      </c>
      <c r="G197" s="19">
        <f t="shared" si="82"/>
        <v>103.50313763910231</v>
      </c>
      <c r="H197" s="19">
        <f t="shared" si="82"/>
        <v>151.16985023627558</v>
      </c>
      <c r="I197" s="19">
        <f t="shared" si="82"/>
        <v>182.84884444972997</v>
      </c>
      <c r="J197" s="19">
        <f t="shared" si="82"/>
        <v>210.40593183953547</v>
      </c>
      <c r="K197" s="19">
        <f t="shared" si="82"/>
        <v>238.22486916653642</v>
      </c>
      <c r="L197" s="19">
        <f t="shared" si="82"/>
        <v>258.6837234738436</v>
      </c>
      <c r="M197" s="19">
        <f t="shared" si="82"/>
        <v>264.64978355580575</v>
      </c>
      <c r="N197" s="19">
        <f t="shared" si="82"/>
        <v>287.11605272932741</v>
      </c>
    </row>
    <row r="198" spans="4:14">
      <c r="D198">
        <v>4</v>
      </c>
      <c r="F198" s="19">
        <f t="shared" si="82"/>
        <v>100.09980000000002</v>
      </c>
      <c r="G198" s="19">
        <f t="shared" si="82"/>
        <v>106.96819306331842</v>
      </c>
      <c r="H198" s="19">
        <f t="shared" si="82"/>
        <v>172.28216232573374</v>
      </c>
      <c r="I198" s="19">
        <f t="shared" si="82"/>
        <v>189.24855400547051</v>
      </c>
      <c r="J198" s="19">
        <f t="shared" si="82"/>
        <v>212.29958522609127</v>
      </c>
      <c r="K198" s="19">
        <f t="shared" si="82"/>
        <v>240.13066811986872</v>
      </c>
      <c r="L198" s="19">
        <f t="shared" si="82"/>
        <v>261.27056070858202</v>
      </c>
      <c r="M198" s="19">
        <f t="shared" si="82"/>
        <v>266.76698182425218</v>
      </c>
      <c r="N198" s="19">
        <f t="shared" si="82"/>
        <v>289.12586509843266</v>
      </c>
    </row>
    <row r="199" spans="4:14">
      <c r="D199">
        <v>5</v>
      </c>
      <c r="F199" s="19">
        <f t="shared" si="82"/>
        <v>100.19989980000001</v>
      </c>
      <c r="G199" s="19">
        <f t="shared" si="82"/>
        <v>111.06634714899181</v>
      </c>
      <c r="H199" s="19">
        <f t="shared" si="82"/>
        <v>176.11094345269032</v>
      </c>
      <c r="I199" s="19">
        <f t="shared" si="82"/>
        <v>189.43780255947595</v>
      </c>
      <c r="J199" s="19">
        <f t="shared" si="82"/>
        <v>215.05947983403044</v>
      </c>
      <c r="K199" s="19">
        <f t="shared" si="82"/>
        <v>240.13066811986872</v>
      </c>
      <c r="L199" s="19">
        <f t="shared" si="82"/>
        <v>263.09945463354205</v>
      </c>
      <c r="M199" s="19">
        <f t="shared" si="82"/>
        <v>267.5672827697249</v>
      </c>
      <c r="N199" s="19">
        <f>N198*(1+N185/100)</f>
        <v>292.88450134471225</v>
      </c>
    </row>
    <row r="200" spans="4:14">
      <c r="D200">
        <v>6</v>
      </c>
      <c r="F200" s="19">
        <f t="shared" si="82"/>
        <v>100.19989980000001</v>
      </c>
      <c r="G200" s="19">
        <f t="shared" si="82"/>
        <v>112.14510464725207</v>
      </c>
      <c r="H200" s="19">
        <f t="shared" si="82"/>
        <v>176.81690420156048</v>
      </c>
      <c r="I200" s="19">
        <f t="shared" si="82"/>
        <v>189.05892695435699</v>
      </c>
      <c r="J200" s="19">
        <f t="shared" si="82"/>
        <v>218.50043151137493</v>
      </c>
      <c r="K200" s="19">
        <f t="shared" si="82"/>
        <v>240.13066811986872</v>
      </c>
      <c r="L200" s="19">
        <f t="shared" si="82"/>
        <v>261.78395736037436</v>
      </c>
      <c r="M200" s="19">
        <f t="shared" si="82"/>
        <v>268.10241733526436</v>
      </c>
      <c r="N200" s="19"/>
    </row>
    <row r="201" spans="4:14">
      <c r="D201">
        <v>7</v>
      </c>
      <c r="F201" s="19">
        <f t="shared" si="82"/>
        <v>100.09969990020002</v>
      </c>
      <c r="G201" s="19">
        <f t="shared" si="82"/>
        <v>112.5521498109394</v>
      </c>
      <c r="H201" s="19">
        <f t="shared" si="82"/>
        <v>175.03245384222896</v>
      </c>
      <c r="I201" s="19">
        <f t="shared" si="82"/>
        <v>188.86986802740265</v>
      </c>
      <c r="J201" s="19">
        <f t="shared" si="82"/>
        <v>218.93743237439767</v>
      </c>
      <c r="K201" s="19">
        <f t="shared" si="82"/>
        <v>238.44975344302964</v>
      </c>
      <c r="L201" s="19">
        <f t="shared" si="82"/>
        <v>260.21325361621211</v>
      </c>
      <c r="M201" s="19">
        <f t="shared" si="82"/>
        <v>266.49380283125276</v>
      </c>
      <c r="N201" s="19"/>
    </row>
    <row r="202" spans="4:14">
      <c r="D202">
        <v>8</v>
      </c>
      <c r="F202" s="19">
        <f t="shared" si="82"/>
        <v>99.399002000898619</v>
      </c>
      <c r="G202" s="19">
        <f t="shared" si="82"/>
        <v>113.47400252197136</v>
      </c>
      <c r="H202" s="19">
        <f t="shared" si="82"/>
        <v>173.69923787301951</v>
      </c>
      <c r="I202" s="19">
        <f t="shared" si="82"/>
        <v>188.30325842332044</v>
      </c>
      <c r="J202" s="19">
        <f t="shared" si="82"/>
        <v>218.71849494202328</v>
      </c>
      <c r="K202" s="19">
        <f t="shared" si="82"/>
        <v>238.44975344302964</v>
      </c>
      <c r="L202" s="19">
        <f t="shared" si="82"/>
        <v>259.43261385536346</v>
      </c>
      <c r="M202" s="19">
        <f t="shared" si="82"/>
        <v>265.96081522559024</v>
      </c>
      <c r="N202" s="19"/>
    </row>
    <row r="203" spans="4:14">
      <c r="D203">
        <v>9</v>
      </c>
      <c r="F203" s="19">
        <f>F202*(1+F189/100)</f>
        <v>99.399002000898619</v>
      </c>
      <c r="G203" s="19">
        <f t="shared" si="82"/>
        <v>116.8199428447458</v>
      </c>
      <c r="H203" s="19">
        <f t="shared" si="82"/>
        <v>177.69432034409894</v>
      </c>
      <c r="I203" s="19">
        <f t="shared" si="82"/>
        <v>191.69271707494022</v>
      </c>
      <c r="J203" s="19">
        <f t="shared" si="82"/>
        <v>223.09286484086374</v>
      </c>
      <c r="K203" s="19">
        <f t="shared" si="82"/>
        <v>242.98029875844716</v>
      </c>
      <c r="L203" s="19">
        <f t="shared" si="82"/>
        <v>261.24864215235095</v>
      </c>
      <c r="M203" s="19">
        <f t="shared" si="82"/>
        <v>267.29061930171815</v>
      </c>
      <c r="N203" s="19"/>
    </row>
    <row r="204" spans="4:14">
      <c r="D204">
        <v>10</v>
      </c>
      <c r="F204" s="19">
        <f t="shared" si="82"/>
        <v>99.796598008902208</v>
      </c>
      <c r="G204" s="19">
        <f t="shared" si="82"/>
        <v>119.66425579607733</v>
      </c>
      <c r="H204" s="19">
        <f t="shared" si="82"/>
        <v>175.38429417962564</v>
      </c>
      <c r="I204" s="19">
        <f t="shared" si="82"/>
        <v>197.06011315303854</v>
      </c>
      <c r="J204" s="19">
        <f t="shared" si="82"/>
        <v>225.76997921895412</v>
      </c>
      <c r="K204" s="19">
        <f t="shared" si="82"/>
        <v>247.11096383734073</v>
      </c>
      <c r="L204" s="19">
        <f t="shared" si="82"/>
        <v>263.07738264741738</v>
      </c>
      <c r="M204" s="19">
        <f t="shared" si="82"/>
        <v>269.96352549473534</v>
      </c>
      <c r="N204" s="19"/>
    </row>
    <row r="205" spans="4:14">
      <c r="D205">
        <v>11</v>
      </c>
      <c r="F205" s="19">
        <f t="shared" si="82"/>
        <v>99.996191204920009</v>
      </c>
      <c r="G205" s="19">
        <f t="shared" si="82"/>
        <v>121.97755072635215</v>
      </c>
      <c r="H205" s="19">
        <f t="shared" si="82"/>
        <v>178.89198006321817</v>
      </c>
      <c r="I205" s="19">
        <f t="shared" si="82"/>
        <v>200.60719518979323</v>
      </c>
      <c r="J205" s="19">
        <f t="shared" si="82"/>
        <v>227.80190903192468</v>
      </c>
      <c r="K205" s="19">
        <f t="shared" si="82"/>
        <v>250.57051733106351</v>
      </c>
      <c r="L205" s="19">
        <f t="shared" si="82"/>
        <v>263.34046003006478</v>
      </c>
      <c r="M205" s="19">
        <f t="shared" si="82"/>
        <v>273.47305132616685</v>
      </c>
      <c r="N205" s="19"/>
    </row>
    <row r="206" spans="4:14">
      <c r="D206">
        <v>12</v>
      </c>
      <c r="F206" s="19">
        <f t="shared" si="82"/>
        <v>100.4961721609446</v>
      </c>
      <c r="G206" s="19">
        <f t="shared" si="82"/>
        <v>125.63687724814271</v>
      </c>
      <c r="H206" s="19">
        <f t="shared" si="82"/>
        <v>180.14422392366072</v>
      </c>
      <c r="I206" s="19">
        <f t="shared" si="82"/>
        <v>202.41265994650135</v>
      </c>
      <c r="J206" s="19">
        <f t="shared" si="82"/>
        <v>230.07992812224393</v>
      </c>
      <c r="K206" s="19">
        <f t="shared" si="82"/>
        <v>252.57508146971202</v>
      </c>
      <c r="L206" s="19">
        <f t="shared" si="82"/>
        <v>262.81377911000465</v>
      </c>
      <c r="M206" s="19">
        <f t="shared" si="82"/>
        <v>275.93430878810233</v>
      </c>
      <c r="N206" s="19"/>
    </row>
    <row r="211" spans="4:16" ht="18.75">
      <c r="D211" s="765"/>
      <c r="E211" s="765">
        <v>2014</v>
      </c>
      <c r="F211" s="765">
        <v>2015</v>
      </c>
      <c r="G211" s="765">
        <v>2016</v>
      </c>
      <c r="H211" s="765">
        <v>2017</v>
      </c>
      <c r="I211" s="765">
        <v>2018</v>
      </c>
      <c r="J211" s="765">
        <v>2019</v>
      </c>
      <c r="K211" s="765">
        <v>2020</v>
      </c>
      <c r="L211" s="765">
        <v>2021</v>
      </c>
      <c r="M211" s="765">
        <v>2022</v>
      </c>
      <c r="N211" s="765">
        <v>2023</v>
      </c>
      <c r="O211" s="581" t="s">
        <v>1717</v>
      </c>
    </row>
    <row r="212" spans="4:16">
      <c r="D212" s="498">
        <v>1</v>
      </c>
      <c r="E212" s="542">
        <f>E26</f>
        <v>2.2742624098223987E-3</v>
      </c>
      <c r="F212" s="542">
        <f>E38</f>
        <v>3.136586173545268E-2</v>
      </c>
      <c r="G212" s="764">
        <f>E50</f>
        <v>9.0000000000000566E-3</v>
      </c>
      <c r="H212" s="764">
        <f>E62</f>
        <v>1.1000000000000001E-2</v>
      </c>
      <c r="I212" s="764">
        <f>E74</f>
        <v>1.4999999999999999E-2</v>
      </c>
      <c r="J212" s="764">
        <f>E86</f>
        <v>0.01</v>
      </c>
      <c r="K212" s="764">
        <f>E98</f>
        <v>2E-3</v>
      </c>
      <c r="L212" s="764">
        <f>E110</f>
        <v>1.3000000000000001E-2</v>
      </c>
      <c r="M212" s="764">
        <f>H124</f>
        <v>1.3000000000000001E-2</v>
      </c>
      <c r="N212" s="764">
        <f>H136</f>
        <v>8.0000000000000002E-3</v>
      </c>
      <c r="O212" s="29">
        <f>AVERAGE(J212:M212)</f>
        <v>9.5000000000000015E-3</v>
      </c>
      <c r="P212">
        <v>1</v>
      </c>
    </row>
    <row r="213" spans="4:16">
      <c r="D213" s="498">
        <v>2</v>
      </c>
      <c r="E213" s="542">
        <f t="shared" ref="E213:E223" si="83">E27</f>
        <v>5.741896728978446E-3</v>
      </c>
      <c r="F213" s="542">
        <f t="shared" ref="F213:F223" si="84">E39</f>
        <v>5.2585287076712464E-2</v>
      </c>
      <c r="G213" s="764">
        <f t="shared" ref="G213:G223" si="85">E51</f>
        <v>-4.0000000000000565E-3</v>
      </c>
      <c r="H213" s="764">
        <f t="shared" ref="H213:H223" si="86">E63</f>
        <v>0.01</v>
      </c>
      <c r="I213" s="764">
        <f t="shared" ref="I213:I223" si="87">E75</f>
        <v>9.0000000000000011E-3</v>
      </c>
      <c r="J213" s="764">
        <f t="shared" ref="J213:J223" si="88">E87</f>
        <v>5.0000000000000001E-3</v>
      </c>
      <c r="K213" s="764">
        <f t="shared" ref="K213:K223" si="89">E99</f>
        <v>-3.0000000000000001E-3</v>
      </c>
      <c r="L213" s="764">
        <f t="shared" ref="L213:L223" si="90">E111</f>
        <v>0.01</v>
      </c>
      <c r="M213" s="764">
        <f t="shared" ref="M213:M223" si="91">H125</f>
        <v>1.6E-2</v>
      </c>
      <c r="N213" s="766">
        <f>O213*P213</f>
        <v>7.0000000000000001E-3</v>
      </c>
      <c r="O213" s="29">
        <f>AVERAGE(J213:M213)</f>
        <v>7.0000000000000001E-3</v>
      </c>
      <c r="P213">
        <v>1</v>
      </c>
    </row>
    <row r="214" spans="4:16">
      <c r="D214" s="498">
        <v>3</v>
      </c>
      <c r="E214" s="542">
        <f t="shared" si="83"/>
        <v>2.1717601079911334E-2</v>
      </c>
      <c r="F214" s="542">
        <f t="shared" si="84"/>
        <v>0.10835274745452665</v>
      </c>
      <c r="G214" s="764">
        <f t="shared" si="85"/>
        <v>0.01</v>
      </c>
      <c r="H214" s="764">
        <f t="shared" si="86"/>
        <v>1.8000000000000002E-2</v>
      </c>
      <c r="I214" s="764">
        <f t="shared" si="87"/>
        <v>1.1000000000000001E-2</v>
      </c>
      <c r="J214" s="764">
        <f t="shared" si="88"/>
        <v>9.0000000000000011E-3</v>
      </c>
      <c r="K214" s="764">
        <f t="shared" si="89"/>
        <v>8.0000000000000002E-3</v>
      </c>
      <c r="L214" s="764">
        <f t="shared" si="90"/>
        <v>1.7000000000000001E-2</v>
      </c>
      <c r="M214" s="764">
        <f t="shared" si="91"/>
        <v>4.4999999999999998E-2</v>
      </c>
      <c r="N214" s="766">
        <f t="shared" ref="N214:N223" si="92">O214*P214</f>
        <v>1.1333333333333334E-2</v>
      </c>
      <c r="O214" s="29">
        <f t="shared" ref="O214:O223" si="93">AVERAGE(J214:L214)</f>
        <v>1.1333333333333334E-2</v>
      </c>
      <c r="P214">
        <v>1</v>
      </c>
    </row>
    <row r="215" spans="4:16">
      <c r="D215" s="498">
        <v>4</v>
      </c>
      <c r="E215" s="542">
        <f t="shared" si="83"/>
        <v>3.3477781478453039E-2</v>
      </c>
      <c r="F215" s="542">
        <f t="shared" si="84"/>
        <v>0.13965954227288052</v>
      </c>
      <c r="G215" s="764">
        <f t="shared" si="85"/>
        <v>3.5000000000000003E-2</v>
      </c>
      <c r="H215" s="764">
        <f t="shared" si="86"/>
        <v>9.0000000000000011E-3</v>
      </c>
      <c r="I215" s="764">
        <f t="shared" si="87"/>
        <v>8.0000000000000002E-3</v>
      </c>
      <c r="J215" s="764">
        <f t="shared" si="88"/>
        <v>0.01</v>
      </c>
      <c r="K215" s="764">
        <f t="shared" si="89"/>
        <v>8.0000000000000002E-3</v>
      </c>
      <c r="L215" s="764">
        <f t="shared" si="90"/>
        <v>6.9999999999999993E-3</v>
      </c>
      <c r="M215" s="764">
        <f t="shared" si="91"/>
        <v>3.1E-2</v>
      </c>
      <c r="N215" s="766">
        <f t="shared" si="92"/>
        <v>8.3333333333333332E-3</v>
      </c>
      <c r="O215" s="29">
        <f t="shared" si="93"/>
        <v>8.3333333333333332E-3</v>
      </c>
      <c r="P215">
        <v>1</v>
      </c>
    </row>
    <row r="216" spans="4:16">
      <c r="D216" s="498">
        <v>5</v>
      </c>
      <c r="E216" s="542">
        <f t="shared" si="83"/>
        <v>3.8311894109004353E-2</v>
      </c>
      <c r="F216" s="542">
        <f t="shared" si="84"/>
        <v>2.2223897560082407E-2</v>
      </c>
      <c r="G216" s="764">
        <f t="shared" si="85"/>
        <v>1E-3</v>
      </c>
      <c r="H216" s="764">
        <f t="shared" si="86"/>
        <v>1.3000000000000001E-2</v>
      </c>
      <c r="I216" s="764">
        <f t="shared" si="87"/>
        <v>0</v>
      </c>
      <c r="J216" s="764">
        <f t="shared" si="88"/>
        <v>6.9999999999999993E-3</v>
      </c>
      <c r="K216" s="764">
        <f t="shared" si="89"/>
        <v>3.0000000000000001E-3</v>
      </c>
      <c r="L216" s="764">
        <f t="shared" si="90"/>
        <v>1.3000000000000001E-2</v>
      </c>
      <c r="M216" s="764">
        <f t="shared" si="91"/>
        <v>2.7000000000000003E-2</v>
      </c>
      <c r="N216" s="766">
        <f t="shared" si="92"/>
        <v>7.6666666666666662E-3</v>
      </c>
      <c r="O216" s="29">
        <f t="shared" si="93"/>
        <v>7.6666666666666662E-3</v>
      </c>
      <c r="P216">
        <v>1</v>
      </c>
    </row>
    <row r="217" spans="4:16">
      <c r="D217" s="498">
        <v>6</v>
      </c>
      <c r="E217" s="542">
        <f t="shared" si="83"/>
        <v>9.7127305070468135E-3</v>
      </c>
      <c r="F217" s="542">
        <f t="shared" si="84"/>
        <v>4.0086137467079648E-3</v>
      </c>
      <c r="G217" s="764">
        <f t="shared" si="85"/>
        <v>-2.0000000000000282E-3</v>
      </c>
      <c r="H217" s="764">
        <f t="shared" si="86"/>
        <v>1.6E-2</v>
      </c>
      <c r="I217" s="764">
        <f>E79</f>
        <v>0</v>
      </c>
      <c r="J217" s="764">
        <f t="shared" si="88"/>
        <v>-5.0000000000000001E-3</v>
      </c>
      <c r="K217" s="764">
        <f t="shared" si="89"/>
        <v>2E-3</v>
      </c>
      <c r="L217" s="764">
        <f t="shared" si="90"/>
        <v>2E-3</v>
      </c>
      <c r="M217" s="764">
        <f t="shared" si="91"/>
        <v>3.1E-2</v>
      </c>
      <c r="N217" s="766">
        <f>O217*P217</f>
        <v>4.0000000000000001E-3</v>
      </c>
      <c r="O217" s="29">
        <f>AVERAGE(K217:L217)</f>
        <v>2E-3</v>
      </c>
      <c r="P217">
        <v>2</v>
      </c>
    </row>
    <row r="218" spans="4:16">
      <c r="D218" s="498">
        <v>7</v>
      </c>
      <c r="E218" s="542">
        <f t="shared" si="83"/>
        <v>3.6296293535743019E-3</v>
      </c>
      <c r="F218" s="542">
        <f t="shared" si="84"/>
        <v>-1.0092080094883755E-2</v>
      </c>
      <c r="G218" s="764">
        <f t="shared" si="85"/>
        <v>-1E-3</v>
      </c>
      <c r="H218" s="764">
        <f t="shared" si="86"/>
        <v>2E-3</v>
      </c>
      <c r="I218" s="764">
        <f t="shared" si="87"/>
        <v>-6.9999999999999993E-3</v>
      </c>
      <c r="J218" s="764">
        <f t="shared" si="88"/>
        <v>-6.0000000000000001E-3</v>
      </c>
      <c r="K218" s="764">
        <f t="shared" si="89"/>
        <v>-6.0000000000000001E-3</v>
      </c>
      <c r="L218" s="764">
        <f t="shared" si="90"/>
        <v>1E-3</v>
      </c>
      <c r="M218" s="764">
        <f t="shared" si="91"/>
        <v>6.9999999999999993E-3</v>
      </c>
      <c r="N218" s="766">
        <f>O218*P218</f>
        <v>2E-3</v>
      </c>
      <c r="O218" s="29">
        <f>AVERAGE(L218)</f>
        <v>1E-3</v>
      </c>
      <c r="P218">
        <v>2</v>
      </c>
    </row>
    <row r="219" spans="4:16">
      <c r="D219" s="498">
        <v>8</v>
      </c>
      <c r="E219" s="542">
        <f t="shared" si="83"/>
        <v>8.1904496056313288E-3</v>
      </c>
      <c r="F219" s="542">
        <f t="shared" si="84"/>
        <v>-7.6169643968493975E-3</v>
      </c>
      <c r="G219" s="764">
        <f t="shared" si="85"/>
        <v>-3.0000000000000001E-3</v>
      </c>
      <c r="H219" s="764">
        <f t="shared" si="86"/>
        <v>-1E-3</v>
      </c>
      <c r="I219" s="764">
        <f t="shared" si="87"/>
        <v>0</v>
      </c>
      <c r="J219" s="764">
        <f t="shared" si="88"/>
        <v>-3.0000000000000001E-3</v>
      </c>
      <c r="K219" s="764">
        <f t="shared" si="89"/>
        <v>-2E-3</v>
      </c>
      <c r="L219" s="764">
        <f t="shared" si="90"/>
        <v>-2E-3</v>
      </c>
      <c r="M219" s="764">
        <f t="shared" si="91"/>
        <v>1.1000000000000001E-2</v>
      </c>
      <c r="N219" s="766">
        <f t="shared" si="92"/>
        <v>1.1666666666666668E-3</v>
      </c>
      <c r="O219" s="29">
        <f>AVERAGE(J219:L219)</f>
        <v>-2.3333333333333335E-3</v>
      </c>
      <c r="P219">
        <v>-0.5</v>
      </c>
    </row>
    <row r="220" spans="4:16">
      <c r="D220" s="498">
        <v>9</v>
      </c>
      <c r="E220" s="542">
        <f t="shared" si="83"/>
        <v>2.9486404360563368E-2</v>
      </c>
      <c r="F220" s="542">
        <f t="shared" si="84"/>
        <v>2.2999999999999972E-2</v>
      </c>
      <c r="G220" s="764">
        <f t="shared" si="85"/>
        <v>1.8000000000000002E-2</v>
      </c>
      <c r="H220" s="764">
        <f t="shared" si="86"/>
        <v>0.02</v>
      </c>
      <c r="I220" s="764">
        <f t="shared" si="87"/>
        <v>1.9E-2</v>
      </c>
      <c r="J220" s="764">
        <f t="shared" si="88"/>
        <v>6.9999999999999993E-3</v>
      </c>
      <c r="K220" s="764">
        <f t="shared" si="89"/>
        <v>5.0000000000000001E-3</v>
      </c>
      <c r="L220" s="764">
        <f t="shared" si="90"/>
        <v>1.2E-2</v>
      </c>
      <c r="M220" s="764">
        <f t="shared" si="91"/>
        <v>1.8629999999999994E-2</v>
      </c>
      <c r="N220" s="766">
        <f t="shared" si="92"/>
        <v>9.5999999999999992E-3</v>
      </c>
      <c r="O220" s="29">
        <f t="shared" si="93"/>
        <v>8.0000000000000002E-3</v>
      </c>
      <c r="P220">
        <v>1.2</v>
      </c>
    </row>
    <row r="221" spans="4:16">
      <c r="D221" s="498">
        <v>10</v>
      </c>
      <c r="E221" s="542">
        <f t="shared" si="83"/>
        <v>2.4347837210566325E-2</v>
      </c>
      <c r="F221" s="542">
        <f t="shared" si="84"/>
        <v>-1.2999999999999972E-2</v>
      </c>
      <c r="G221" s="764">
        <f t="shared" si="85"/>
        <v>2.7999999999999997E-2</v>
      </c>
      <c r="H221" s="764">
        <f t="shared" si="86"/>
        <v>1.2E-2</v>
      </c>
      <c r="I221" s="764">
        <f t="shared" si="87"/>
        <v>1.7000000000000001E-2</v>
      </c>
      <c r="J221" s="764">
        <f t="shared" si="88"/>
        <v>6.9999999999999993E-3</v>
      </c>
      <c r="K221" s="764">
        <f t="shared" si="89"/>
        <v>0.01</v>
      </c>
      <c r="L221" s="764">
        <f t="shared" si="90"/>
        <v>9.0000000000000011E-3</v>
      </c>
      <c r="M221" s="764">
        <f t="shared" si="91"/>
        <v>2.5000000000000001E-2</v>
      </c>
      <c r="N221" s="766">
        <f t="shared" si="92"/>
        <v>1.0400000000000001E-2</v>
      </c>
      <c r="O221" s="29">
        <f t="shared" si="93"/>
        <v>8.666666666666668E-3</v>
      </c>
      <c r="P221">
        <v>1.2</v>
      </c>
    </row>
    <row r="222" spans="4:16">
      <c r="D222" s="498">
        <v>11</v>
      </c>
      <c r="E222" s="542">
        <f t="shared" si="83"/>
        <v>1.9331544870148747E-2</v>
      </c>
      <c r="F222" s="542">
        <f t="shared" si="84"/>
        <v>0.02</v>
      </c>
      <c r="G222" s="764">
        <f t="shared" si="85"/>
        <v>1.8000000000000002E-2</v>
      </c>
      <c r="H222" s="764">
        <f t="shared" si="86"/>
        <v>9.0000000000000011E-3</v>
      </c>
      <c r="I222" s="764">
        <f t="shared" si="87"/>
        <v>1.3999999999999999E-2</v>
      </c>
      <c r="J222" s="764">
        <f t="shared" si="88"/>
        <v>1E-3</v>
      </c>
      <c r="K222" s="764">
        <f t="shared" si="89"/>
        <v>1.3000000000000001E-2</v>
      </c>
      <c r="L222" s="764">
        <f t="shared" si="90"/>
        <v>8.0000000000000002E-3</v>
      </c>
      <c r="M222" s="764">
        <f t="shared" si="91"/>
        <v>6.9999999999999993E-3</v>
      </c>
      <c r="N222" s="766">
        <f t="shared" si="92"/>
        <v>8.8000000000000005E-3</v>
      </c>
      <c r="O222" s="29">
        <f t="shared" si="93"/>
        <v>7.3333333333333341E-3</v>
      </c>
      <c r="P222">
        <v>1.2</v>
      </c>
    </row>
    <row r="223" spans="4:16">
      <c r="D223" s="498">
        <v>12</v>
      </c>
      <c r="E223" s="542">
        <f t="shared" si="83"/>
        <v>0.03</v>
      </c>
      <c r="F223" s="542">
        <f t="shared" si="84"/>
        <v>7.0000000000000288E-3</v>
      </c>
      <c r="G223" s="764">
        <f t="shared" si="85"/>
        <v>9.0000000000000011E-3</v>
      </c>
      <c r="H223" s="764">
        <f t="shared" si="86"/>
        <v>0.01</v>
      </c>
      <c r="I223" s="764">
        <f t="shared" si="87"/>
        <v>8.0000000000000002E-3</v>
      </c>
      <c r="J223" s="764">
        <f t="shared" si="88"/>
        <v>-2E-3</v>
      </c>
      <c r="K223" s="764">
        <f t="shared" si="89"/>
        <v>9.0000000000000011E-3</v>
      </c>
      <c r="L223" s="764">
        <f t="shared" si="90"/>
        <v>6.0000000000000001E-3</v>
      </c>
      <c r="M223" s="764">
        <f t="shared" si="91"/>
        <v>6.9999999999999993E-3</v>
      </c>
      <c r="N223" s="766">
        <f t="shared" si="92"/>
        <v>5.2000000000000006E-3</v>
      </c>
      <c r="O223" s="29">
        <f t="shared" si="93"/>
        <v>4.333333333333334E-3</v>
      </c>
      <c r="P223">
        <v>1.2</v>
      </c>
    </row>
  </sheetData>
  <conditionalFormatting sqref="F124:F135 F161:F172">
    <cfRule type="colorScale" priority="14">
      <colorScale>
        <cfvo type="min"/>
        <cfvo type="percentile" val="50"/>
        <cfvo type="max"/>
        <color rgb="FFF8696B"/>
        <color rgb="FFFCFCFF"/>
        <color rgb="FF63BE7B"/>
      </colorScale>
    </cfRule>
  </conditionalFormatting>
  <conditionalFormatting sqref="F181:N192">
    <cfRule type="colorScale" priority="13">
      <colorScale>
        <cfvo type="min"/>
        <cfvo type="percentile" val="50"/>
        <cfvo type="max"/>
        <color rgb="FFF8696B"/>
        <color rgb="FFFCFCFF"/>
        <color rgb="FF63BE7B"/>
      </colorScale>
    </cfRule>
  </conditionalFormatting>
  <conditionalFormatting sqref="F195:N206">
    <cfRule type="colorScale" priority="12">
      <colorScale>
        <cfvo type="min"/>
        <cfvo type="percentile" val="50"/>
        <cfvo type="max"/>
        <color rgb="FFF8696B"/>
        <color rgb="FFFCFCFF"/>
        <color rgb="FF63BE7B"/>
      </colorScale>
    </cfRule>
  </conditionalFormatting>
  <conditionalFormatting sqref="G124:G135">
    <cfRule type="colorScale" priority="11">
      <colorScale>
        <cfvo type="min"/>
        <cfvo type="percentile" val="50"/>
        <cfvo type="max"/>
        <color rgb="FFF8696B"/>
        <color rgb="FFFCFCFF"/>
        <color rgb="FF63BE7B"/>
      </colorScale>
    </cfRule>
  </conditionalFormatting>
  <conditionalFormatting sqref="G212:M223 N212">
    <cfRule type="colorScale" priority="1">
      <colorScale>
        <cfvo type="min"/>
        <cfvo type="percentile" val="50"/>
        <cfvo type="max"/>
        <color rgb="FFF8696B"/>
        <color rgb="FFFCFCFF"/>
        <color rgb="FF63BE7B"/>
      </colorScale>
    </cfRule>
  </conditionalFormatting>
  <conditionalFormatting sqref="I14:I25">
    <cfRule type="colorScale" priority="2">
      <colorScale>
        <cfvo type="min"/>
        <cfvo type="percentile" val="50"/>
        <cfvo type="max"/>
        <color rgb="FFF8696B"/>
        <color rgb="FFFCFCFF"/>
        <color rgb="FF63BE7B"/>
      </colorScale>
    </cfRule>
  </conditionalFormatting>
  <conditionalFormatting sqref="I26:I37">
    <cfRule type="colorScale" priority="3">
      <colorScale>
        <cfvo type="min"/>
        <cfvo type="percentile" val="50"/>
        <cfvo type="max"/>
        <color rgb="FFF8696B"/>
        <color rgb="FFFCFCFF"/>
        <color rgb="FF63BE7B"/>
      </colorScale>
    </cfRule>
  </conditionalFormatting>
  <conditionalFormatting sqref="I38:I49">
    <cfRule type="colorScale" priority="4">
      <colorScale>
        <cfvo type="min"/>
        <cfvo type="percentile" val="50"/>
        <cfvo type="max"/>
        <color rgb="FFF8696B"/>
        <color rgb="FFFCFCFF"/>
        <color rgb="FF63BE7B"/>
      </colorScale>
    </cfRule>
  </conditionalFormatting>
  <conditionalFormatting sqref="I50:I61">
    <cfRule type="colorScale" priority="5">
      <colorScale>
        <cfvo type="min"/>
        <cfvo type="percentile" val="50"/>
        <cfvo type="max"/>
        <color rgb="FFF8696B"/>
        <color rgb="FFFCFCFF"/>
        <color rgb="FF63BE7B"/>
      </colorScale>
    </cfRule>
  </conditionalFormatting>
  <conditionalFormatting sqref="I62:I73">
    <cfRule type="colorScale" priority="6">
      <colorScale>
        <cfvo type="min"/>
        <cfvo type="percentile" val="50"/>
        <cfvo type="max"/>
        <color rgb="FFF8696B"/>
        <color rgb="FFFCFCFF"/>
        <color rgb="FF63BE7B"/>
      </colorScale>
    </cfRule>
  </conditionalFormatting>
  <conditionalFormatting sqref="I74:I85">
    <cfRule type="colorScale" priority="7">
      <colorScale>
        <cfvo type="min"/>
        <cfvo type="percentile" val="50"/>
        <cfvo type="max"/>
        <color rgb="FFF8696B"/>
        <color rgb="FFFCFCFF"/>
        <color rgb="FF63BE7B"/>
      </colorScale>
    </cfRule>
  </conditionalFormatting>
  <conditionalFormatting sqref="I86:I97">
    <cfRule type="colorScale" priority="8">
      <colorScale>
        <cfvo type="min"/>
        <cfvo type="percentile" val="50"/>
        <cfvo type="max"/>
        <color rgb="FFF8696B"/>
        <color rgb="FFFCFCFF"/>
        <color rgb="FF63BE7B"/>
      </colorScale>
    </cfRule>
  </conditionalFormatting>
  <conditionalFormatting sqref="I98:I109">
    <cfRule type="colorScale" priority="10">
      <colorScale>
        <cfvo type="min"/>
        <cfvo type="percentile" val="50"/>
        <cfvo type="max"/>
        <color rgb="FFF8696B"/>
        <color rgb="FFFCFCFF"/>
        <color rgb="FF63BE7B"/>
      </colorScale>
    </cfRule>
  </conditionalFormatting>
  <conditionalFormatting sqref="I110:I121">
    <cfRule type="colorScale" priority="9">
      <colorScale>
        <cfvo type="min"/>
        <cfvo type="percentile" val="50"/>
        <cfvo type="max"/>
        <color rgb="FFF8696B"/>
        <color rgb="FFFCFCFF"/>
        <color rgb="FF63BE7B"/>
      </colorScale>
    </cfRule>
  </conditionalFormatting>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Аркуш5">
    <tabColor theme="4"/>
  </sheetPr>
  <dimension ref="A1:BN319"/>
  <sheetViews>
    <sheetView zoomScale="85" zoomScaleNormal="85" workbookViewId="0">
      <pane xSplit="3" ySplit="1" topLeftCell="D257" activePane="bottomRight" state="frozen"/>
      <selection activeCell="F73" sqref="F73"/>
      <selection pane="topRight" activeCell="F73" sqref="F73"/>
      <selection pane="bottomLeft" activeCell="F73" sqref="F73"/>
      <selection pane="bottomRight" activeCell="K272" sqref="K272"/>
    </sheetView>
  </sheetViews>
  <sheetFormatPr defaultColWidth="8.69921875" defaultRowHeight="18"/>
  <cols>
    <col min="1" max="1" width="6.09765625" customWidth="1"/>
    <col min="2" max="2" width="6.796875" customWidth="1"/>
    <col min="4" max="5" width="12.69921875" customWidth="1"/>
    <col min="6" max="6" width="14.5" customWidth="1"/>
    <col min="7" max="7" width="12.69921875" customWidth="1"/>
    <col min="8" max="8" width="15" customWidth="1"/>
    <col min="9" max="9" width="12.69921875" customWidth="1"/>
    <col min="10" max="10" width="16.09765625" customWidth="1"/>
    <col min="11" max="12" width="14" customWidth="1"/>
    <col min="13" max="14" width="21" customWidth="1"/>
    <col min="15" max="15" width="27.19921875" customWidth="1"/>
    <col min="16" max="22" width="16.69921875" customWidth="1"/>
    <col min="23" max="24" width="20.69921875" bestFit="1" customWidth="1"/>
    <col min="25" max="25" width="18.59765625" customWidth="1"/>
    <col min="26" max="26" width="10.69921875" customWidth="1"/>
    <col min="27" max="27" width="8.5" customWidth="1"/>
    <col min="28" max="30" width="6.19921875" customWidth="1"/>
    <col min="31" max="31" width="18.59765625" customWidth="1"/>
    <col min="32" max="32" width="13.3984375" customWidth="1"/>
    <col min="33" max="33" width="16.69921875" customWidth="1"/>
    <col min="35" max="35" width="11.69921875" customWidth="1"/>
    <col min="36" max="36" width="13.19921875" customWidth="1"/>
    <col min="37" max="38" width="17" customWidth="1"/>
    <col min="39" max="39" width="20.09765625" customWidth="1"/>
    <col min="40" max="40" width="11.19921875" bestFit="1" customWidth="1"/>
    <col min="41" max="41" width="17.09765625" customWidth="1"/>
    <col min="45" max="46" width="16" customWidth="1"/>
    <col min="48" max="48" width="8.69921875" customWidth="1"/>
    <col min="49" max="49" width="14" customWidth="1"/>
    <col min="50" max="50" width="11.69921875" customWidth="1"/>
    <col min="51" max="51" width="15.19921875" customWidth="1"/>
    <col min="55" max="55" width="20.69921875" customWidth="1"/>
    <col min="56" max="56" width="17.8984375" customWidth="1"/>
    <col min="57" max="57" width="14.69921875" customWidth="1"/>
  </cols>
  <sheetData>
    <row r="1" spans="1:46" ht="54.75">
      <c r="A1" t="s">
        <v>7</v>
      </c>
      <c r="B1" t="s">
        <v>8</v>
      </c>
      <c r="C1" t="s">
        <v>9</v>
      </c>
      <c r="D1" s="131" t="s">
        <v>195</v>
      </c>
      <c r="E1" s="133" t="s">
        <v>194</v>
      </c>
      <c r="F1" s="133"/>
      <c r="G1" s="506" t="s">
        <v>447</v>
      </c>
      <c r="H1" s="520" t="s">
        <v>448</v>
      </c>
      <c r="I1" s="131"/>
      <c r="J1" s="157" t="s">
        <v>205</v>
      </c>
      <c r="K1" s="141" t="s">
        <v>199</v>
      </c>
      <c r="L1" s="141"/>
      <c r="M1" s="34" t="s">
        <v>142</v>
      </c>
      <c r="N1" s="34"/>
      <c r="O1" s="147" t="s">
        <v>200</v>
      </c>
      <c r="P1" s="474"/>
      <c r="Q1" s="474"/>
      <c r="R1" s="474"/>
      <c r="S1" s="474"/>
      <c r="T1" s="474"/>
      <c r="U1" s="495"/>
      <c r="V1" s="483" t="s">
        <v>445</v>
      </c>
      <c r="W1" s="139" t="s">
        <v>198</v>
      </c>
      <c r="X1" s="139" t="s">
        <v>197</v>
      </c>
      <c r="Y1" s="138" t="s">
        <v>196</v>
      </c>
      <c r="Z1" s="34" t="s">
        <v>142</v>
      </c>
      <c r="AA1" s="34"/>
      <c r="AB1" s="34" t="s">
        <v>142</v>
      </c>
      <c r="AC1" s="459" t="s">
        <v>440</v>
      </c>
      <c r="AD1" s="459"/>
      <c r="AE1" s="45" t="s">
        <v>145</v>
      </c>
      <c r="AF1" s="117" t="s">
        <v>478</v>
      </c>
      <c r="AG1" t="s">
        <v>143</v>
      </c>
      <c r="AH1" s="36" t="s">
        <v>5</v>
      </c>
      <c r="AI1" t="s">
        <v>144</v>
      </c>
      <c r="AJ1" t="s">
        <v>12</v>
      </c>
      <c r="AK1" s="36" t="s">
        <v>14</v>
      </c>
      <c r="AL1" s="36"/>
      <c r="AM1" t="s">
        <v>15</v>
      </c>
      <c r="AN1" t="s">
        <v>17</v>
      </c>
      <c r="AO1" s="36" t="s">
        <v>3</v>
      </c>
      <c r="AP1" t="s">
        <v>4</v>
      </c>
      <c r="AS1" s="117" t="s">
        <v>13</v>
      </c>
      <c r="AT1" s="117" t="s">
        <v>176</v>
      </c>
    </row>
    <row r="2" spans="1:46" ht="21.75">
      <c r="A2">
        <v>2010</v>
      </c>
      <c r="B2">
        <v>1</v>
      </c>
      <c r="C2" t="s">
        <v>154</v>
      </c>
      <c r="G2" s="507"/>
      <c r="H2" s="507"/>
      <c r="J2" s="33">
        <v>0.16299999999999998</v>
      </c>
      <c r="K2" s="74"/>
      <c r="L2" s="74"/>
      <c r="M2" s="74"/>
      <c r="N2" s="74"/>
      <c r="O2" s="74"/>
      <c r="P2" s="74"/>
      <c r="Q2" s="74"/>
      <c r="R2" s="74"/>
      <c r="S2" s="74"/>
      <c r="T2" s="74"/>
      <c r="U2" s="74"/>
      <c r="V2" s="74"/>
      <c r="W2" s="74"/>
      <c r="X2" s="74"/>
      <c r="Y2" s="74"/>
      <c r="Z2" s="74"/>
      <c r="AA2" s="74"/>
      <c r="AB2" s="74"/>
      <c r="AC2" s="460">
        <v>100.69465135560138</v>
      </c>
      <c r="AD2" s="460"/>
      <c r="AE2">
        <v>93.544507037504246</v>
      </c>
      <c r="AF2">
        <v>93.544507037504246</v>
      </c>
      <c r="AG2" s="74"/>
      <c r="AH2">
        <v>7.9969580645161304</v>
      </c>
      <c r="AI2" s="74"/>
      <c r="AJ2" s="99">
        <f>AE2*AH2</f>
        <v>748.07149994475549</v>
      </c>
      <c r="AK2" s="19">
        <v>192205.00747299503</v>
      </c>
      <c r="AL2" s="19"/>
      <c r="AM2" s="74"/>
      <c r="AN2" s="74"/>
      <c r="AO2" s="74"/>
      <c r="AS2">
        <v>1916</v>
      </c>
      <c r="AT2" s="33">
        <v>0.15075075075075084</v>
      </c>
    </row>
    <row r="3" spans="1:46" ht="21.75">
      <c r="A3">
        <v>2010</v>
      </c>
      <c r="B3">
        <v>1</v>
      </c>
      <c r="C3" t="s">
        <v>155</v>
      </c>
      <c r="G3" s="507"/>
      <c r="H3" s="507"/>
      <c r="J3" s="33">
        <v>0.16400000000000006</v>
      </c>
      <c r="K3" s="74"/>
      <c r="L3" s="74"/>
      <c r="M3" s="74"/>
      <c r="N3" s="74"/>
      <c r="O3" s="74"/>
      <c r="P3" s="74"/>
      <c r="Q3" s="74"/>
      <c r="R3" s="74"/>
      <c r="S3" s="74"/>
      <c r="T3" s="74"/>
      <c r="U3" s="74"/>
      <c r="V3" s="74"/>
      <c r="W3" s="74"/>
      <c r="X3" s="74"/>
      <c r="Y3" s="74"/>
      <c r="Z3" s="74"/>
      <c r="AA3" s="74"/>
      <c r="AB3" s="74"/>
      <c r="AC3" s="460">
        <v>99.202980331170522</v>
      </c>
      <c r="AD3" s="460"/>
      <c r="AE3">
        <v>93.153475417886412</v>
      </c>
      <c r="AF3">
        <v>93.153475417886412</v>
      </c>
      <c r="AG3" s="74"/>
      <c r="AH3">
        <v>8.0002607142857141</v>
      </c>
      <c r="AI3" s="74"/>
      <c r="AJ3" s="99">
        <f t="shared" ref="AJ3:AJ66" si="0">AE3*AH3</f>
        <v>745.25208978489661</v>
      </c>
      <c r="AK3" s="19">
        <v>190085.30977759499</v>
      </c>
      <c r="AL3" s="19"/>
      <c r="AM3" s="74"/>
      <c r="AN3" s="74"/>
      <c r="AO3" s="74"/>
      <c r="AS3">
        <v>1955</v>
      </c>
      <c r="AT3" s="33">
        <v>0.13464886825304712</v>
      </c>
    </row>
    <row r="4" spans="1:46" ht="21.75">
      <c r="A4">
        <v>2010</v>
      </c>
      <c r="B4">
        <v>1</v>
      </c>
      <c r="C4" t="s">
        <v>156</v>
      </c>
      <c r="G4" s="507"/>
      <c r="H4" s="507"/>
      <c r="J4" s="33">
        <v>0.18599999999999994</v>
      </c>
      <c r="K4" s="74"/>
      <c r="L4" s="74"/>
      <c r="M4" s="74"/>
      <c r="N4" s="74"/>
      <c r="O4" s="74"/>
      <c r="P4" s="74"/>
      <c r="Q4" s="74"/>
      <c r="R4" s="74"/>
      <c r="S4" s="74"/>
      <c r="T4" s="74"/>
      <c r="U4" s="74"/>
      <c r="V4" s="74"/>
      <c r="W4" s="74"/>
      <c r="X4" s="74"/>
      <c r="Y4" s="74"/>
      <c r="Z4" s="74"/>
      <c r="AA4" s="74"/>
      <c r="AB4" s="74"/>
      <c r="AC4" s="460">
        <v>102.52599267658867</v>
      </c>
      <c r="AD4" s="460"/>
      <c r="AE4">
        <v>97.49443313292582</v>
      </c>
      <c r="AF4">
        <v>97.49443313292582</v>
      </c>
      <c r="AG4" s="74"/>
      <c r="AH4">
        <v>7.9671129032258063</v>
      </c>
      <c r="AI4" s="74"/>
      <c r="AJ4" s="99">
        <f t="shared" si="0"/>
        <v>776.74915620601882</v>
      </c>
      <c r="AK4" s="19">
        <v>193685.07992283499</v>
      </c>
      <c r="AL4" s="19"/>
      <c r="AM4" s="74"/>
      <c r="AN4" s="74"/>
      <c r="AO4" s="74"/>
      <c r="AS4">
        <v>2109</v>
      </c>
      <c r="AT4" s="33">
        <v>0.16006600660066006</v>
      </c>
    </row>
    <row r="5" spans="1:46" ht="21.75">
      <c r="A5">
        <v>2010</v>
      </c>
      <c r="B5">
        <v>2</v>
      </c>
      <c r="C5" t="s">
        <v>157</v>
      </c>
      <c r="G5" s="507"/>
      <c r="H5" s="507"/>
      <c r="J5" s="33">
        <v>0.21700000000000003</v>
      </c>
      <c r="K5" s="74"/>
      <c r="L5" s="74"/>
      <c r="M5" s="74"/>
      <c r="N5" s="74"/>
      <c r="O5" s="74"/>
      <c r="P5" s="74"/>
      <c r="Q5" s="74"/>
      <c r="R5" s="74"/>
      <c r="S5" s="74"/>
      <c r="T5" s="74"/>
      <c r="U5" s="74"/>
      <c r="V5" s="74"/>
      <c r="W5" s="74"/>
      <c r="X5" s="74"/>
      <c r="Y5" s="74"/>
      <c r="Z5" s="74"/>
      <c r="AA5" s="74"/>
      <c r="AB5" s="74"/>
      <c r="AC5" s="460">
        <v>98.081772047940945</v>
      </c>
      <c r="AD5" s="460"/>
      <c r="AE5">
        <v>104.28417198688211</v>
      </c>
      <c r="AF5">
        <v>104.28417198688211</v>
      </c>
      <c r="AG5" s="74"/>
      <c r="AH5">
        <v>7.9257133333333361</v>
      </c>
      <c r="AI5" s="74"/>
      <c r="AJ5" s="99">
        <f t="shared" si="0"/>
        <v>826.52645237205832</v>
      </c>
      <c r="AK5" s="19">
        <v>198381.20675512997</v>
      </c>
      <c r="AL5" s="19"/>
      <c r="AM5" s="74"/>
      <c r="AN5" s="74"/>
      <c r="AO5" s="74"/>
      <c r="AS5">
        <v>2107</v>
      </c>
      <c r="AT5" s="33">
        <v>0.14200542005420047</v>
      </c>
    </row>
    <row r="6" spans="1:46" ht="21.75">
      <c r="A6">
        <v>2010</v>
      </c>
      <c r="B6">
        <v>2</v>
      </c>
      <c r="C6" t="s">
        <v>158</v>
      </c>
      <c r="G6" s="507"/>
      <c r="H6" s="507"/>
      <c r="J6" s="33">
        <v>0.27900000000000008</v>
      </c>
      <c r="K6" s="74"/>
      <c r="L6" s="74"/>
      <c r="M6" s="74"/>
      <c r="N6" s="74"/>
      <c r="O6" s="74"/>
      <c r="P6" s="74"/>
      <c r="Q6" s="74"/>
      <c r="R6" s="74"/>
      <c r="S6" s="74"/>
      <c r="T6" s="74"/>
      <c r="U6" s="74"/>
      <c r="V6" s="74"/>
      <c r="W6" s="74"/>
      <c r="X6" s="74"/>
      <c r="Y6" s="74"/>
      <c r="Z6" s="74"/>
      <c r="AA6" s="74"/>
      <c r="AB6" s="74"/>
      <c r="AC6" s="460">
        <v>92.288325969261535</v>
      </c>
      <c r="AD6" s="460"/>
      <c r="AE6">
        <v>98.502173504355639</v>
      </c>
      <c r="AF6">
        <v>98.502173504355639</v>
      </c>
      <c r="AG6" s="74"/>
      <c r="AH6">
        <v>7.9257225806451608</v>
      </c>
      <c r="AI6" s="74"/>
      <c r="AJ6" s="99">
        <f t="shared" si="0"/>
        <v>780.70090078609894</v>
      </c>
      <c r="AK6" s="19">
        <v>201683.66926140498</v>
      </c>
      <c r="AL6" s="19"/>
      <c r="AM6" s="74"/>
      <c r="AN6" s="74"/>
      <c r="AO6" s="74"/>
      <c r="AS6">
        <v>2201</v>
      </c>
      <c r="AT6" s="33">
        <v>0.18908698001080504</v>
      </c>
    </row>
    <row r="7" spans="1:46" ht="21.75">
      <c r="A7">
        <v>2010</v>
      </c>
      <c r="B7">
        <v>2</v>
      </c>
      <c r="C7" t="s">
        <v>159</v>
      </c>
      <c r="G7" s="507"/>
      <c r="H7" s="507"/>
      <c r="J7" s="33">
        <v>0.255</v>
      </c>
      <c r="K7" s="74"/>
      <c r="L7" s="74"/>
      <c r="M7" s="74"/>
      <c r="N7" s="74"/>
      <c r="O7" s="74"/>
      <c r="P7" s="74"/>
      <c r="Q7" s="74"/>
      <c r="R7" s="74"/>
      <c r="S7" s="74"/>
      <c r="T7" s="74"/>
      <c r="U7" s="74"/>
      <c r="V7" s="74"/>
      <c r="W7" s="74"/>
      <c r="X7" s="74"/>
      <c r="Y7" s="74"/>
      <c r="Z7" s="74"/>
      <c r="AA7" s="74"/>
      <c r="AB7" s="74"/>
      <c r="AC7" s="460">
        <v>94.454371060491724</v>
      </c>
      <c r="AD7" s="460"/>
      <c r="AE7">
        <v>94.262976912361609</v>
      </c>
      <c r="AF7">
        <v>94.262976912361609</v>
      </c>
      <c r="AG7" s="74"/>
      <c r="AH7">
        <v>7.9157333333333328</v>
      </c>
      <c r="AI7" s="74"/>
      <c r="AJ7" s="99">
        <f t="shared" si="0"/>
        <v>746.16058844441113</v>
      </c>
      <c r="AK7" s="19">
        <v>211387.86840650998</v>
      </c>
      <c r="AL7" s="19"/>
      <c r="AM7" s="74"/>
      <c r="AN7" s="74"/>
      <c r="AO7" s="74"/>
      <c r="AS7">
        <v>2373</v>
      </c>
      <c r="AT7" s="33">
        <v>0.19848484848484849</v>
      </c>
    </row>
    <row r="8" spans="1:46" ht="21.75">
      <c r="A8">
        <v>2010</v>
      </c>
      <c r="B8">
        <v>3</v>
      </c>
      <c r="C8" t="s">
        <v>160</v>
      </c>
      <c r="G8" s="507"/>
      <c r="H8" s="507"/>
      <c r="J8" s="33">
        <v>0.24400000000000005</v>
      </c>
      <c r="K8" s="74"/>
      <c r="L8" s="74"/>
      <c r="M8" s="74"/>
      <c r="N8" s="74"/>
      <c r="O8" s="74"/>
      <c r="P8" s="74"/>
      <c r="Q8" s="74"/>
      <c r="R8" s="74"/>
      <c r="S8" s="74"/>
      <c r="T8" s="74"/>
      <c r="U8" s="74"/>
      <c r="V8" s="74"/>
      <c r="W8" s="74"/>
      <c r="X8" s="74"/>
      <c r="Y8" s="74"/>
      <c r="Z8" s="74"/>
      <c r="AA8" s="74"/>
      <c r="AB8" s="74"/>
      <c r="AC8" s="460">
        <v>95.875965574504164</v>
      </c>
      <c r="AD8" s="460"/>
      <c r="AE8">
        <v>91.71602025735622</v>
      </c>
      <c r="AF8">
        <v>91.71602025735622</v>
      </c>
      <c r="AG8" s="74"/>
      <c r="AH8">
        <v>7.9015548387096777</v>
      </c>
      <c r="AI8" s="74"/>
      <c r="AJ8" s="99">
        <f t="shared" si="0"/>
        <v>724.69916365170786</v>
      </c>
      <c r="AK8" s="19">
        <v>221672.98376417003</v>
      </c>
      <c r="AL8" s="19"/>
      <c r="AM8" s="74"/>
      <c r="AN8" s="74"/>
      <c r="AO8" s="74"/>
      <c r="AS8">
        <v>2367</v>
      </c>
      <c r="AT8" s="33">
        <v>0.17878486055776888</v>
      </c>
    </row>
    <row r="9" spans="1:46" ht="21.75">
      <c r="A9">
        <v>2010</v>
      </c>
      <c r="B9">
        <v>3</v>
      </c>
      <c r="C9" t="s">
        <v>161</v>
      </c>
      <c r="G9" s="507"/>
      <c r="H9" s="507"/>
      <c r="J9" s="33">
        <v>0.23299999999999998</v>
      </c>
      <c r="K9" s="74"/>
      <c r="L9" s="74"/>
      <c r="M9" s="74"/>
      <c r="N9" s="74"/>
      <c r="O9" s="74"/>
      <c r="P9" s="74"/>
      <c r="Q9" s="74"/>
      <c r="R9" s="74"/>
      <c r="S9" s="74"/>
      <c r="T9" s="74"/>
      <c r="U9" s="74"/>
      <c r="V9" s="74"/>
      <c r="W9" s="74"/>
      <c r="X9" s="74"/>
      <c r="Y9" s="74"/>
      <c r="Z9" s="74"/>
      <c r="AA9" s="74"/>
      <c r="AB9" s="74"/>
      <c r="AC9" s="460">
        <v>98.96059088032996</v>
      </c>
      <c r="AD9" s="460"/>
      <c r="AE9">
        <v>99.024384847022333</v>
      </c>
      <c r="AF9">
        <v>99.024384847022333</v>
      </c>
      <c r="AG9" s="74"/>
      <c r="AH9">
        <v>7.890296774193545</v>
      </c>
      <c r="AI9" s="74"/>
      <c r="AJ9" s="99">
        <f t="shared" si="0"/>
        <v>781.33178432496049</v>
      </c>
      <c r="AK9" s="19">
        <v>222101.84399167</v>
      </c>
      <c r="AL9" s="19"/>
      <c r="AM9" s="74"/>
      <c r="AN9" s="74"/>
      <c r="AO9" s="74"/>
      <c r="AS9">
        <v>2280</v>
      </c>
      <c r="AT9" s="33">
        <v>0.18811881188118806</v>
      </c>
    </row>
    <row r="10" spans="1:46" ht="21.75">
      <c r="A10">
        <v>2010</v>
      </c>
      <c r="B10">
        <v>3</v>
      </c>
      <c r="C10" t="s">
        <v>162</v>
      </c>
      <c r="G10" s="507"/>
      <c r="H10" s="507"/>
      <c r="J10" s="33">
        <v>0.19200000000000003</v>
      </c>
      <c r="K10" s="74"/>
      <c r="L10" s="74"/>
      <c r="M10" s="74"/>
      <c r="N10" s="74"/>
      <c r="O10" s="74"/>
      <c r="P10" s="74"/>
      <c r="Q10" s="74"/>
      <c r="R10" s="74"/>
      <c r="S10" s="74"/>
      <c r="T10" s="74"/>
      <c r="U10" s="74"/>
      <c r="V10" s="74"/>
      <c r="W10" s="74"/>
      <c r="X10" s="74"/>
      <c r="Y10" s="74"/>
      <c r="Z10" s="74"/>
      <c r="AA10" s="74"/>
      <c r="AB10" s="74"/>
      <c r="AC10" s="460">
        <v>98.326885933953193</v>
      </c>
      <c r="AD10" s="460"/>
      <c r="AE10">
        <v>99.183063535038229</v>
      </c>
      <c r="AF10">
        <v>99.183063535038229</v>
      </c>
      <c r="AG10" s="74"/>
      <c r="AH10">
        <v>7.9103433333333308</v>
      </c>
      <c r="AI10" s="74"/>
      <c r="AJ10" s="99">
        <f t="shared" si="0"/>
        <v>784.57208541396585</v>
      </c>
      <c r="AK10" s="19">
        <v>218555.420800005</v>
      </c>
      <c r="AL10" s="19"/>
      <c r="AM10" s="74"/>
      <c r="AN10" s="74"/>
      <c r="AO10" s="74"/>
      <c r="AS10">
        <v>2349</v>
      </c>
      <c r="AT10" s="33">
        <v>0.19602851323828929</v>
      </c>
    </row>
    <row r="11" spans="1:46" ht="21.75">
      <c r="A11">
        <v>2010</v>
      </c>
      <c r="B11">
        <v>4</v>
      </c>
      <c r="C11" t="s">
        <v>163</v>
      </c>
      <c r="G11" s="507"/>
      <c r="H11" s="507"/>
      <c r="J11" s="33">
        <v>0.19799999999999998</v>
      </c>
      <c r="K11" s="74"/>
      <c r="L11" s="74"/>
      <c r="M11" s="74"/>
      <c r="N11" s="74"/>
      <c r="O11" s="74"/>
      <c r="P11" s="74"/>
      <c r="Q11" s="74"/>
      <c r="R11" s="74"/>
      <c r="S11" s="74"/>
      <c r="T11" s="74"/>
      <c r="U11" s="74"/>
      <c r="V11" s="74"/>
      <c r="W11" s="74"/>
      <c r="X11" s="74"/>
      <c r="Y11" s="74"/>
      <c r="Z11" s="74"/>
      <c r="AA11" s="74"/>
      <c r="AB11" s="74"/>
      <c r="AC11" s="460">
        <v>101.67649081980832</v>
      </c>
      <c r="AD11" s="460"/>
      <c r="AE11">
        <v>104.27771578222301</v>
      </c>
      <c r="AF11">
        <v>104.27771578222301</v>
      </c>
      <c r="AG11" s="74"/>
      <c r="AH11">
        <v>7.9104935483870928</v>
      </c>
      <c r="AI11" s="74"/>
      <c r="AJ11" s="99">
        <f t="shared" si="0"/>
        <v>824.88819793581808</v>
      </c>
      <c r="AK11" s="19">
        <v>219153.97813379002</v>
      </c>
      <c r="AL11" s="19"/>
      <c r="AM11" s="74"/>
      <c r="AN11" s="74"/>
      <c r="AO11" s="74"/>
      <c r="AS11">
        <v>2322</v>
      </c>
      <c r="AT11" s="33">
        <v>0.1907692307692308</v>
      </c>
    </row>
    <row r="12" spans="1:46" ht="21.75">
      <c r="A12">
        <v>2010</v>
      </c>
      <c r="B12">
        <v>4</v>
      </c>
      <c r="C12" t="s">
        <v>164</v>
      </c>
      <c r="G12" s="507"/>
      <c r="H12" s="507"/>
      <c r="J12" s="33">
        <v>0.18900000000000006</v>
      </c>
      <c r="K12" s="74"/>
      <c r="L12" s="74"/>
      <c r="M12" s="74"/>
      <c r="N12" s="74"/>
      <c r="O12" s="74"/>
      <c r="P12" s="74"/>
      <c r="Q12" s="74"/>
      <c r="R12" s="74"/>
      <c r="S12" s="74"/>
      <c r="T12" s="74"/>
      <c r="U12" s="74"/>
      <c r="V12" s="74"/>
      <c r="W12" s="74"/>
      <c r="X12" s="74"/>
      <c r="Y12" s="74"/>
      <c r="Z12" s="74"/>
      <c r="AA12" s="74"/>
      <c r="AB12" s="74"/>
      <c r="AC12" s="460">
        <v>106.22917721868757</v>
      </c>
      <c r="AD12" s="460"/>
      <c r="AE12">
        <v>109.4630018461109</v>
      </c>
      <c r="AF12">
        <v>109.4630018461109</v>
      </c>
      <c r="AG12" s="74"/>
      <c r="AH12">
        <v>7.9277933333333355</v>
      </c>
      <c r="AI12" s="74"/>
      <c r="AJ12" s="99">
        <f t="shared" si="0"/>
        <v>867.80005628225263</v>
      </c>
      <c r="AK12" s="19">
        <v>218647.29941207002</v>
      </c>
      <c r="AL12" s="19"/>
      <c r="AM12" s="74"/>
      <c r="AN12" s="74"/>
      <c r="AO12" s="74"/>
      <c r="AS12">
        <v>2353</v>
      </c>
      <c r="AT12" s="33">
        <v>0.20358056265984659</v>
      </c>
    </row>
    <row r="13" spans="1:46" ht="21.75">
      <c r="A13">
        <v>2010</v>
      </c>
      <c r="B13">
        <v>4</v>
      </c>
      <c r="C13" t="s">
        <v>165</v>
      </c>
      <c r="G13" s="507"/>
      <c r="H13" s="507"/>
      <c r="J13" s="33">
        <v>0.18700000000000003</v>
      </c>
      <c r="K13" s="74"/>
      <c r="L13" s="74"/>
      <c r="M13" s="74"/>
      <c r="N13" s="74"/>
      <c r="O13" s="74"/>
      <c r="P13" s="74"/>
      <c r="Q13" s="74"/>
      <c r="R13" s="74"/>
      <c r="S13" s="74"/>
      <c r="T13" s="74"/>
      <c r="U13" s="74"/>
      <c r="V13" s="74"/>
      <c r="W13" s="74"/>
      <c r="X13" s="74"/>
      <c r="Y13" s="74"/>
      <c r="Z13" s="74"/>
      <c r="AA13" s="74"/>
      <c r="AB13" s="74"/>
      <c r="AC13" s="460">
        <v>111.68279613166206</v>
      </c>
      <c r="AD13" s="460"/>
      <c r="AE13">
        <v>115.09407574033351</v>
      </c>
      <c r="AF13">
        <v>115.09407574033351</v>
      </c>
      <c r="AG13" s="74"/>
      <c r="AH13">
        <v>7.9557032258064551</v>
      </c>
      <c r="AI13" s="74"/>
      <c r="AJ13" s="99">
        <f t="shared" si="0"/>
        <v>915.65430963858375</v>
      </c>
      <c r="AK13" s="19">
        <v>220702.51095082</v>
      </c>
      <c r="AL13" s="19"/>
      <c r="AM13" s="74"/>
      <c r="AN13" s="74"/>
      <c r="AO13" s="74"/>
      <c r="AS13">
        <v>2629</v>
      </c>
      <c r="AT13" s="33">
        <v>0.17733990147783252</v>
      </c>
    </row>
    <row r="14" spans="1:46">
      <c r="A14">
        <v>2011</v>
      </c>
      <c r="B14">
        <v>1</v>
      </c>
      <c r="C14" t="s">
        <v>18</v>
      </c>
      <c r="G14" s="507"/>
      <c r="H14" s="507"/>
      <c r="J14" s="2">
        <v>0.18</v>
      </c>
      <c r="K14" s="2"/>
      <c r="L14" s="2"/>
      <c r="M14" s="2"/>
      <c r="N14" s="2"/>
      <c r="O14" s="2"/>
      <c r="P14" s="475"/>
      <c r="Q14" s="475"/>
      <c r="R14" s="475"/>
      <c r="S14" s="475"/>
      <c r="T14" s="475"/>
      <c r="U14" s="475"/>
      <c r="V14" s="475"/>
      <c r="W14" s="2"/>
      <c r="X14" s="2"/>
      <c r="Y14" s="17"/>
      <c r="Z14" s="17"/>
      <c r="AA14" s="17"/>
      <c r="AB14" s="17">
        <f>J14-Y14</f>
        <v>0.18</v>
      </c>
      <c r="AC14" s="461">
        <v>119.88884559046143</v>
      </c>
      <c r="AD14" s="461"/>
      <c r="AE14" s="46">
        <v>123.54914039472364</v>
      </c>
      <c r="AF14">
        <v>123.54914039472364</v>
      </c>
      <c r="AH14">
        <v>7.9496967741935487</v>
      </c>
      <c r="AJ14" s="99">
        <f t="shared" si="0"/>
        <v>982.1782028503203</v>
      </c>
      <c r="AK14" s="19">
        <v>223727.02185488498</v>
      </c>
      <c r="AL14" s="19"/>
      <c r="AM14" s="20">
        <v>0.31294696151751999</v>
      </c>
      <c r="AN14" s="9">
        <v>0.16400204550507791</v>
      </c>
      <c r="AO14">
        <v>5.0999999999999997E-2</v>
      </c>
      <c r="AP14">
        <f>(1+AN14)/(1+AO14)-1</f>
        <v>0.10751859705525968</v>
      </c>
      <c r="AQ14">
        <f t="shared" ref="AQ14:AQ77" si="1">IF(AO14&gt;0,AP14,AN14)</f>
        <v>0.10751859705525968</v>
      </c>
      <c r="AS14">
        <v>2297</v>
      </c>
      <c r="AT14" s="33">
        <f t="shared" ref="AT14:AT25" si="2">AS14/AS2-1</f>
        <v>0.19885177453027136</v>
      </c>
    </row>
    <row r="15" spans="1:46">
      <c r="A15">
        <v>2011</v>
      </c>
      <c r="B15">
        <v>1</v>
      </c>
      <c r="C15" t="s">
        <v>19</v>
      </c>
      <c r="G15" s="507"/>
      <c r="H15" s="507"/>
      <c r="J15" s="2">
        <v>0.21400000000000005</v>
      </c>
      <c r="K15" s="2"/>
      <c r="L15" s="2"/>
      <c r="M15" s="2"/>
      <c r="N15" s="2"/>
      <c r="O15" s="2"/>
      <c r="P15" s="475"/>
      <c r="Q15" s="475"/>
      <c r="R15" s="475"/>
      <c r="S15" s="475"/>
      <c r="T15" s="475"/>
      <c r="U15" s="475"/>
      <c r="V15" s="475"/>
      <c r="W15" s="2"/>
      <c r="X15" s="2"/>
      <c r="Y15" s="17"/>
      <c r="Z15" s="17"/>
      <c r="AA15" s="17"/>
      <c r="AB15" s="17">
        <f t="shared" ref="AB15:AB78" si="3">J15-Y15</f>
        <v>0.21400000000000005</v>
      </c>
      <c r="AC15" s="461">
        <v>121.9481879842086</v>
      </c>
      <c r="AD15" s="461"/>
      <c r="AE15" s="46">
        <v>126.94345975259634</v>
      </c>
      <c r="AF15">
        <v>126.94345975259634</v>
      </c>
      <c r="AH15">
        <v>7.940792857142859</v>
      </c>
      <c r="AJ15" s="99">
        <f t="shared" si="0"/>
        <v>1008.031718464419</v>
      </c>
      <c r="AK15" s="19">
        <v>219599.966484465</v>
      </c>
      <c r="AL15" s="19"/>
      <c r="AM15" s="20">
        <v>0.35260502088007417</v>
      </c>
      <c r="AN15" s="9">
        <v>0.15527058214757861</v>
      </c>
      <c r="AO15">
        <v>5.0999999999999997E-2</v>
      </c>
      <c r="AP15">
        <f t="shared" ref="AP15:AP78" si="4">(1+AN15)/(1+AO15)-1</f>
        <v>9.9210829826430702E-2</v>
      </c>
      <c r="AQ15">
        <f t="shared" si="1"/>
        <v>9.9210829826430702E-2</v>
      </c>
      <c r="AS15">
        <v>2338</v>
      </c>
      <c r="AT15" s="33">
        <f t="shared" si="2"/>
        <v>0.19590792838874682</v>
      </c>
    </row>
    <row r="16" spans="1:46">
      <c r="A16">
        <v>2011</v>
      </c>
      <c r="B16">
        <v>1</v>
      </c>
      <c r="C16" t="s">
        <v>20</v>
      </c>
      <c r="G16" s="507"/>
      <c r="H16" s="507"/>
      <c r="J16" s="2">
        <v>0.20299999999999996</v>
      </c>
      <c r="K16" s="2"/>
      <c r="L16" s="2"/>
      <c r="M16" s="2"/>
      <c r="N16" s="2"/>
      <c r="O16" s="2"/>
      <c r="P16" s="475"/>
      <c r="Q16" s="475"/>
      <c r="R16" s="475"/>
      <c r="S16" s="475"/>
      <c r="T16" s="475"/>
      <c r="U16" s="475"/>
      <c r="V16" s="475"/>
      <c r="W16" s="2"/>
      <c r="X16" s="2"/>
      <c r="Y16" s="17"/>
      <c r="Z16" s="17"/>
      <c r="AA16" s="17"/>
      <c r="AB16" s="17">
        <f t="shared" si="3"/>
        <v>0.20299999999999996</v>
      </c>
      <c r="AC16" s="461">
        <v>127.91023849326874</v>
      </c>
      <c r="AD16" s="461"/>
      <c r="AE16" s="46">
        <v>124.57050758133138</v>
      </c>
      <c r="AF16">
        <v>124.57050758133138</v>
      </c>
      <c r="AH16">
        <v>7.9439645161290349</v>
      </c>
      <c r="AJ16" s="99">
        <f t="shared" si="0"/>
        <v>989.58369198227945</v>
      </c>
      <c r="AK16" s="19">
        <v>220477.396618075</v>
      </c>
      <c r="AL16" s="19"/>
      <c r="AM16" s="20">
        <v>0.27400678079373431</v>
      </c>
      <c r="AN16" s="9">
        <v>0.13832927505781134</v>
      </c>
      <c r="AO16">
        <v>5.0999999999999997E-2</v>
      </c>
      <c r="AP16">
        <f t="shared" si="4"/>
        <v>8.309160329002041E-2</v>
      </c>
      <c r="AQ16">
        <f t="shared" si="1"/>
        <v>8.309160329002041E-2</v>
      </c>
      <c r="AS16">
        <v>2531</v>
      </c>
      <c r="AT16" s="33">
        <f t="shared" si="2"/>
        <v>0.20009483167377895</v>
      </c>
    </row>
    <row r="17" spans="1:46">
      <c r="A17">
        <v>2011</v>
      </c>
      <c r="B17">
        <v>2</v>
      </c>
      <c r="C17" t="s">
        <v>21</v>
      </c>
      <c r="G17" s="507"/>
      <c r="H17" s="507"/>
      <c r="J17" s="2">
        <v>0.20799999999999996</v>
      </c>
      <c r="K17" s="2"/>
      <c r="L17" s="2"/>
      <c r="M17" s="2"/>
      <c r="N17" s="2"/>
      <c r="O17" s="2"/>
      <c r="P17" s="475"/>
      <c r="Q17" s="475"/>
      <c r="R17" s="475"/>
      <c r="S17" s="475"/>
      <c r="T17" s="475"/>
      <c r="U17" s="475"/>
      <c r="V17" s="475"/>
      <c r="W17" s="2"/>
      <c r="X17" s="2"/>
      <c r="Y17" s="17"/>
      <c r="Z17" s="17"/>
      <c r="AA17" s="17"/>
      <c r="AB17" s="17">
        <f t="shared" si="3"/>
        <v>0.20799999999999996</v>
      </c>
      <c r="AC17" s="461">
        <v>138.49728834474115</v>
      </c>
      <c r="AD17" s="461"/>
      <c r="AE17" s="46">
        <v>132.33671986343015</v>
      </c>
      <c r="AF17">
        <v>132.33671986343015</v>
      </c>
      <c r="AH17">
        <v>7.9649499999999964</v>
      </c>
      <c r="AJ17" s="99">
        <f t="shared" si="0"/>
        <v>1054.0553568762275</v>
      </c>
      <c r="AK17" s="19">
        <v>226534.63289529999</v>
      </c>
      <c r="AL17" s="19"/>
      <c r="AM17" s="20">
        <v>0.27528326994397001</v>
      </c>
      <c r="AN17" s="9">
        <v>0.14191579233067642</v>
      </c>
      <c r="AO17">
        <v>3.9E-2</v>
      </c>
      <c r="AP17">
        <f t="shared" si="4"/>
        <v>9.9052735640689615E-2</v>
      </c>
      <c r="AQ17">
        <f t="shared" si="1"/>
        <v>9.9052735640689615E-2</v>
      </c>
      <c r="AS17">
        <v>2533</v>
      </c>
      <c r="AT17" s="33">
        <f t="shared" si="2"/>
        <v>0.20218319886093972</v>
      </c>
    </row>
    <row r="18" spans="1:46">
      <c r="A18">
        <v>2011</v>
      </c>
      <c r="B18">
        <v>2</v>
      </c>
      <c r="C18" t="s">
        <v>22</v>
      </c>
      <c r="G18" s="507"/>
      <c r="H18" s="507"/>
      <c r="J18" s="2">
        <v>0.18799999999999997</v>
      </c>
      <c r="K18" s="2"/>
      <c r="L18" s="2"/>
      <c r="M18" s="2"/>
      <c r="N18" s="2"/>
      <c r="O18" s="2"/>
      <c r="P18" s="475"/>
      <c r="Q18" s="475"/>
      <c r="R18" s="475"/>
      <c r="S18" s="475"/>
      <c r="T18" s="475"/>
      <c r="U18" s="475"/>
      <c r="V18" s="475"/>
      <c r="W18" s="2"/>
      <c r="X18" s="2"/>
      <c r="Y18" s="17"/>
      <c r="Z18" s="17"/>
      <c r="AA18" s="17"/>
      <c r="AB18" s="17">
        <f t="shared" si="3"/>
        <v>0.18799999999999997</v>
      </c>
      <c r="AC18" s="461">
        <v>133.20260113103672</v>
      </c>
      <c r="AD18" s="461"/>
      <c r="AE18" s="46">
        <v>128.49302667831984</v>
      </c>
      <c r="AF18">
        <v>128.49302667831984</v>
      </c>
      <c r="AH18">
        <v>7.9745967741935457</v>
      </c>
      <c r="AJ18" s="99">
        <f t="shared" si="0"/>
        <v>1024.6800760552946</v>
      </c>
      <c r="AK18" s="19">
        <v>228735.25833045499</v>
      </c>
      <c r="AL18" s="19"/>
      <c r="AM18" s="20">
        <v>0.31251299316233605</v>
      </c>
      <c r="AN18" s="9">
        <v>0.13412880263492277</v>
      </c>
      <c r="AO18">
        <v>3.9E-2</v>
      </c>
      <c r="AP18">
        <f t="shared" si="4"/>
        <v>9.1558039109646661E-2</v>
      </c>
      <c r="AQ18">
        <f t="shared" si="1"/>
        <v>9.1558039109646661E-2</v>
      </c>
      <c r="AS18">
        <v>2573</v>
      </c>
      <c r="AT18" s="33">
        <f t="shared" si="2"/>
        <v>0.16901408450704225</v>
      </c>
    </row>
    <row r="19" spans="1:46">
      <c r="A19">
        <v>2011</v>
      </c>
      <c r="B19">
        <v>2</v>
      </c>
      <c r="C19" t="s">
        <v>23</v>
      </c>
      <c r="G19" s="507"/>
      <c r="H19" s="507"/>
      <c r="J19" s="2">
        <v>0.2</v>
      </c>
      <c r="K19" s="2"/>
      <c r="L19" s="2"/>
      <c r="M19" s="2"/>
      <c r="N19" s="2"/>
      <c r="O19" s="2"/>
      <c r="P19" s="475"/>
      <c r="Q19" s="475"/>
      <c r="R19" s="475"/>
      <c r="S19" s="475"/>
      <c r="T19" s="475"/>
      <c r="U19" s="475"/>
      <c r="V19" s="475"/>
      <c r="W19" s="2"/>
      <c r="X19" s="2"/>
      <c r="Y19" s="17"/>
      <c r="Z19" s="17"/>
      <c r="AA19" s="17"/>
      <c r="AB19" s="17">
        <f t="shared" si="3"/>
        <v>0.2</v>
      </c>
      <c r="AC19" s="461">
        <v>132.43949632976299</v>
      </c>
      <c r="AD19" s="461"/>
      <c r="AE19" s="46">
        <v>129.37791427734373</v>
      </c>
      <c r="AF19">
        <v>129.37791427734373</v>
      </c>
      <c r="AH19">
        <v>7.9732500000000019</v>
      </c>
      <c r="AJ19" s="99">
        <f t="shared" si="0"/>
        <v>1031.5624550118312</v>
      </c>
      <c r="AK19" s="19">
        <v>228031.18789254499</v>
      </c>
      <c r="AL19" s="19"/>
      <c r="AM19" s="20">
        <v>0.38249389070846429</v>
      </c>
      <c r="AN19" s="9">
        <v>7.8733560310230377E-2</v>
      </c>
      <c r="AO19">
        <v>3.9E-2</v>
      </c>
      <c r="AP19">
        <f t="shared" si="4"/>
        <v>3.8242117719182289E-2</v>
      </c>
      <c r="AQ19">
        <f t="shared" si="1"/>
        <v>3.8242117719182289E-2</v>
      </c>
      <c r="AS19">
        <v>2708</v>
      </c>
      <c r="AT19" s="33">
        <f t="shared" si="2"/>
        <v>0.14117151285292873</v>
      </c>
    </row>
    <row r="20" spans="1:46">
      <c r="A20">
        <v>2011</v>
      </c>
      <c r="B20">
        <v>3</v>
      </c>
      <c r="C20" t="s">
        <v>24</v>
      </c>
      <c r="G20" s="507"/>
      <c r="H20" s="507"/>
      <c r="J20" s="2">
        <v>0.20299999999999996</v>
      </c>
      <c r="K20" s="2"/>
      <c r="L20" s="2"/>
      <c r="M20" s="2"/>
      <c r="N20" s="2"/>
      <c r="O20" s="2"/>
      <c r="P20" s="475"/>
      <c r="Q20" s="475"/>
      <c r="R20" s="475"/>
      <c r="S20" s="475"/>
      <c r="T20" s="475"/>
      <c r="U20" s="475"/>
      <c r="V20" s="475"/>
      <c r="W20" s="2"/>
      <c r="X20" s="2"/>
      <c r="Y20" s="17"/>
      <c r="Z20" s="17"/>
      <c r="AA20" s="17"/>
      <c r="AB20" s="17">
        <f t="shared" si="3"/>
        <v>0.20299999999999996</v>
      </c>
      <c r="AC20" s="461">
        <v>137.7528139920482</v>
      </c>
      <c r="AD20" s="461"/>
      <c r="AE20" s="46">
        <v>131.8088716562134</v>
      </c>
      <c r="AF20">
        <v>131.8088716562134</v>
      </c>
      <c r="AH20">
        <v>7.9712032258064545</v>
      </c>
      <c r="AJ20" s="99">
        <f t="shared" si="0"/>
        <v>1050.6753029359172</v>
      </c>
      <c r="AK20" s="19">
        <v>231978.49788987997</v>
      </c>
      <c r="AL20" s="19"/>
      <c r="AM20" s="20">
        <v>0.44980890779787663</v>
      </c>
      <c r="AN20" s="9">
        <v>4.6489716296116645E-2</v>
      </c>
      <c r="AO20">
        <v>6.5000000000000002E-2</v>
      </c>
      <c r="AP20">
        <f t="shared" si="4"/>
        <v>-1.7380548078763658E-2</v>
      </c>
      <c r="AQ20">
        <f t="shared" si="1"/>
        <v>-1.7380548078763658E-2</v>
      </c>
      <c r="AS20">
        <v>2749</v>
      </c>
      <c r="AT20" s="33">
        <f t="shared" si="2"/>
        <v>0.16138572032108156</v>
      </c>
    </row>
    <row r="21" spans="1:46">
      <c r="A21">
        <v>2011</v>
      </c>
      <c r="B21">
        <v>3</v>
      </c>
      <c r="C21" t="s">
        <v>25</v>
      </c>
      <c r="G21" s="507"/>
      <c r="H21" s="507"/>
      <c r="J21" s="2">
        <v>0.19900000000000007</v>
      </c>
      <c r="K21" s="2"/>
      <c r="L21" s="2"/>
      <c r="M21" s="2"/>
      <c r="N21" s="2"/>
      <c r="O21" s="2"/>
      <c r="P21" s="475"/>
      <c r="Q21" s="475"/>
      <c r="R21" s="475"/>
      <c r="S21" s="475"/>
      <c r="T21" s="475"/>
      <c r="U21" s="475"/>
      <c r="V21" s="475"/>
      <c r="W21" s="2"/>
      <c r="X21" s="2"/>
      <c r="Y21" s="17"/>
      <c r="Z21" s="17"/>
      <c r="AA21" s="17"/>
      <c r="AB21" s="17">
        <f t="shared" si="3"/>
        <v>0.19900000000000007</v>
      </c>
      <c r="AC21" s="461">
        <v>133.57528792601187</v>
      </c>
      <c r="AD21" s="461"/>
      <c r="AE21" s="46">
        <v>131.13810576106582</v>
      </c>
      <c r="AF21">
        <v>131.13810576106582</v>
      </c>
      <c r="AH21">
        <v>7.9711225806451589</v>
      </c>
      <c r="AJ21" s="99">
        <f t="shared" si="0"/>
        <v>1045.3179160150648</v>
      </c>
      <c r="AK21" s="19">
        <v>237849.18464269998</v>
      </c>
      <c r="AL21" s="19"/>
      <c r="AM21" s="20">
        <v>0.3378668793285784</v>
      </c>
      <c r="AN21" s="9">
        <v>7.0901440384351755E-2</v>
      </c>
      <c r="AO21">
        <v>6.5000000000000002E-2</v>
      </c>
      <c r="AP21">
        <f t="shared" si="4"/>
        <v>5.5412585768561673E-3</v>
      </c>
      <c r="AQ21">
        <f t="shared" si="1"/>
        <v>5.5412585768561673E-3</v>
      </c>
      <c r="AS21">
        <v>2694</v>
      </c>
      <c r="AT21" s="33">
        <f t="shared" si="2"/>
        <v>0.18157894736842106</v>
      </c>
    </row>
    <row r="22" spans="1:46">
      <c r="A22">
        <v>2011</v>
      </c>
      <c r="B22">
        <v>3</v>
      </c>
      <c r="C22" t="s">
        <v>26</v>
      </c>
      <c r="G22" s="507"/>
      <c r="H22" s="507"/>
      <c r="J22" s="2">
        <v>0.21299999999999997</v>
      </c>
      <c r="K22" s="2"/>
      <c r="L22" s="2"/>
      <c r="M22" s="2"/>
      <c r="N22" s="2"/>
      <c r="O22" s="2"/>
      <c r="P22" s="475"/>
      <c r="Q22" s="475"/>
      <c r="R22" s="475"/>
      <c r="S22" s="475"/>
      <c r="T22" s="475"/>
      <c r="U22" s="475"/>
      <c r="V22" s="475"/>
      <c r="W22" s="2"/>
      <c r="X22" s="2"/>
      <c r="Y22" s="17"/>
      <c r="Z22" s="17"/>
      <c r="AA22" s="17"/>
      <c r="AB22" s="17">
        <f t="shared" si="3"/>
        <v>0.21299999999999997</v>
      </c>
      <c r="AC22" s="461">
        <v>133.92791188328897</v>
      </c>
      <c r="AD22" s="461"/>
      <c r="AE22" s="46">
        <v>130.96844757255778</v>
      </c>
      <c r="AF22">
        <v>130.96844757255778</v>
      </c>
      <c r="AH22">
        <v>7.9728300000000027</v>
      </c>
      <c r="AJ22" s="99">
        <f t="shared" si="0"/>
        <v>1044.1891678599161</v>
      </c>
      <c r="AK22" s="19">
        <v>237118.02279273997</v>
      </c>
      <c r="AL22" s="19"/>
      <c r="AM22" s="20">
        <v>0.33090277779761657</v>
      </c>
      <c r="AN22" s="9">
        <v>8.4933157570688644E-2</v>
      </c>
      <c r="AO22">
        <v>6.5000000000000002E-2</v>
      </c>
      <c r="AP22">
        <f t="shared" si="4"/>
        <v>1.8716579878580886E-2</v>
      </c>
      <c r="AQ22">
        <f t="shared" si="1"/>
        <v>1.8716579878580886E-2</v>
      </c>
      <c r="AS22">
        <v>2737</v>
      </c>
      <c r="AT22" s="33">
        <f t="shared" si="2"/>
        <v>0.1651766709237974</v>
      </c>
    </row>
    <row r="23" spans="1:46">
      <c r="A23">
        <v>2011</v>
      </c>
      <c r="B23">
        <v>4</v>
      </c>
      <c r="C23" t="s">
        <v>27</v>
      </c>
      <c r="G23" s="507"/>
      <c r="H23" s="507"/>
      <c r="J23" s="2">
        <v>0.16299999999999998</v>
      </c>
      <c r="K23" s="2"/>
      <c r="L23" s="2"/>
      <c r="M23" s="2"/>
      <c r="N23" s="2"/>
      <c r="O23" s="2"/>
      <c r="P23" s="475"/>
      <c r="Q23" s="475"/>
      <c r="R23" s="475"/>
      <c r="S23" s="475"/>
      <c r="T23" s="475"/>
      <c r="U23" s="475"/>
      <c r="V23" s="475"/>
      <c r="W23" s="2"/>
      <c r="X23" s="2"/>
      <c r="Y23" s="17"/>
      <c r="Z23" s="17"/>
      <c r="AA23" s="17"/>
      <c r="AB23" s="17">
        <f t="shared" si="3"/>
        <v>0.16299999999999998</v>
      </c>
      <c r="AC23" s="461">
        <v>135.92459609767315</v>
      </c>
      <c r="AD23" s="461"/>
      <c r="AE23" s="46">
        <v>123.52971618875276</v>
      </c>
      <c r="AF23">
        <v>123.52971618875276</v>
      </c>
      <c r="AH23">
        <v>7.9746741935483865</v>
      </c>
      <c r="AJ23" s="99">
        <f t="shared" si="0"/>
        <v>985.10923982680299</v>
      </c>
      <c r="AK23" s="19">
        <v>234262.614641455</v>
      </c>
      <c r="AL23" s="19"/>
      <c r="AM23" s="20">
        <v>0.19423364559211609</v>
      </c>
      <c r="AN23" s="9">
        <v>6.8940735807412112E-2</v>
      </c>
      <c r="AO23">
        <v>0.05</v>
      </c>
      <c r="AP23">
        <f t="shared" si="4"/>
        <v>1.8038796007059155E-2</v>
      </c>
      <c r="AQ23">
        <f t="shared" si="1"/>
        <v>1.8038796007059155E-2</v>
      </c>
      <c r="AS23">
        <v>2729</v>
      </c>
      <c r="AT23" s="33">
        <f t="shared" si="2"/>
        <v>0.17527993109388462</v>
      </c>
    </row>
    <row r="24" spans="1:46">
      <c r="A24">
        <v>2011</v>
      </c>
      <c r="B24">
        <v>4</v>
      </c>
      <c r="C24" t="s">
        <v>28</v>
      </c>
      <c r="G24" s="507"/>
      <c r="H24" s="507"/>
      <c r="J24" s="2">
        <v>0.17299999999999996</v>
      </c>
      <c r="K24" s="2"/>
      <c r="L24" s="2"/>
      <c r="M24" s="2"/>
      <c r="N24" s="2"/>
      <c r="O24" s="2"/>
      <c r="P24" s="475"/>
      <c r="Q24" s="475"/>
      <c r="R24" s="475"/>
      <c r="S24" s="475"/>
      <c r="T24" s="475"/>
      <c r="U24" s="475"/>
      <c r="V24" s="475"/>
      <c r="W24" s="2"/>
      <c r="X24" s="2"/>
      <c r="Y24" s="17"/>
      <c r="Z24" s="17"/>
      <c r="AA24" s="17"/>
      <c r="AB24" s="17">
        <f t="shared" si="3"/>
        <v>0.17299999999999996</v>
      </c>
      <c r="AC24" s="461">
        <v>135.28732213555296</v>
      </c>
      <c r="AD24" s="461"/>
      <c r="AE24" s="46">
        <v>119.12153054177698</v>
      </c>
      <c r="AF24">
        <v>119.12153054177698</v>
      </c>
      <c r="AH24">
        <v>7.9839199999999986</v>
      </c>
      <c r="AJ24" s="99">
        <f t="shared" si="0"/>
        <v>951.05677012310389</v>
      </c>
      <c r="AK24" s="19">
        <v>232617.90219389502</v>
      </c>
      <c r="AL24" s="19"/>
      <c r="AM24" s="20">
        <v>9.5939972852193467E-2</v>
      </c>
      <c r="AN24" s="9">
        <v>6.3895610965198912E-2</v>
      </c>
      <c r="AO24">
        <v>0.05</v>
      </c>
      <c r="AP24">
        <f t="shared" si="4"/>
        <v>1.3233915204951208E-2</v>
      </c>
      <c r="AQ24">
        <f t="shared" si="1"/>
        <v>1.3233915204951208E-2</v>
      </c>
      <c r="AS24">
        <v>2727</v>
      </c>
      <c r="AT24" s="33">
        <f t="shared" si="2"/>
        <v>0.15894602634934119</v>
      </c>
    </row>
    <row r="25" spans="1:46">
      <c r="A25">
        <v>2011</v>
      </c>
      <c r="B25">
        <v>4</v>
      </c>
      <c r="C25" t="s">
        <v>29</v>
      </c>
      <c r="G25" s="507"/>
      <c r="H25" s="507"/>
      <c r="J25" s="2">
        <v>0.14200000000000002</v>
      </c>
      <c r="K25" s="2"/>
      <c r="L25" s="2"/>
      <c r="M25" s="2"/>
      <c r="N25" s="2"/>
      <c r="O25" s="2"/>
      <c r="P25" s="475"/>
      <c r="Q25" s="475"/>
      <c r="R25" s="475"/>
      <c r="S25" s="475"/>
      <c r="T25" s="475"/>
      <c r="U25" s="475"/>
      <c r="V25" s="475"/>
      <c r="W25" s="2"/>
      <c r="X25" s="2"/>
      <c r="Y25" s="17"/>
      <c r="Z25" s="17"/>
      <c r="AA25" s="17"/>
      <c r="AB25" s="17">
        <f t="shared" si="3"/>
        <v>0.14200000000000002</v>
      </c>
      <c r="AC25" s="461">
        <v>134.97951090251394</v>
      </c>
      <c r="AD25" s="461"/>
      <c r="AE25" s="46">
        <v>117.74294497477651</v>
      </c>
      <c r="AF25">
        <v>117.74294497477651</v>
      </c>
      <c r="AH25">
        <v>7.9897516129032251</v>
      </c>
      <c r="AJ25" s="99">
        <f t="shared" si="0"/>
        <v>940.73688452019633</v>
      </c>
      <c r="AK25" s="19">
        <v>235473.04022376001</v>
      </c>
      <c r="AL25" s="19"/>
      <c r="AM25" s="20">
        <v>2.7393061570925026E-2</v>
      </c>
      <c r="AN25" s="9">
        <v>6.6925062199366669E-2</v>
      </c>
      <c r="AO25">
        <v>0.05</v>
      </c>
      <c r="AP25">
        <f t="shared" si="4"/>
        <v>1.6119106856539611E-2</v>
      </c>
      <c r="AQ25">
        <f t="shared" si="1"/>
        <v>1.6119106856539611E-2</v>
      </c>
      <c r="AS25">
        <v>3054</v>
      </c>
      <c r="AT25" s="33">
        <f t="shared" si="2"/>
        <v>0.16165842525675167</v>
      </c>
    </row>
    <row r="26" spans="1:46">
      <c r="A26">
        <v>2012</v>
      </c>
      <c r="B26">
        <v>1</v>
      </c>
      <c r="C26" s="115" t="s">
        <v>30</v>
      </c>
      <c r="D26" s="115"/>
      <c r="E26" s="115"/>
      <c r="F26" s="115"/>
      <c r="G26" s="508"/>
      <c r="H26" s="508"/>
      <c r="I26" s="115"/>
      <c r="J26" s="116">
        <v>0.11799999999999997</v>
      </c>
      <c r="K26" s="2"/>
      <c r="L26" s="2"/>
      <c r="M26" s="2"/>
      <c r="N26" s="2"/>
      <c r="O26" s="2"/>
      <c r="P26" s="475"/>
      <c r="Q26" s="475"/>
      <c r="R26" s="475"/>
      <c r="S26" s="475"/>
      <c r="T26" s="475"/>
      <c r="U26" s="475"/>
      <c r="V26" s="475"/>
      <c r="W26" s="2"/>
      <c r="X26" s="2"/>
      <c r="Y26" s="17"/>
      <c r="Z26" s="17"/>
      <c r="AA26" s="17"/>
      <c r="AB26" s="17">
        <f t="shared" si="3"/>
        <v>0.11799999999999997</v>
      </c>
      <c r="AC26" s="461">
        <v>136.20381808723232</v>
      </c>
      <c r="AD26" s="461"/>
      <c r="AE26" s="46">
        <v>120.61420690782263</v>
      </c>
      <c r="AF26">
        <v>120.61420690782263</v>
      </c>
      <c r="AH26">
        <v>7.9897935483870981</v>
      </c>
      <c r="AJ26" s="99">
        <f t="shared" si="0"/>
        <v>963.68261219594785</v>
      </c>
      <c r="AK26" s="19">
        <v>234884.46835012001</v>
      </c>
      <c r="AL26" s="19"/>
      <c r="AM26" s="20">
        <v>-1.8831196417002039E-2</v>
      </c>
      <c r="AN26" s="9">
        <v>4.9870804173453909E-2</v>
      </c>
      <c r="AO26">
        <v>2.5000000000000001E-2</v>
      </c>
      <c r="AP26">
        <f t="shared" si="4"/>
        <v>2.4264199193613667E-2</v>
      </c>
      <c r="AQ26">
        <f t="shared" si="1"/>
        <v>2.4264199193613667E-2</v>
      </c>
      <c r="AS26" s="140">
        <v>2722</v>
      </c>
      <c r="AT26" s="33">
        <f>AS26/AS14-1</f>
        <v>0.18502394427514157</v>
      </c>
    </row>
    <row r="27" spans="1:46">
      <c r="A27">
        <v>2012</v>
      </c>
      <c r="B27">
        <v>1</v>
      </c>
      <c r="C27" t="s">
        <v>31</v>
      </c>
      <c r="G27" s="507"/>
      <c r="H27" s="507"/>
      <c r="J27" s="2">
        <v>7.4999999999999997E-2</v>
      </c>
      <c r="K27" s="2"/>
      <c r="L27" s="2"/>
      <c r="M27" s="2"/>
      <c r="N27" s="2"/>
      <c r="O27" s="2"/>
      <c r="P27" s="475"/>
      <c r="Q27" s="475"/>
      <c r="R27" s="475"/>
      <c r="S27" s="475"/>
      <c r="T27" s="475"/>
      <c r="U27" s="475"/>
      <c r="V27" s="475"/>
      <c r="W27" s="2"/>
      <c r="X27" s="2"/>
      <c r="Y27" s="17"/>
      <c r="Z27" s="17"/>
      <c r="AA27" s="17"/>
      <c r="AB27" s="17">
        <f t="shared" si="3"/>
        <v>7.4999999999999997E-2</v>
      </c>
      <c r="AC27" s="461">
        <v>137.86352435043932</v>
      </c>
      <c r="AD27" s="461"/>
      <c r="AE27" s="46">
        <v>122.32532582744703</v>
      </c>
      <c r="AF27">
        <v>122.32532582744703</v>
      </c>
      <c r="AH27">
        <v>7.9884482758620718</v>
      </c>
      <c r="AJ27" s="99">
        <f t="shared" si="0"/>
        <v>977.18953820053537</v>
      </c>
      <c r="AK27" s="19">
        <v>229210.58093106499</v>
      </c>
      <c r="AL27" s="19"/>
      <c r="AM27" s="20">
        <v>-3.0596438285560024E-2</v>
      </c>
      <c r="AN27" s="9">
        <v>4.376418904089352E-2</v>
      </c>
      <c r="AO27">
        <v>2.5000000000000001E-2</v>
      </c>
      <c r="AP27">
        <f t="shared" si="4"/>
        <v>1.8306525893554637E-2</v>
      </c>
      <c r="AQ27">
        <f t="shared" si="1"/>
        <v>1.8306525893554637E-2</v>
      </c>
      <c r="AS27" s="140">
        <v>2799</v>
      </c>
      <c r="AT27" s="33">
        <f t="shared" ref="AT27:AT37" si="5">AS27/AS15-1</f>
        <v>0.19717707442258336</v>
      </c>
    </row>
    <row r="28" spans="1:46">
      <c r="A28">
        <v>2012</v>
      </c>
      <c r="B28">
        <v>1</v>
      </c>
      <c r="C28" t="s">
        <v>32</v>
      </c>
      <c r="G28" s="507"/>
      <c r="H28" s="507"/>
      <c r="J28" s="2">
        <v>6.5000000000000002E-2</v>
      </c>
      <c r="K28" s="2"/>
      <c r="L28" s="2"/>
      <c r="M28" s="2"/>
      <c r="N28" s="2"/>
      <c r="O28" s="2"/>
      <c r="P28" s="475"/>
      <c r="Q28" s="475"/>
      <c r="R28" s="475"/>
      <c r="S28" s="475"/>
      <c r="T28" s="475"/>
      <c r="U28" s="475"/>
      <c r="V28" s="475"/>
      <c r="W28" s="2"/>
      <c r="X28" s="2"/>
      <c r="Y28" s="17"/>
      <c r="Z28" s="17"/>
      <c r="AA28" s="17"/>
      <c r="AB28" s="17">
        <f t="shared" si="3"/>
        <v>6.5000000000000002E-2</v>
      </c>
      <c r="AC28" s="461">
        <v>145.4167851183542</v>
      </c>
      <c r="AD28" s="461"/>
      <c r="AE28" s="46">
        <v>126.84719037987325</v>
      </c>
      <c r="AF28">
        <v>126.84719037987325</v>
      </c>
      <c r="AH28">
        <v>7.9862419354838741</v>
      </c>
      <c r="AJ28" s="99">
        <f t="shared" si="0"/>
        <v>1013.0323512100505</v>
      </c>
      <c r="AK28" s="19">
        <v>230832.769845865</v>
      </c>
      <c r="AL28" s="19"/>
      <c r="AM28" s="20">
        <v>2.3695478631827527E-2</v>
      </c>
      <c r="AN28" s="9">
        <v>4.6967958560070633E-2</v>
      </c>
      <c r="AO28">
        <v>2.5000000000000001E-2</v>
      </c>
      <c r="AP28">
        <f t="shared" si="4"/>
        <v>2.1432154692751837E-2</v>
      </c>
      <c r="AQ28">
        <f t="shared" si="1"/>
        <v>2.1432154692751837E-2</v>
      </c>
      <c r="AS28" s="140">
        <v>2923</v>
      </c>
      <c r="AT28" s="33">
        <f t="shared" si="5"/>
        <v>0.1548794942710392</v>
      </c>
    </row>
    <row r="29" spans="1:46">
      <c r="A29">
        <v>2012</v>
      </c>
      <c r="B29">
        <v>2</v>
      </c>
      <c r="C29" t="s">
        <v>33</v>
      </c>
      <c r="G29" s="507"/>
      <c r="H29" s="507"/>
      <c r="J29" s="2">
        <v>6.9000000000000061E-2</v>
      </c>
      <c r="K29" s="2"/>
      <c r="L29" s="2"/>
      <c r="M29" s="2"/>
      <c r="N29" s="2"/>
      <c r="O29" s="2"/>
      <c r="P29" s="475"/>
      <c r="Q29" s="475"/>
      <c r="R29" s="475"/>
      <c r="S29" s="475"/>
      <c r="T29" s="475"/>
      <c r="U29" s="475"/>
      <c r="V29" s="475"/>
      <c r="W29" s="2"/>
      <c r="X29" s="2"/>
      <c r="Y29" s="17"/>
      <c r="Z29" s="17"/>
      <c r="AA29" s="17"/>
      <c r="AB29" s="17">
        <f t="shared" si="3"/>
        <v>6.9000000000000061E-2</v>
      </c>
      <c r="AC29" s="461">
        <v>139.63578916648299</v>
      </c>
      <c r="AD29" s="461"/>
      <c r="AE29" s="46">
        <v>126.61405100639247</v>
      </c>
      <c r="AF29">
        <v>126.61405100639247</v>
      </c>
      <c r="AH29">
        <v>7.9867200000000009</v>
      </c>
      <c r="AJ29" s="99">
        <f t="shared" si="0"/>
        <v>1011.2309734537751</v>
      </c>
      <c r="AK29" s="19">
        <v>234965.39075044999</v>
      </c>
      <c r="AL29" s="19"/>
      <c r="AM29" s="20">
        <v>-4.0628210978753243E-2</v>
      </c>
      <c r="AN29" s="9">
        <v>3.7216198456712535E-2</v>
      </c>
      <c r="AO29">
        <v>3.1E-2</v>
      </c>
      <c r="AP29">
        <f t="shared" si="4"/>
        <v>6.0292904526795255E-3</v>
      </c>
      <c r="AQ29">
        <f t="shared" si="1"/>
        <v>6.0292904526795255E-3</v>
      </c>
      <c r="AS29" s="140">
        <v>2942</v>
      </c>
      <c r="AT29" s="33">
        <f t="shared" si="5"/>
        <v>0.16146861429135417</v>
      </c>
    </row>
    <row r="30" spans="1:46">
      <c r="A30">
        <v>2012</v>
      </c>
      <c r="B30">
        <v>2</v>
      </c>
      <c r="C30" t="s">
        <v>34</v>
      </c>
      <c r="G30" s="507"/>
      <c r="H30" s="507"/>
      <c r="J30" s="2">
        <v>4.2999999999999969E-2</v>
      </c>
      <c r="K30" s="2"/>
      <c r="L30" s="2"/>
      <c r="M30" s="2"/>
      <c r="N30" s="2"/>
      <c r="O30" s="2"/>
      <c r="P30" s="475"/>
      <c r="Q30" s="475"/>
      <c r="R30" s="475"/>
      <c r="S30" s="475"/>
      <c r="T30" s="475"/>
      <c r="U30" s="475"/>
      <c r="V30" s="475"/>
      <c r="W30" s="2"/>
      <c r="X30" s="2"/>
      <c r="Y30" s="17"/>
      <c r="Z30" s="17"/>
      <c r="AA30" s="17"/>
      <c r="AB30" s="17">
        <f t="shared" si="3"/>
        <v>4.2999999999999969E-2</v>
      </c>
      <c r="AC30" s="461">
        <v>135.60784850512107</v>
      </c>
      <c r="AD30" s="461"/>
      <c r="AE30" s="46">
        <v>122.14897277114676</v>
      </c>
      <c r="AF30">
        <v>122.14897277114676</v>
      </c>
      <c r="AH30">
        <v>7.9907774193548411</v>
      </c>
      <c r="AJ30" s="99">
        <f t="shared" si="0"/>
        <v>976.0652534170689</v>
      </c>
      <c r="AK30" s="19">
        <v>236920.87836192996</v>
      </c>
      <c r="AL30" s="19"/>
      <c r="AM30" s="20">
        <v>-4.7443903491690809E-2</v>
      </c>
      <c r="AN30" s="9">
        <v>3.5786437522671521E-2</v>
      </c>
      <c r="AO30">
        <v>3.1E-2</v>
      </c>
      <c r="AP30">
        <f t="shared" si="4"/>
        <v>4.6425194206320963E-3</v>
      </c>
      <c r="AQ30">
        <f t="shared" si="1"/>
        <v>4.6425194206320963E-3</v>
      </c>
      <c r="AS30" s="140">
        <v>3015</v>
      </c>
      <c r="AT30" s="33">
        <f t="shared" si="5"/>
        <v>0.17178390983287994</v>
      </c>
    </row>
    <row r="31" spans="1:46">
      <c r="A31">
        <v>2012</v>
      </c>
      <c r="B31">
        <v>2</v>
      </c>
      <c r="C31" t="s">
        <v>35</v>
      </c>
      <c r="G31" s="507"/>
      <c r="H31" s="507"/>
      <c r="J31" s="2">
        <v>4.4999999999999998E-2</v>
      </c>
      <c r="K31" s="2"/>
      <c r="L31" s="2"/>
      <c r="M31" s="2"/>
      <c r="N31" s="2"/>
      <c r="O31" s="2"/>
      <c r="P31" s="475"/>
      <c r="Q31" s="475"/>
      <c r="R31" s="475"/>
      <c r="S31" s="475"/>
      <c r="T31" s="475"/>
      <c r="U31" s="475"/>
      <c r="V31" s="475"/>
      <c r="W31" s="2"/>
      <c r="X31" s="2"/>
      <c r="Y31" s="17"/>
      <c r="Z31" s="17"/>
      <c r="AA31" s="17"/>
      <c r="AB31" s="17">
        <f t="shared" si="3"/>
        <v>4.4999999999999998E-2</v>
      </c>
      <c r="AC31" s="461">
        <v>126.85179927864903</v>
      </c>
      <c r="AD31" s="461"/>
      <c r="AE31" s="46">
        <v>116.76760654489765</v>
      </c>
      <c r="AF31">
        <v>116.76760654489765</v>
      </c>
      <c r="AH31">
        <v>7.992500000000005</v>
      </c>
      <c r="AJ31" s="99">
        <f t="shared" si="0"/>
        <v>933.26509531009503</v>
      </c>
      <c r="AK31" s="19">
        <v>240131.486245045</v>
      </c>
      <c r="AL31" s="19"/>
      <c r="AM31" s="20">
        <v>-9.5289780297993398E-2</v>
      </c>
      <c r="AN31" s="9">
        <v>5.3064225399737985E-2</v>
      </c>
      <c r="AO31">
        <v>3.1E-2</v>
      </c>
      <c r="AP31">
        <f t="shared" si="4"/>
        <v>2.1400800581705237E-2</v>
      </c>
      <c r="AQ31">
        <f t="shared" si="1"/>
        <v>2.1400800581705237E-2</v>
      </c>
      <c r="AS31" s="140">
        <v>3109</v>
      </c>
      <c r="AT31" s="33">
        <f t="shared" si="5"/>
        <v>0.14807976366322007</v>
      </c>
    </row>
    <row r="32" spans="1:46">
      <c r="A32">
        <v>2012</v>
      </c>
      <c r="B32">
        <v>3</v>
      </c>
      <c r="C32" t="s">
        <v>36</v>
      </c>
      <c r="G32" s="507"/>
      <c r="H32" s="507"/>
      <c r="J32" s="2">
        <v>1.4000000000000058E-2</v>
      </c>
      <c r="K32" s="2"/>
      <c r="L32" s="2"/>
      <c r="M32" s="2"/>
      <c r="N32" s="2"/>
      <c r="O32" s="2"/>
      <c r="P32" s="475"/>
      <c r="Q32" s="475"/>
      <c r="R32" s="475"/>
      <c r="S32" s="475"/>
      <c r="T32" s="475"/>
      <c r="U32" s="475"/>
      <c r="V32" s="475"/>
      <c r="W32" s="2"/>
      <c r="X32" s="2"/>
      <c r="Y32" s="17"/>
      <c r="Z32" s="17"/>
      <c r="AA32" s="17"/>
      <c r="AB32" s="17">
        <f t="shared" si="3"/>
        <v>1.4000000000000058E-2</v>
      </c>
      <c r="AC32" s="461">
        <v>128.23158147625546</v>
      </c>
      <c r="AD32" s="461"/>
      <c r="AE32" s="46">
        <v>119.52372492832835</v>
      </c>
      <c r="AF32">
        <v>119.52372492832835</v>
      </c>
      <c r="AH32">
        <v>7.9928709677419318</v>
      </c>
      <c r="AJ32" s="99">
        <f t="shared" si="0"/>
        <v>955.33771093600831</v>
      </c>
      <c r="AK32" s="19">
        <v>244128.81661238999</v>
      </c>
      <c r="AL32" s="19"/>
      <c r="AM32" s="20">
        <v>-9.0739348049302837E-2</v>
      </c>
      <c r="AN32" s="9">
        <v>5.2376917830883496E-2</v>
      </c>
      <c r="AO32">
        <v>-1.3000000000000001E-2</v>
      </c>
      <c r="AP32">
        <f t="shared" si="4"/>
        <v>6.6238011986710754E-2</v>
      </c>
      <c r="AQ32">
        <f t="shared" si="1"/>
        <v>5.2376917830883496E-2</v>
      </c>
      <c r="AS32" s="140">
        <v>3151</v>
      </c>
      <c r="AT32" s="33">
        <f t="shared" si="5"/>
        <v>0.14623499454347044</v>
      </c>
    </row>
    <row r="33" spans="1:46">
      <c r="A33">
        <v>2012</v>
      </c>
      <c r="B33">
        <v>3</v>
      </c>
      <c r="C33" t="s">
        <v>37</v>
      </c>
      <c r="G33" s="507"/>
      <c r="H33" s="507"/>
      <c r="J33" s="2">
        <v>1.4000000000000058E-2</v>
      </c>
      <c r="K33" s="2"/>
      <c r="L33" s="2"/>
      <c r="M33" s="2"/>
      <c r="N33" s="2"/>
      <c r="O33" s="2"/>
      <c r="P33" s="475"/>
      <c r="Q33" s="475"/>
      <c r="R33" s="475"/>
      <c r="S33" s="475"/>
      <c r="T33" s="475"/>
      <c r="U33" s="475"/>
      <c r="V33" s="475"/>
      <c r="W33" s="2"/>
      <c r="X33" s="2"/>
      <c r="Y33" s="17"/>
      <c r="Z33" s="17"/>
      <c r="AA33" s="17"/>
      <c r="AB33" s="17">
        <f t="shared" si="3"/>
        <v>1.4000000000000058E-2</v>
      </c>
      <c r="AC33" s="461">
        <v>133.3924323715982</v>
      </c>
      <c r="AD33" s="461"/>
      <c r="AE33" s="46">
        <v>118.79234634315445</v>
      </c>
      <c r="AF33">
        <v>118.79234634315445</v>
      </c>
      <c r="AH33">
        <v>7.9929999999999968</v>
      </c>
      <c r="AJ33" s="99">
        <f t="shared" si="0"/>
        <v>949.50722432083307</v>
      </c>
      <c r="AK33" s="19">
        <v>247403.86389133497</v>
      </c>
      <c r="AL33" s="19"/>
      <c r="AM33" s="20">
        <v>-9.1656988009426787E-2</v>
      </c>
      <c r="AN33" s="9">
        <v>4.0171166712167361E-2</v>
      </c>
      <c r="AO33">
        <v>-1.3000000000000001E-2</v>
      </c>
      <c r="AP33">
        <f t="shared" si="4"/>
        <v>5.3871496162277044E-2</v>
      </c>
      <c r="AQ33">
        <f t="shared" si="1"/>
        <v>4.0171166712167361E-2</v>
      </c>
      <c r="AS33" s="140">
        <v>3073</v>
      </c>
      <c r="AT33" s="33">
        <f t="shared" si="5"/>
        <v>0.14068299925760952</v>
      </c>
    </row>
    <row r="34" spans="1:46">
      <c r="A34">
        <v>2012</v>
      </c>
      <c r="B34">
        <v>3</v>
      </c>
      <c r="C34" t="s">
        <v>38</v>
      </c>
      <c r="G34" s="507"/>
      <c r="H34" s="507"/>
      <c r="J34" s="2">
        <v>2.9999999999999714E-3</v>
      </c>
      <c r="K34" s="2"/>
      <c r="L34" s="2"/>
      <c r="M34" s="2"/>
      <c r="N34" s="2"/>
      <c r="O34" s="2"/>
      <c r="P34" s="475"/>
      <c r="Q34" s="475"/>
      <c r="R34" s="475"/>
      <c r="S34" s="475"/>
      <c r="T34" s="475"/>
      <c r="U34" s="475"/>
      <c r="V34" s="475"/>
      <c r="W34" s="2"/>
      <c r="X34" s="2"/>
      <c r="Y34" s="17"/>
      <c r="Z34" s="17"/>
      <c r="AA34" s="17"/>
      <c r="AB34" s="17">
        <f t="shared" si="3"/>
        <v>2.9999999999999714E-3</v>
      </c>
      <c r="AC34" s="461">
        <v>132.37555934876767</v>
      </c>
      <c r="AD34" s="461"/>
      <c r="AE34" s="46">
        <v>116.23428230616099</v>
      </c>
      <c r="AF34">
        <v>116.23428230616099</v>
      </c>
      <c r="AH34">
        <v>7.9929999999999968</v>
      </c>
      <c r="AJ34" s="99">
        <f t="shared" si="0"/>
        <v>929.06061847314447</v>
      </c>
      <c r="AK34" s="19">
        <v>248849.02702901</v>
      </c>
      <c r="AL34" s="19"/>
      <c r="AM34" s="20">
        <v>-0.11025641036166811</v>
      </c>
      <c r="AN34" s="9">
        <v>4.9473271150392018E-2</v>
      </c>
      <c r="AO34">
        <v>-1.3000000000000001E-2</v>
      </c>
      <c r="AP34">
        <f t="shared" si="4"/>
        <v>6.3296120719748661E-2</v>
      </c>
      <c r="AQ34">
        <f t="shared" si="1"/>
        <v>4.9473271150392018E-2</v>
      </c>
      <c r="AS34" s="140">
        <v>3064</v>
      </c>
      <c r="AT34" s="33">
        <f t="shared" si="5"/>
        <v>0.1194738765071246</v>
      </c>
    </row>
    <row r="35" spans="1:46">
      <c r="A35">
        <v>2012</v>
      </c>
      <c r="B35">
        <v>4</v>
      </c>
      <c r="C35" t="s">
        <v>39</v>
      </c>
      <c r="G35" s="507"/>
      <c r="H35" s="507"/>
      <c r="J35" s="2">
        <v>5.9999999999999429E-3</v>
      </c>
      <c r="K35" s="2"/>
      <c r="L35" s="2"/>
      <c r="M35" s="2"/>
      <c r="N35" s="2"/>
      <c r="O35" s="2"/>
      <c r="P35" s="475"/>
      <c r="Q35" s="475"/>
      <c r="R35" s="475"/>
      <c r="S35" s="475"/>
      <c r="T35" s="475"/>
      <c r="U35" s="475"/>
      <c r="V35" s="475"/>
      <c r="W35" s="2"/>
      <c r="X35" s="2"/>
      <c r="Y35" s="17"/>
      <c r="Z35" s="17"/>
      <c r="AA35" s="17"/>
      <c r="AB35" s="17">
        <f t="shared" si="3"/>
        <v>5.9999999999999429E-3</v>
      </c>
      <c r="AC35" s="461">
        <v>134.55174157378255</v>
      </c>
      <c r="AD35" s="461"/>
      <c r="AE35" s="46">
        <v>118.78378683362817</v>
      </c>
      <c r="AF35">
        <v>118.78378683362817</v>
      </c>
      <c r="AH35">
        <v>7.9929999999999968</v>
      </c>
      <c r="AJ35" s="99">
        <f t="shared" si="0"/>
        <v>949.43880816118963</v>
      </c>
      <c r="AK35" s="19">
        <v>246775.18956694502</v>
      </c>
      <c r="AL35" s="19"/>
      <c r="AM35" s="20">
        <v>-3.6209620439541013E-2</v>
      </c>
      <c r="AN35" s="9">
        <v>5.3412598269855449E-2</v>
      </c>
      <c r="AO35">
        <v>-2.3E-2</v>
      </c>
      <c r="AP35">
        <f t="shared" si="4"/>
        <v>7.8211461893403778E-2</v>
      </c>
      <c r="AQ35">
        <f t="shared" si="1"/>
        <v>5.3412598269855449E-2</v>
      </c>
      <c r="AS35" s="140">
        <v>3110</v>
      </c>
      <c r="AT35" s="33">
        <f t="shared" si="5"/>
        <v>0.13961157933308899</v>
      </c>
    </row>
    <row r="36" spans="1:46">
      <c r="A36">
        <v>2012</v>
      </c>
      <c r="B36">
        <v>4</v>
      </c>
      <c r="C36" t="s">
        <v>40</v>
      </c>
      <c r="G36" s="507"/>
      <c r="H36" s="507"/>
      <c r="J36" s="2">
        <v>0</v>
      </c>
      <c r="K36" s="2"/>
      <c r="L36" s="2"/>
      <c r="M36" s="2"/>
      <c r="N36" s="2"/>
      <c r="O36" s="2"/>
      <c r="P36" s="475"/>
      <c r="Q36" s="475"/>
      <c r="R36" s="475"/>
      <c r="S36" s="475"/>
      <c r="T36" s="475"/>
      <c r="U36" s="475"/>
      <c r="V36" s="475"/>
      <c r="W36" s="2"/>
      <c r="X36" s="2"/>
      <c r="Y36" s="17"/>
      <c r="Z36" s="17"/>
      <c r="AA36" s="17"/>
      <c r="AB36" s="17">
        <f t="shared" si="3"/>
        <v>0</v>
      </c>
      <c r="AC36" s="461">
        <v>135.4741353359413</v>
      </c>
      <c r="AD36" s="461"/>
      <c r="AE36" s="46">
        <v>120.89698384331992</v>
      </c>
      <c r="AF36">
        <v>120.89698384331992</v>
      </c>
      <c r="AH36">
        <v>7.9929999999999968</v>
      </c>
      <c r="AJ36" s="99">
        <f t="shared" si="0"/>
        <v>966.32959185965569</v>
      </c>
      <c r="AK36" s="19">
        <v>242130.89166552501</v>
      </c>
      <c r="AL36" s="19"/>
      <c r="AM36" s="20">
        <v>1.6058790827570668E-2</v>
      </c>
      <c r="AN36" s="9">
        <v>4.089534546528828E-2</v>
      </c>
      <c r="AO36">
        <v>-2.3E-2</v>
      </c>
      <c r="AP36">
        <f t="shared" si="4"/>
        <v>6.5399534764880585E-2</v>
      </c>
      <c r="AQ36">
        <f t="shared" si="1"/>
        <v>4.089534546528828E-2</v>
      </c>
      <c r="AS36" s="140">
        <v>3098</v>
      </c>
      <c r="AT36" s="33">
        <f t="shared" si="5"/>
        <v>0.13604693802713608</v>
      </c>
    </row>
    <row r="37" spans="1:46">
      <c r="A37">
        <v>2012</v>
      </c>
      <c r="B37">
        <v>4</v>
      </c>
      <c r="C37" t="s">
        <v>41</v>
      </c>
      <c r="G37" s="507"/>
      <c r="H37" s="507"/>
      <c r="J37" s="2">
        <v>2.9999999999999714E-3</v>
      </c>
      <c r="K37" s="2"/>
      <c r="L37" s="2"/>
      <c r="M37" s="2"/>
      <c r="N37" s="2"/>
      <c r="O37" s="2"/>
      <c r="P37" s="475"/>
      <c r="Q37" s="475"/>
      <c r="R37" s="475"/>
      <c r="S37" s="475"/>
      <c r="T37" s="475"/>
      <c r="U37" s="475"/>
      <c r="V37" s="475"/>
      <c r="W37" s="2"/>
      <c r="X37" s="2"/>
      <c r="Y37" s="17"/>
      <c r="Z37" s="17"/>
      <c r="AA37" s="17"/>
      <c r="AB37" s="17">
        <f t="shared" si="3"/>
        <v>2.9999999999999714E-3</v>
      </c>
      <c r="AC37" s="461">
        <v>135.58015921395864</v>
      </c>
      <c r="AD37" s="461"/>
      <c r="AE37" s="46">
        <v>121.68343731102517</v>
      </c>
      <c r="AF37">
        <v>121.68343731102517</v>
      </c>
      <c r="AH37">
        <v>7.9929999999999968</v>
      </c>
      <c r="AJ37" s="99">
        <f t="shared" si="0"/>
        <v>972.61571442702382</v>
      </c>
      <c r="AK37" s="19">
        <v>246959.60933522001</v>
      </c>
      <c r="AL37" s="19"/>
      <c r="AM37" s="20">
        <v>3.3887084084182284E-2</v>
      </c>
      <c r="AN37" s="9">
        <v>4.8780824762549413E-2</v>
      </c>
      <c r="AO37">
        <v>-2.3E-2</v>
      </c>
      <c r="AP37">
        <f t="shared" si="4"/>
        <v>7.3470649705782431E-2</v>
      </c>
      <c r="AQ37">
        <f t="shared" si="1"/>
        <v>4.8780824762549413E-2</v>
      </c>
      <c r="AS37" s="140">
        <v>3377</v>
      </c>
      <c r="AT37" s="33">
        <f t="shared" si="5"/>
        <v>0.10576293385723634</v>
      </c>
    </row>
    <row r="38" spans="1:46">
      <c r="A38">
        <v>2013</v>
      </c>
      <c r="B38">
        <v>1</v>
      </c>
      <c r="C38" t="s">
        <v>42</v>
      </c>
      <c r="G38" s="507"/>
      <c r="H38" s="511">
        <v>2.9999999999999714E-3</v>
      </c>
      <c r="J38" s="2">
        <v>1.4999999999999999E-2</v>
      </c>
      <c r="K38" s="2"/>
      <c r="L38" s="2"/>
      <c r="M38" s="2"/>
      <c r="N38" s="2"/>
      <c r="O38" s="2"/>
      <c r="P38" s="475"/>
      <c r="Q38" s="475"/>
      <c r="R38" s="475"/>
      <c r="S38" s="475"/>
      <c r="T38" s="475"/>
      <c r="U38" s="475"/>
      <c r="V38" s="475"/>
      <c r="W38" s="2"/>
      <c r="X38" s="2"/>
      <c r="Y38" s="17"/>
      <c r="Z38" s="17"/>
      <c r="AA38" s="17"/>
      <c r="AB38" s="17">
        <f t="shared" si="3"/>
        <v>1.4999999999999999E-2</v>
      </c>
      <c r="AC38" s="461">
        <v>137.77601073940048</v>
      </c>
      <c r="AD38" s="461"/>
      <c r="AE38" s="46">
        <v>126.00598058846792</v>
      </c>
      <c r="AF38">
        <v>126.00598058846792</v>
      </c>
      <c r="AH38">
        <v>7.9929999999999968</v>
      </c>
      <c r="AJ38" s="99">
        <f t="shared" si="0"/>
        <v>1007.1658028436237</v>
      </c>
      <c r="AK38" s="19">
        <v>253519.96098072501</v>
      </c>
      <c r="AL38" s="19"/>
      <c r="AM38" s="20">
        <v>4.5121900195532749E-2</v>
      </c>
      <c r="AN38" s="9">
        <v>7.9338973587758987E-2</v>
      </c>
      <c r="AO38">
        <v>-1.2E-2</v>
      </c>
      <c r="AP38">
        <f t="shared" si="4"/>
        <v>9.2448353833764152E-2</v>
      </c>
      <c r="AQ38">
        <f t="shared" si="1"/>
        <v>7.9338973587758987E-2</v>
      </c>
      <c r="AS38" s="140">
        <v>3000</v>
      </c>
      <c r="AT38" s="33">
        <f>AS38/AS26-1</f>
        <v>0.10213078618662741</v>
      </c>
    </row>
    <row r="39" spans="1:46">
      <c r="A39">
        <v>2013</v>
      </c>
      <c r="B39">
        <v>1</v>
      </c>
      <c r="C39" t="s">
        <v>43</v>
      </c>
      <c r="G39" s="507"/>
      <c r="H39" s="511">
        <v>-1.5999999999999945E-2</v>
      </c>
      <c r="J39" s="2">
        <v>-9.0000000000000566E-3</v>
      </c>
      <c r="K39" s="2"/>
      <c r="L39" s="2"/>
      <c r="M39" s="2"/>
      <c r="N39" s="2"/>
      <c r="O39" s="2"/>
      <c r="P39" s="475"/>
      <c r="Q39" s="475"/>
      <c r="R39" s="475"/>
      <c r="S39" s="475"/>
      <c r="T39" s="475"/>
      <c r="U39" s="475"/>
      <c r="V39" s="475"/>
      <c r="W39" s="2"/>
      <c r="X39" s="2"/>
      <c r="Y39" s="17"/>
      <c r="Z39" s="17"/>
      <c r="AA39" s="17"/>
      <c r="AB39" s="17">
        <f t="shared" si="3"/>
        <v>-9.0000000000000566E-3</v>
      </c>
      <c r="AC39" s="461">
        <v>138.47899916690656</v>
      </c>
      <c r="AD39" s="461"/>
      <c r="AE39" s="46">
        <v>127.4815865562685</v>
      </c>
      <c r="AF39">
        <v>127.4815865562685</v>
      </c>
      <c r="AH39">
        <v>7.9929999999999968</v>
      </c>
      <c r="AJ39" s="99">
        <f t="shared" si="0"/>
        <v>1018.9603213442537</v>
      </c>
      <c r="AK39" s="19">
        <v>253365.73957723999</v>
      </c>
      <c r="AL39" s="19"/>
      <c r="AM39" s="20">
        <v>4.2745835388944053E-2</v>
      </c>
      <c r="AN39" s="9">
        <v>0.10538413431027283</v>
      </c>
      <c r="AO39">
        <v>-1.2E-2</v>
      </c>
      <c r="AP39">
        <f t="shared" si="4"/>
        <v>0.11880985254076193</v>
      </c>
      <c r="AQ39">
        <f t="shared" si="1"/>
        <v>0.10538413431027283</v>
      </c>
      <c r="AS39" s="140">
        <v>3044</v>
      </c>
      <c r="AT39" s="33">
        <f t="shared" ref="AT39:AT102" si="6">AS39/AS27-1</f>
        <v>8.7531261164701668E-2</v>
      </c>
    </row>
    <row r="40" spans="1:46">
      <c r="A40">
        <v>2013</v>
      </c>
      <c r="B40">
        <v>1</v>
      </c>
      <c r="C40" t="s">
        <v>44</v>
      </c>
      <c r="G40" s="507"/>
      <c r="H40" s="511">
        <v>2.200000000000003E-2</v>
      </c>
      <c r="J40" s="2">
        <v>2.0000000000000282E-3</v>
      </c>
      <c r="K40" s="2"/>
      <c r="L40" s="2"/>
      <c r="M40" s="2"/>
      <c r="N40" s="2"/>
      <c r="O40" s="2"/>
      <c r="P40" s="475"/>
      <c r="Q40" s="475"/>
      <c r="R40" s="475"/>
      <c r="S40" s="475"/>
      <c r="T40" s="475"/>
      <c r="U40" s="475"/>
      <c r="V40" s="475"/>
      <c r="W40" s="2"/>
      <c r="X40" s="2"/>
      <c r="Y40" s="17"/>
      <c r="Z40" s="17"/>
      <c r="AA40" s="17"/>
      <c r="AB40" s="17">
        <f t="shared" si="3"/>
        <v>2.0000000000000282E-3</v>
      </c>
      <c r="AC40" s="461">
        <v>135.83159286139508</v>
      </c>
      <c r="AD40" s="461"/>
      <c r="AE40" s="46">
        <v>122.41481743523046</v>
      </c>
      <c r="AF40">
        <v>122.41481743523046</v>
      </c>
      <c r="AH40">
        <v>7.9929999999999968</v>
      </c>
      <c r="AJ40" s="99">
        <f t="shared" si="0"/>
        <v>978.46163575979665</v>
      </c>
      <c r="AK40" s="19">
        <v>255560.8297231</v>
      </c>
      <c r="AL40" s="19"/>
      <c r="AM40" s="20">
        <v>-3.4125973774637774E-2</v>
      </c>
      <c r="AN40" s="9">
        <v>0.10712543064724644</v>
      </c>
      <c r="AO40">
        <v>-1.2E-2</v>
      </c>
      <c r="AP40">
        <f t="shared" si="4"/>
        <v>0.12057229822595805</v>
      </c>
      <c r="AQ40">
        <f t="shared" si="1"/>
        <v>0.10712543064724644</v>
      </c>
      <c r="AS40" s="140">
        <v>3212</v>
      </c>
      <c r="AT40" s="33">
        <f t="shared" si="6"/>
        <v>9.8871022921655838E-2</v>
      </c>
    </row>
    <row r="41" spans="1:46">
      <c r="A41">
        <v>2013</v>
      </c>
      <c r="B41">
        <v>2</v>
      </c>
      <c r="C41" t="s">
        <v>45</v>
      </c>
      <c r="G41" s="507"/>
      <c r="H41" s="511">
        <v>2.5000000000000001E-2</v>
      </c>
      <c r="J41" s="2">
        <v>-0.01</v>
      </c>
      <c r="K41" s="2"/>
      <c r="L41" s="2"/>
      <c r="M41" s="2"/>
      <c r="N41" s="2"/>
      <c r="O41" s="2"/>
      <c r="P41" s="475"/>
      <c r="Q41" s="475"/>
      <c r="R41" s="475"/>
      <c r="S41" s="475"/>
      <c r="T41" s="475"/>
      <c r="U41" s="475"/>
      <c r="V41" s="475"/>
      <c r="W41" s="2"/>
      <c r="X41" s="2"/>
      <c r="Y41" s="17"/>
      <c r="Z41" s="17"/>
      <c r="AA41" s="17"/>
      <c r="AB41" s="17">
        <f t="shared" si="3"/>
        <v>-0.01</v>
      </c>
      <c r="AC41" s="461">
        <v>139.93162903417814</v>
      </c>
      <c r="AD41" s="461"/>
      <c r="AE41" s="46">
        <v>120.84468805869196</v>
      </c>
      <c r="AF41">
        <v>120.84468805869196</v>
      </c>
      <c r="AH41">
        <v>7.9929999999999968</v>
      </c>
      <c r="AJ41" s="99">
        <f t="shared" si="0"/>
        <v>965.91159165312445</v>
      </c>
      <c r="AK41" s="19">
        <v>261665.96983488501</v>
      </c>
      <c r="AL41" s="19"/>
      <c r="AM41" s="20">
        <v>-4.4816053889118912E-2</v>
      </c>
      <c r="AN41" s="9">
        <v>0.11363622105858528</v>
      </c>
      <c r="AO41">
        <v>-1.3000000000000001E-2</v>
      </c>
      <c r="AP41">
        <f t="shared" si="4"/>
        <v>0.128304175337979</v>
      </c>
      <c r="AQ41">
        <f t="shared" si="1"/>
        <v>0.11363622105858528</v>
      </c>
      <c r="AS41" s="140">
        <v>3233</v>
      </c>
      <c r="AT41" s="33">
        <f t="shared" si="6"/>
        <v>9.8912304554724662E-2</v>
      </c>
    </row>
    <row r="42" spans="1:46">
      <c r="A42">
        <v>2013</v>
      </c>
      <c r="B42">
        <v>2</v>
      </c>
      <c r="C42" t="s">
        <v>46</v>
      </c>
      <c r="G42" s="507"/>
      <c r="H42" s="511">
        <v>3.0999999999999944E-2</v>
      </c>
      <c r="J42" s="2">
        <v>1.9000000000000059E-2</v>
      </c>
      <c r="K42" s="2"/>
      <c r="L42" s="2"/>
      <c r="M42" s="2"/>
      <c r="N42" s="2"/>
      <c r="O42" s="2"/>
      <c r="P42" s="475"/>
      <c r="Q42" s="475"/>
      <c r="R42" s="475"/>
      <c r="S42" s="475"/>
      <c r="T42" s="475"/>
      <c r="U42" s="475"/>
      <c r="V42" s="475"/>
      <c r="W42" s="2"/>
      <c r="X42" s="2"/>
      <c r="Y42" s="17"/>
      <c r="Z42" s="17"/>
      <c r="AA42" s="17"/>
      <c r="AB42" s="17">
        <f t="shared" si="3"/>
        <v>1.9000000000000059E-2</v>
      </c>
      <c r="AC42" s="461">
        <v>135.96065691723464</v>
      </c>
      <c r="AD42" s="461"/>
      <c r="AE42" s="46">
        <v>116.85988523673052</v>
      </c>
      <c r="AF42">
        <v>116.85988523673052</v>
      </c>
      <c r="AH42">
        <v>7.9929999999999968</v>
      </c>
      <c r="AJ42" s="99">
        <f t="shared" si="0"/>
        <v>934.06106269718668</v>
      </c>
      <c r="AK42" s="19">
        <v>268980.006681845</v>
      </c>
      <c r="AL42" s="19"/>
      <c r="AM42" s="20">
        <v>-4.3034203474441313E-2</v>
      </c>
      <c r="AN42" s="9">
        <v>0.13531575833067877</v>
      </c>
      <c r="AO42">
        <v>-1.3000000000000001E-2</v>
      </c>
      <c r="AP42">
        <f t="shared" si="4"/>
        <v>0.15026925869369689</v>
      </c>
      <c r="AQ42">
        <f t="shared" si="1"/>
        <v>0.13531575833067877</v>
      </c>
      <c r="AS42" s="140">
        <v>3253</v>
      </c>
      <c r="AT42" s="33">
        <f t="shared" si="6"/>
        <v>7.8938640132669935E-2</v>
      </c>
    </row>
    <row r="43" spans="1:46">
      <c r="A43">
        <v>2013</v>
      </c>
      <c r="B43">
        <v>2</v>
      </c>
      <c r="C43" t="s">
        <v>47</v>
      </c>
      <c r="G43" s="507"/>
      <c r="H43" s="511">
        <v>-2.7000000000000027E-2</v>
      </c>
      <c r="J43" s="2">
        <v>-1.59999999999999E-2</v>
      </c>
      <c r="K43" s="2"/>
      <c r="L43" s="2"/>
      <c r="M43" s="2"/>
      <c r="N43" s="2"/>
      <c r="O43" s="2"/>
      <c r="P43" s="475"/>
      <c r="Q43" s="475"/>
      <c r="R43" s="475"/>
      <c r="S43" s="475"/>
      <c r="T43" s="475"/>
      <c r="U43" s="475"/>
      <c r="V43" s="475"/>
      <c r="W43" s="2"/>
      <c r="X43" s="2"/>
      <c r="Y43" s="17"/>
      <c r="Z43" s="17"/>
      <c r="AA43" s="17"/>
      <c r="AB43" s="17">
        <f t="shared" si="3"/>
        <v>-1.59999999999999E-2</v>
      </c>
      <c r="AC43" s="461">
        <v>132.98294298996433</v>
      </c>
      <c r="AD43" s="461"/>
      <c r="AE43" s="46">
        <v>113.30275362635314</v>
      </c>
      <c r="AF43">
        <v>113.30275362635314</v>
      </c>
      <c r="AH43">
        <v>7.9929999999999968</v>
      </c>
      <c r="AJ43" s="99">
        <f t="shared" si="0"/>
        <v>905.62890973544029</v>
      </c>
      <c r="AK43" s="19">
        <v>273259.66609833</v>
      </c>
      <c r="AL43" s="19"/>
      <c r="AM43" s="20">
        <v>-2.9612363854100932E-2</v>
      </c>
      <c r="AN43" s="9">
        <v>0.13795850086680828</v>
      </c>
      <c r="AO43">
        <v>-1.3000000000000001E-2</v>
      </c>
      <c r="AP43">
        <f t="shared" si="4"/>
        <v>0.15294680938886351</v>
      </c>
      <c r="AQ43">
        <f t="shared" si="1"/>
        <v>0.13795850086680828</v>
      </c>
      <c r="AS43" s="140">
        <v>3380</v>
      </c>
      <c r="AT43" s="33">
        <f t="shared" si="6"/>
        <v>8.7166291412029695E-2</v>
      </c>
    </row>
    <row r="44" spans="1:46">
      <c r="A44">
        <v>2013</v>
      </c>
      <c r="B44">
        <v>3</v>
      </c>
      <c r="C44" t="s">
        <v>48</v>
      </c>
      <c r="G44" s="507"/>
      <c r="H44" s="511">
        <v>-2.9000000000000057E-2</v>
      </c>
      <c r="J44" s="2">
        <v>-1.5999999999999945E-2</v>
      </c>
      <c r="K44" s="2"/>
      <c r="L44" s="2"/>
      <c r="M44" s="2"/>
      <c r="N44" s="2"/>
      <c r="O44" s="2"/>
      <c r="P44" s="475"/>
      <c r="Q44" s="475"/>
      <c r="R44" s="475"/>
      <c r="S44" s="475"/>
      <c r="T44" s="475"/>
      <c r="U44" s="475"/>
      <c r="V44" s="475"/>
      <c r="W44" s="2"/>
      <c r="X44" s="2"/>
      <c r="Y44" s="17"/>
      <c r="Z44" s="17"/>
      <c r="AA44" s="17"/>
      <c r="AB44" s="17">
        <f t="shared" si="3"/>
        <v>-1.5999999999999945E-2</v>
      </c>
      <c r="AC44" s="461">
        <v>132.23366827571823</v>
      </c>
      <c r="AD44" s="461"/>
      <c r="AE44" s="46">
        <v>114.38741512758799</v>
      </c>
      <c r="AF44">
        <v>114.38741512758799</v>
      </c>
      <c r="AH44">
        <v>7.9929999999999968</v>
      </c>
      <c r="AJ44" s="99">
        <f t="shared" si="0"/>
        <v>914.29860911481035</v>
      </c>
      <c r="AK44" s="19">
        <v>277316.82655808004</v>
      </c>
      <c r="AL44" s="19"/>
      <c r="AM44" s="20">
        <v>-4.2957690617058564E-2</v>
      </c>
      <c r="AN44" s="9">
        <v>0.13594466399426963</v>
      </c>
      <c r="AO44">
        <v>-1.2E-2</v>
      </c>
      <c r="AP44">
        <f t="shared" si="4"/>
        <v>0.14974156274723649</v>
      </c>
      <c r="AQ44">
        <f t="shared" si="1"/>
        <v>0.13594466399426963</v>
      </c>
      <c r="AS44" s="140">
        <v>3429</v>
      </c>
      <c r="AT44" s="33">
        <f t="shared" si="6"/>
        <v>8.8225960012694449E-2</v>
      </c>
    </row>
    <row r="45" spans="1:46">
      <c r="A45">
        <v>2013</v>
      </c>
      <c r="B45">
        <v>3</v>
      </c>
      <c r="C45" t="s">
        <v>49</v>
      </c>
      <c r="G45" s="507"/>
      <c r="H45" s="511">
        <v>1.2000000000000028E-2</v>
      </c>
      <c r="J45" s="2">
        <v>-9.0000000000000566E-3</v>
      </c>
      <c r="K45" s="2"/>
      <c r="L45" s="2"/>
      <c r="M45" s="2"/>
      <c r="N45" s="2"/>
      <c r="O45" s="2"/>
      <c r="P45" s="475"/>
      <c r="Q45" s="475"/>
      <c r="R45" s="475"/>
      <c r="S45" s="475"/>
      <c r="T45" s="475"/>
      <c r="U45" s="475"/>
      <c r="V45" s="475"/>
      <c r="W45" s="2"/>
      <c r="X45" s="2"/>
      <c r="Y45" s="17"/>
      <c r="Z45" s="17"/>
      <c r="AA45" s="17"/>
      <c r="AB45" s="17">
        <f t="shared" si="3"/>
        <v>-9.0000000000000566E-3</v>
      </c>
      <c r="AC45" s="461">
        <v>133.90326348516098</v>
      </c>
      <c r="AD45" s="461"/>
      <c r="AE45" s="46">
        <v>114.59061164337074</v>
      </c>
      <c r="AF45">
        <v>114.59061164337074</v>
      </c>
      <c r="AH45">
        <v>7.9929999999999968</v>
      </c>
      <c r="AJ45" s="99">
        <f t="shared" si="0"/>
        <v>915.9227588654619</v>
      </c>
      <c r="AK45" s="19">
        <v>281281.81099551998</v>
      </c>
      <c r="AL45" s="19"/>
      <c r="AM45" s="20">
        <v>-3.5370415932741928E-2</v>
      </c>
      <c r="AN45" s="9">
        <v>0.13693378337480167</v>
      </c>
      <c r="AO45">
        <v>-1.2E-2</v>
      </c>
      <c r="AP45">
        <f t="shared" si="4"/>
        <v>0.15074269572348342</v>
      </c>
      <c r="AQ45">
        <f t="shared" si="1"/>
        <v>0.13693378337480167</v>
      </c>
      <c r="AS45" s="140">
        <v>3304</v>
      </c>
      <c r="AT45" s="33">
        <f t="shared" si="6"/>
        <v>7.5170842824601403E-2</v>
      </c>
    </row>
    <row r="46" spans="1:46">
      <c r="A46">
        <v>2013</v>
      </c>
      <c r="B46">
        <v>3</v>
      </c>
      <c r="C46" t="s">
        <v>50</v>
      </c>
      <c r="G46" s="507"/>
      <c r="H46" s="511">
        <v>2.0000000000000282E-3</v>
      </c>
      <c r="J46" s="2">
        <v>-9.0000000000000566E-3</v>
      </c>
      <c r="K46" s="2"/>
      <c r="L46" s="2"/>
      <c r="M46" s="2"/>
      <c r="N46" s="2"/>
      <c r="O46" s="2"/>
      <c r="P46" s="475"/>
      <c r="Q46" s="475"/>
      <c r="R46" s="475"/>
      <c r="S46" s="475"/>
      <c r="T46" s="475"/>
      <c r="U46" s="475"/>
      <c r="V46" s="475"/>
      <c r="W46" s="2"/>
      <c r="X46" s="2"/>
      <c r="Y46" s="17"/>
      <c r="Z46" s="17"/>
      <c r="AA46" s="17"/>
      <c r="AB46" s="17">
        <f t="shared" si="3"/>
        <v>-9.0000000000000566E-3</v>
      </c>
      <c r="AC46" s="461">
        <v>131.55021950180338</v>
      </c>
      <c r="AD46" s="461"/>
      <c r="AE46" s="46">
        <v>111.31289378210467</v>
      </c>
      <c r="AF46">
        <v>111.31289378210467</v>
      </c>
      <c r="AH46">
        <v>7.9929999999999968</v>
      </c>
      <c r="AJ46" s="99">
        <f t="shared" si="0"/>
        <v>889.72396000036224</v>
      </c>
      <c r="AK46" s="19">
        <v>284119.22944967996</v>
      </c>
      <c r="AL46" s="19"/>
      <c r="AM46" s="20">
        <v>-4.2340249592571988E-2</v>
      </c>
      <c r="AN46" s="9">
        <v>0.14173333463167714</v>
      </c>
      <c r="AO46">
        <v>-1.2E-2</v>
      </c>
      <c r="AP46">
        <f t="shared" si="4"/>
        <v>0.15560054112517929</v>
      </c>
      <c r="AQ46">
        <f t="shared" si="1"/>
        <v>0.14173333463167714</v>
      </c>
      <c r="AS46" s="140">
        <v>3261</v>
      </c>
      <c r="AT46" s="33">
        <f t="shared" si="6"/>
        <v>6.4295039164490753E-2</v>
      </c>
    </row>
    <row r="47" spans="1:46">
      <c r="A47">
        <v>2013</v>
      </c>
      <c r="B47">
        <v>4</v>
      </c>
      <c r="C47" t="s">
        <v>51</v>
      </c>
      <c r="G47" s="507"/>
      <c r="H47" s="511">
        <v>2.0000000000000282E-3</v>
      </c>
      <c r="J47" s="2">
        <v>7.9999999999999724E-3</v>
      </c>
      <c r="K47" s="2"/>
      <c r="L47" s="2"/>
      <c r="M47" s="2"/>
      <c r="N47" s="2"/>
      <c r="O47" s="2"/>
      <c r="P47" s="475"/>
      <c r="Q47" s="475"/>
      <c r="R47" s="475"/>
      <c r="S47" s="475"/>
      <c r="T47" s="475"/>
      <c r="U47" s="475"/>
      <c r="V47" s="475"/>
      <c r="W47" s="2"/>
      <c r="X47" s="2"/>
      <c r="Y47" s="17"/>
      <c r="Z47" s="17"/>
      <c r="AA47" s="17"/>
      <c r="AB47" s="17">
        <f t="shared" si="3"/>
        <v>7.9999999999999724E-3</v>
      </c>
      <c r="AC47" s="461">
        <v>132.29936125907909</v>
      </c>
      <c r="AD47" s="461"/>
      <c r="AE47" s="46">
        <v>111.5220405778533</v>
      </c>
      <c r="AF47">
        <v>111.5220405778533</v>
      </c>
      <c r="AH47">
        <v>7.9929999999999968</v>
      </c>
      <c r="AJ47" s="99">
        <f t="shared" si="0"/>
        <v>891.39567033878109</v>
      </c>
      <c r="AK47" s="19">
        <v>286351.75427067</v>
      </c>
      <c r="AL47" s="19"/>
      <c r="AM47" s="20">
        <v>-6.1134153484649123E-2</v>
      </c>
      <c r="AN47" s="9">
        <v>0.16037497437718984</v>
      </c>
      <c r="AO47">
        <v>3.3000000000000002E-2</v>
      </c>
      <c r="AP47">
        <f t="shared" si="4"/>
        <v>0.1233058803264182</v>
      </c>
      <c r="AQ47">
        <f t="shared" si="1"/>
        <v>0.1233058803264182</v>
      </c>
      <c r="AS47" s="140">
        <v>3283</v>
      </c>
      <c r="AT47" s="33">
        <f t="shared" si="6"/>
        <v>5.5627009646302294E-2</v>
      </c>
    </row>
    <row r="48" spans="1:46">
      <c r="A48">
        <v>2013</v>
      </c>
      <c r="B48">
        <v>4</v>
      </c>
      <c r="C48" t="s">
        <v>52</v>
      </c>
      <c r="G48" s="507"/>
      <c r="H48" s="511">
        <v>-1.2999999999999972E-2</v>
      </c>
      <c r="J48" s="2">
        <v>-5.0000000000000001E-3</v>
      </c>
      <c r="K48" s="2"/>
      <c r="L48" s="2"/>
      <c r="M48" s="2"/>
      <c r="N48" s="2"/>
      <c r="O48" s="2"/>
      <c r="P48" s="475"/>
      <c r="Q48" s="475"/>
      <c r="R48" s="475"/>
      <c r="S48" s="475"/>
      <c r="T48" s="475"/>
      <c r="U48" s="475"/>
      <c r="V48" s="475"/>
      <c r="W48" s="2"/>
      <c r="X48" s="2"/>
      <c r="Y48" s="17"/>
      <c r="Z48" s="17"/>
      <c r="AA48" s="17"/>
      <c r="AB48" s="17">
        <f t="shared" si="3"/>
        <v>-5.0000000000000001E-3</v>
      </c>
      <c r="AC48" s="461">
        <v>132.39958553353219</v>
      </c>
      <c r="AD48" s="461"/>
      <c r="AE48" s="46">
        <v>112.19233906782081</v>
      </c>
      <c r="AF48">
        <v>112.19233906782081</v>
      </c>
      <c r="AH48">
        <v>7.9929999999999968</v>
      </c>
      <c r="AJ48" s="99">
        <f t="shared" si="0"/>
        <v>896.75336616909135</v>
      </c>
      <c r="AK48" s="19">
        <v>288363.33373174502</v>
      </c>
      <c r="AL48" s="19"/>
      <c r="AM48" s="20">
        <v>-7.2000512326925836E-2</v>
      </c>
      <c r="AN48" s="9">
        <v>0.19093987449600047</v>
      </c>
      <c r="AO48">
        <v>3.3000000000000002E-2</v>
      </c>
      <c r="AP48">
        <f t="shared" si="4"/>
        <v>0.152894360596322</v>
      </c>
      <c r="AQ48">
        <f t="shared" si="1"/>
        <v>0.152894360596322</v>
      </c>
      <c r="AS48" s="140">
        <v>3268</v>
      </c>
      <c r="AT48" s="33">
        <f t="shared" si="6"/>
        <v>5.4874112330535851E-2</v>
      </c>
    </row>
    <row r="49" spans="1:49" s="13" customFormat="1">
      <c r="A49" s="13">
        <v>2013</v>
      </c>
      <c r="B49" s="13">
        <v>4</v>
      </c>
      <c r="C49" s="13" t="s">
        <v>53</v>
      </c>
      <c r="G49" s="509"/>
      <c r="H49" s="512">
        <v>7.0000000000000288E-3</v>
      </c>
      <c r="J49" s="11">
        <v>1.7000000000000029E-2</v>
      </c>
      <c r="K49" s="11"/>
      <c r="L49" s="11"/>
      <c r="M49" s="11"/>
      <c r="N49" s="11"/>
      <c r="O49" s="11"/>
      <c r="P49" s="476"/>
      <c r="Q49" s="476"/>
      <c r="R49" s="476"/>
      <c r="S49" s="476"/>
      <c r="T49" s="476"/>
      <c r="U49" s="476"/>
      <c r="V49" s="476"/>
      <c r="W49" s="11"/>
      <c r="X49" s="11"/>
      <c r="Y49" s="42"/>
      <c r="Z49" s="42"/>
      <c r="AA49" s="42"/>
      <c r="AB49" s="42">
        <f t="shared" si="3"/>
        <v>1.7000000000000029E-2</v>
      </c>
      <c r="AC49" s="462">
        <v>134.4652625933694</v>
      </c>
      <c r="AD49" s="462"/>
      <c r="AE49" s="47">
        <v>112.65620994920626</v>
      </c>
      <c r="AF49" s="13">
        <v>112.65620994920626</v>
      </c>
      <c r="AH49" s="13">
        <v>7.9929999999999968</v>
      </c>
      <c r="AJ49" s="382">
        <f t="shared" si="0"/>
        <v>900.46108612400531</v>
      </c>
      <c r="AK49" s="12">
        <v>297862.94055798498</v>
      </c>
      <c r="AL49" s="12"/>
      <c r="AM49" s="43">
        <v>-7.4186163386765203E-2</v>
      </c>
      <c r="AN49" s="44">
        <v>0.20612006700119689</v>
      </c>
      <c r="AO49" s="13">
        <v>3.3000000000000002E-2</v>
      </c>
      <c r="AP49" s="13">
        <f>(1+AN49)/(1+AO49)-1</f>
        <v>0.1675896098753118</v>
      </c>
      <c r="AQ49" s="13">
        <f t="shared" si="1"/>
        <v>0.1675896098753118</v>
      </c>
      <c r="AS49" s="390">
        <v>3619</v>
      </c>
      <c r="AT49" s="30">
        <f t="shared" si="6"/>
        <v>7.1661237785016318E-2</v>
      </c>
    </row>
    <row r="50" spans="1:49">
      <c r="A50">
        <v>2014</v>
      </c>
      <c r="B50">
        <v>1</v>
      </c>
      <c r="C50" t="s">
        <v>54</v>
      </c>
      <c r="G50" s="507"/>
      <c r="H50" s="511">
        <v>5.0000000000000001E-3</v>
      </c>
      <c r="J50" s="2">
        <v>0.02</v>
      </c>
      <c r="K50" s="2"/>
      <c r="L50" s="2"/>
      <c r="M50" s="2"/>
      <c r="N50" s="2"/>
      <c r="O50" s="2"/>
      <c r="P50" s="475"/>
      <c r="Q50" s="475"/>
      <c r="R50" s="475"/>
      <c r="S50" s="475"/>
      <c r="T50" s="475"/>
      <c r="U50" s="475"/>
      <c r="V50" s="475"/>
      <c r="W50" s="2"/>
      <c r="X50" s="2"/>
      <c r="Y50" s="17"/>
      <c r="Z50" s="17"/>
      <c r="AA50" s="17"/>
      <c r="AB50" s="17">
        <f t="shared" si="3"/>
        <v>0.02</v>
      </c>
      <c r="AC50" s="461">
        <v>129.39997534019375</v>
      </c>
      <c r="AD50" s="461"/>
      <c r="AE50" s="46">
        <v>106.2911991336087</v>
      </c>
      <c r="AF50">
        <v>106.2911991336087</v>
      </c>
      <c r="AH50">
        <v>7.9929999999999968</v>
      </c>
      <c r="AI50" s="35">
        <f>AH50/AH38-1</f>
        <v>0</v>
      </c>
      <c r="AJ50" s="99">
        <f t="shared" si="0"/>
        <v>849.58555467493397</v>
      </c>
      <c r="AK50" s="3">
        <v>300798.40161085001</v>
      </c>
      <c r="AL50" s="3"/>
      <c r="AM50" s="20">
        <v>-0.1564590931540556</v>
      </c>
      <c r="AN50" s="9">
        <v>0.18648804002348185</v>
      </c>
      <c r="AO50">
        <v>-0.01</v>
      </c>
      <c r="AP50">
        <f t="shared" si="4"/>
        <v>0.19847276770048672</v>
      </c>
      <c r="AQ50">
        <f t="shared" si="1"/>
        <v>0.18648804002348185</v>
      </c>
      <c r="AS50" s="140">
        <v>3167</v>
      </c>
      <c r="AT50" s="33">
        <f t="shared" si="6"/>
        <v>5.5666666666666753E-2</v>
      </c>
      <c r="AV50" s="82">
        <f>AS50/AVERAGE($AS$50:$AS$61)</f>
        <v>0.91143247715663001</v>
      </c>
    </row>
    <row r="51" spans="1:49">
      <c r="A51">
        <v>2014</v>
      </c>
      <c r="B51">
        <v>1</v>
      </c>
      <c r="C51" t="s">
        <v>55</v>
      </c>
      <c r="G51" s="507"/>
      <c r="H51" s="511">
        <v>-2.9999999999999714E-3</v>
      </c>
      <c r="J51" s="2">
        <v>3.2999999999999974E-2</v>
      </c>
      <c r="K51" s="2"/>
      <c r="L51" s="2"/>
      <c r="M51" s="2"/>
      <c r="N51" s="2"/>
      <c r="O51" s="2"/>
      <c r="P51" s="475"/>
      <c r="Q51" s="475"/>
      <c r="R51" s="475"/>
      <c r="S51" s="475"/>
      <c r="T51" s="475"/>
      <c r="U51" s="475"/>
      <c r="V51" s="475"/>
      <c r="W51" s="2"/>
      <c r="X51" s="2"/>
      <c r="Y51" s="17"/>
      <c r="Z51" s="17"/>
      <c r="AA51" s="17"/>
      <c r="AB51" s="17">
        <f t="shared" si="3"/>
        <v>3.2999999999999974E-2</v>
      </c>
      <c r="AC51" s="461">
        <v>128.251941093749</v>
      </c>
      <c r="AD51" s="461"/>
      <c r="AE51" s="46">
        <v>105.42003213178978</v>
      </c>
      <c r="AF51">
        <v>105.42003213178978</v>
      </c>
      <c r="AH51">
        <v>8.6548821428571419</v>
      </c>
      <c r="AI51" s="35">
        <f t="shared" ref="AI51:AI114" si="7">AH51/AH39-1</f>
        <v>8.2807724616182243E-2</v>
      </c>
      <c r="AJ51" s="99">
        <f t="shared" si="0"/>
        <v>912.39795359685354</v>
      </c>
      <c r="AK51" s="3">
        <v>301442.06663184497</v>
      </c>
      <c r="AL51" s="3"/>
      <c r="AM51" s="20">
        <v>-0.10457950669444982</v>
      </c>
      <c r="AN51" s="9">
        <v>0.18975070242260839</v>
      </c>
      <c r="AO51">
        <v>-0.01</v>
      </c>
      <c r="AP51">
        <f t="shared" si="4"/>
        <v>0.20176838628546312</v>
      </c>
      <c r="AQ51">
        <f t="shared" si="1"/>
        <v>0.18975070242260839</v>
      </c>
      <c r="AS51" s="140">
        <v>3209</v>
      </c>
      <c r="AT51" s="33">
        <f t="shared" si="6"/>
        <v>5.4204993429697756E-2</v>
      </c>
      <c r="AV51" s="82">
        <f t="shared" ref="AV51:AV61" si="8">AS51/AVERAGE($AS$50:$AS$61)</f>
        <v>0.92351967767465282</v>
      </c>
      <c r="AW51" s="33">
        <f t="shared" ref="AW51:AW73" si="9">AS51/AS50-1</f>
        <v>1.3261761919797888E-2</v>
      </c>
    </row>
    <row r="52" spans="1:49">
      <c r="A52">
        <v>2014</v>
      </c>
      <c r="B52">
        <v>1</v>
      </c>
      <c r="C52" t="s">
        <v>56</v>
      </c>
      <c r="G52" s="507"/>
      <c r="H52" s="511">
        <v>2.7000000000000027E-2</v>
      </c>
      <c r="J52" s="2">
        <v>3.9000000000000055E-2</v>
      </c>
      <c r="K52" s="2"/>
      <c r="L52" s="2"/>
      <c r="M52" s="2"/>
      <c r="N52" s="2"/>
      <c r="O52" s="2"/>
      <c r="P52" s="475"/>
      <c r="Q52" s="475"/>
      <c r="R52" s="475"/>
      <c r="S52" s="475"/>
      <c r="T52" s="475"/>
      <c r="U52" s="475"/>
      <c r="V52" s="475"/>
      <c r="W52" s="2"/>
      <c r="X52" s="2"/>
      <c r="Y52" s="17"/>
      <c r="Z52" s="17"/>
      <c r="AA52" s="17"/>
      <c r="AB52" s="17">
        <f t="shared" si="3"/>
        <v>3.9000000000000055E-2</v>
      </c>
      <c r="AC52" s="461">
        <v>125.17791468915895</v>
      </c>
      <c r="AD52" s="461"/>
      <c r="AE52" s="46">
        <v>103.85161526713333</v>
      </c>
      <c r="AF52">
        <v>103.85161526713333</v>
      </c>
      <c r="AH52">
        <v>9.9200290322580607</v>
      </c>
      <c r="AI52" s="35">
        <f t="shared" si="7"/>
        <v>0.24108958241687284</v>
      </c>
      <c r="AJ52" s="99">
        <f t="shared" si="0"/>
        <v>1030.2110384968571</v>
      </c>
      <c r="AK52" s="3">
        <v>318743.77602432499</v>
      </c>
      <c r="AL52" s="3"/>
      <c r="AM52" s="20">
        <v>5.2888535273921011E-2</v>
      </c>
      <c r="AN52" s="9">
        <v>0.2472325135651019</v>
      </c>
      <c r="AO52">
        <v>-0.01</v>
      </c>
      <c r="AP52">
        <f t="shared" si="4"/>
        <v>0.25983082178293126</v>
      </c>
      <c r="AQ52">
        <f t="shared" si="1"/>
        <v>0.2472325135651019</v>
      </c>
      <c r="AS52" s="140">
        <v>3415</v>
      </c>
      <c r="AT52" s="33">
        <f t="shared" si="6"/>
        <v>6.3200498132004901E-2</v>
      </c>
      <c r="AV52" s="82">
        <f t="shared" si="8"/>
        <v>0.98280451831066984</v>
      </c>
      <c r="AW52" s="33">
        <f t="shared" si="9"/>
        <v>6.4194453100654414E-2</v>
      </c>
    </row>
    <row r="53" spans="1:49">
      <c r="A53">
        <v>2014</v>
      </c>
      <c r="B53">
        <v>2</v>
      </c>
      <c r="C53" t="s">
        <v>57</v>
      </c>
      <c r="G53" s="507"/>
      <c r="H53" s="511">
        <v>6.0999999999999943E-2</v>
      </c>
      <c r="J53" s="2">
        <v>7.4999999999999997E-2</v>
      </c>
      <c r="K53" s="2"/>
      <c r="L53" s="2"/>
      <c r="M53" s="2"/>
      <c r="N53" s="2"/>
      <c r="O53" s="2"/>
      <c r="P53" s="475"/>
      <c r="Q53" s="475"/>
      <c r="R53" s="475"/>
      <c r="S53" s="475"/>
      <c r="T53" s="475"/>
      <c r="U53" s="475"/>
      <c r="V53" s="475"/>
      <c r="W53" s="2"/>
      <c r="X53" s="2"/>
      <c r="Y53" s="17"/>
      <c r="Z53" s="17"/>
      <c r="AA53" s="17"/>
      <c r="AB53" s="17">
        <f t="shared" si="3"/>
        <v>7.4999999999999997E-2</v>
      </c>
      <c r="AC53" s="461">
        <v>124.92793478909064</v>
      </c>
      <c r="AD53" s="461"/>
      <c r="AE53" s="46">
        <v>103.51039725716863</v>
      </c>
      <c r="AF53">
        <v>103.51039725716863</v>
      </c>
      <c r="AH53">
        <v>12.759447166666666</v>
      </c>
      <c r="AI53" s="35">
        <f t="shared" si="7"/>
        <v>0.59632768255557012</v>
      </c>
      <c r="AJ53" s="99">
        <f t="shared" si="0"/>
        <v>1320.7354450035214</v>
      </c>
      <c r="AK53" s="3">
        <v>333966.73129959498</v>
      </c>
      <c r="AL53" s="3"/>
      <c r="AM53" s="20">
        <v>0.36734609711343058</v>
      </c>
      <c r="AN53" s="9">
        <v>0.27630937836636837</v>
      </c>
      <c r="AO53">
        <v>-4.2999999999999997E-2</v>
      </c>
      <c r="AP53">
        <f t="shared" si="4"/>
        <v>0.33365661271302871</v>
      </c>
      <c r="AQ53">
        <f t="shared" si="1"/>
        <v>0.27630937836636837</v>
      </c>
      <c r="AS53" s="140">
        <v>3432</v>
      </c>
      <c r="AT53" s="33">
        <f t="shared" si="6"/>
        <v>6.1552737395607737E-2</v>
      </c>
      <c r="AV53" s="82">
        <f t="shared" si="8"/>
        <v>0.98769695661558388</v>
      </c>
      <c r="AW53" s="33">
        <f t="shared" si="9"/>
        <v>4.9780380673498659E-3</v>
      </c>
    </row>
    <row r="54" spans="1:49">
      <c r="A54">
        <v>2014</v>
      </c>
      <c r="B54">
        <v>2</v>
      </c>
      <c r="C54" t="s">
        <v>58</v>
      </c>
      <c r="G54" s="507"/>
      <c r="H54" s="511">
        <v>4.2999999999999969E-2</v>
      </c>
      <c r="J54" s="2">
        <v>8.7999999999999967E-2</v>
      </c>
      <c r="K54" s="2"/>
      <c r="L54" s="2"/>
      <c r="M54" s="2"/>
      <c r="N54" s="2"/>
      <c r="O54" s="2"/>
      <c r="P54" s="475"/>
      <c r="Q54" s="475"/>
      <c r="R54" s="475"/>
      <c r="S54" s="475"/>
      <c r="T54" s="475"/>
      <c r="U54" s="475"/>
      <c r="V54" s="475"/>
      <c r="W54" s="2"/>
      <c r="X54" s="2"/>
      <c r="Y54" s="17"/>
      <c r="Z54" s="17"/>
      <c r="AA54" s="17"/>
      <c r="AB54" s="17">
        <f t="shared" si="3"/>
        <v>8.7999999999999967E-2</v>
      </c>
      <c r="AC54" s="461">
        <v>124.21988948502181</v>
      </c>
      <c r="AD54" s="461"/>
      <c r="AE54" s="46">
        <v>99.244216376840569</v>
      </c>
      <c r="AF54">
        <v>99.244216376840569</v>
      </c>
      <c r="AH54">
        <v>11.643625741935482</v>
      </c>
      <c r="AI54" s="35">
        <f t="shared" si="7"/>
        <v>0.45672785461472376</v>
      </c>
      <c r="AJ54" s="99">
        <f t="shared" si="0"/>
        <v>1155.5625125435959</v>
      </c>
      <c r="AK54" s="3">
        <v>340922.54735220497</v>
      </c>
      <c r="AL54" s="3"/>
      <c r="AM54" s="20">
        <v>0.23713808303581718</v>
      </c>
      <c r="AN54" s="9">
        <v>0.2674642682846502</v>
      </c>
      <c r="AO54">
        <v>-4.2999999999999997E-2</v>
      </c>
      <c r="AP54">
        <f t="shared" si="4"/>
        <v>0.32441407344268569</v>
      </c>
      <c r="AQ54">
        <f t="shared" si="1"/>
        <v>0.2674642682846502</v>
      </c>
      <c r="AS54" s="140">
        <v>3430</v>
      </c>
      <c r="AT54" s="33">
        <f t="shared" si="6"/>
        <v>5.4411312634491171E-2</v>
      </c>
      <c r="AV54" s="82">
        <f t="shared" si="8"/>
        <v>0.98712137563853519</v>
      </c>
      <c r="AW54" s="33">
        <f t="shared" si="9"/>
        <v>-5.8275058275059077E-4</v>
      </c>
    </row>
    <row r="55" spans="1:49">
      <c r="A55">
        <v>2014</v>
      </c>
      <c r="B55">
        <v>2</v>
      </c>
      <c r="C55" t="s">
        <v>59</v>
      </c>
      <c r="G55" s="507"/>
      <c r="H55" s="511">
        <v>3.5999999999999942E-2</v>
      </c>
      <c r="J55" s="2">
        <v>0.15900000000000006</v>
      </c>
      <c r="K55" s="2"/>
      <c r="L55" s="2"/>
      <c r="M55" s="2"/>
      <c r="N55" s="2"/>
      <c r="O55" s="2"/>
      <c r="P55" s="475"/>
      <c r="Q55" s="475"/>
      <c r="R55" s="475"/>
      <c r="S55" s="475"/>
      <c r="T55" s="475"/>
      <c r="U55" s="475"/>
      <c r="V55" s="475"/>
      <c r="W55" s="2"/>
      <c r="X55" s="2"/>
      <c r="Y55" s="17"/>
      <c r="Z55" s="17"/>
      <c r="AA55" s="17"/>
      <c r="AB55" s="17">
        <f t="shared" si="3"/>
        <v>0.15900000000000006</v>
      </c>
      <c r="AC55" s="461">
        <v>123.67620950844133</v>
      </c>
      <c r="AD55" s="461"/>
      <c r="AE55" s="46">
        <v>94.668134995565197</v>
      </c>
      <c r="AF55">
        <v>94.668134995565197</v>
      </c>
      <c r="AH55">
        <v>11.809525100000002</v>
      </c>
      <c r="AI55" s="35">
        <f t="shared" si="7"/>
        <v>0.47748343550606864</v>
      </c>
      <c r="AJ55" s="99">
        <f t="shared" si="0"/>
        <v>1117.9857164003158</v>
      </c>
      <c r="AK55" s="3">
        <v>346942.54146475496</v>
      </c>
      <c r="AL55" s="3"/>
      <c r="AM55" s="20">
        <v>0.2344854546736046</v>
      </c>
      <c r="AN55" s="9">
        <v>0.2696441681953563</v>
      </c>
      <c r="AO55">
        <v>-4.2999999999999997E-2</v>
      </c>
      <c r="AP55">
        <f t="shared" si="4"/>
        <v>0.32669192078929599</v>
      </c>
      <c r="AQ55">
        <f t="shared" si="1"/>
        <v>0.2696441681953563</v>
      </c>
      <c r="AS55" s="140">
        <v>3601</v>
      </c>
      <c r="AT55" s="33">
        <f t="shared" si="6"/>
        <v>6.5384615384615374E-2</v>
      </c>
      <c r="AV55" s="82">
        <f t="shared" si="8"/>
        <v>1.0363335491761998</v>
      </c>
      <c r="AW55" s="33">
        <f t="shared" si="9"/>
        <v>4.9854227405247808E-2</v>
      </c>
    </row>
    <row r="56" spans="1:49">
      <c r="A56">
        <v>2014</v>
      </c>
      <c r="B56">
        <v>3</v>
      </c>
      <c r="C56" t="s">
        <v>60</v>
      </c>
      <c r="G56" s="507"/>
      <c r="H56" s="511">
        <v>2.7000000000000027E-2</v>
      </c>
      <c r="J56" s="2">
        <v>0.22500000000000001</v>
      </c>
      <c r="K56" s="2"/>
      <c r="L56" s="2"/>
      <c r="M56" s="2"/>
      <c r="N56" s="2"/>
      <c r="O56" s="2"/>
      <c r="P56" s="475"/>
      <c r="Q56" s="475"/>
      <c r="R56" s="475"/>
      <c r="S56" s="475"/>
      <c r="T56" s="475"/>
      <c r="U56" s="475"/>
      <c r="V56" s="475"/>
      <c r="W56" s="2"/>
      <c r="X56" s="2"/>
      <c r="Y56" s="17"/>
      <c r="Z56" s="17"/>
      <c r="AA56" s="17"/>
      <c r="AB56" s="17">
        <f t="shared" si="3"/>
        <v>0.22500000000000001</v>
      </c>
      <c r="AC56" s="461">
        <v>118.08884019936436</v>
      </c>
      <c r="AD56" s="461"/>
      <c r="AE56" s="46">
        <v>91.499477575907306</v>
      </c>
      <c r="AF56">
        <v>91.499477575907306</v>
      </c>
      <c r="AH56">
        <v>11.758699838709674</v>
      </c>
      <c r="AI56" s="35">
        <f t="shared" si="7"/>
        <v>0.47112471396342781</v>
      </c>
      <c r="AJ56" s="99">
        <f t="shared" si="0"/>
        <v>1075.9148922138406</v>
      </c>
      <c r="AK56" s="3">
        <v>349859.80596984003</v>
      </c>
      <c r="AL56" s="3"/>
      <c r="AM56" s="20">
        <v>0.17676531659115291</v>
      </c>
      <c r="AN56" s="9">
        <v>0.26158881273858414</v>
      </c>
      <c r="AO56">
        <v>-5.2999999999999999E-2</v>
      </c>
      <c r="AP56">
        <f t="shared" si="4"/>
        <v>0.33219515600695271</v>
      </c>
      <c r="AQ56">
        <f t="shared" si="1"/>
        <v>0.26158881273858414</v>
      </c>
      <c r="AS56" s="140">
        <v>3537</v>
      </c>
      <c r="AT56" s="33">
        <f t="shared" si="6"/>
        <v>3.1496062992125928E-2</v>
      </c>
      <c r="AV56" s="82">
        <f t="shared" si="8"/>
        <v>1.017914957910641</v>
      </c>
      <c r="AW56" s="33">
        <f t="shared" si="9"/>
        <v>-1.7772840877534057E-2</v>
      </c>
    </row>
    <row r="57" spans="1:49">
      <c r="A57">
        <v>2014</v>
      </c>
      <c r="B57">
        <v>3</v>
      </c>
      <c r="C57" t="s">
        <v>61</v>
      </c>
      <c r="G57" s="507"/>
      <c r="H57" s="511">
        <v>2.5999999999999943E-2</v>
      </c>
      <c r="J57" s="2">
        <v>0.24200000000000002</v>
      </c>
      <c r="K57" s="2"/>
      <c r="L57" s="2"/>
      <c r="M57" s="2"/>
      <c r="N57" s="2"/>
      <c r="O57" s="2"/>
      <c r="P57" s="475"/>
      <c r="Q57" s="475"/>
      <c r="R57" s="475"/>
      <c r="S57" s="475"/>
      <c r="T57" s="475"/>
      <c r="U57" s="475"/>
      <c r="V57" s="475"/>
      <c r="W57" s="2"/>
      <c r="X57" s="2"/>
      <c r="Y57" s="17"/>
      <c r="Z57" s="17"/>
      <c r="AA57" s="17"/>
      <c r="AB57" s="17">
        <f t="shared" si="3"/>
        <v>0.24200000000000002</v>
      </c>
      <c r="AC57" s="461">
        <v>114.24893351996502</v>
      </c>
      <c r="AD57" s="461"/>
      <c r="AE57" s="46">
        <v>88.611951187382928</v>
      </c>
      <c r="AF57">
        <v>88.611951187382928</v>
      </c>
      <c r="AH57">
        <v>12.974419322580642</v>
      </c>
      <c r="AI57" s="35">
        <f t="shared" si="7"/>
        <v>0.62322273521589477</v>
      </c>
      <c r="AJ57" s="99">
        <f t="shared" si="0"/>
        <v>1149.6886116971536</v>
      </c>
      <c r="AK57" s="3">
        <v>345111.83392211999</v>
      </c>
      <c r="AL57" s="3"/>
      <c r="AM57" s="20">
        <v>0.25522441774593907</v>
      </c>
      <c r="AN57" s="9">
        <v>0.2269255260434051</v>
      </c>
      <c r="AO57">
        <v>-5.2999999999999999E-2</v>
      </c>
      <c r="AP57">
        <f t="shared" si="4"/>
        <v>0.29559189656114593</v>
      </c>
      <c r="AQ57">
        <f t="shared" si="1"/>
        <v>0.2269255260434051</v>
      </c>
      <c r="AS57" s="140">
        <v>3370</v>
      </c>
      <c r="AT57" s="33">
        <f t="shared" si="6"/>
        <v>1.9975786924939509E-2</v>
      </c>
      <c r="AV57" s="82">
        <f t="shared" si="8"/>
        <v>0.96985394632707389</v>
      </c>
      <c r="AW57" s="33">
        <f t="shared" si="9"/>
        <v>-4.7215154085383126E-2</v>
      </c>
    </row>
    <row r="58" spans="1:49">
      <c r="A58">
        <v>2014</v>
      </c>
      <c r="B58">
        <v>3</v>
      </c>
      <c r="C58" t="s">
        <v>62</v>
      </c>
      <c r="G58" s="507"/>
      <c r="H58" s="511">
        <v>2.4000000000000056E-2</v>
      </c>
      <c r="J58" s="2">
        <v>0.26900000000000007</v>
      </c>
      <c r="K58" s="2"/>
      <c r="L58" s="2"/>
      <c r="M58" s="2"/>
      <c r="N58" s="2"/>
      <c r="O58" s="2"/>
      <c r="P58" s="475"/>
      <c r="Q58" s="475"/>
      <c r="R58" s="475"/>
      <c r="S58" s="475"/>
      <c r="T58" s="475"/>
      <c r="U58" s="475"/>
      <c r="V58" s="475"/>
      <c r="W58" s="2"/>
      <c r="X58" s="2"/>
      <c r="Y58" s="17"/>
      <c r="Z58" s="17"/>
      <c r="AA58" s="17"/>
      <c r="AB58" s="17">
        <f t="shared" si="3"/>
        <v>0.26900000000000007</v>
      </c>
      <c r="AC58" s="461">
        <v>111.07961727671469</v>
      </c>
      <c r="AD58" s="461"/>
      <c r="AE58" s="46">
        <v>83.045974113363698</v>
      </c>
      <c r="AF58">
        <v>83.045974113363698</v>
      </c>
      <c r="AH58">
        <v>13.012378400000001</v>
      </c>
      <c r="AI58" s="35">
        <f t="shared" si="7"/>
        <v>0.62797177530339132</v>
      </c>
      <c r="AJ58" s="99">
        <f t="shared" si="0"/>
        <v>1080.6256397596931</v>
      </c>
      <c r="AK58" s="3">
        <v>346423.85484130995</v>
      </c>
      <c r="AL58" s="3"/>
      <c r="AM58" s="20">
        <v>0.21456281761733509</v>
      </c>
      <c r="AN58" s="9">
        <v>0.21929042082899453</v>
      </c>
      <c r="AO58">
        <v>-5.2999999999999999E-2</v>
      </c>
      <c r="AP58">
        <f t="shared" si="4"/>
        <v>0.28752948345194773</v>
      </c>
      <c r="AQ58">
        <f t="shared" si="1"/>
        <v>0.21929042082899453</v>
      </c>
      <c r="AS58" s="140">
        <v>3481</v>
      </c>
      <c r="AT58" s="33">
        <f t="shared" si="6"/>
        <v>6.7463968107942307E-2</v>
      </c>
      <c r="AV58" s="82">
        <f t="shared" si="8"/>
        <v>1.0017986905532772</v>
      </c>
      <c r="AW58" s="33">
        <f t="shared" si="9"/>
        <v>3.293768545994058E-2</v>
      </c>
    </row>
    <row r="59" spans="1:49">
      <c r="A59">
        <v>2014</v>
      </c>
      <c r="B59">
        <v>4</v>
      </c>
      <c r="C59" t="s">
        <v>63</v>
      </c>
      <c r="G59" s="507"/>
      <c r="H59" s="511">
        <v>-7.0000000000000288E-3</v>
      </c>
      <c r="J59" s="2">
        <v>0.25900000000000006</v>
      </c>
      <c r="K59" s="2"/>
      <c r="L59" s="2"/>
      <c r="M59" s="2"/>
      <c r="N59" s="2"/>
      <c r="O59" s="2"/>
      <c r="P59" s="475"/>
      <c r="Q59" s="475"/>
      <c r="R59" s="475"/>
      <c r="S59" s="475"/>
      <c r="T59" s="475"/>
      <c r="U59" s="475"/>
      <c r="V59" s="475"/>
      <c r="W59" s="2"/>
      <c r="X59" s="2"/>
      <c r="Y59" s="17"/>
      <c r="Z59" s="17"/>
      <c r="AA59" s="17"/>
      <c r="AB59" s="17">
        <f t="shared" si="3"/>
        <v>0.25900000000000006</v>
      </c>
      <c r="AC59" s="461">
        <v>106.22440962054507</v>
      </c>
      <c r="AD59" s="461"/>
      <c r="AE59" s="46">
        <v>81.858140540730943</v>
      </c>
      <c r="AF59">
        <v>81.858140540730943</v>
      </c>
      <c r="AH59">
        <v>12.949849741935488</v>
      </c>
      <c r="AI59" s="35">
        <f t="shared" si="7"/>
        <v>0.62014884798392256</v>
      </c>
      <c r="AJ59" s="99">
        <f t="shared" si="0"/>
        <v>1060.0506201567034</v>
      </c>
      <c r="AK59" s="3">
        <v>341972.79756451002</v>
      </c>
      <c r="AL59" s="3"/>
      <c r="AM59" s="20">
        <v>0.18920324097358909</v>
      </c>
      <c r="AN59" s="9">
        <v>0.19424027429308155</v>
      </c>
      <c r="AO59">
        <v>-0.14400000000000002</v>
      </c>
      <c r="AP59">
        <f t="shared" si="4"/>
        <v>0.3951405073517309</v>
      </c>
      <c r="AQ59">
        <f t="shared" si="1"/>
        <v>0.19424027429308155</v>
      </c>
      <c r="AS59" s="140">
        <v>3509</v>
      </c>
      <c r="AT59" s="33">
        <f t="shared" si="6"/>
        <v>6.883947608894303E-2</v>
      </c>
      <c r="AV59" s="82">
        <f t="shared" si="8"/>
        <v>1.0098568242319592</v>
      </c>
      <c r="AW59" s="33">
        <f t="shared" si="9"/>
        <v>8.043665613329587E-3</v>
      </c>
    </row>
    <row r="60" spans="1:49">
      <c r="A60">
        <v>2014</v>
      </c>
      <c r="B60">
        <v>4</v>
      </c>
      <c r="C60" t="s">
        <v>64</v>
      </c>
      <c r="G60" s="507"/>
      <c r="H60" s="511">
        <v>4.200000000000003E-2</v>
      </c>
      <c r="J60" s="2">
        <v>0.32800000000000012</v>
      </c>
      <c r="K60" s="2"/>
      <c r="L60" s="2"/>
      <c r="M60" s="2"/>
      <c r="N60" s="2"/>
      <c r="O60" s="2"/>
      <c r="P60" s="475"/>
      <c r="Q60" s="475"/>
      <c r="R60" s="475"/>
      <c r="S60" s="475"/>
      <c r="T60" s="475"/>
      <c r="U60" s="475"/>
      <c r="V60" s="475"/>
      <c r="W60" s="2"/>
      <c r="X60" s="2"/>
      <c r="Y60" s="17"/>
      <c r="Z60" s="17"/>
      <c r="AA60" s="17"/>
      <c r="AB60" s="17">
        <f t="shared" si="3"/>
        <v>0.32800000000000012</v>
      </c>
      <c r="AC60" s="461">
        <v>97.082787679038418</v>
      </c>
      <c r="AD60" s="461"/>
      <c r="AE60" s="46">
        <v>78.845210054320518</v>
      </c>
      <c r="AF60">
        <v>78.845210054320518</v>
      </c>
      <c r="AH60">
        <v>14.731345500000002</v>
      </c>
      <c r="AI60" s="35">
        <f t="shared" si="7"/>
        <v>0.84303083948454982</v>
      </c>
      <c r="AJ60" s="99">
        <f t="shared" si="0"/>
        <v>1161.4960303302694</v>
      </c>
      <c r="AK60" s="3">
        <v>330450.83183212997</v>
      </c>
      <c r="AL60" s="3"/>
      <c r="AM60" s="20">
        <v>0.29522349639137935</v>
      </c>
      <c r="AN60" s="9">
        <v>0.14595301543967287</v>
      </c>
      <c r="AO60">
        <v>-0.14400000000000002</v>
      </c>
      <c r="AP60">
        <f t="shared" si="4"/>
        <v>0.33873015822391683</v>
      </c>
      <c r="AQ60">
        <f t="shared" si="1"/>
        <v>0.14595301543967287</v>
      </c>
      <c r="AS60" s="140">
        <v>3534</v>
      </c>
      <c r="AT60" s="33">
        <f t="shared" si="6"/>
        <v>8.1395348837209225E-2</v>
      </c>
      <c r="AV60" s="82">
        <f t="shared" si="8"/>
        <v>1.017051586445068</v>
      </c>
      <c r="AW60" s="33">
        <f t="shared" si="9"/>
        <v>7.1245369051011753E-3</v>
      </c>
    </row>
    <row r="61" spans="1:49">
      <c r="A61">
        <v>2014</v>
      </c>
      <c r="B61">
        <v>4</v>
      </c>
      <c r="C61" t="s">
        <v>65</v>
      </c>
      <c r="G61" s="507"/>
      <c r="H61" s="511">
        <v>0</v>
      </c>
      <c r="J61" s="2">
        <v>0.31800000000000012</v>
      </c>
      <c r="K61" s="2"/>
      <c r="L61" s="2"/>
      <c r="M61" s="2"/>
      <c r="N61" s="2"/>
      <c r="O61" s="2"/>
      <c r="P61" s="475"/>
      <c r="Q61" s="475"/>
      <c r="R61" s="475"/>
      <c r="S61" s="475"/>
      <c r="T61" s="475"/>
      <c r="U61" s="475"/>
      <c r="V61" s="475"/>
      <c r="W61" s="2"/>
      <c r="X61" s="2"/>
      <c r="Y61" s="17"/>
      <c r="Z61" s="17"/>
      <c r="AA61" s="17"/>
      <c r="AB61" s="17">
        <f t="shared" si="3"/>
        <v>0.31800000000000012</v>
      </c>
      <c r="AC61" s="461">
        <v>90.309453830286756</v>
      </c>
      <c r="AD61" s="461"/>
      <c r="AE61" s="46">
        <v>75.988589766329596</v>
      </c>
      <c r="AF61">
        <v>75.988589766329596</v>
      </c>
      <c r="AH61">
        <v>15.629198419354838</v>
      </c>
      <c r="AI61" s="35">
        <f t="shared" si="7"/>
        <v>0.95536074306954144</v>
      </c>
      <c r="AJ61" s="99">
        <f t="shared" si="0"/>
        <v>1187.6407470649217</v>
      </c>
      <c r="AK61" s="3">
        <v>330790.97813041497</v>
      </c>
      <c r="AL61" s="3"/>
      <c r="AM61" s="20">
        <v>0.31892512110330995</v>
      </c>
      <c r="AN61" s="9">
        <v>0.11054761465372653</v>
      </c>
      <c r="AO61">
        <v>-0.14400000000000002</v>
      </c>
      <c r="AP61">
        <f t="shared" si="4"/>
        <v>0.29736870870762444</v>
      </c>
      <c r="AQ61">
        <f t="shared" si="1"/>
        <v>0.11054761465372653</v>
      </c>
      <c r="AS61" s="140">
        <v>4012</v>
      </c>
      <c r="AT61" s="33">
        <f t="shared" si="6"/>
        <v>0.10859353412544892</v>
      </c>
      <c r="AV61" s="82">
        <f t="shared" si="8"/>
        <v>1.1546154399597093</v>
      </c>
      <c r="AW61" s="33">
        <f t="shared" si="9"/>
        <v>0.13525749858517266</v>
      </c>
    </row>
    <row r="62" spans="1:49">
      <c r="A62">
        <v>2015</v>
      </c>
      <c r="B62">
        <v>1</v>
      </c>
      <c r="C62" t="s">
        <v>66</v>
      </c>
      <c r="G62" s="507"/>
      <c r="H62" s="511">
        <v>2.2999999999999972E-2</v>
      </c>
      <c r="J62" s="2">
        <v>0.34099999999999997</v>
      </c>
      <c r="K62" s="2"/>
      <c r="L62" s="2"/>
      <c r="M62" s="2"/>
      <c r="N62" s="2"/>
      <c r="O62" s="2"/>
      <c r="P62" s="475"/>
      <c r="Q62" s="475"/>
      <c r="R62" s="475"/>
      <c r="S62" s="475"/>
      <c r="T62" s="475"/>
      <c r="U62" s="475"/>
      <c r="V62" s="475"/>
      <c r="W62" s="2"/>
      <c r="X62" s="2"/>
      <c r="Y62" s="17"/>
      <c r="Z62" s="17"/>
      <c r="AA62" s="17"/>
      <c r="AB62" s="17">
        <f t="shared" si="3"/>
        <v>0.34099999999999997</v>
      </c>
      <c r="AC62" s="461">
        <v>81.129787004963418</v>
      </c>
      <c r="AD62" s="461">
        <f t="shared" ref="AD62:AD125" si="10">AC62/AC50-1</f>
        <v>-0.37303089284466673</v>
      </c>
      <c r="AE62" s="46">
        <v>74.980630752607169</v>
      </c>
      <c r="AF62">
        <v>74.980630752607169</v>
      </c>
      <c r="AH62">
        <v>15.818962580645165</v>
      </c>
      <c r="AI62" s="35">
        <f t="shared" si="7"/>
        <v>0.97910203686290154</v>
      </c>
      <c r="AJ62" s="99">
        <f t="shared" si="0"/>
        <v>1186.1157921486649</v>
      </c>
      <c r="AK62" s="3">
        <v>329963.04891961999</v>
      </c>
      <c r="AL62" s="3"/>
      <c r="AM62" s="20">
        <v>0.39611106335546542</v>
      </c>
      <c r="AN62" s="9">
        <v>9.6957454403301613E-2</v>
      </c>
      <c r="AO62">
        <v>-0.16</v>
      </c>
      <c r="AP62">
        <f t="shared" si="4"/>
        <v>0.30590173143250188</v>
      </c>
      <c r="AQ62">
        <f t="shared" si="1"/>
        <v>9.6957454403301613E-2</v>
      </c>
      <c r="AS62" s="140">
        <v>3455</v>
      </c>
      <c r="AT62" s="33">
        <f t="shared" si="6"/>
        <v>9.0937796021471451E-2</v>
      </c>
      <c r="AV62" s="82">
        <f>AS62/AVERAGE($AS$62:$AS$73)</f>
        <v>0.82118523213436867</v>
      </c>
      <c r="AW62" s="33">
        <f t="shared" si="9"/>
        <v>-0.13883349950149548</v>
      </c>
    </row>
    <row r="63" spans="1:49">
      <c r="A63">
        <v>2015</v>
      </c>
      <c r="B63">
        <v>1</v>
      </c>
      <c r="C63" t="s">
        <v>67</v>
      </c>
      <c r="G63" s="507"/>
      <c r="H63" s="511">
        <v>4.7999999999999973E-2</v>
      </c>
      <c r="J63" s="2">
        <v>0.41</v>
      </c>
      <c r="K63" s="2"/>
      <c r="L63" s="2"/>
      <c r="M63" s="2"/>
      <c r="N63" s="2"/>
      <c r="O63" s="2"/>
      <c r="P63" s="475"/>
      <c r="Q63" s="475"/>
      <c r="R63" s="475"/>
      <c r="S63" s="475"/>
      <c r="T63" s="475"/>
      <c r="U63" s="475"/>
      <c r="V63" s="475"/>
      <c r="W63" s="2"/>
      <c r="X63" s="2"/>
      <c r="Y63" s="17"/>
      <c r="Z63" s="17"/>
      <c r="AA63" s="17"/>
      <c r="AB63" s="17">
        <f t="shared" si="3"/>
        <v>0.41</v>
      </c>
      <c r="AC63" s="461">
        <v>82.513853808485834</v>
      </c>
      <c r="AD63" s="461">
        <f t="shared" si="10"/>
        <v>-0.35662686190324211</v>
      </c>
      <c r="AE63" s="46">
        <v>73.269149501336713</v>
      </c>
      <c r="AF63">
        <v>73.269149501336713</v>
      </c>
      <c r="AG63" s="82">
        <f>AE63/AE50-1</f>
        <v>-0.31067529486390555</v>
      </c>
      <c r="AH63">
        <v>24.687130357142852</v>
      </c>
      <c r="AI63" s="35">
        <f t="shared" si="7"/>
        <v>1.852393591230713</v>
      </c>
      <c r="AJ63" s="99">
        <f t="shared" si="0"/>
        <v>1808.8050448964875</v>
      </c>
      <c r="AK63" s="3">
        <v>329169.85037036997</v>
      </c>
      <c r="AL63" s="3"/>
      <c r="AM63" s="20">
        <v>0.98247380736203938</v>
      </c>
      <c r="AN63" s="9">
        <v>9.1983789947901684E-2</v>
      </c>
      <c r="AO63">
        <v>-0.16</v>
      </c>
      <c r="AP63">
        <f t="shared" si="4"/>
        <v>0.2999807023189307</v>
      </c>
      <c r="AQ63">
        <f t="shared" si="1"/>
        <v>9.1983789947901684E-2</v>
      </c>
      <c r="AS63" s="140">
        <v>3633</v>
      </c>
      <c r="AT63" s="33">
        <f t="shared" si="6"/>
        <v>0.13212838890620127</v>
      </c>
      <c r="AV63" s="82">
        <f t="shared" ref="AV63:AV73" si="11">AS63/AVERAGE($AS$62:$AS$73)</f>
        <v>0.86349231500554591</v>
      </c>
      <c r="AW63" s="33">
        <f t="shared" si="9"/>
        <v>5.1519536903039009E-2</v>
      </c>
    </row>
    <row r="64" spans="1:49">
      <c r="A64">
        <v>2015</v>
      </c>
      <c r="B64">
        <v>1</v>
      </c>
      <c r="C64" t="s">
        <v>68</v>
      </c>
      <c r="G64" s="507"/>
      <c r="H64" s="511">
        <v>0.105</v>
      </c>
      <c r="J64" s="2">
        <v>0.5169999999999999</v>
      </c>
      <c r="K64" s="2"/>
      <c r="L64" s="2"/>
      <c r="M64" s="2"/>
      <c r="N64" s="2"/>
      <c r="O64" s="2"/>
      <c r="P64" s="475"/>
      <c r="Q64" s="475"/>
      <c r="R64" s="475"/>
      <c r="S64" s="475"/>
      <c r="T64" s="475"/>
      <c r="U64" s="475"/>
      <c r="V64" s="475"/>
      <c r="W64" s="2"/>
      <c r="X64" s="2"/>
      <c r="Y64" s="17"/>
      <c r="Z64" s="17"/>
      <c r="AA64" s="17"/>
      <c r="AB64" s="17">
        <f t="shared" si="3"/>
        <v>0.5169999999999999</v>
      </c>
      <c r="AC64" s="461">
        <v>80.62085835343855</v>
      </c>
      <c r="AD64" s="461">
        <f t="shared" si="10"/>
        <v>-0.35594982107158613</v>
      </c>
      <c r="AE64" s="46">
        <v>71.379249515944906</v>
      </c>
      <c r="AF64">
        <v>71.379249515944906</v>
      </c>
      <c r="AG64" s="82">
        <f t="shared" ref="AG64:AG127" si="12">AE64/AE51-1</f>
        <v>-0.32290620603576692</v>
      </c>
      <c r="AH64">
        <v>23.186529741935477</v>
      </c>
      <c r="AI64" s="35">
        <f t="shared" si="7"/>
        <v>1.337344947936872</v>
      </c>
      <c r="AJ64" s="99">
        <f t="shared" si="0"/>
        <v>1655.0370918584902</v>
      </c>
      <c r="AK64" s="3">
        <v>331799.58214036003</v>
      </c>
      <c r="AL64" s="3"/>
      <c r="AM64" s="20">
        <v>0.60650296882209065</v>
      </c>
      <c r="AN64" s="9">
        <v>4.0960191533398582E-2</v>
      </c>
      <c r="AO64">
        <v>-0.16</v>
      </c>
      <c r="AP64">
        <f t="shared" si="4"/>
        <v>0.23923832325404604</v>
      </c>
      <c r="AQ64">
        <f t="shared" si="1"/>
        <v>4.0960191533398582E-2</v>
      </c>
      <c r="AS64" s="140">
        <v>3863</v>
      </c>
      <c r="AT64" s="33">
        <f t="shared" si="6"/>
        <v>0.13118594436310405</v>
      </c>
      <c r="AV64" s="82">
        <f t="shared" si="11"/>
        <v>0.91815877040088745</v>
      </c>
      <c r="AW64" s="33">
        <f t="shared" si="9"/>
        <v>6.330856041838695E-2</v>
      </c>
    </row>
    <row r="65" spans="1:49">
      <c r="A65">
        <v>2015</v>
      </c>
      <c r="B65">
        <v>2</v>
      </c>
      <c r="C65" t="s">
        <v>69</v>
      </c>
      <c r="G65" s="507"/>
      <c r="H65" s="511">
        <v>0.04</v>
      </c>
      <c r="J65" s="2">
        <v>0.48599999999999993</v>
      </c>
      <c r="K65" s="2"/>
      <c r="L65" s="2"/>
      <c r="M65" s="2"/>
      <c r="N65" s="2"/>
      <c r="O65" s="2"/>
      <c r="P65" s="475"/>
      <c r="Q65" s="475"/>
      <c r="R65" s="475"/>
      <c r="S65" s="475"/>
      <c r="T65" s="475"/>
      <c r="U65" s="475"/>
      <c r="V65" s="475"/>
      <c r="W65" s="2"/>
      <c r="X65" s="2"/>
      <c r="Y65" s="17"/>
      <c r="Z65" s="17"/>
      <c r="AA65" s="17"/>
      <c r="AB65" s="17">
        <f t="shared" si="3"/>
        <v>0.48599999999999993</v>
      </c>
      <c r="AC65" s="461">
        <v>75.240359242048555</v>
      </c>
      <c r="AD65" s="461">
        <f t="shared" si="10"/>
        <v>-0.39772990429183874</v>
      </c>
      <c r="AE65" s="46">
        <v>67.641588907483467</v>
      </c>
      <c r="AF65">
        <v>67.641588907483467</v>
      </c>
      <c r="AG65" s="82">
        <f t="shared" si="12"/>
        <v>-0.34867080561537989</v>
      </c>
      <c r="AH65">
        <v>22.709472500000004</v>
      </c>
      <c r="AI65" s="35">
        <f t="shared" si="7"/>
        <v>0.7798163355640686</v>
      </c>
      <c r="AJ65" s="99">
        <f t="shared" si="0"/>
        <v>1536.104803150801</v>
      </c>
      <c r="AK65" s="3">
        <v>331175.20960626996</v>
      </c>
      <c r="AL65" s="3"/>
      <c r="AM65" s="20">
        <v>0.1630677505945981</v>
      </c>
      <c r="AN65" s="9">
        <v>-8.3586819635060872E-3</v>
      </c>
      <c r="AO65">
        <v>-0.14499999999999999</v>
      </c>
      <c r="AP65">
        <f t="shared" si="4"/>
        <v>0.15981440706022676</v>
      </c>
      <c r="AQ65">
        <f t="shared" si="1"/>
        <v>-8.3586819635060872E-3</v>
      </c>
      <c r="AS65" s="140">
        <v>3998</v>
      </c>
      <c r="AT65" s="33">
        <f t="shared" si="6"/>
        <v>0.16491841491841486</v>
      </c>
      <c r="AV65" s="82">
        <f t="shared" si="11"/>
        <v>0.95024560291554439</v>
      </c>
      <c r="AW65" s="33">
        <f t="shared" si="9"/>
        <v>3.4946932435930611E-2</v>
      </c>
    </row>
    <row r="66" spans="1:49">
      <c r="A66">
        <v>2015</v>
      </c>
      <c r="B66">
        <v>2</v>
      </c>
      <c r="C66" t="s">
        <v>70</v>
      </c>
      <c r="G66" s="507"/>
      <c r="H66" s="511">
        <v>-4.0000000000000565E-3</v>
      </c>
      <c r="J66" s="2">
        <v>0.42</v>
      </c>
      <c r="K66" s="2"/>
      <c r="L66" s="2"/>
      <c r="M66" s="2"/>
      <c r="N66" s="2"/>
      <c r="O66" s="2"/>
      <c r="P66" s="475"/>
      <c r="Q66" s="475"/>
      <c r="R66" s="475"/>
      <c r="S66" s="475"/>
      <c r="T66" s="475"/>
      <c r="U66" s="475"/>
      <c r="V66" s="475"/>
      <c r="W66" s="2"/>
      <c r="X66" s="2"/>
      <c r="Y66" s="17"/>
      <c r="Z66" s="17"/>
      <c r="AA66" s="17"/>
      <c r="AB66" s="17">
        <f t="shared" si="3"/>
        <v>0.42</v>
      </c>
      <c r="AC66" s="461">
        <v>78.055616289718472</v>
      </c>
      <c r="AD66" s="461">
        <f t="shared" si="10"/>
        <v>-0.37163350721600619</v>
      </c>
      <c r="AE66" s="46">
        <v>69.707843479219534</v>
      </c>
      <c r="AF66">
        <v>69.707843479219534</v>
      </c>
      <c r="AG66" s="82">
        <f t="shared" si="12"/>
        <v>-0.32656191719530958</v>
      </c>
      <c r="AH66">
        <v>20.91525567741936</v>
      </c>
      <c r="AI66" s="35">
        <f t="shared" si="7"/>
        <v>0.79628374708844651</v>
      </c>
      <c r="AJ66" s="99">
        <f t="shared" si="0"/>
        <v>1457.9573690894065</v>
      </c>
      <c r="AK66" s="3">
        <v>329989.44214850001</v>
      </c>
      <c r="AL66" s="3"/>
      <c r="AM66" s="20">
        <v>0.26168628115166737</v>
      </c>
      <c r="AN66" s="9">
        <v>-3.2069176088872942E-2</v>
      </c>
      <c r="AO66">
        <v>-0.14499999999999999</v>
      </c>
      <c r="AP66">
        <f t="shared" si="4"/>
        <v>0.13208283498377438</v>
      </c>
      <c r="AQ66">
        <f t="shared" si="1"/>
        <v>-3.2069176088872942E-2</v>
      </c>
      <c r="AS66" s="140">
        <v>4042</v>
      </c>
      <c r="AT66" s="33">
        <f t="shared" si="6"/>
        <v>0.17842565597667637</v>
      </c>
      <c r="AV66" s="82">
        <f t="shared" si="11"/>
        <v>0.96070353351291404</v>
      </c>
      <c r="AW66" s="33">
        <f t="shared" si="9"/>
        <v>1.1005502751375795E-2</v>
      </c>
    </row>
    <row r="67" spans="1:49">
      <c r="A67">
        <v>2015</v>
      </c>
      <c r="B67">
        <v>2</v>
      </c>
      <c r="C67" t="s">
        <v>71</v>
      </c>
      <c r="G67" s="507"/>
      <c r="H67" s="511">
        <v>5.9999999999999429E-3</v>
      </c>
      <c r="J67" s="2">
        <v>0.37900000000000006</v>
      </c>
      <c r="K67" s="2"/>
      <c r="L67" s="2"/>
      <c r="M67" s="2"/>
      <c r="N67" s="2"/>
      <c r="O67" s="2"/>
      <c r="P67" s="475"/>
      <c r="Q67" s="475"/>
      <c r="R67" s="475"/>
      <c r="S67" s="475"/>
      <c r="T67" s="475"/>
      <c r="U67" s="475"/>
      <c r="V67" s="475"/>
      <c r="W67" s="2"/>
      <c r="X67" s="2"/>
      <c r="Y67" s="17"/>
      <c r="Z67" s="17"/>
      <c r="AA67" s="17"/>
      <c r="AB67" s="17">
        <f t="shared" si="3"/>
        <v>0.37900000000000006</v>
      </c>
      <c r="AC67" s="461">
        <v>76.636306340616414</v>
      </c>
      <c r="AD67" s="461">
        <f t="shared" si="10"/>
        <v>-0.38034722566925272</v>
      </c>
      <c r="AE67" s="46">
        <v>70.222201221220885</v>
      </c>
      <c r="AF67">
        <v>70.222201221220885</v>
      </c>
      <c r="AG67" s="82">
        <f t="shared" si="12"/>
        <v>-0.29243029181086067</v>
      </c>
      <c r="AH67">
        <v>21.232832466666661</v>
      </c>
      <c r="AI67" s="35">
        <f t="shared" si="7"/>
        <v>0.79794126240238539</v>
      </c>
      <c r="AJ67" s="99">
        <f t="shared" ref="AJ67:AJ130" si="13">AE67*AH67</f>
        <v>1491.0162339707381</v>
      </c>
      <c r="AK67" s="3">
        <v>329999.43896086002</v>
      </c>
      <c r="AL67" s="3"/>
      <c r="AM67" s="20">
        <v>0.33366304425740245</v>
      </c>
      <c r="AN67" s="9">
        <v>-4.8835471234985883E-2</v>
      </c>
      <c r="AO67">
        <v>-0.14499999999999999</v>
      </c>
      <c r="AP67">
        <f t="shared" si="4"/>
        <v>0.11247313305849604</v>
      </c>
      <c r="AQ67">
        <f t="shared" si="1"/>
        <v>-4.8835471234985883E-2</v>
      </c>
      <c r="AS67" s="140">
        <v>4299</v>
      </c>
      <c r="AT67" s="33">
        <f t="shared" si="6"/>
        <v>0.19383504582060529</v>
      </c>
      <c r="AV67" s="82">
        <f t="shared" si="11"/>
        <v>1.0217873554111869</v>
      </c>
      <c r="AW67" s="33">
        <f t="shared" si="9"/>
        <v>6.3582384957941551E-2</v>
      </c>
    </row>
    <row r="68" spans="1:49">
      <c r="A68">
        <v>2015</v>
      </c>
      <c r="B68">
        <v>3</v>
      </c>
      <c r="C68" t="s">
        <v>72</v>
      </c>
      <c r="G68" s="507"/>
      <c r="H68" s="511">
        <v>0.02</v>
      </c>
      <c r="J68" s="2">
        <v>0.37</v>
      </c>
      <c r="K68" s="2"/>
      <c r="L68" s="2"/>
      <c r="M68" s="2"/>
      <c r="N68" s="2"/>
      <c r="O68" s="2"/>
      <c r="P68" s="475"/>
      <c r="Q68" s="475"/>
      <c r="R68" s="475"/>
      <c r="S68" s="475"/>
      <c r="T68" s="475"/>
      <c r="U68" s="475"/>
      <c r="V68" s="475"/>
      <c r="W68" s="2"/>
      <c r="X68" s="2"/>
      <c r="Y68" s="17"/>
      <c r="Z68" s="17"/>
      <c r="AA68" s="17"/>
      <c r="AB68" s="17">
        <f t="shared" si="3"/>
        <v>0.37</v>
      </c>
      <c r="AC68" s="461">
        <v>72.834044572271949</v>
      </c>
      <c r="AD68" s="461">
        <f t="shared" si="10"/>
        <v>-0.38322669229954887</v>
      </c>
      <c r="AE68" s="46">
        <v>67.939974100444658</v>
      </c>
      <c r="AF68">
        <v>67.939974100444658</v>
      </c>
      <c r="AG68" s="82">
        <f t="shared" si="12"/>
        <v>-0.28233534859826526</v>
      </c>
      <c r="AH68">
        <v>21.757373225806454</v>
      </c>
      <c r="AI68" s="35">
        <f t="shared" si="7"/>
        <v>0.85032133860421522</v>
      </c>
      <c r="AJ68" s="99">
        <f t="shared" si="13"/>
        <v>1478.1953734549986</v>
      </c>
      <c r="AK68" s="3">
        <v>331353.08380455</v>
      </c>
      <c r="AL68" s="3"/>
      <c r="AM68" s="20">
        <v>0.37389619211740022</v>
      </c>
      <c r="AN68" s="9">
        <v>-5.2897537383546744E-2</v>
      </c>
      <c r="AO68">
        <v>-7.0000000000000007E-2</v>
      </c>
      <c r="AP68">
        <f t="shared" si="4"/>
        <v>1.8389744748874559E-2</v>
      </c>
      <c r="AQ68">
        <f t="shared" si="1"/>
        <v>-5.2897537383546744E-2</v>
      </c>
      <c r="AS68" s="140">
        <v>4390</v>
      </c>
      <c r="AT68" s="33">
        <f t="shared" si="6"/>
        <v>0.24116482895108859</v>
      </c>
      <c r="AV68" s="82">
        <f t="shared" si="11"/>
        <v>1.0434162573284742</v>
      </c>
      <c r="AW68" s="33">
        <f t="shared" si="9"/>
        <v>2.1167713421726075E-2</v>
      </c>
    </row>
    <row r="69" spans="1:49">
      <c r="A69">
        <v>2015</v>
      </c>
      <c r="B69">
        <v>3</v>
      </c>
      <c r="C69" t="s">
        <v>73</v>
      </c>
      <c r="G69" s="507"/>
      <c r="H69" s="511">
        <v>-2.9999999999999714E-3</v>
      </c>
      <c r="J69" s="2">
        <v>0.33</v>
      </c>
      <c r="K69" s="2"/>
      <c r="L69" s="2"/>
      <c r="M69" s="2"/>
      <c r="N69" s="2"/>
      <c r="O69" s="2"/>
      <c r="P69" s="475"/>
      <c r="Q69" s="475"/>
      <c r="R69" s="475"/>
      <c r="S69" s="475"/>
      <c r="T69" s="475"/>
      <c r="U69" s="475"/>
      <c r="V69" s="475"/>
      <c r="W69" s="2"/>
      <c r="X69" s="2"/>
      <c r="Y69" s="17"/>
      <c r="Z69" s="17"/>
      <c r="AA69" s="17"/>
      <c r="AB69" s="17">
        <f t="shared" si="3"/>
        <v>0.33</v>
      </c>
      <c r="AC69" s="461">
        <v>66.031057257738681</v>
      </c>
      <c r="AD69" s="461">
        <f t="shared" si="10"/>
        <v>-0.42204224386742528</v>
      </c>
      <c r="AE69" s="46">
        <v>64.142680132771972</v>
      </c>
      <c r="AF69">
        <v>64.142680132771972</v>
      </c>
      <c r="AG69" s="82">
        <f t="shared" si="12"/>
        <v>-0.29898309988098382</v>
      </c>
      <c r="AH69">
        <v>21.626867290322579</v>
      </c>
      <c r="AI69" s="35">
        <f t="shared" si="7"/>
        <v>0.66688518018553955</v>
      </c>
      <c r="AJ69" s="99">
        <f t="shared" si="13"/>
        <v>1387.2052308770701</v>
      </c>
      <c r="AK69" s="3">
        <v>330551.32936924999</v>
      </c>
      <c r="AL69" s="3"/>
      <c r="AM69" s="20">
        <v>0.20659213004580246</v>
      </c>
      <c r="AN69" s="9">
        <v>-4.2190684646750798E-2</v>
      </c>
      <c r="AO69">
        <v>-7.0000000000000007E-2</v>
      </c>
      <c r="AP69">
        <f t="shared" si="4"/>
        <v>2.9902489627149809E-2</v>
      </c>
      <c r="AQ69">
        <f t="shared" si="1"/>
        <v>-4.2190684646750798E-2</v>
      </c>
      <c r="AS69" s="140">
        <v>4205</v>
      </c>
      <c r="AT69" s="33">
        <f t="shared" si="6"/>
        <v>0.24777448071216623</v>
      </c>
      <c r="AV69" s="82">
        <f t="shared" si="11"/>
        <v>0.99944541277135168</v>
      </c>
      <c r="AW69" s="33">
        <f t="shared" si="9"/>
        <v>-4.2141230068337143E-2</v>
      </c>
    </row>
    <row r="70" spans="1:49">
      <c r="A70">
        <v>2015</v>
      </c>
      <c r="B70">
        <v>3</v>
      </c>
      <c r="C70" t="s">
        <v>74</v>
      </c>
      <c r="G70" s="507"/>
      <c r="H70" s="511">
        <v>0.02</v>
      </c>
      <c r="J70" s="2">
        <v>0.32500000000000001</v>
      </c>
      <c r="K70" s="2"/>
      <c r="L70" s="2"/>
      <c r="M70" s="2"/>
      <c r="N70" s="2"/>
      <c r="O70" s="2"/>
      <c r="P70" s="475"/>
      <c r="Q70" s="475"/>
      <c r="R70" s="475"/>
      <c r="S70" s="475"/>
      <c r="T70" s="475"/>
      <c r="U70" s="475"/>
      <c r="V70" s="475"/>
      <c r="W70" s="2"/>
      <c r="X70" s="2"/>
      <c r="Y70" s="17"/>
      <c r="Z70" s="17"/>
      <c r="AA70" s="17"/>
      <c r="AB70" s="17">
        <f t="shared" si="3"/>
        <v>0.32500000000000001</v>
      </c>
      <c r="AC70" s="461">
        <v>65.024125925561179</v>
      </c>
      <c r="AD70" s="461">
        <f t="shared" si="10"/>
        <v>-0.41461694305646468</v>
      </c>
      <c r="AE70" s="46">
        <v>64.402304078821658</v>
      </c>
      <c r="AF70">
        <v>64.402304078821658</v>
      </c>
      <c r="AG70" s="82">
        <f t="shared" si="12"/>
        <v>-0.27320972830590795</v>
      </c>
      <c r="AH70">
        <v>21.783419200000001</v>
      </c>
      <c r="AI70" s="35">
        <f t="shared" si="7"/>
        <v>0.67405362266440072</v>
      </c>
      <c r="AJ70" s="99">
        <f t="shared" si="13"/>
        <v>1402.902387194842</v>
      </c>
      <c r="AK70" s="3">
        <v>324991.11653649999</v>
      </c>
      <c r="AL70" s="3"/>
      <c r="AM70" s="20">
        <v>0.29823163136015918</v>
      </c>
      <c r="AN70" s="9">
        <v>-6.1868540532891036E-2</v>
      </c>
      <c r="AO70">
        <v>-7.0000000000000007E-2</v>
      </c>
      <c r="AP70">
        <f t="shared" si="4"/>
        <v>8.7435048033430718E-3</v>
      </c>
      <c r="AQ70">
        <f t="shared" si="1"/>
        <v>-6.1868540532891036E-2</v>
      </c>
      <c r="AS70" s="140">
        <v>4343</v>
      </c>
      <c r="AT70" s="33">
        <f t="shared" si="6"/>
        <v>0.24762999138178676</v>
      </c>
      <c r="AV70" s="82">
        <f t="shared" si="11"/>
        <v>1.0322452860085565</v>
      </c>
      <c r="AW70" s="33">
        <f t="shared" si="9"/>
        <v>3.2818073721759822E-2</v>
      </c>
    </row>
    <row r="71" spans="1:49">
      <c r="A71">
        <v>2015</v>
      </c>
      <c r="B71">
        <v>4</v>
      </c>
      <c r="C71" t="s">
        <v>75</v>
      </c>
      <c r="G71" s="507"/>
      <c r="H71" s="511">
        <v>-2.4000000000000056E-2</v>
      </c>
      <c r="J71" s="2">
        <v>0.30199999999999988</v>
      </c>
      <c r="K71" s="2"/>
      <c r="L71" s="2"/>
      <c r="M71" s="2"/>
      <c r="N71" s="2"/>
      <c r="O71" s="2"/>
      <c r="P71" s="475"/>
      <c r="Q71" s="475"/>
      <c r="R71" s="475"/>
      <c r="S71" s="475"/>
      <c r="T71" s="475"/>
      <c r="U71" s="475"/>
      <c r="V71" s="475"/>
      <c r="W71" s="2"/>
      <c r="X71" s="2"/>
      <c r="Y71" s="17"/>
      <c r="Z71" s="17"/>
      <c r="AA71" s="17"/>
      <c r="AB71" s="17">
        <f t="shared" si="3"/>
        <v>0.30199999999999988</v>
      </c>
      <c r="AC71" s="461">
        <v>64.008531170670352</v>
      </c>
      <c r="AD71" s="461">
        <f t="shared" si="10"/>
        <v>-0.39742163407335773</v>
      </c>
      <c r="AE71" s="46">
        <v>64.228968716784223</v>
      </c>
      <c r="AF71">
        <v>64.228968716784223</v>
      </c>
      <c r="AG71" s="82">
        <f t="shared" si="12"/>
        <v>-0.22658540161011198</v>
      </c>
      <c r="AH71">
        <v>21.841307419354834</v>
      </c>
      <c r="AI71" s="35">
        <f t="shared" si="7"/>
        <v>0.6866070151089203</v>
      </c>
      <c r="AJ71" s="99">
        <f t="shared" si="13"/>
        <v>1402.8446509714088</v>
      </c>
      <c r="AK71" s="6">
        <v>319782.74367385497</v>
      </c>
      <c r="AL71" s="6"/>
      <c r="AM71" s="20">
        <v>0.3233751523715267</v>
      </c>
      <c r="AN71" s="9">
        <v>-6.488835968442519E-2</v>
      </c>
      <c r="AO71">
        <v>-2.4E-2</v>
      </c>
      <c r="AP71">
        <f t="shared" si="4"/>
        <v>-4.1893811152075022E-2</v>
      </c>
      <c r="AQ71">
        <f t="shared" si="1"/>
        <v>-6.488835968442519E-2</v>
      </c>
      <c r="AS71" s="140">
        <v>4532</v>
      </c>
      <c r="AT71" s="33">
        <f t="shared" si="6"/>
        <v>0.29153605015673989</v>
      </c>
      <c r="AV71" s="82">
        <f t="shared" si="11"/>
        <v>1.0771668515290762</v>
      </c>
      <c r="AW71" s="33">
        <f t="shared" si="9"/>
        <v>4.3518305318903883E-2</v>
      </c>
    </row>
    <row r="72" spans="1:49">
      <c r="A72">
        <v>2015</v>
      </c>
      <c r="B72">
        <v>4</v>
      </c>
      <c r="C72" t="s">
        <v>76</v>
      </c>
      <c r="G72" s="507"/>
      <c r="H72" s="511">
        <v>9.9999999999994321E-4</v>
      </c>
      <c r="J72" s="2">
        <v>0.25099999999999995</v>
      </c>
      <c r="K72" s="2"/>
      <c r="L72" s="2"/>
      <c r="M72" s="2"/>
      <c r="N72" s="2"/>
      <c r="O72" s="2"/>
      <c r="P72" s="475"/>
      <c r="Q72" s="475"/>
      <c r="R72" s="475"/>
      <c r="S72" s="475"/>
      <c r="T72" s="475"/>
      <c r="U72" s="475"/>
      <c r="V72" s="475"/>
      <c r="W72" s="2"/>
      <c r="X72" s="2"/>
      <c r="Y72" s="17"/>
      <c r="Z72" s="17"/>
      <c r="AA72" s="17"/>
      <c r="AB72" s="17">
        <f t="shared" si="3"/>
        <v>0.25099999999999995</v>
      </c>
      <c r="AC72" s="461">
        <v>60.390522247148461</v>
      </c>
      <c r="AD72" s="461">
        <f t="shared" si="10"/>
        <v>-0.37794820594971801</v>
      </c>
      <c r="AE72" s="46">
        <v>61.121268080623636</v>
      </c>
      <c r="AF72">
        <v>61.121268080623636</v>
      </c>
      <c r="AG72" s="82">
        <f t="shared" si="12"/>
        <v>-0.25332694247787202</v>
      </c>
      <c r="AH72">
        <v>23.312625100000002</v>
      </c>
      <c r="AI72" s="35">
        <f t="shared" si="7"/>
        <v>0.58251838571025294</v>
      </c>
      <c r="AJ72" s="99">
        <f t="shared" si="13"/>
        <v>1424.8972084001755</v>
      </c>
      <c r="AK72" s="6">
        <v>319793.17031257</v>
      </c>
      <c r="AL72" s="6"/>
      <c r="AM72" s="20">
        <v>0.22677751037600058</v>
      </c>
      <c r="AN72" s="9">
        <v>-3.2251882860970027E-2</v>
      </c>
      <c r="AO72">
        <v>-2.4E-2</v>
      </c>
      <c r="AP72">
        <f t="shared" si="4"/>
        <v>-8.4547980132889666E-3</v>
      </c>
      <c r="AQ72">
        <f t="shared" si="1"/>
        <v>-3.2251882860970027E-2</v>
      </c>
      <c r="AS72" s="140">
        <v>4498</v>
      </c>
      <c r="AT72" s="33">
        <f t="shared" si="6"/>
        <v>0.27277872099603839</v>
      </c>
      <c r="AV72" s="82">
        <f t="shared" si="11"/>
        <v>1.0690857233401998</v>
      </c>
      <c r="AW72" s="33">
        <f t="shared" si="9"/>
        <v>-7.5022065313327113E-3</v>
      </c>
    </row>
    <row r="73" spans="1:49" s="13" customFormat="1">
      <c r="A73" s="13">
        <v>2015</v>
      </c>
      <c r="B73" s="13">
        <v>4</v>
      </c>
      <c r="C73" s="13" t="s">
        <v>77</v>
      </c>
      <c r="G73" s="509"/>
      <c r="H73" s="512">
        <v>2.9999999999999714E-3</v>
      </c>
      <c r="J73" s="11">
        <v>0.25400000000000006</v>
      </c>
      <c r="K73" s="11"/>
      <c r="L73" s="11"/>
      <c r="M73" s="11"/>
      <c r="N73" s="11"/>
      <c r="O73" s="11"/>
      <c r="P73" s="476"/>
      <c r="Q73" s="476"/>
      <c r="R73" s="476"/>
      <c r="S73" s="476"/>
      <c r="T73" s="476"/>
      <c r="U73" s="476"/>
      <c r="V73" s="476"/>
      <c r="W73" s="11"/>
      <c r="X73" s="11"/>
      <c r="Y73" s="42"/>
      <c r="Z73" s="42"/>
      <c r="AA73" s="42"/>
      <c r="AB73" s="42">
        <f t="shared" si="3"/>
        <v>0.25400000000000006</v>
      </c>
      <c r="AC73" s="462">
        <v>54.037596087183609</v>
      </c>
      <c r="AD73" s="462">
        <f t="shared" si="10"/>
        <v>-0.40163965348817987</v>
      </c>
      <c r="AE73" s="47">
        <v>57.097354096016844</v>
      </c>
      <c r="AF73" s="13">
        <v>57.097354096016844</v>
      </c>
      <c r="AG73" s="132">
        <f t="shared" si="12"/>
        <v>-0.27582976750674471</v>
      </c>
      <c r="AH73" s="13">
        <v>23.408386193548385</v>
      </c>
      <c r="AI73" s="30">
        <f t="shared" si="7"/>
        <v>0.49773427692619099</v>
      </c>
      <c r="AJ73" s="382">
        <f t="shared" si="13"/>
        <v>1336.556915309344</v>
      </c>
      <c r="AK73" s="49">
        <v>328613.57709758001</v>
      </c>
      <c r="AL73" s="49"/>
      <c r="AM73" s="43">
        <v>0.12538822755319456</v>
      </c>
      <c r="AN73" s="44">
        <v>-6.582407552773395E-3</v>
      </c>
      <c r="AO73" s="13">
        <v>-2.4E-2</v>
      </c>
      <c r="AP73" s="13">
        <f t="shared" si="4"/>
        <v>1.784589390084701E-2</v>
      </c>
      <c r="AQ73" s="13">
        <f t="shared" si="1"/>
        <v>-6.582407552773395E-3</v>
      </c>
      <c r="AS73" s="390">
        <v>5230</v>
      </c>
      <c r="AT73" s="30">
        <f t="shared" si="6"/>
        <v>0.30358923230309065</v>
      </c>
      <c r="AV73" s="82">
        <f t="shared" si="11"/>
        <v>1.2430676596418953</v>
      </c>
      <c r="AW73" s="33">
        <f t="shared" si="9"/>
        <v>0.1627389951089373</v>
      </c>
    </row>
    <row r="74" spans="1:49">
      <c r="A74">
        <v>2016</v>
      </c>
      <c r="B74">
        <v>1</v>
      </c>
      <c r="C74" t="s">
        <v>78</v>
      </c>
      <c r="G74" s="507"/>
      <c r="H74" s="511">
        <v>-1.0999999999999944E-2</v>
      </c>
      <c r="J74" s="2">
        <v>0.21200000000000002</v>
      </c>
      <c r="K74" s="2"/>
      <c r="L74" s="2"/>
      <c r="M74" s="2"/>
      <c r="N74" s="2"/>
      <c r="O74" s="2"/>
      <c r="P74" s="475"/>
      <c r="Q74" s="475"/>
      <c r="R74" s="475"/>
      <c r="S74" s="475"/>
      <c r="T74" s="475"/>
      <c r="U74" s="475"/>
      <c r="V74" s="475"/>
      <c r="W74" s="2"/>
      <c r="X74" s="2"/>
      <c r="Y74" s="17"/>
      <c r="Z74" s="17"/>
      <c r="AA74" s="17"/>
      <c r="AB74" s="17">
        <f t="shared" si="3"/>
        <v>0.21200000000000002</v>
      </c>
      <c r="AC74" s="461">
        <v>46.484003798612576</v>
      </c>
      <c r="AD74" s="461">
        <f t="shared" si="10"/>
        <v>-0.42704146633875983</v>
      </c>
      <c r="AE74" s="46">
        <v>56.430306374738414</v>
      </c>
      <c r="AF74">
        <v>56.430306374738414</v>
      </c>
      <c r="AG74" s="82">
        <f t="shared" si="12"/>
        <v>-0.2573844764290838</v>
      </c>
      <c r="AH74">
        <v>24.259692548387093</v>
      </c>
      <c r="AI74" s="35">
        <f t="shared" si="7"/>
        <v>0.53358302889402753</v>
      </c>
      <c r="AJ74" s="99">
        <f t="shared" si="13"/>
        <v>1368.9818830624422</v>
      </c>
      <c r="AK74" s="6">
        <v>335539.56912101503</v>
      </c>
      <c r="AL74" s="6"/>
      <c r="AM74" s="20">
        <f t="shared" ref="AM74:AM85" si="14">AJ74/AJ62-1</f>
        <v>0.15417220824833033</v>
      </c>
      <c r="AN74" s="9">
        <v>1.6900438457136069E-2</v>
      </c>
      <c r="AO74">
        <v>1E-3</v>
      </c>
      <c r="AP74">
        <f t="shared" si="4"/>
        <v>1.5884553903232845E-2</v>
      </c>
      <c r="AQ74">
        <f t="shared" si="1"/>
        <v>1.5884553903232845E-2</v>
      </c>
      <c r="AS74" s="140">
        <v>4362</v>
      </c>
      <c r="AT74" s="33">
        <f t="shared" si="6"/>
        <v>0.2625180897250361</v>
      </c>
      <c r="AV74" s="82">
        <f>AS74/AVERAGE($AS$74:$AS$85)</f>
        <v>0.84089448656984966</v>
      </c>
    </row>
    <row r="75" spans="1:49">
      <c r="A75">
        <v>2016</v>
      </c>
      <c r="B75">
        <v>1</v>
      </c>
      <c r="C75" t="s">
        <v>79</v>
      </c>
      <c r="G75" s="507"/>
      <c r="H75" s="511">
        <v>1.4999999999999999E-2</v>
      </c>
      <c r="J75" s="2">
        <v>0.17400000000000004</v>
      </c>
      <c r="K75" s="2"/>
      <c r="L75" s="2"/>
      <c r="M75" s="2"/>
      <c r="N75" s="2"/>
      <c r="O75" s="2"/>
      <c r="P75" s="475"/>
      <c r="Q75" s="475"/>
      <c r="R75" s="475"/>
      <c r="S75" s="475"/>
      <c r="T75" s="475"/>
      <c r="U75" s="475"/>
      <c r="V75" s="475"/>
      <c r="W75" s="2"/>
      <c r="X75" s="2"/>
      <c r="Y75" s="17"/>
      <c r="Z75" s="17"/>
      <c r="AA75" s="17"/>
      <c r="AB75" s="17">
        <f t="shared" si="3"/>
        <v>0.17400000000000004</v>
      </c>
      <c r="AC75" s="461">
        <v>46.633055638559647</v>
      </c>
      <c r="AD75" s="461">
        <f t="shared" si="10"/>
        <v>-0.43484574424563061</v>
      </c>
      <c r="AE75" s="46">
        <v>56.887064714544906</v>
      </c>
      <c r="AF75">
        <v>56.887064714544906</v>
      </c>
      <c r="AG75" s="82">
        <f t="shared" si="12"/>
        <v>-0.24130986704767254</v>
      </c>
      <c r="AH75">
        <v>26.393052206896552</v>
      </c>
      <c r="AI75" s="35">
        <f t="shared" si="7"/>
        <v>6.9101666539388429E-2</v>
      </c>
      <c r="AJ75" s="99">
        <f t="shared" si="13"/>
        <v>1501.4232689080864</v>
      </c>
      <c r="AK75" s="6">
        <v>331794.49933681497</v>
      </c>
      <c r="AL75" s="6"/>
      <c r="AM75" s="20">
        <f t="shared" si="14"/>
        <v>-0.1699363769775375</v>
      </c>
      <c r="AN75" s="9">
        <v>7.973539993082035E-3</v>
      </c>
      <c r="AO75">
        <v>1E-3</v>
      </c>
      <c r="AP75">
        <f t="shared" si="4"/>
        <v>6.9665734196624474E-3</v>
      </c>
      <c r="AQ75">
        <f t="shared" si="1"/>
        <v>6.9665734196624474E-3</v>
      </c>
      <c r="AS75" s="140">
        <v>4585</v>
      </c>
      <c r="AT75" s="33">
        <f t="shared" si="6"/>
        <v>0.26204238921001921</v>
      </c>
      <c r="AV75" s="82">
        <f t="shared" ref="AV75:AV85" si="15">AS75/AVERAGE($AS$74:$AS$85)</f>
        <v>0.88388381956046791</v>
      </c>
    </row>
    <row r="76" spans="1:49">
      <c r="A76">
        <v>2016</v>
      </c>
      <c r="B76">
        <v>1</v>
      </c>
      <c r="C76" t="s">
        <v>80</v>
      </c>
      <c r="G76" s="507"/>
      <c r="H76" s="511">
        <v>0.04</v>
      </c>
      <c r="J76" s="2">
        <v>0.105</v>
      </c>
      <c r="K76" s="2"/>
      <c r="L76" s="2"/>
      <c r="M76" s="2"/>
      <c r="N76" s="2"/>
      <c r="O76" s="2"/>
      <c r="P76" s="475"/>
      <c r="Q76" s="475"/>
      <c r="R76" s="475"/>
      <c r="S76" s="475"/>
      <c r="T76" s="475"/>
      <c r="U76" s="475"/>
      <c r="V76" s="475"/>
      <c r="W76" s="2"/>
      <c r="X76" s="2"/>
      <c r="Y76" s="17"/>
      <c r="Z76" s="17"/>
      <c r="AA76" s="17"/>
      <c r="AB76" s="17">
        <f t="shared" si="3"/>
        <v>0.105</v>
      </c>
      <c r="AC76" s="461">
        <v>50.420567111173824</v>
      </c>
      <c r="AD76" s="461">
        <f t="shared" si="10"/>
        <v>-0.37459649846281573</v>
      </c>
      <c r="AE76" s="46">
        <v>59.864221689030884</v>
      </c>
      <c r="AF76">
        <v>59.864221689030884</v>
      </c>
      <c r="AG76" s="82">
        <f t="shared" si="12"/>
        <v>-0.18295459826596283</v>
      </c>
      <c r="AH76">
        <v>26.356162161290321</v>
      </c>
      <c r="AI76" s="35">
        <f t="shared" si="7"/>
        <v>0.13670145789959265</v>
      </c>
      <c r="AJ76" s="99">
        <f t="shared" si="13"/>
        <v>1577.7911344955312</v>
      </c>
      <c r="AK76" s="6">
        <v>327864.68493654998</v>
      </c>
      <c r="AL76" s="6"/>
      <c r="AM76" s="20">
        <f t="shared" si="14"/>
        <v>-4.6673248438327875E-2</v>
      </c>
      <c r="AN76" s="9">
        <v>-1.1859259069667782E-2</v>
      </c>
      <c r="AO76">
        <v>1E-3</v>
      </c>
      <c r="AP76">
        <f t="shared" si="4"/>
        <v>-1.2846412657010697E-2</v>
      </c>
      <c r="AQ76">
        <f t="shared" si="1"/>
        <v>-1.2846412657010697E-2</v>
      </c>
      <c r="AS76" s="140">
        <v>4920</v>
      </c>
      <c r="AT76" s="33">
        <f t="shared" si="6"/>
        <v>0.27362153766502728</v>
      </c>
      <c r="AV76" s="82">
        <f t="shared" si="15"/>
        <v>0.94846420768538753</v>
      </c>
    </row>
    <row r="77" spans="1:49">
      <c r="A77">
        <v>2016</v>
      </c>
      <c r="B77">
        <v>2</v>
      </c>
      <c r="C77" t="s">
        <v>81</v>
      </c>
      <c r="G77" s="507"/>
      <c r="H77" s="511">
        <v>3.6000000000000004E-2</v>
      </c>
      <c r="J77" s="2">
        <v>0.10099999999999994</v>
      </c>
      <c r="K77" s="2"/>
      <c r="L77" s="2"/>
      <c r="M77" s="2"/>
      <c r="N77" s="2"/>
      <c r="O77" s="2"/>
      <c r="P77" s="475"/>
      <c r="Q77" s="475"/>
      <c r="R77" s="475"/>
      <c r="S77" s="475"/>
      <c r="T77" s="475"/>
      <c r="U77" s="475"/>
      <c r="V77" s="475"/>
      <c r="W77" s="2"/>
      <c r="X77" s="2"/>
      <c r="Y77" s="17"/>
      <c r="Z77" s="17"/>
      <c r="AA77" s="17"/>
      <c r="AB77" s="17">
        <f t="shared" si="3"/>
        <v>0.10099999999999994</v>
      </c>
      <c r="AC77" s="461">
        <v>52.443272457626271</v>
      </c>
      <c r="AD77" s="461">
        <f t="shared" si="10"/>
        <v>-0.30299013739533009</v>
      </c>
      <c r="AE77" s="46">
        <v>62.303454672371593</v>
      </c>
      <c r="AF77">
        <v>62.303454672371593</v>
      </c>
      <c r="AG77" s="82">
        <f t="shared" si="12"/>
        <v>-0.12714892500440111</v>
      </c>
      <c r="AH77">
        <v>25.629497566666668</v>
      </c>
      <c r="AI77" s="35">
        <f t="shared" si="7"/>
        <v>0.12858180949234566</v>
      </c>
      <c r="AJ77" s="99">
        <f t="shared" si="13"/>
        <v>1596.8062399204748</v>
      </c>
      <c r="AK77" s="6">
        <v>331545.25451689999</v>
      </c>
      <c r="AL77" s="6"/>
      <c r="AM77" s="20">
        <f t="shared" si="14"/>
        <v>3.9516468306827202E-2</v>
      </c>
      <c r="AN77" s="9">
        <v>1.117368993500456E-3</v>
      </c>
      <c r="AO77">
        <v>1.7000000000000001E-2</v>
      </c>
      <c r="AP77">
        <f t="shared" si="4"/>
        <v>-1.5617139632742805E-2</v>
      </c>
      <c r="AQ77">
        <f t="shared" si="1"/>
        <v>-1.5617139632742805E-2</v>
      </c>
      <c r="AS77" s="140">
        <v>4895</v>
      </c>
      <c r="AT77" s="33">
        <f t="shared" si="6"/>
        <v>0.22436218109054518</v>
      </c>
      <c r="AV77" s="82">
        <f t="shared" si="15"/>
        <v>0.94364477573576666</v>
      </c>
    </row>
    <row r="78" spans="1:49">
      <c r="A78">
        <v>2016</v>
      </c>
      <c r="B78">
        <v>2</v>
      </c>
      <c r="C78" t="s">
        <v>82</v>
      </c>
      <c r="G78" s="507"/>
      <c r="H78" s="511">
        <v>5.2999999999999999E-2</v>
      </c>
      <c r="J78" s="2">
        <v>0.16400000000000006</v>
      </c>
      <c r="K78" s="2"/>
      <c r="L78" s="2"/>
      <c r="M78" s="2"/>
      <c r="N78" s="2"/>
      <c r="O78" s="2"/>
      <c r="P78" s="475"/>
      <c r="Q78" s="475"/>
      <c r="R78" s="475"/>
      <c r="S78" s="475"/>
      <c r="T78" s="475"/>
      <c r="U78" s="475"/>
      <c r="V78" s="475"/>
      <c r="W78" s="2"/>
      <c r="X78" s="2"/>
      <c r="Y78" s="17"/>
      <c r="Z78" s="17"/>
      <c r="AA78" s="17"/>
      <c r="AB78" s="17">
        <f t="shared" si="3"/>
        <v>0.16400000000000006</v>
      </c>
      <c r="AC78" s="461">
        <v>57.085990750602903</v>
      </c>
      <c r="AD78" s="461">
        <f t="shared" si="10"/>
        <v>-0.26864979787338761</v>
      </c>
      <c r="AE78" s="46">
        <v>63.053234123613819</v>
      </c>
      <c r="AF78">
        <v>63.053234123613819</v>
      </c>
      <c r="AG78" s="82">
        <f t="shared" si="12"/>
        <v>-6.7833338305304358E-2</v>
      </c>
      <c r="AH78">
        <v>25.206477483870973</v>
      </c>
      <c r="AI78" s="35">
        <f t="shared" si="7"/>
        <v>0.20517185506293023</v>
      </c>
      <c r="AJ78" s="99">
        <f t="shared" si="13"/>
        <v>1589.3499262221167</v>
      </c>
      <c r="AK78" s="6">
        <v>336636.35832628503</v>
      </c>
      <c r="AL78" s="6"/>
      <c r="AM78" s="20">
        <f t="shared" si="14"/>
        <v>9.0120987018141641E-2</v>
      </c>
      <c r="AN78" s="9">
        <v>2.0142814674639853E-2</v>
      </c>
      <c r="AO78">
        <v>1.7000000000000001E-2</v>
      </c>
      <c r="AP78">
        <f t="shared" si="4"/>
        <v>3.0902799160668071E-3</v>
      </c>
      <c r="AQ78">
        <f t="shared" ref="AQ78:AQ131" si="16">IF(AO78&gt;0,AP78,AN78)</f>
        <v>3.0902799160668071E-3</v>
      </c>
      <c r="AS78" s="140">
        <v>4984</v>
      </c>
      <c r="AT78" s="33">
        <f t="shared" si="6"/>
        <v>0.23305294408708566</v>
      </c>
      <c r="AV78" s="82">
        <f t="shared" si="15"/>
        <v>0.96080195347641695</v>
      </c>
    </row>
    <row r="79" spans="1:49">
      <c r="A79">
        <v>2016</v>
      </c>
      <c r="B79">
        <v>2</v>
      </c>
      <c r="C79" t="s">
        <v>83</v>
      </c>
      <c r="G79" s="507"/>
      <c r="H79" s="511">
        <v>0</v>
      </c>
      <c r="J79" s="2">
        <v>0.15700000000000003</v>
      </c>
      <c r="K79" s="2"/>
      <c r="L79" s="2"/>
      <c r="M79" s="2"/>
      <c r="N79" s="2"/>
      <c r="O79" s="2"/>
      <c r="P79" s="475"/>
      <c r="Q79" s="475"/>
      <c r="R79" s="475"/>
      <c r="S79" s="475"/>
      <c r="T79" s="475"/>
      <c r="U79" s="475"/>
      <c r="V79" s="475"/>
      <c r="W79" s="2"/>
      <c r="X79" s="2"/>
      <c r="Y79" s="17"/>
      <c r="Z79" s="17"/>
      <c r="AA79" s="17"/>
      <c r="AB79" s="17">
        <f t="shared" ref="AB79:AB119" si="17">J79-Y79</f>
        <v>0.15700000000000003</v>
      </c>
      <c r="AC79" s="461">
        <v>60.532657449668406</v>
      </c>
      <c r="AD79" s="461">
        <f t="shared" si="10"/>
        <v>-0.21013080692294861</v>
      </c>
      <c r="AE79" s="46">
        <v>63.740777933992241</v>
      </c>
      <c r="AF79">
        <v>63.740777933992241</v>
      </c>
      <c r="AG79" s="82">
        <f t="shared" si="12"/>
        <v>-8.5601063630753704E-2</v>
      </c>
      <c r="AH79">
        <v>24.951341333333339</v>
      </c>
      <c r="AI79" s="35">
        <f t="shared" si="7"/>
        <v>0.17513013737118444</v>
      </c>
      <c r="AJ79" s="99">
        <f t="shared" si="13"/>
        <v>1590.4179070832422</v>
      </c>
      <c r="AK79" s="6">
        <v>345025.60658296</v>
      </c>
      <c r="AL79" s="6"/>
      <c r="AM79" s="20">
        <f t="shared" si="14"/>
        <v>6.6667062938534638E-2</v>
      </c>
      <c r="AN79" s="9">
        <v>4.5533918692153286E-2</v>
      </c>
      <c r="AO79">
        <v>1.7000000000000001E-2</v>
      </c>
      <c r="AP79">
        <f t="shared" ref="AP79:AP132" si="18">(1+AN79)/(1+AO79)-1</f>
        <v>2.8056950533090763E-2</v>
      </c>
      <c r="AQ79">
        <f t="shared" si="16"/>
        <v>2.8056950533090763E-2</v>
      </c>
      <c r="AS79" s="140">
        <v>5337</v>
      </c>
      <c r="AT79" s="33">
        <f t="shared" si="6"/>
        <v>0.24145150034891838</v>
      </c>
      <c r="AV79" s="82">
        <f t="shared" si="15"/>
        <v>1.0288523326050636</v>
      </c>
    </row>
    <row r="80" spans="1:49">
      <c r="A80">
        <v>2016</v>
      </c>
      <c r="B80">
        <v>3</v>
      </c>
      <c r="C80" t="s">
        <v>84</v>
      </c>
      <c r="G80" s="507"/>
      <c r="H80" s="511">
        <v>4.2999999999999997E-2</v>
      </c>
      <c r="J80" s="2">
        <v>0.18299999999999997</v>
      </c>
      <c r="K80" s="2"/>
      <c r="L80" s="2"/>
      <c r="M80" s="2"/>
      <c r="N80" s="2"/>
      <c r="O80" s="2"/>
      <c r="P80" s="475"/>
      <c r="Q80" s="475"/>
      <c r="R80" s="475"/>
      <c r="S80" s="475"/>
      <c r="T80" s="475"/>
      <c r="U80" s="475"/>
      <c r="V80" s="475"/>
      <c r="W80" s="2"/>
      <c r="X80" s="2"/>
      <c r="Y80" s="17"/>
      <c r="Z80" s="17"/>
      <c r="AA80" s="17"/>
      <c r="AB80" s="17">
        <f t="shared" si="17"/>
        <v>0.18299999999999997</v>
      </c>
      <c r="AC80" s="461">
        <v>59.204374983035194</v>
      </c>
      <c r="AD80" s="461">
        <f t="shared" si="10"/>
        <v>-0.18713322415745115</v>
      </c>
      <c r="AE80" s="46">
        <v>61.916828247367505</v>
      </c>
      <c r="AF80">
        <v>61.916828247367505</v>
      </c>
      <c r="AG80" s="82">
        <f t="shared" si="12"/>
        <v>-0.11827275177103858</v>
      </c>
      <c r="AH80">
        <v>24.816780999999999</v>
      </c>
      <c r="AI80" s="35">
        <f t="shared" si="7"/>
        <v>0.14061475815310165</v>
      </c>
      <c r="AJ80" s="99">
        <f t="shared" si="13"/>
        <v>1536.5763668295331</v>
      </c>
      <c r="AK80" s="6">
        <v>353657.42956511001</v>
      </c>
      <c r="AL80" s="6"/>
      <c r="AM80" s="20">
        <f t="shared" si="14"/>
        <v>3.9494774792915299E-2</v>
      </c>
      <c r="AN80" s="9">
        <v>6.7312926454356825E-2</v>
      </c>
      <c r="AO80">
        <v>2.7000000000000003E-2</v>
      </c>
      <c r="AP80">
        <f t="shared" si="18"/>
        <v>3.9253092944846024E-2</v>
      </c>
      <c r="AQ80">
        <f t="shared" si="16"/>
        <v>3.9253092944846024E-2</v>
      </c>
      <c r="AS80" s="140">
        <v>5374</v>
      </c>
      <c r="AT80" s="33">
        <f t="shared" si="6"/>
        <v>0.22414578587699308</v>
      </c>
      <c r="AV80" s="82">
        <f t="shared" si="15"/>
        <v>1.0359850918905025</v>
      </c>
    </row>
    <row r="81" spans="1:48">
      <c r="A81">
        <v>2016</v>
      </c>
      <c r="B81">
        <v>3</v>
      </c>
      <c r="C81" t="s">
        <v>85</v>
      </c>
      <c r="G81" s="507"/>
      <c r="H81" s="511">
        <v>2E-3</v>
      </c>
      <c r="J81" s="2">
        <v>0.18900000000000006</v>
      </c>
      <c r="K81" s="2"/>
      <c r="L81" s="2"/>
      <c r="M81" s="2"/>
      <c r="N81" s="2"/>
      <c r="O81" s="2"/>
      <c r="P81" s="475"/>
      <c r="Q81" s="475"/>
      <c r="R81" s="475"/>
      <c r="S81" s="475"/>
      <c r="T81" s="475"/>
      <c r="U81" s="475"/>
      <c r="V81" s="475"/>
      <c r="W81" s="2"/>
      <c r="X81" s="2"/>
      <c r="Y81" s="17"/>
      <c r="Z81" s="17"/>
      <c r="AA81" s="17"/>
      <c r="AB81" s="17">
        <f t="shared" si="17"/>
        <v>0.18900000000000006</v>
      </c>
      <c r="AC81" s="461">
        <v>58.540865749427141</v>
      </c>
      <c r="AD81" s="461">
        <f t="shared" si="10"/>
        <v>-0.11343437193614991</v>
      </c>
      <c r="AE81" s="46">
        <v>60.790848158814363</v>
      </c>
      <c r="AF81">
        <v>60.790848158814363</v>
      </c>
      <c r="AG81" s="82">
        <f t="shared" si="12"/>
        <v>-0.10522709253702089</v>
      </c>
      <c r="AH81">
        <v>25.064809193548385</v>
      </c>
      <c r="AI81" s="35">
        <f t="shared" si="7"/>
        <v>0.15896624587714503</v>
      </c>
      <c r="AJ81" s="99">
        <f t="shared" si="13"/>
        <v>1523.7110098146541</v>
      </c>
      <c r="AK81" s="6">
        <v>356155.76920440001</v>
      </c>
      <c r="AL81" s="6"/>
      <c r="AM81" s="20">
        <f t="shared" si="14"/>
        <v>9.8403448818656258E-2</v>
      </c>
      <c r="AN81" s="9">
        <v>7.7459799916726357E-2</v>
      </c>
      <c r="AO81">
        <v>2.7000000000000003E-2</v>
      </c>
      <c r="AP81">
        <f t="shared" si="18"/>
        <v>4.9133203424271077E-2</v>
      </c>
      <c r="AQ81">
        <f t="shared" si="16"/>
        <v>4.9133203424271077E-2</v>
      </c>
      <c r="AS81" s="140">
        <v>5202</v>
      </c>
      <c r="AT81" s="33">
        <f t="shared" si="6"/>
        <v>0.23709869203329359</v>
      </c>
      <c r="AV81" s="82">
        <f t="shared" si="15"/>
        <v>1.0028274000771109</v>
      </c>
    </row>
    <row r="82" spans="1:48">
      <c r="A82">
        <v>2016</v>
      </c>
      <c r="B82">
        <v>3</v>
      </c>
      <c r="C82" t="s">
        <v>86</v>
      </c>
      <c r="G82" s="507"/>
      <c r="H82" s="511">
        <v>2.6000000000000002E-2</v>
      </c>
      <c r="J82" s="2">
        <v>0.19599999999999995</v>
      </c>
      <c r="K82" s="2"/>
      <c r="L82" s="2"/>
      <c r="M82" s="2"/>
      <c r="N82" s="2"/>
      <c r="O82" s="2"/>
      <c r="P82" s="475"/>
      <c r="Q82" s="475"/>
      <c r="R82" s="475"/>
      <c r="S82" s="475"/>
      <c r="T82" s="475"/>
      <c r="U82" s="475"/>
      <c r="V82" s="475"/>
      <c r="W82" s="2"/>
      <c r="X82" s="2"/>
      <c r="Y82" s="17"/>
      <c r="Z82" s="17"/>
      <c r="AA82" s="17"/>
      <c r="AB82" s="17">
        <f t="shared" si="17"/>
        <v>0.19599999999999995</v>
      </c>
      <c r="AC82" s="461">
        <v>59.825801984106207</v>
      </c>
      <c r="AD82" s="461">
        <f t="shared" si="10"/>
        <v>-7.9944541621458365E-2</v>
      </c>
      <c r="AE82" s="46">
        <v>59.91797087591997</v>
      </c>
      <c r="AF82">
        <v>59.91797087591997</v>
      </c>
      <c r="AG82" s="82">
        <f t="shared" si="12"/>
        <v>-6.5864245898473173E-2</v>
      </c>
      <c r="AH82">
        <v>26.2754622</v>
      </c>
      <c r="AI82" s="35">
        <f t="shared" si="7"/>
        <v>0.20621386196341485</v>
      </c>
      <c r="AJ82" s="99">
        <f t="shared" si="13"/>
        <v>1574.372378850936</v>
      </c>
      <c r="AK82" s="6">
        <v>356418.74982934003</v>
      </c>
      <c r="AL82" s="6"/>
      <c r="AM82" s="20">
        <f t="shared" si="14"/>
        <v>0.12222517633529373</v>
      </c>
      <c r="AN82" s="9">
        <v>9.6703053387338977E-2</v>
      </c>
      <c r="AO82">
        <v>2.7000000000000003E-2</v>
      </c>
      <c r="AP82">
        <f t="shared" si="18"/>
        <v>6.7870548575792666E-2</v>
      </c>
      <c r="AQ82">
        <f t="shared" si="16"/>
        <v>6.7870548575792666E-2</v>
      </c>
      <c r="AS82" s="140">
        <v>5358</v>
      </c>
      <c r="AT82" s="33">
        <f t="shared" si="6"/>
        <v>0.23370941745337315</v>
      </c>
      <c r="AV82" s="82">
        <f t="shared" si="15"/>
        <v>1.0329006554427451</v>
      </c>
    </row>
    <row r="83" spans="1:48">
      <c r="A83">
        <v>2016</v>
      </c>
      <c r="B83">
        <v>4</v>
      </c>
      <c r="C83" t="s">
        <v>87</v>
      </c>
      <c r="G83" s="507"/>
      <c r="H83" s="511">
        <v>5.4000000000000006E-2</v>
      </c>
      <c r="J83" s="2">
        <v>0.29199999999999987</v>
      </c>
      <c r="K83" s="2"/>
      <c r="L83" s="2"/>
      <c r="M83" s="2"/>
      <c r="N83" s="2"/>
      <c r="O83" s="2"/>
      <c r="P83" s="475"/>
      <c r="Q83" s="475"/>
      <c r="R83" s="475"/>
      <c r="S83" s="475"/>
      <c r="T83" s="475"/>
      <c r="U83" s="475"/>
      <c r="V83" s="475"/>
      <c r="W83" s="2"/>
      <c r="X83" s="2"/>
      <c r="Y83" s="17"/>
      <c r="Z83" s="17"/>
      <c r="AA83" s="17"/>
      <c r="AB83" s="17">
        <f t="shared" si="17"/>
        <v>0.29199999999999987</v>
      </c>
      <c r="AC83" s="461">
        <v>69.760769006476821</v>
      </c>
      <c r="AD83" s="461">
        <f t="shared" si="10"/>
        <v>8.9866736989619111E-2</v>
      </c>
      <c r="AE83" s="46">
        <v>63.304259847900774</v>
      </c>
      <c r="AF83">
        <v>63.304259847900774</v>
      </c>
      <c r="AG83" s="82">
        <f t="shared" si="12"/>
        <v>-1.7049766256452492E-2</v>
      </c>
      <c r="AH83">
        <v>25.757272387096773</v>
      </c>
      <c r="AI83" s="35">
        <f t="shared" si="7"/>
        <v>0.17929169223046504</v>
      </c>
      <c r="AJ83" s="99">
        <f t="shared" si="13"/>
        <v>1630.5450641659336</v>
      </c>
      <c r="AK83" s="6">
        <v>354918.02336845</v>
      </c>
      <c r="AL83" s="6"/>
      <c r="AM83" s="20">
        <f t="shared" si="14"/>
        <v>0.16231334883506321</v>
      </c>
      <c r="AN83" s="9">
        <v>0.10987234423890402</v>
      </c>
      <c r="AO83">
        <v>4.5999999999999999E-2</v>
      </c>
      <c r="AP83">
        <f t="shared" si="18"/>
        <v>6.1063426614631044E-2</v>
      </c>
      <c r="AQ83">
        <f t="shared" si="16"/>
        <v>6.1063426614631044E-2</v>
      </c>
      <c r="AS83" s="140">
        <v>5350</v>
      </c>
      <c r="AT83" s="33">
        <f t="shared" si="6"/>
        <v>0.18049426301853488</v>
      </c>
      <c r="AV83" s="82">
        <f t="shared" si="15"/>
        <v>1.0313584372188664</v>
      </c>
    </row>
    <row r="84" spans="1:48">
      <c r="A84">
        <v>2016</v>
      </c>
      <c r="B84">
        <v>4</v>
      </c>
      <c r="C84" t="s">
        <v>88</v>
      </c>
      <c r="G84" s="507"/>
      <c r="H84" s="511">
        <v>2.2000000000000002E-2</v>
      </c>
      <c r="J84" s="2">
        <v>0.32</v>
      </c>
      <c r="K84" s="2"/>
      <c r="L84" s="2"/>
      <c r="M84" s="2"/>
      <c r="N84" s="2"/>
      <c r="O84" s="2"/>
      <c r="P84" s="475"/>
      <c r="Q84" s="475"/>
      <c r="R84" s="475"/>
      <c r="S84" s="475"/>
      <c r="T84" s="475"/>
      <c r="U84" s="475"/>
      <c r="V84" s="475"/>
      <c r="W84" s="2"/>
      <c r="X84" s="2"/>
      <c r="Y84" s="17"/>
      <c r="Z84" s="17"/>
      <c r="AA84" s="17"/>
      <c r="AB84" s="17">
        <f t="shared" si="17"/>
        <v>0.32</v>
      </c>
      <c r="AC84" s="461">
        <v>70.493266997760585</v>
      </c>
      <c r="AD84" s="461">
        <f t="shared" si="10"/>
        <v>0.16729023652530439</v>
      </c>
      <c r="AE84" s="46">
        <v>66.845120172406823</v>
      </c>
      <c r="AF84">
        <v>66.845120172406823</v>
      </c>
      <c r="AG84" s="82">
        <f t="shared" si="12"/>
        <v>4.0731643491871194E-2</v>
      </c>
      <c r="AH84">
        <v>25.700937800000002</v>
      </c>
      <c r="AI84" s="35">
        <f t="shared" si="7"/>
        <v>0.10244718000462338</v>
      </c>
      <c r="AJ84" s="99">
        <f t="shared" si="13"/>
        <v>1717.9822757845532</v>
      </c>
      <c r="AK84" s="6">
        <v>356116.18136723002</v>
      </c>
      <c r="AL84" s="6"/>
      <c r="AM84" s="20">
        <f t="shared" si="14"/>
        <v>0.2056885687308232</v>
      </c>
      <c r="AN84" s="9">
        <v>0.11358282298260924</v>
      </c>
      <c r="AO84">
        <v>4.5999999999999999E-2</v>
      </c>
      <c r="AP84">
        <f t="shared" si="18"/>
        <v>6.4610729428880687E-2</v>
      </c>
      <c r="AQ84">
        <f t="shared" si="16"/>
        <v>6.4610729428880687E-2</v>
      </c>
      <c r="AS84" s="140">
        <v>5406</v>
      </c>
      <c r="AT84" s="33">
        <f t="shared" si="6"/>
        <v>0.20186749666518455</v>
      </c>
      <c r="AV84" s="82">
        <f t="shared" si="15"/>
        <v>1.0421539647860172</v>
      </c>
    </row>
    <row r="85" spans="1:48">
      <c r="A85">
        <v>2016</v>
      </c>
      <c r="B85">
        <v>4</v>
      </c>
      <c r="C85" s="13" t="s">
        <v>89</v>
      </c>
      <c r="D85" s="13"/>
      <c r="E85" s="13"/>
      <c r="F85" s="13"/>
      <c r="G85" s="509"/>
      <c r="H85" s="512">
        <v>3.2000000000000001E-2</v>
      </c>
      <c r="I85" s="13"/>
      <c r="J85" s="11">
        <v>0.35699999999999987</v>
      </c>
      <c r="K85" s="11"/>
      <c r="L85" s="11"/>
      <c r="M85" s="11"/>
      <c r="N85" s="11"/>
      <c r="O85" s="11"/>
      <c r="P85" s="476"/>
      <c r="Q85" s="476"/>
      <c r="R85" s="476"/>
      <c r="S85" s="476"/>
      <c r="T85" s="476"/>
      <c r="U85" s="476"/>
      <c r="V85" s="476"/>
      <c r="W85" s="11"/>
      <c r="X85" s="11"/>
      <c r="Y85" s="42"/>
      <c r="Z85" s="42"/>
      <c r="AA85" s="42"/>
      <c r="AB85" s="42">
        <f t="shared" si="17"/>
        <v>0.35699999999999987</v>
      </c>
      <c r="AC85" s="462">
        <v>71.704367532448543</v>
      </c>
      <c r="AD85" s="462">
        <f t="shared" si="10"/>
        <v>0.32693481436075689</v>
      </c>
      <c r="AE85" s="47">
        <v>68.553567846997993</v>
      </c>
      <c r="AF85" s="13">
        <v>68.553567846997993</v>
      </c>
      <c r="AG85" s="82">
        <f t="shared" si="12"/>
        <v>0.12159924032614278</v>
      </c>
      <c r="AH85" s="13">
        <v>26.204524935483875</v>
      </c>
      <c r="AI85" s="30">
        <f t="shared" si="7"/>
        <v>0.1194502995130069</v>
      </c>
      <c r="AJ85" s="99">
        <f t="shared" si="13"/>
        <v>1796.4136780630445</v>
      </c>
      <c r="AK85" s="49">
        <v>369581.74383797997</v>
      </c>
      <c r="AL85" s="49"/>
      <c r="AM85" s="43">
        <f t="shared" si="14"/>
        <v>0.34406074106261864</v>
      </c>
      <c r="AN85" s="44">
        <v>0.124669732462803</v>
      </c>
      <c r="AO85" s="13">
        <v>4.5999999999999999E-2</v>
      </c>
      <c r="AP85" s="13">
        <f t="shared" si="18"/>
        <v>7.5210069276102187E-2</v>
      </c>
      <c r="AQ85">
        <f t="shared" si="16"/>
        <v>7.5210069276102187E-2</v>
      </c>
      <c r="AS85" s="140">
        <v>6475</v>
      </c>
      <c r="AT85" s="33">
        <f t="shared" si="6"/>
        <v>0.23804971319311674</v>
      </c>
      <c r="AV85" s="82">
        <f t="shared" si="15"/>
        <v>1.2482328749518057</v>
      </c>
    </row>
    <row r="86" spans="1:48">
      <c r="A86">
        <v>2017</v>
      </c>
      <c r="B86">
        <v>1</v>
      </c>
      <c r="C86" t="s">
        <v>90</v>
      </c>
      <c r="G86" s="507"/>
      <c r="H86" s="511">
        <v>-3.0000000000000001E-3</v>
      </c>
      <c r="J86" s="2">
        <v>0.3680000000000001</v>
      </c>
      <c r="K86" s="2"/>
      <c r="L86" s="2"/>
      <c r="M86" s="2"/>
      <c r="N86" s="2"/>
      <c r="O86" s="2"/>
      <c r="P86" s="475"/>
      <c r="Q86" s="475"/>
      <c r="R86" s="475"/>
      <c r="S86" s="475"/>
      <c r="T86" s="475"/>
      <c r="U86" s="475"/>
      <c r="V86" s="475"/>
      <c r="W86" s="2"/>
      <c r="X86" s="2"/>
      <c r="Y86" s="17"/>
      <c r="Z86" s="17"/>
      <c r="AA86" s="17"/>
      <c r="AB86" s="17">
        <f t="shared" si="17"/>
        <v>0.3680000000000001</v>
      </c>
      <c r="AC86" s="461">
        <v>77.512350540647304</v>
      </c>
      <c r="AD86" s="461">
        <f t="shared" si="10"/>
        <v>0.66750589894239787</v>
      </c>
      <c r="AE86" s="46">
        <v>71.638592701093856</v>
      </c>
      <c r="AF86">
        <v>71.638592701093856</v>
      </c>
      <c r="AG86" s="82">
        <f t="shared" si="12"/>
        <v>0.25467447371771335</v>
      </c>
      <c r="AH86">
        <v>27.150611903225798</v>
      </c>
      <c r="AI86" s="35">
        <f t="shared" si="7"/>
        <v>0.11916553967337506</v>
      </c>
      <c r="AJ86" s="99">
        <f t="shared" si="13"/>
        <v>1945.0316277206637</v>
      </c>
      <c r="AK86" s="6">
        <v>371788.61919610004</v>
      </c>
      <c r="AL86" s="6"/>
      <c r="AM86" s="20">
        <f>AJ86/AJ74-1</f>
        <v>0.42078697445548774</v>
      </c>
      <c r="AN86" s="9">
        <v>0.10803211725533179</v>
      </c>
      <c r="AO86">
        <v>2.7999999999999997E-2</v>
      </c>
      <c r="AP86">
        <f t="shared" si="18"/>
        <v>7.7852254139427757E-2</v>
      </c>
      <c r="AQ86">
        <f t="shared" si="16"/>
        <v>7.7852254139427757E-2</v>
      </c>
      <c r="AS86" s="140">
        <v>6008</v>
      </c>
      <c r="AT86" s="33">
        <f t="shared" si="6"/>
        <v>0.37734983952315448</v>
      </c>
      <c r="AU86">
        <f>AS86/AS85-1</f>
        <v>-7.2123552123552148E-2</v>
      </c>
      <c r="AV86" s="82">
        <f>AS86/AVERAGE($AS$86:$AS$97)</f>
        <v>0.84555210226939537</v>
      </c>
    </row>
    <row r="87" spans="1:48">
      <c r="A87">
        <v>2017</v>
      </c>
      <c r="B87">
        <v>1</v>
      </c>
      <c r="C87" t="s">
        <v>91</v>
      </c>
      <c r="G87" s="507"/>
      <c r="H87" s="511">
        <v>3.1E-2</v>
      </c>
      <c r="J87" s="2">
        <v>0.38900000000000007</v>
      </c>
      <c r="K87" s="2"/>
      <c r="L87" s="2"/>
      <c r="M87" s="2"/>
      <c r="N87" s="2"/>
      <c r="O87" s="2"/>
      <c r="P87" s="475"/>
      <c r="Q87" s="475"/>
      <c r="R87" s="475"/>
      <c r="S87" s="475"/>
      <c r="T87" s="475"/>
      <c r="U87" s="475"/>
      <c r="V87" s="475"/>
      <c r="W87" s="2"/>
      <c r="X87" s="2"/>
      <c r="Y87" s="17"/>
      <c r="Z87" s="17"/>
      <c r="AA87" s="17"/>
      <c r="AB87" s="17">
        <f t="shared" si="17"/>
        <v>0.38900000000000007</v>
      </c>
      <c r="AC87" s="461">
        <v>76.601965909017878</v>
      </c>
      <c r="AD87" s="461">
        <f t="shared" si="10"/>
        <v>0.64265379697052771</v>
      </c>
      <c r="AE87" s="46">
        <v>73.600771913557267</v>
      </c>
      <c r="AF87">
        <v>73.600771913557267</v>
      </c>
      <c r="AG87" s="82">
        <f t="shared" si="12"/>
        <v>0.30427737579155489</v>
      </c>
      <c r="AH87">
        <v>27.027771071428578</v>
      </c>
      <c r="AI87" s="35">
        <f t="shared" si="7"/>
        <v>2.4048710227086767E-2</v>
      </c>
      <c r="AJ87" s="99">
        <f t="shared" si="13"/>
        <v>1989.264813960056</v>
      </c>
      <c r="AK87" s="6">
        <v>361742.49769675999</v>
      </c>
      <c r="AL87" s="6"/>
      <c r="AM87" s="20">
        <f t="shared" ref="AM87:AM145" si="19">AJ87/AJ75-1</f>
        <v>0.32491939824987104</v>
      </c>
      <c r="AN87" s="9">
        <v>9.026068370574114E-2</v>
      </c>
      <c r="AO87">
        <v>2.7999999999999997E-2</v>
      </c>
      <c r="AP87">
        <f t="shared" si="18"/>
        <v>6.0564867418036128E-2</v>
      </c>
      <c r="AQ87">
        <f t="shared" si="16"/>
        <v>6.0564867418036128E-2</v>
      </c>
      <c r="AS87" s="140">
        <v>6209</v>
      </c>
      <c r="AT87" s="33">
        <f t="shared" si="6"/>
        <v>0.35419847328244281</v>
      </c>
      <c r="AV87" s="82">
        <f t="shared" ref="AV87:AV97" si="20">AS87/AVERAGE($AS$86:$AS$97)</f>
        <v>0.87384037999179032</v>
      </c>
    </row>
    <row r="88" spans="1:48">
      <c r="A88">
        <v>2017</v>
      </c>
      <c r="B88">
        <v>1</v>
      </c>
      <c r="C88" t="s">
        <v>92</v>
      </c>
      <c r="G88" s="507"/>
      <c r="H88" s="511">
        <v>3.5000000000000003E-2</v>
      </c>
      <c r="J88" s="2">
        <v>0.38300000000000012</v>
      </c>
      <c r="K88" s="2"/>
      <c r="L88" s="2"/>
      <c r="M88" s="2"/>
      <c r="N88" s="2"/>
      <c r="O88" s="2"/>
      <c r="P88" s="475"/>
      <c r="Q88" s="475"/>
      <c r="R88" s="475"/>
      <c r="S88" s="475"/>
      <c r="T88" s="475"/>
      <c r="U88" s="475"/>
      <c r="V88" s="475"/>
      <c r="W88" s="2"/>
      <c r="X88" s="2"/>
      <c r="Y88" s="17"/>
      <c r="Z88" s="17"/>
      <c r="AA88" s="17"/>
      <c r="AB88" s="17">
        <f t="shared" si="17"/>
        <v>0.38300000000000012</v>
      </c>
      <c r="AC88" s="461">
        <v>69.384106887103982</v>
      </c>
      <c r="AD88" s="461">
        <f t="shared" si="10"/>
        <v>0.37610722890357184</v>
      </c>
      <c r="AE88" s="46">
        <v>70.499952995537953</v>
      </c>
      <c r="AF88">
        <v>70.499952995537953</v>
      </c>
      <c r="AG88" s="82">
        <f t="shared" si="12"/>
        <v>0.23929672499893462</v>
      </c>
      <c r="AH88">
        <v>27.001562419354837</v>
      </c>
      <c r="AI88" s="35">
        <f t="shared" si="7"/>
        <v>2.4487641793782267E-2</v>
      </c>
      <c r="AJ88" s="99">
        <f t="shared" si="13"/>
        <v>1903.6088813706001</v>
      </c>
      <c r="AK88" s="6">
        <v>359198.56904437498</v>
      </c>
      <c r="AL88" s="6"/>
      <c r="AM88" s="20">
        <f t="shared" si="19"/>
        <v>0.20650245761410169</v>
      </c>
      <c r="AN88" s="9">
        <v>9.556956130816241E-2</v>
      </c>
      <c r="AO88">
        <v>2.7999999999999997E-2</v>
      </c>
      <c r="AP88">
        <f t="shared" si="18"/>
        <v>6.5729145241403053E-2</v>
      </c>
      <c r="AQ88">
        <f t="shared" si="16"/>
        <v>6.5729145241403053E-2</v>
      </c>
      <c r="AS88" s="140">
        <v>6752</v>
      </c>
      <c r="AT88" s="33">
        <f t="shared" si="6"/>
        <v>0.37235772357723573</v>
      </c>
      <c r="AV88" s="82">
        <f t="shared" si="20"/>
        <v>0.95026095115228992</v>
      </c>
    </row>
    <row r="89" spans="1:48">
      <c r="A89">
        <v>2017</v>
      </c>
      <c r="B89">
        <v>2</v>
      </c>
      <c r="C89" t="s">
        <v>93</v>
      </c>
      <c r="G89" s="507"/>
      <c r="H89" s="511">
        <v>1.6E-2</v>
      </c>
      <c r="J89" s="2">
        <v>0.35599999999999993</v>
      </c>
      <c r="K89" s="2"/>
      <c r="L89" s="2"/>
      <c r="M89" s="2"/>
      <c r="N89" s="2"/>
      <c r="O89" s="2"/>
      <c r="P89" s="475"/>
      <c r="Q89" s="475"/>
      <c r="R89" s="475"/>
      <c r="S89" s="475"/>
      <c r="T89" s="475"/>
      <c r="U89" s="475"/>
      <c r="V89" s="475"/>
      <c r="W89" s="2"/>
      <c r="X89" s="2"/>
      <c r="Y89" s="17"/>
      <c r="Z89" s="17"/>
      <c r="AA89" s="17"/>
      <c r="AB89" s="17">
        <f t="shared" si="17"/>
        <v>0.35599999999999993</v>
      </c>
      <c r="AC89" s="461">
        <v>69.872811564950169</v>
      </c>
      <c r="AD89" s="461">
        <f t="shared" si="10"/>
        <v>0.33235033380891355</v>
      </c>
      <c r="AE89" s="46">
        <v>66.144299990556377</v>
      </c>
      <c r="AF89">
        <v>66.144299990556377</v>
      </c>
      <c r="AG89" s="82">
        <f t="shared" si="12"/>
        <v>0.10490536959033436</v>
      </c>
      <c r="AH89">
        <v>26.856827100000014</v>
      </c>
      <c r="AI89" s="35">
        <f t="shared" si="7"/>
        <v>4.7887381722597322E-2</v>
      </c>
      <c r="AJ89" s="99">
        <f t="shared" si="13"/>
        <v>1776.4260284969052</v>
      </c>
      <c r="AK89" s="6">
        <v>362635.65076933999</v>
      </c>
      <c r="AL89" s="6"/>
      <c r="AM89" s="20">
        <f t="shared" si="19"/>
        <v>0.11248690297288411</v>
      </c>
      <c r="AN89" s="9">
        <v>9.3774215823846818E-2</v>
      </c>
      <c r="AO89">
        <v>2.6000000000000002E-2</v>
      </c>
      <c r="AP89">
        <f t="shared" si="18"/>
        <v>6.6056740569051531E-2</v>
      </c>
      <c r="AQ89">
        <f t="shared" si="16"/>
        <v>6.6056740569051531E-2</v>
      </c>
      <c r="AS89" s="140">
        <v>6659</v>
      </c>
      <c r="AT89" s="33">
        <f t="shared" si="6"/>
        <v>0.36036772216547508</v>
      </c>
      <c r="AV89" s="82">
        <f t="shared" si="20"/>
        <v>0.93717234504192803</v>
      </c>
    </row>
    <row r="90" spans="1:48">
      <c r="A90">
        <v>2017</v>
      </c>
      <c r="B90">
        <v>2</v>
      </c>
      <c r="C90" s="13" t="s">
        <v>94</v>
      </c>
      <c r="D90" s="13"/>
      <c r="E90" s="13"/>
      <c r="F90" s="13"/>
      <c r="G90" s="509"/>
      <c r="H90" s="512">
        <v>-1.3000000000000001E-2</v>
      </c>
      <c r="I90" s="13"/>
      <c r="J90" s="11">
        <v>0.27099999999999996</v>
      </c>
      <c r="K90" s="11"/>
      <c r="L90" s="11"/>
      <c r="M90" s="11"/>
      <c r="N90" s="11"/>
      <c r="O90" s="11"/>
      <c r="P90" s="476"/>
      <c r="Q90" s="476"/>
      <c r="R90" s="476"/>
      <c r="S90" s="476"/>
      <c r="T90" s="476"/>
      <c r="U90" s="476"/>
      <c r="V90" s="476"/>
      <c r="W90" s="11"/>
      <c r="X90" s="11"/>
      <c r="Y90" s="42"/>
      <c r="Z90" s="42"/>
      <c r="AA90" s="42"/>
      <c r="AB90" s="42">
        <f t="shared" si="17"/>
        <v>0.27099999999999996</v>
      </c>
      <c r="AC90" s="462">
        <v>67.657497165909064</v>
      </c>
      <c r="AD90" s="462">
        <f t="shared" si="10"/>
        <v>0.18518565196653802</v>
      </c>
      <c r="AE90" s="47">
        <v>63.849915674179613</v>
      </c>
      <c r="AF90" s="13">
        <v>63.849915674179613</v>
      </c>
      <c r="AG90" s="82">
        <f t="shared" si="12"/>
        <v>2.4821432614615446E-2</v>
      </c>
      <c r="AH90" s="13">
        <v>26.423692999999993</v>
      </c>
      <c r="AI90" s="30">
        <f t="shared" si="7"/>
        <v>4.8289790467862304E-2</v>
      </c>
      <c r="AJ90" s="99">
        <f t="shared" si="13"/>
        <v>1687.1505698504097</v>
      </c>
      <c r="AK90" s="49">
        <v>368305.48513058503</v>
      </c>
      <c r="AL90" s="49"/>
      <c r="AM90" s="20">
        <f t="shared" si="19"/>
        <v>6.1534997431789584E-2</v>
      </c>
      <c r="AN90" s="44">
        <v>9.4075182377076016E-2</v>
      </c>
      <c r="AO90" s="13">
        <v>2.6000000000000002E-2</v>
      </c>
      <c r="AP90" s="13">
        <f t="shared" si="18"/>
        <v>6.6350080289547808E-2</v>
      </c>
      <c r="AQ90">
        <f t="shared" si="16"/>
        <v>6.6350080289547808E-2</v>
      </c>
      <c r="AS90" s="140">
        <v>6840</v>
      </c>
      <c r="AT90" s="33">
        <f t="shared" si="6"/>
        <v>0.37239165329052959</v>
      </c>
      <c r="AV90" s="82">
        <f t="shared" si="20"/>
        <v>0.96264586876209457</v>
      </c>
    </row>
    <row r="91" spans="1:48">
      <c r="A91">
        <v>2017</v>
      </c>
      <c r="B91">
        <v>2</v>
      </c>
      <c r="C91" t="s">
        <v>95</v>
      </c>
      <c r="G91" s="507"/>
      <c r="H91" s="511">
        <v>-5.9999999999999429E-3</v>
      </c>
      <c r="J91" s="2">
        <v>0.26299999999999996</v>
      </c>
      <c r="K91" s="2"/>
      <c r="L91" s="2"/>
      <c r="M91" s="2"/>
      <c r="N91" s="2"/>
      <c r="O91" s="2"/>
      <c r="P91" s="475"/>
      <c r="Q91" s="475"/>
      <c r="R91" s="475"/>
      <c r="S91" s="475"/>
      <c r="T91" s="475"/>
      <c r="U91" s="475"/>
      <c r="V91" s="475"/>
      <c r="W91" s="2"/>
      <c r="X91" s="2"/>
      <c r="Y91" s="17"/>
      <c r="Z91" s="17"/>
      <c r="AA91" s="17"/>
      <c r="AB91" s="17">
        <f t="shared" si="17"/>
        <v>0.26299999999999996</v>
      </c>
      <c r="AC91" s="461">
        <v>66.375820838822406</v>
      </c>
      <c r="AD91" s="461">
        <f t="shared" si="10"/>
        <v>9.6529107350234344E-2</v>
      </c>
      <c r="AE91" s="46">
        <v>62.620676804698512</v>
      </c>
      <c r="AF91">
        <v>62.620676804698512</v>
      </c>
      <c r="AG91" s="82">
        <f t="shared" si="12"/>
        <v>-6.860192421966671E-3</v>
      </c>
      <c r="AH91">
        <v>26.108858166666668</v>
      </c>
      <c r="AI91" s="35">
        <f t="shared" si="7"/>
        <v>4.6390966235829723E-2</v>
      </c>
      <c r="AJ91" s="99">
        <f t="shared" si="13"/>
        <v>1634.9543689945467</v>
      </c>
      <c r="AK91" s="6">
        <v>375005.31244599004</v>
      </c>
      <c r="AL91" s="6"/>
      <c r="AM91" s="20">
        <f t="shared" si="19"/>
        <v>2.8002993246587948E-2</v>
      </c>
      <c r="AN91" s="9">
        <v>8.6891248913206542E-2</v>
      </c>
      <c r="AO91">
        <v>2.6000000000000002E-2</v>
      </c>
      <c r="AP91">
        <f t="shared" si="18"/>
        <v>5.9348195821838701E-2</v>
      </c>
      <c r="AQ91">
        <f t="shared" si="16"/>
        <v>5.9348195821838701E-2</v>
      </c>
      <c r="AS91" s="140">
        <v>7360</v>
      </c>
      <c r="AT91" s="33">
        <f t="shared" si="6"/>
        <v>0.37905190181750048</v>
      </c>
      <c r="AV91" s="82">
        <f t="shared" si="20"/>
        <v>1.0358294728200317</v>
      </c>
    </row>
    <row r="92" spans="1:48">
      <c r="A92">
        <v>2017</v>
      </c>
      <c r="B92">
        <v>3</v>
      </c>
      <c r="C92" t="s">
        <v>96</v>
      </c>
      <c r="G92" s="507"/>
      <c r="H92" s="511">
        <v>1.8000000000000002E-2</v>
      </c>
      <c r="J92" s="2">
        <v>0.23299999999999998</v>
      </c>
      <c r="K92" s="2"/>
      <c r="L92" s="2"/>
      <c r="M92" s="2"/>
      <c r="N92" s="2"/>
      <c r="O92" s="2"/>
      <c r="P92" s="475"/>
      <c r="Q92" s="475"/>
      <c r="R92" s="475"/>
      <c r="S92" s="475"/>
      <c r="T92" s="475"/>
      <c r="U92" s="475"/>
      <c r="V92" s="475"/>
      <c r="W92" s="2"/>
      <c r="X92" s="2"/>
      <c r="Y92" s="17"/>
      <c r="Z92" s="17"/>
      <c r="AA92" s="17"/>
      <c r="AB92" s="17">
        <f t="shared" si="17"/>
        <v>0.23299999999999998</v>
      </c>
      <c r="AC92" s="461">
        <v>68.486520349079683</v>
      </c>
      <c r="AD92" s="461">
        <f t="shared" si="10"/>
        <v>0.15678140962900544</v>
      </c>
      <c r="AE92" s="46">
        <v>66.569275869669369</v>
      </c>
      <c r="AF92">
        <v>66.569275869669369</v>
      </c>
      <c r="AG92" s="82">
        <f t="shared" si="12"/>
        <v>4.4375014352762143E-2</v>
      </c>
      <c r="AH92">
        <v>25.969315225806444</v>
      </c>
      <c r="AI92" s="35">
        <f t="shared" si="7"/>
        <v>4.6441729320432223E-2</v>
      </c>
      <c r="AJ92" s="99">
        <f t="shared" si="13"/>
        <v>1728.7585094131143</v>
      </c>
      <c r="AK92" s="6">
        <v>380655.38214676001</v>
      </c>
      <c r="AL92" s="6"/>
      <c r="AM92" s="20">
        <f t="shared" si="19"/>
        <v>0.12507165067240811</v>
      </c>
      <c r="AN92" s="9">
        <v>7.6339277291160412E-2</v>
      </c>
      <c r="AO92">
        <v>2.4E-2</v>
      </c>
      <c r="AP92">
        <f t="shared" si="18"/>
        <v>5.111257547964887E-2</v>
      </c>
      <c r="AQ92">
        <f t="shared" si="16"/>
        <v>5.111257547964887E-2</v>
      </c>
      <c r="AS92" s="140">
        <v>7339</v>
      </c>
      <c r="AT92" s="33">
        <f t="shared" si="6"/>
        <v>0.3656494231484928</v>
      </c>
      <c r="AV92" s="82">
        <f t="shared" si="20"/>
        <v>1.0328739811176919</v>
      </c>
    </row>
    <row r="93" spans="1:48">
      <c r="A93">
        <v>2017</v>
      </c>
      <c r="B93">
        <v>3</v>
      </c>
      <c r="C93" t="s">
        <v>97</v>
      </c>
      <c r="G93" s="507"/>
      <c r="H93" s="511">
        <v>4.0000000000000001E-3</v>
      </c>
      <c r="J93" s="2">
        <v>0.23599999999999993</v>
      </c>
      <c r="K93" s="2"/>
      <c r="L93" s="2"/>
      <c r="M93" s="2"/>
      <c r="N93" s="2"/>
      <c r="O93" s="2"/>
      <c r="P93" s="475"/>
      <c r="Q93" s="475"/>
      <c r="R93" s="475"/>
      <c r="S93" s="475"/>
      <c r="T93" s="475"/>
      <c r="U93" s="475"/>
      <c r="V93" s="475"/>
      <c r="W93" s="2"/>
      <c r="X93" s="2"/>
      <c r="Y93" s="17"/>
      <c r="Z93" s="17"/>
      <c r="AA93" s="17"/>
      <c r="AB93" s="17">
        <f t="shared" si="17"/>
        <v>0.23599999999999993</v>
      </c>
      <c r="AC93" s="461">
        <v>73.514102967898481</v>
      </c>
      <c r="AD93" s="461">
        <f t="shared" si="10"/>
        <v>0.25577409945663243</v>
      </c>
      <c r="AE93" s="46">
        <v>68.055105835081804</v>
      </c>
      <c r="AF93">
        <v>68.055105835081804</v>
      </c>
      <c r="AG93" s="82">
        <f t="shared" si="12"/>
        <v>9.9137468140178431E-2</v>
      </c>
      <c r="AH93">
        <v>25.635271419354826</v>
      </c>
      <c r="AI93" s="35">
        <f t="shared" si="7"/>
        <v>2.2759488069563183E-2</v>
      </c>
      <c r="AJ93" s="99">
        <f t="shared" si="13"/>
        <v>1744.6111095552403</v>
      </c>
      <c r="AK93" s="6">
        <v>379281.25692618499</v>
      </c>
      <c r="AL93" s="6"/>
      <c r="AM93" s="20">
        <f t="shared" si="19"/>
        <v>0.14497506306491603</v>
      </c>
      <c r="AN93" s="9">
        <v>6.4930824435173173E-2</v>
      </c>
      <c r="AO93">
        <v>2.4E-2</v>
      </c>
      <c r="AP93">
        <f t="shared" si="18"/>
        <v>3.9971508237473863E-2</v>
      </c>
      <c r="AQ93">
        <f t="shared" si="16"/>
        <v>3.9971508237473863E-2</v>
      </c>
      <c r="AS93" s="140">
        <v>7114</v>
      </c>
      <c r="AT93" s="33">
        <f t="shared" si="6"/>
        <v>0.36755094194540572</v>
      </c>
      <c r="AV93" s="82">
        <f t="shared" si="20"/>
        <v>1.001207998592623</v>
      </c>
    </row>
    <row r="94" spans="1:48">
      <c r="A94">
        <v>2017</v>
      </c>
      <c r="B94">
        <v>3</v>
      </c>
      <c r="C94" t="s">
        <v>98</v>
      </c>
      <c r="G94" s="507"/>
      <c r="H94" s="511">
        <v>1.6E-2</v>
      </c>
      <c r="J94" s="2">
        <v>0.22400000000000006</v>
      </c>
      <c r="K94" s="2"/>
      <c r="L94" s="2"/>
      <c r="M94" s="2"/>
      <c r="N94" s="2"/>
      <c r="O94" s="2"/>
      <c r="P94" s="475"/>
      <c r="Q94" s="475"/>
      <c r="R94" s="475"/>
      <c r="S94" s="475"/>
      <c r="T94" s="475"/>
      <c r="U94" s="475"/>
      <c r="V94" s="475"/>
      <c r="W94" s="2"/>
      <c r="X94" s="2"/>
      <c r="Y94" s="17"/>
      <c r="Z94" s="17"/>
      <c r="AA94" s="17"/>
      <c r="AB94" s="17">
        <f t="shared" si="17"/>
        <v>0.22400000000000006</v>
      </c>
      <c r="AC94" s="461">
        <v>78.642224546826228</v>
      </c>
      <c r="AD94" s="461">
        <f t="shared" si="10"/>
        <v>0.3145201892607965</v>
      </c>
      <c r="AE94" s="46">
        <v>68.98665522806246</v>
      </c>
      <c r="AF94">
        <v>68.98665522806246</v>
      </c>
      <c r="AG94" s="82">
        <f t="shared" si="12"/>
        <v>0.13481975194418716</v>
      </c>
      <c r="AH94">
        <v>26.10860709999999</v>
      </c>
      <c r="AI94" s="35">
        <f t="shared" si="7"/>
        <v>-6.3502251161164924E-3</v>
      </c>
      <c r="AJ94" s="99">
        <f t="shared" si="13"/>
        <v>1801.145476492643</v>
      </c>
      <c r="AK94" s="6">
        <v>376204.63798137999</v>
      </c>
      <c r="AL94" s="6"/>
      <c r="AM94" s="20">
        <f t="shared" si="19"/>
        <v>0.14404031770883741</v>
      </c>
      <c r="AN94" s="9">
        <v>5.551303953990594E-2</v>
      </c>
      <c r="AO94">
        <v>2.4E-2</v>
      </c>
      <c r="AP94">
        <f t="shared" si="18"/>
        <v>3.0774452675689457E-2</v>
      </c>
      <c r="AQ94">
        <f t="shared" si="16"/>
        <v>3.0774452675689457E-2</v>
      </c>
      <c r="AS94" s="140">
        <v>7351</v>
      </c>
      <c r="AT94" s="33">
        <f t="shared" si="6"/>
        <v>0.37196715192235907</v>
      </c>
      <c r="AV94" s="82">
        <f t="shared" si="20"/>
        <v>1.0345628335190289</v>
      </c>
    </row>
    <row r="95" spans="1:48">
      <c r="A95">
        <v>2017</v>
      </c>
      <c r="B95">
        <v>4</v>
      </c>
      <c r="C95" t="s">
        <v>99</v>
      </c>
      <c r="G95" s="507"/>
      <c r="H95" s="511">
        <v>2.3E-2</v>
      </c>
      <c r="J95" s="2">
        <v>0.18799999999999997</v>
      </c>
      <c r="K95" s="2"/>
      <c r="L95" s="2"/>
      <c r="M95" s="2"/>
      <c r="N95" s="2"/>
      <c r="O95" s="2"/>
      <c r="P95" s="475"/>
      <c r="Q95" s="475"/>
      <c r="R95" s="475"/>
      <c r="S95" s="475"/>
      <c r="T95" s="475"/>
      <c r="U95" s="475"/>
      <c r="V95" s="475"/>
      <c r="W95" s="2"/>
      <c r="X95" s="2"/>
      <c r="Y95" s="17"/>
      <c r="Z95" s="17"/>
      <c r="AA95" s="17"/>
      <c r="AB95" s="17">
        <f t="shared" si="17"/>
        <v>0.18799999999999997</v>
      </c>
      <c r="AC95" s="461">
        <v>80.489654633214499</v>
      </c>
      <c r="AD95" s="461">
        <f t="shared" si="10"/>
        <v>0.15379540362781219</v>
      </c>
      <c r="AE95" s="46">
        <v>67.674845544154323</v>
      </c>
      <c r="AF95">
        <v>67.674845544154323</v>
      </c>
      <c r="AG95" s="82">
        <f t="shared" si="12"/>
        <v>0.1294582335623069</v>
      </c>
      <c r="AH95">
        <v>26.654977096774203</v>
      </c>
      <c r="AI95" s="35">
        <f t="shared" si="7"/>
        <v>3.4852475688657902E-2</v>
      </c>
      <c r="AJ95" s="99">
        <f t="shared" si="13"/>
        <v>1803.8714580071653</v>
      </c>
      <c r="AK95" s="6">
        <v>375008.647536395</v>
      </c>
      <c r="AL95" s="6"/>
      <c r="AM95" s="20">
        <f t="shared" si="19"/>
        <v>0.10629966484851039</v>
      </c>
      <c r="AN95" s="9">
        <v>5.6606379065422541E-2</v>
      </c>
      <c r="AO95">
        <v>2.2000000000000002E-2</v>
      </c>
      <c r="AP95">
        <f t="shared" si="18"/>
        <v>3.386142765696909E-2</v>
      </c>
      <c r="AQ95">
        <f t="shared" si="16"/>
        <v>3.386142765696909E-2</v>
      </c>
      <c r="AS95" s="140">
        <v>7377</v>
      </c>
      <c r="AT95" s="33">
        <f t="shared" si="6"/>
        <v>0.3788785046728973</v>
      </c>
      <c r="AV95" s="82">
        <f t="shared" si="20"/>
        <v>1.0382220137219258</v>
      </c>
    </row>
    <row r="96" spans="1:48">
      <c r="A96">
        <v>2017</v>
      </c>
      <c r="B96">
        <v>4</v>
      </c>
      <c r="C96" t="s">
        <v>100</v>
      </c>
      <c r="G96" s="507"/>
      <c r="H96" s="511">
        <v>1.8000000000000002E-2</v>
      </c>
      <c r="J96" s="2">
        <v>0.18400000000000005</v>
      </c>
      <c r="K96" s="2"/>
      <c r="L96" s="2"/>
      <c r="M96" s="2"/>
      <c r="N96" s="2"/>
      <c r="O96" s="2"/>
      <c r="P96" s="475"/>
      <c r="Q96" s="475"/>
      <c r="R96" s="475"/>
      <c r="S96" s="475"/>
      <c r="T96" s="475"/>
      <c r="U96" s="475"/>
      <c r="V96" s="475"/>
      <c r="W96" s="2"/>
      <c r="X96" s="2"/>
      <c r="Y96" s="17"/>
      <c r="Z96" s="17"/>
      <c r="AA96" s="17"/>
      <c r="AB96" s="17">
        <f t="shared" si="17"/>
        <v>0.18400000000000005</v>
      </c>
      <c r="AC96" s="461">
        <v>85.021682965864315</v>
      </c>
      <c r="AD96" s="461">
        <f t="shared" si="10"/>
        <v>0.20609650519623757</v>
      </c>
      <c r="AE96" s="46">
        <v>69.989866499831535</v>
      </c>
      <c r="AF96">
        <v>69.989866499831535</v>
      </c>
      <c r="AG96" s="82">
        <f t="shared" si="12"/>
        <v>0.10561069141309076</v>
      </c>
      <c r="AH96">
        <v>26.705274633333335</v>
      </c>
      <c r="AI96" s="35">
        <f t="shared" si="7"/>
        <v>3.9077828254707958E-2</v>
      </c>
      <c r="AJ96" s="99">
        <f t="shared" si="13"/>
        <v>1869.0986064283377</v>
      </c>
      <c r="AK96" s="6">
        <v>377681.583605355</v>
      </c>
      <c r="AL96" s="6"/>
      <c r="AM96" s="20">
        <f t="shared" si="19"/>
        <v>8.7961519029510438E-2</v>
      </c>
      <c r="AN96" s="9">
        <v>6.0557209603139484E-2</v>
      </c>
      <c r="AO96">
        <v>2.2000000000000002E-2</v>
      </c>
      <c r="AP96">
        <f t="shared" si="18"/>
        <v>3.7727210961975954E-2</v>
      </c>
      <c r="AQ96">
        <f t="shared" si="16"/>
        <v>3.7727210961975954E-2</v>
      </c>
      <c r="AS96" s="140">
        <v>7479</v>
      </c>
      <c r="AT96" s="33">
        <f t="shared" si="6"/>
        <v>0.3834628190899001</v>
      </c>
      <c r="AV96" s="82">
        <f t="shared" si="20"/>
        <v>1.0525772591332903</v>
      </c>
    </row>
    <row r="97" spans="1:52">
      <c r="A97">
        <v>2017</v>
      </c>
      <c r="B97">
        <v>4</v>
      </c>
      <c r="C97" s="13" t="s">
        <v>101</v>
      </c>
      <c r="D97" s="30">
        <f t="shared" ref="D97:D109" si="21">0.277494*AM97-0.3743124*AQ97+0.0472523</f>
        <v>6.7178580968033474E-2</v>
      </c>
      <c r="E97" s="132"/>
      <c r="F97" s="132"/>
      <c r="G97" s="510"/>
      <c r="H97" s="512">
        <v>1.7000000000000001E-2</v>
      </c>
      <c r="I97" s="13"/>
      <c r="J97" s="11">
        <v>0.16500000000000001</v>
      </c>
      <c r="K97" s="11"/>
      <c r="L97" s="11"/>
      <c r="M97" s="11"/>
      <c r="N97" s="11"/>
      <c r="O97" s="11"/>
      <c r="P97" s="476"/>
      <c r="Q97" s="476"/>
      <c r="R97" s="476"/>
      <c r="S97" s="476"/>
      <c r="T97" s="476"/>
      <c r="U97" s="476"/>
      <c r="V97" s="476"/>
      <c r="W97" s="11"/>
      <c r="X97" s="11"/>
      <c r="Y97" s="42"/>
      <c r="Z97" s="42"/>
      <c r="AA97" s="42"/>
      <c r="AB97" s="42">
        <f t="shared" si="17"/>
        <v>0.16500000000000001</v>
      </c>
      <c r="AC97" s="462">
        <v>88.799368336620205</v>
      </c>
      <c r="AD97" s="462">
        <f t="shared" si="10"/>
        <v>0.2384094775877581</v>
      </c>
      <c r="AE97" s="47">
        <v>72.58161678329266</v>
      </c>
      <c r="AF97" s="13">
        <v>72.58161678329266</v>
      </c>
      <c r="AG97" s="82">
        <f t="shared" si="12"/>
        <v>8.5817732036239436E-2</v>
      </c>
      <c r="AH97" s="13">
        <v>27.516507935483883</v>
      </c>
      <c r="AI97" s="30">
        <f t="shared" si="7"/>
        <v>5.0067040071519742E-2</v>
      </c>
      <c r="AJ97" s="99">
        <f t="shared" si="13"/>
        <v>1997.1926341877227</v>
      </c>
      <c r="AK97" s="49">
        <v>388901.53028718499</v>
      </c>
      <c r="AL97" s="49"/>
      <c r="AM97" s="20">
        <f t="shared" si="19"/>
        <v>0.11176654830482313</v>
      </c>
      <c r="AN97" s="44">
        <v>5.2274731561617882E-2</v>
      </c>
      <c r="AO97" s="13">
        <v>2.2000000000000002E-2</v>
      </c>
      <c r="AP97" s="13">
        <f t="shared" si="18"/>
        <v>2.9623025011367821E-2</v>
      </c>
      <c r="AQ97">
        <f t="shared" si="16"/>
        <v>2.9623025011367821E-2</v>
      </c>
      <c r="AS97" s="140">
        <v>8777</v>
      </c>
      <c r="AT97" s="33">
        <f t="shared" si="6"/>
        <v>0.3555212355212356</v>
      </c>
      <c r="AV97" s="82">
        <f t="shared" si="20"/>
        <v>1.2352547938779099</v>
      </c>
    </row>
    <row r="98" spans="1:52">
      <c r="A98">
        <v>2018</v>
      </c>
      <c r="B98">
        <v>1</v>
      </c>
      <c r="C98" t="s">
        <v>102</v>
      </c>
      <c r="D98" s="33">
        <f t="shared" si="21"/>
        <v>5.963113567053218E-2</v>
      </c>
      <c r="E98" s="33">
        <f t="shared" ref="E98:E128" si="22">J98/D97</f>
        <v>3.2748533361353029</v>
      </c>
      <c r="F98" s="33"/>
      <c r="G98" s="511"/>
      <c r="H98" s="511">
        <v>4.400000000000006E-2</v>
      </c>
      <c r="I98" s="33"/>
      <c r="J98" s="2">
        <v>0.22</v>
      </c>
      <c r="K98" s="33">
        <f t="shared" ref="K98:K145" si="23">0.1841001*AM98+0.6479684*AO98+1.335972*AT98-0.2128151</f>
        <v>0.20229646216178479</v>
      </c>
      <c r="L98" s="33"/>
      <c r="M98" s="143">
        <f t="shared" ref="M98:M121" si="24">(1+J98)/(1+K98)</f>
        <v>1.0147247691358781</v>
      </c>
      <c r="N98" s="143"/>
      <c r="O98" s="143"/>
      <c r="P98" s="477"/>
      <c r="Q98" s="477"/>
      <c r="R98" s="477"/>
      <c r="S98" s="477"/>
      <c r="T98" s="477"/>
      <c r="U98" s="477"/>
      <c r="V98" s="477"/>
      <c r="W98" s="33">
        <f t="shared" ref="W98:W121" si="25">0.0832476*AM98-0.4809485*AN98-0.4924922*AO98+0.0587894</f>
        <v>1.9940594553314477E-2</v>
      </c>
      <c r="X98" s="33">
        <f t="shared" ref="X98:X121" si="26">0.2934419*AM98+1.016748*AN98+0.9085597*AO98-0.0215987</f>
        <v>9.7807532541472494E-2</v>
      </c>
      <c r="Y98" s="17"/>
      <c r="Z98" s="17"/>
      <c r="AA98" s="17"/>
      <c r="AB98" s="17">
        <f t="shared" si="17"/>
        <v>0.22</v>
      </c>
      <c r="AC98" s="461">
        <v>89.641661435302382</v>
      </c>
      <c r="AD98" s="461">
        <f t="shared" si="10"/>
        <v>0.15648230004706787</v>
      </c>
      <c r="AE98" s="46">
        <v>74.43535414266502</v>
      </c>
      <c r="AF98">
        <v>74.43535414266502</v>
      </c>
      <c r="AG98" s="82">
        <f t="shared" si="12"/>
        <v>8.5798397959306216E-2</v>
      </c>
      <c r="AH98">
        <v>28.434328612903219</v>
      </c>
      <c r="AI98" s="35">
        <f t="shared" si="7"/>
        <v>4.7281317793242739E-2</v>
      </c>
      <c r="AJ98" s="99">
        <f t="shared" si="13"/>
        <v>2116.5193201103639</v>
      </c>
      <c r="AK98" s="6">
        <v>395691.731361265</v>
      </c>
      <c r="AL98" s="6"/>
      <c r="AM98" s="20">
        <f t="shared" si="19"/>
        <v>8.816704568997813E-2</v>
      </c>
      <c r="AN98" s="9">
        <v>6.4292210495440871E-2</v>
      </c>
      <c r="AO98">
        <v>3.1E-2</v>
      </c>
      <c r="AP98">
        <f t="shared" si="18"/>
        <v>3.2291183797711787E-2</v>
      </c>
      <c r="AQ98">
        <f t="shared" si="16"/>
        <v>3.2291183797711787E-2</v>
      </c>
      <c r="AS98" s="140">
        <v>7711.47</v>
      </c>
      <c r="AT98" s="33">
        <f t="shared" si="6"/>
        <v>0.28353362183754993</v>
      </c>
      <c r="AV98" s="82">
        <f>AS98/AVERAGE($AS$98:$AS$109)</f>
        <v>0.86963873173103601</v>
      </c>
    </row>
    <row r="99" spans="1:52">
      <c r="A99">
        <v>2018</v>
      </c>
      <c r="B99">
        <v>1</v>
      </c>
      <c r="C99" t="s">
        <v>103</v>
      </c>
      <c r="D99" s="33">
        <f t="shared" si="21"/>
        <v>2.9336120329171846E-2</v>
      </c>
      <c r="E99" s="33">
        <f t="shared" si="22"/>
        <v>3.2868735065338854</v>
      </c>
      <c r="F99" s="33"/>
      <c r="G99" s="511"/>
      <c r="H99" s="511">
        <v>1.2000000000000028E-2</v>
      </c>
      <c r="I99" s="33"/>
      <c r="J99" s="2">
        <v>0.19599999999999995</v>
      </c>
      <c r="K99" s="2">
        <f t="shared" si="23"/>
        <v>0.16083429506272198</v>
      </c>
      <c r="L99" s="2"/>
      <c r="M99" s="143">
        <f t="shared" si="24"/>
        <v>1.0302934752073103</v>
      </c>
      <c r="N99" s="143"/>
      <c r="O99" s="143"/>
      <c r="P99" s="477"/>
      <c r="Q99" s="477"/>
      <c r="R99" s="477"/>
      <c r="S99" s="477"/>
      <c r="T99" s="477"/>
      <c r="U99" s="477"/>
      <c r="V99" s="477"/>
      <c r="W99" s="2">
        <f t="shared" si="25"/>
        <v>-3.1104296701089384E-3</v>
      </c>
      <c r="X99" s="2">
        <f t="shared" si="26"/>
        <v>0.11833945248523431</v>
      </c>
      <c r="Y99" s="17">
        <f t="shared" ref="Y99:Y132" si="27">-0.0044534+0.134411*AM99+1.315906*AN99</f>
        <v>0.13331231543215236</v>
      </c>
      <c r="Z99" s="17"/>
      <c r="AA99" s="17"/>
      <c r="AB99" s="17">
        <f t="shared" si="17"/>
        <v>6.2687684567847596E-2</v>
      </c>
      <c r="AC99" s="461">
        <v>86.47548087515618</v>
      </c>
      <c r="AD99" s="461">
        <f t="shared" si="10"/>
        <v>0.12889375421337523</v>
      </c>
      <c r="AE99" s="46">
        <v>75.269672509245652</v>
      </c>
      <c r="AF99">
        <v>75.269672509245652</v>
      </c>
      <c r="AG99" s="82">
        <f t="shared" si="12"/>
        <v>5.0686085128754277E-2</v>
      </c>
      <c r="AH99">
        <v>27.171049392857139</v>
      </c>
      <c r="AI99" s="35">
        <f t="shared" si="7"/>
        <v>5.3011519540366869E-3</v>
      </c>
      <c r="AJ99" s="99">
        <f t="shared" si="13"/>
        <v>2045.1559895328946</v>
      </c>
      <c r="AK99" s="6">
        <v>398576.13637790002</v>
      </c>
      <c r="AL99" s="6"/>
      <c r="AM99" s="20">
        <f t="shared" si="19"/>
        <v>2.8096397815218666E-2</v>
      </c>
      <c r="AN99" s="9">
        <v>0.101822812955797</v>
      </c>
      <c r="AO99">
        <v>3.1E-2</v>
      </c>
      <c r="AP99">
        <f t="shared" si="18"/>
        <v>6.8693320034720839E-2</v>
      </c>
      <c r="AQ99">
        <f t="shared" si="16"/>
        <v>6.8693320034720839E-2</v>
      </c>
      <c r="AS99" s="140">
        <v>7828.16</v>
      </c>
      <c r="AT99" s="33">
        <f t="shared" si="6"/>
        <v>0.26077629247866008</v>
      </c>
      <c r="AV99" s="82">
        <f t="shared" ref="AV99:AV108" si="28">AS99/AVERAGE($AS$98:$AS$109)</f>
        <v>0.88279810907487499</v>
      </c>
    </row>
    <row r="100" spans="1:52">
      <c r="A100">
        <v>2018</v>
      </c>
      <c r="B100">
        <v>1</v>
      </c>
      <c r="C100" t="s">
        <v>104</v>
      </c>
      <c r="D100" s="33">
        <f t="shared" si="21"/>
        <v>2.7428302508981438E-2</v>
      </c>
      <c r="E100" s="33">
        <f t="shared" si="22"/>
        <v>5.4199395903721603</v>
      </c>
      <c r="F100" s="33"/>
      <c r="G100" s="511"/>
      <c r="H100" s="511">
        <v>2.9999999999999714E-3</v>
      </c>
      <c r="I100" s="33"/>
      <c r="J100" s="2">
        <v>0.15900000000000006</v>
      </c>
      <c r="K100" s="2">
        <f t="shared" si="23"/>
        <v>0.13586697713880749</v>
      </c>
      <c r="L100" s="2"/>
      <c r="M100" s="143">
        <f t="shared" si="24"/>
        <v>1.0203659612672811</v>
      </c>
      <c r="N100" s="143"/>
      <c r="O100" s="143"/>
      <c r="P100" s="477"/>
      <c r="Q100" s="477"/>
      <c r="R100" s="477"/>
      <c r="S100" s="477"/>
      <c r="T100" s="477"/>
      <c r="U100" s="477"/>
      <c r="V100" s="477"/>
      <c r="W100" s="2">
        <f t="shared" si="25"/>
        <v>-7.0547900883659656E-3</v>
      </c>
      <c r="X100" s="2">
        <f t="shared" si="26"/>
        <v>0.1290173748039293</v>
      </c>
      <c r="Y100" s="17">
        <f t="shared" si="27"/>
        <v>0.14590923025008054</v>
      </c>
      <c r="Z100" s="17"/>
      <c r="AA100" s="17"/>
      <c r="AB100" s="17">
        <f t="shared" si="17"/>
        <v>1.3090769749919517E-2</v>
      </c>
      <c r="AC100" s="461">
        <v>86.154866743385099</v>
      </c>
      <c r="AD100" s="461">
        <f t="shared" si="10"/>
        <v>0.24170895337125398</v>
      </c>
      <c r="AE100" s="46">
        <v>74.657931138553849</v>
      </c>
      <c r="AF100">
        <v>74.657931138553849</v>
      </c>
      <c r="AG100" s="82">
        <f t="shared" si="12"/>
        <v>1.4363425783607164E-2</v>
      </c>
      <c r="AH100">
        <v>26.341204741935485</v>
      </c>
      <c r="AI100" s="35">
        <f t="shared" si="7"/>
        <v>-2.4456276535538723E-2</v>
      </c>
      <c r="AJ100" s="99">
        <f t="shared" si="13"/>
        <v>1966.5798497299675</v>
      </c>
      <c r="AK100" s="6">
        <v>399028.87744614005</v>
      </c>
      <c r="AL100" s="6"/>
      <c r="AM100" s="20">
        <f t="shared" si="19"/>
        <v>3.3079782814434022E-2</v>
      </c>
      <c r="AN100" s="9">
        <v>0.11088660098989567</v>
      </c>
      <c r="AO100">
        <v>3.1E-2</v>
      </c>
      <c r="AP100">
        <f t="shared" si="18"/>
        <v>7.7484579039666102E-2</v>
      </c>
      <c r="AQ100">
        <f t="shared" si="16"/>
        <v>7.7484579039666102E-2</v>
      </c>
      <c r="AS100" s="140">
        <v>8381.94</v>
      </c>
      <c r="AT100" s="33">
        <f t="shared" si="6"/>
        <v>0.2414010663507109</v>
      </c>
      <c r="AV100" s="82">
        <f t="shared" si="28"/>
        <v>0.94524904733411919</v>
      </c>
    </row>
    <row r="101" spans="1:52">
      <c r="A101">
        <v>2018</v>
      </c>
      <c r="B101">
        <v>2</v>
      </c>
      <c r="C101" t="s">
        <v>105</v>
      </c>
      <c r="D101" s="33">
        <f t="shared" si="21"/>
        <v>5.1591050126016211E-2</v>
      </c>
      <c r="E101" s="33">
        <f t="shared" si="22"/>
        <v>5.1406754010325386</v>
      </c>
      <c r="F101" s="33"/>
      <c r="G101" s="511"/>
      <c r="H101" s="511">
        <v>0</v>
      </c>
      <c r="I101" s="33"/>
      <c r="J101" s="2">
        <v>0.14099999999999993</v>
      </c>
      <c r="K101" s="2">
        <f t="shared" si="23"/>
        <v>0.1974398816946005</v>
      </c>
      <c r="L101" s="2"/>
      <c r="M101" s="143">
        <f t="shared" si="24"/>
        <v>0.9528662085191888</v>
      </c>
      <c r="N101" s="143"/>
      <c r="O101" s="143"/>
      <c r="P101" s="477"/>
      <c r="Q101" s="477"/>
      <c r="R101" s="477"/>
      <c r="S101" s="477"/>
      <c r="T101" s="477"/>
      <c r="U101" s="477"/>
      <c r="V101" s="477"/>
      <c r="W101" s="2">
        <f t="shared" si="25"/>
        <v>-3.9558517236432458E-3</v>
      </c>
      <c r="X101" s="2">
        <f t="shared" si="26"/>
        <v>0.1576266081710683</v>
      </c>
      <c r="Y101" s="17">
        <f t="shared" si="27"/>
        <v>0.15584151698566787</v>
      </c>
      <c r="Z101" s="17"/>
      <c r="AA101" s="17"/>
      <c r="AB101" s="17">
        <f t="shared" si="17"/>
        <v>-1.4841516985667935E-2</v>
      </c>
      <c r="AC101" s="461">
        <v>90.740455130918136</v>
      </c>
      <c r="AD101" s="461">
        <f t="shared" si="10"/>
        <v>0.2986518375115117</v>
      </c>
      <c r="AE101" s="46">
        <v>75.396752957126495</v>
      </c>
      <c r="AF101">
        <v>75.396752957126495</v>
      </c>
      <c r="AG101" s="82">
        <f t="shared" si="12"/>
        <v>6.9458201793389351E-2</v>
      </c>
      <c r="AH101">
        <v>26.151748566666662</v>
      </c>
      <c r="AI101" s="35">
        <f t="shared" si="7"/>
        <v>-2.6253232770499291E-2</v>
      </c>
      <c r="AJ101" s="99">
        <f t="shared" si="13"/>
        <v>1971.7569260778532</v>
      </c>
      <c r="AK101" s="6">
        <v>402736.60908731003</v>
      </c>
      <c r="AL101" s="6"/>
      <c r="AM101" s="20">
        <f t="shared" si="19"/>
        <v>0.10995723686070069</v>
      </c>
      <c r="AN101" s="9">
        <v>0.11058195252699221</v>
      </c>
      <c r="AO101">
        <v>3.7999999999999999E-2</v>
      </c>
      <c r="AP101">
        <f t="shared" si="18"/>
        <v>6.9924809756254591E-2</v>
      </c>
      <c r="AQ101">
        <f t="shared" si="16"/>
        <v>6.9924809756254591E-2</v>
      </c>
      <c r="AS101" s="140">
        <v>8480.24</v>
      </c>
      <c r="AT101" s="33">
        <f t="shared" si="6"/>
        <v>0.27350052560444515</v>
      </c>
      <c r="AV101" s="82">
        <f t="shared" si="28"/>
        <v>0.95633454560217446</v>
      </c>
    </row>
    <row r="102" spans="1:52">
      <c r="A102">
        <v>2018</v>
      </c>
      <c r="B102">
        <v>2</v>
      </c>
      <c r="C102" t="s">
        <v>106</v>
      </c>
      <c r="D102" s="33">
        <f t="shared" si="21"/>
        <v>8.0342896174223452E-2</v>
      </c>
      <c r="E102" s="33">
        <f t="shared" si="22"/>
        <v>3.1982291423991427</v>
      </c>
      <c r="F102" s="33"/>
      <c r="G102" s="511"/>
      <c r="H102" s="511">
        <v>7.9999999999999724E-3</v>
      </c>
      <c r="I102" s="33"/>
      <c r="J102" s="2">
        <v>0.16500000000000001</v>
      </c>
      <c r="K102" s="2">
        <f t="shared" si="23"/>
        <v>0.21970764066849127</v>
      </c>
      <c r="L102" s="2"/>
      <c r="M102" s="143">
        <f t="shared" si="24"/>
        <v>0.95514692304583149</v>
      </c>
      <c r="N102" s="143"/>
      <c r="O102" s="143"/>
      <c r="P102" s="477"/>
      <c r="Q102" s="477"/>
      <c r="R102" s="477"/>
      <c r="S102" s="477"/>
      <c r="T102" s="477"/>
      <c r="U102" s="477"/>
      <c r="V102" s="477"/>
      <c r="W102" s="2">
        <f t="shared" si="25"/>
        <v>3.9575945546151819E-3</v>
      </c>
      <c r="X102" s="2">
        <f t="shared" si="26"/>
        <v>0.19070142240907045</v>
      </c>
      <c r="Y102" s="17">
        <f t="shared" si="27"/>
        <v>0.17261542149295048</v>
      </c>
      <c r="Z102" s="17"/>
      <c r="AA102" s="17"/>
      <c r="AB102" s="17">
        <f t="shared" si="17"/>
        <v>-7.6154214929504693E-3</v>
      </c>
      <c r="AC102" s="461">
        <v>98.185253276709858</v>
      </c>
      <c r="AD102" s="461">
        <f t="shared" si="10"/>
        <v>0.45121024852487412</v>
      </c>
      <c r="AE102" s="46">
        <v>78.363900522588381</v>
      </c>
      <c r="AF102">
        <v>78.363900522588381</v>
      </c>
      <c r="AG102" s="82">
        <f t="shared" si="12"/>
        <v>0.18474155042500473</v>
      </c>
      <c r="AH102">
        <v>26.181224580645161</v>
      </c>
      <c r="AI102" s="35">
        <f t="shared" si="7"/>
        <v>-9.176174554965999E-3</v>
      </c>
      <c r="AJ102" s="99">
        <f t="shared" si="13"/>
        <v>2051.662878597223</v>
      </c>
      <c r="AK102" s="6">
        <v>409736.94888907997</v>
      </c>
      <c r="AL102" s="6"/>
      <c r="AM102" s="20">
        <f t="shared" si="19"/>
        <v>0.21605203190556521</v>
      </c>
      <c r="AN102" s="9">
        <v>0.11249211709080401</v>
      </c>
      <c r="AO102">
        <v>3.7999999999999999E-2</v>
      </c>
      <c r="AP102">
        <f t="shared" si="18"/>
        <v>7.1765045366863234E-2</v>
      </c>
      <c r="AQ102">
        <f t="shared" si="16"/>
        <v>7.1765045366863234E-2</v>
      </c>
      <c r="AS102" s="140">
        <v>8724.75</v>
      </c>
      <c r="AT102" s="33">
        <f t="shared" si="6"/>
        <v>0.27554824561403501</v>
      </c>
      <c r="AV102" s="82">
        <f t="shared" si="28"/>
        <v>0.98390845385774128</v>
      </c>
    </row>
    <row r="103" spans="1:52">
      <c r="A103">
        <v>2018</v>
      </c>
      <c r="B103">
        <v>2</v>
      </c>
      <c r="C103" t="s">
        <v>107</v>
      </c>
      <c r="D103" s="33">
        <f t="shared" si="21"/>
        <v>8.6348716275759574E-2</v>
      </c>
      <c r="E103" s="33">
        <f t="shared" si="22"/>
        <v>2.2901838091695912</v>
      </c>
      <c r="F103" s="33"/>
      <c r="G103" s="511"/>
      <c r="H103" s="511">
        <v>1.0999999999999944E-2</v>
      </c>
      <c r="I103" s="33"/>
      <c r="J103" s="2">
        <v>0.18400000000000005</v>
      </c>
      <c r="K103" s="2">
        <f t="shared" si="23"/>
        <v>0.17658701686110681</v>
      </c>
      <c r="L103" s="2"/>
      <c r="M103" s="143">
        <f t="shared" si="24"/>
        <v>1.0063004121519799</v>
      </c>
      <c r="N103" s="143"/>
      <c r="O103" s="143"/>
      <c r="P103" s="477"/>
      <c r="Q103" s="477"/>
      <c r="R103" s="477"/>
      <c r="S103" s="477"/>
      <c r="T103" s="477"/>
      <c r="U103" s="477"/>
      <c r="V103" s="477"/>
      <c r="W103" s="2">
        <f t="shared" si="25"/>
        <v>9.334692664563847E-3</v>
      </c>
      <c r="X103" s="2">
        <f t="shared" si="26"/>
        <v>0.18364279485571569</v>
      </c>
      <c r="Y103" s="17">
        <f t="shared" si="27"/>
        <v>0.16122772790400244</v>
      </c>
      <c r="Z103" s="17"/>
      <c r="AA103" s="17"/>
      <c r="AB103" s="17">
        <f t="shared" si="17"/>
        <v>2.2772272095997609E-2</v>
      </c>
      <c r="AC103" s="461">
        <v>97.727948001731448</v>
      </c>
      <c r="AD103" s="461">
        <f t="shared" si="10"/>
        <v>0.47234259052012462</v>
      </c>
      <c r="AE103" s="46">
        <v>76.451548015658631</v>
      </c>
      <c r="AF103">
        <v>76.451548015658631</v>
      </c>
      <c r="AG103" s="82">
        <f t="shared" si="12"/>
        <v>0.19736333569779507</v>
      </c>
      <c r="AH103">
        <v>26.202170466666676</v>
      </c>
      <c r="AI103" s="35">
        <f t="shared" si="7"/>
        <v>3.5739709260491637E-3</v>
      </c>
      <c r="AJ103" s="99">
        <f t="shared" si="13"/>
        <v>2003.19649354684</v>
      </c>
      <c r="AK103" s="6">
        <v>413593.61552715499</v>
      </c>
      <c r="AL103" s="6"/>
      <c r="AM103" s="20">
        <f t="shared" si="19"/>
        <v>0.22523082694885987</v>
      </c>
      <c r="AN103" s="9">
        <v>0.10290068380490647</v>
      </c>
      <c r="AO103">
        <v>3.7999999999999999E-2</v>
      </c>
      <c r="AP103">
        <f t="shared" si="18"/>
        <v>6.2524743550006256E-2</v>
      </c>
      <c r="AQ103">
        <f t="shared" si="16"/>
        <v>6.2524743550006256E-2</v>
      </c>
      <c r="AS103" s="140">
        <v>9141.17</v>
      </c>
      <c r="AT103" s="33">
        <f t="shared" ref="AT103:AT145" si="29">AS103/AS91-1</f>
        <v>0.24200679347826082</v>
      </c>
      <c r="AV103" s="82">
        <f t="shared" si="28"/>
        <v>1.0308690152899245</v>
      </c>
    </row>
    <row r="104" spans="1:52">
      <c r="A104">
        <v>2018</v>
      </c>
      <c r="B104">
        <v>3</v>
      </c>
      <c r="C104" t="s">
        <v>108</v>
      </c>
      <c r="D104" s="33">
        <f t="shared" si="21"/>
        <v>6.4007019717460076E-2</v>
      </c>
      <c r="E104" s="33">
        <f t="shared" si="22"/>
        <v>2.0961516025549942</v>
      </c>
      <c r="F104" s="33"/>
      <c r="G104" s="511"/>
      <c r="H104" s="511">
        <v>1.5999999999999945E-2</v>
      </c>
      <c r="I104" s="33"/>
      <c r="J104" s="2">
        <v>0.18099999999999994</v>
      </c>
      <c r="K104" s="2">
        <f t="shared" si="23"/>
        <v>0.16818521279452589</v>
      </c>
      <c r="L104" s="2"/>
      <c r="M104" s="143">
        <f t="shared" si="24"/>
        <v>1.010969824874618</v>
      </c>
      <c r="N104" s="143"/>
      <c r="O104" s="143"/>
      <c r="P104" s="477"/>
      <c r="Q104" s="477"/>
      <c r="R104" s="477"/>
      <c r="S104" s="477"/>
      <c r="T104" s="477"/>
      <c r="U104" s="477"/>
      <c r="V104" s="477"/>
      <c r="W104" s="2">
        <f t="shared" si="25"/>
        <v>8.2770209261603667E-3</v>
      </c>
      <c r="X104" s="2">
        <f t="shared" si="26"/>
        <v>0.15668490982279731</v>
      </c>
      <c r="Y104" s="17">
        <f t="shared" si="27"/>
        <v>0.15404947111338133</v>
      </c>
      <c r="Z104" s="17"/>
      <c r="AA104" s="17"/>
      <c r="AB104" s="17">
        <f t="shared" si="17"/>
        <v>2.6950528886618613E-2</v>
      </c>
      <c r="AC104" s="461">
        <v>98.385843190687083</v>
      </c>
      <c r="AD104" s="461">
        <f t="shared" si="10"/>
        <v>0.43657237496092449</v>
      </c>
      <c r="AE104" s="46">
        <v>75.97280063106021</v>
      </c>
      <c r="AF104">
        <v>75.97280063106021</v>
      </c>
      <c r="AG104" s="82">
        <f t="shared" si="12"/>
        <v>0.21322228547615873</v>
      </c>
      <c r="AH104">
        <v>26.400686419354855</v>
      </c>
      <c r="AI104" s="35">
        <f t="shared" si="7"/>
        <v>1.6610803550173969E-2</v>
      </c>
      <c r="AJ104" s="99">
        <f t="shared" si="13"/>
        <v>2005.7340858607852</v>
      </c>
      <c r="AK104" s="6">
        <v>420276.45875314501</v>
      </c>
      <c r="AL104" s="6"/>
      <c r="AM104" s="20">
        <f t="shared" si="19"/>
        <v>0.16021646455507521</v>
      </c>
      <c r="AN104" s="9">
        <v>0.10408647418285888</v>
      </c>
      <c r="AO104">
        <v>2.8000000000000001E-2</v>
      </c>
      <c r="AP104">
        <f t="shared" si="18"/>
        <v>7.4014079944415334E-2</v>
      </c>
      <c r="AQ104">
        <f t="shared" si="16"/>
        <v>7.4014079944415334E-2</v>
      </c>
      <c r="AS104" s="140">
        <v>9170.2800000000007</v>
      </c>
      <c r="AT104" s="33">
        <f t="shared" si="29"/>
        <v>0.24952718353999193</v>
      </c>
      <c r="AV104" s="82">
        <f t="shared" si="28"/>
        <v>1.0341518113691015</v>
      </c>
    </row>
    <row r="105" spans="1:52">
      <c r="A105">
        <v>2018</v>
      </c>
      <c r="B105">
        <v>3</v>
      </c>
      <c r="C105" t="s">
        <v>109</v>
      </c>
      <c r="D105" s="33">
        <f t="shared" si="21"/>
        <v>7.5575863585846878E-2</v>
      </c>
      <c r="E105" s="33">
        <f t="shared" si="22"/>
        <v>3.015294273220984</v>
      </c>
      <c r="F105" s="33"/>
      <c r="G105" s="511"/>
      <c r="H105" s="511">
        <v>1.2999999999999972E-2</v>
      </c>
      <c r="I105" s="33"/>
      <c r="J105" s="2">
        <v>0.19299999999999998</v>
      </c>
      <c r="K105" s="2">
        <f t="shared" si="23"/>
        <v>0.19399484510168843</v>
      </c>
      <c r="L105" s="2"/>
      <c r="M105" s="143">
        <f t="shared" si="24"/>
        <v>0.99916679280001108</v>
      </c>
      <c r="N105" s="143"/>
      <c r="O105" s="143"/>
      <c r="P105" s="477"/>
      <c r="Q105" s="477"/>
      <c r="R105" s="477"/>
      <c r="S105" s="477"/>
      <c r="T105" s="477"/>
      <c r="U105" s="477"/>
      <c r="V105" s="477"/>
      <c r="W105" s="2">
        <f t="shared" si="25"/>
        <v>9.3141034162097652E-3</v>
      </c>
      <c r="X105" s="2">
        <f t="shared" si="26"/>
        <v>0.17809590420135313</v>
      </c>
      <c r="Y105" s="17">
        <f t="shared" si="27"/>
        <v>0.16942277939897865</v>
      </c>
      <c r="Z105" s="17"/>
      <c r="AA105" s="17"/>
      <c r="AB105" s="17">
        <f t="shared" si="17"/>
        <v>2.3577220601021326E-2</v>
      </c>
      <c r="AC105" s="461">
        <v>97.316461206278575</v>
      </c>
      <c r="AD105" s="461">
        <f t="shared" si="10"/>
        <v>0.32377948281262325</v>
      </c>
      <c r="AE105" s="46">
        <v>76.844156875346499</v>
      </c>
      <c r="AF105">
        <v>76.844156875346499</v>
      </c>
      <c r="AG105" s="82">
        <f t="shared" si="12"/>
        <v>0.1543486972247301</v>
      </c>
      <c r="AH105">
        <v>27.482209032258066</v>
      </c>
      <c r="AI105" s="35">
        <f t="shared" si="7"/>
        <v>7.204673524575167E-2</v>
      </c>
      <c r="AJ105" s="99">
        <f t="shared" si="13"/>
        <v>2111.8471821559033</v>
      </c>
      <c r="AK105" s="6">
        <v>421242.39181953506</v>
      </c>
      <c r="AL105" s="6"/>
      <c r="AM105" s="20">
        <f t="shared" si="19"/>
        <v>0.21049738282033736</v>
      </c>
      <c r="AN105" s="9">
        <v>0.11063329422976587</v>
      </c>
      <c r="AO105">
        <v>2.8000000000000001E-2</v>
      </c>
      <c r="AP105">
        <f t="shared" si="18"/>
        <v>8.0382581935569908E-2</v>
      </c>
      <c r="AQ105">
        <f t="shared" si="16"/>
        <v>8.0382581935569908E-2</v>
      </c>
      <c r="AS105" s="140">
        <v>8977.2800000000007</v>
      </c>
      <c r="AT105" s="33">
        <f t="shared" si="29"/>
        <v>0.26191734607815587</v>
      </c>
      <c r="AV105" s="82">
        <f t="shared" si="28"/>
        <v>1.0123867944236826</v>
      </c>
      <c r="AW105" s="36">
        <v>2019</v>
      </c>
      <c r="AX105" s="36">
        <v>2018</v>
      </c>
      <c r="AY105" s="36">
        <v>2017</v>
      </c>
    </row>
    <row r="106" spans="1:52">
      <c r="A106">
        <v>2018</v>
      </c>
      <c r="B106">
        <v>3</v>
      </c>
      <c r="C106" t="s">
        <v>110</v>
      </c>
      <c r="D106" s="33">
        <f t="shared" si="21"/>
        <v>7.5731122869040102E-2</v>
      </c>
      <c r="E106" s="33">
        <f t="shared" si="22"/>
        <v>2.5007984167500026</v>
      </c>
      <c r="F106" s="33"/>
      <c r="G106" s="511"/>
      <c r="H106" s="511">
        <v>1.2000000000000028E-2</v>
      </c>
      <c r="I106" s="33"/>
      <c r="J106" s="2">
        <v>0.18900000000000006</v>
      </c>
      <c r="K106" s="2">
        <f t="shared" si="23"/>
        <v>0.15490698361080465</v>
      </c>
      <c r="L106" s="2"/>
      <c r="M106" s="143">
        <f t="shared" si="24"/>
        <v>1.0295201404727885</v>
      </c>
      <c r="N106" s="143"/>
      <c r="O106" s="143"/>
      <c r="P106" s="477"/>
      <c r="Q106" s="477"/>
      <c r="R106" s="477"/>
      <c r="S106" s="477"/>
      <c r="T106" s="477"/>
      <c r="U106" s="477"/>
      <c r="V106" s="477"/>
      <c r="W106" s="2">
        <f t="shared" si="25"/>
        <v>4.1277914053750864E-3</v>
      </c>
      <c r="X106" s="2">
        <f t="shared" si="26"/>
        <v>0.19799411904420711</v>
      </c>
      <c r="Y106" s="17">
        <f t="shared" si="27"/>
        <v>0.19050581990363946</v>
      </c>
      <c r="Z106" s="17"/>
      <c r="AA106" s="17"/>
      <c r="AB106" s="17">
        <f t="shared" si="17"/>
        <v>-1.5058199036394049E-3</v>
      </c>
      <c r="AC106" s="461">
        <v>106.67795328557538</v>
      </c>
      <c r="AD106" s="461">
        <f t="shared" si="10"/>
        <v>0.35649714768757268</v>
      </c>
      <c r="AE106" s="46">
        <v>78.55485260238865</v>
      </c>
      <c r="AF106">
        <v>78.55485260238865</v>
      </c>
      <c r="AG106" s="82">
        <f t="shared" si="12"/>
        <v>0.15428301283890322</v>
      </c>
      <c r="AH106">
        <v>28.191267433333341</v>
      </c>
      <c r="AI106" s="35">
        <f t="shared" si="7"/>
        <v>7.9769109296273122E-2</v>
      </c>
      <c r="AJ106" s="99">
        <f t="shared" si="13"/>
        <v>2214.56085790002</v>
      </c>
      <c r="AK106" s="6">
        <v>423121.501683485</v>
      </c>
      <c r="AL106" s="6"/>
      <c r="AM106" s="20">
        <f t="shared" si="19"/>
        <v>0.22952914509294264</v>
      </c>
      <c r="AN106" s="9">
        <v>0.12471101885890934</v>
      </c>
      <c r="AO106">
        <v>2.8000000000000001E-2</v>
      </c>
      <c r="AP106">
        <f t="shared" si="18"/>
        <v>9.4076866594269726E-2</v>
      </c>
      <c r="AQ106">
        <f t="shared" si="16"/>
        <v>9.4076866594269726E-2</v>
      </c>
      <c r="AS106" s="140">
        <v>9042</v>
      </c>
      <c r="AT106" s="33">
        <f t="shared" si="29"/>
        <v>0.23003672969663991</v>
      </c>
      <c r="AV106" s="82">
        <f t="shared" si="28"/>
        <v>1.019685405287452</v>
      </c>
      <c r="AW106" s="37">
        <f>SUM(AW107:AW108)</f>
        <v>1735528</v>
      </c>
      <c r="AX106" s="37">
        <f>SUM(AX107:AX108)</f>
        <v>1515833</v>
      </c>
      <c r="AY106" s="37">
        <f>SUM(AY107:AY108)</f>
        <v>1257756</v>
      </c>
    </row>
    <row r="107" spans="1:52">
      <c r="A107">
        <v>2018</v>
      </c>
      <c r="B107">
        <v>4</v>
      </c>
      <c r="C107" t="s">
        <v>111</v>
      </c>
      <c r="D107" s="33">
        <f t="shared" si="21"/>
        <v>7.8827083412115917E-2</v>
      </c>
      <c r="E107" s="33">
        <f t="shared" si="22"/>
        <v>2.1919653863717241</v>
      </c>
      <c r="F107" s="33"/>
      <c r="G107" s="511"/>
      <c r="H107" s="511">
        <v>2.9999999999999714E-3</v>
      </c>
      <c r="I107" s="33"/>
      <c r="J107" s="2">
        <v>0.16600000000000001</v>
      </c>
      <c r="K107" s="2">
        <f t="shared" si="23"/>
        <v>0.18683373411880702</v>
      </c>
      <c r="L107" s="2"/>
      <c r="M107" s="143">
        <f t="shared" si="24"/>
        <v>0.98244595386878208</v>
      </c>
      <c r="N107" s="143"/>
      <c r="O107" s="143"/>
      <c r="P107" s="477"/>
      <c r="Q107" s="477"/>
      <c r="R107" s="477"/>
      <c r="S107" s="477"/>
      <c r="T107" s="477"/>
      <c r="U107" s="477"/>
      <c r="V107" s="477"/>
      <c r="W107" s="2">
        <f t="shared" si="25"/>
        <v>-8.9025450059702915E-4</v>
      </c>
      <c r="X107" s="2">
        <f t="shared" si="26"/>
        <v>0.21458224239794235</v>
      </c>
      <c r="Y107" s="17">
        <f t="shared" si="27"/>
        <v>0.20262312501480143</v>
      </c>
      <c r="Z107" s="17"/>
      <c r="AA107" s="17"/>
      <c r="AB107" s="17">
        <f t="shared" si="17"/>
        <v>-3.6623125014801416E-2</v>
      </c>
      <c r="AC107" s="461">
        <v>104.57609401954434</v>
      </c>
      <c r="AD107" s="461">
        <f t="shared" si="10"/>
        <v>0.29924888479258605</v>
      </c>
      <c r="AE107" s="46">
        <v>79.759937042523134</v>
      </c>
      <c r="AF107">
        <v>79.759937042523134</v>
      </c>
      <c r="AG107" s="82">
        <f t="shared" si="12"/>
        <v>0.15616472169646967</v>
      </c>
      <c r="AH107">
        <v>28.127382419354841</v>
      </c>
      <c r="AI107" s="35">
        <f t="shared" si="7"/>
        <v>5.5239414284052435E-2</v>
      </c>
      <c r="AJ107" s="99">
        <f t="shared" si="13"/>
        <v>2243.4382509387142</v>
      </c>
      <c r="AK107" s="6">
        <v>424687.53344728501</v>
      </c>
      <c r="AL107" s="6"/>
      <c r="AM107" s="20">
        <f t="shared" si="19"/>
        <v>0.24367966518920481</v>
      </c>
      <c r="AN107" s="9">
        <v>0.13247397423300389</v>
      </c>
      <c r="AO107">
        <v>3.3000000000000002E-2</v>
      </c>
      <c r="AP107">
        <f t="shared" si="18"/>
        <v>9.629619964472802E-2</v>
      </c>
      <c r="AQ107">
        <f t="shared" si="16"/>
        <v>9.629619964472802E-2</v>
      </c>
      <c r="AS107" s="140">
        <v>9218</v>
      </c>
      <c r="AT107" s="33">
        <f t="shared" si="29"/>
        <v>0.24955944150738785</v>
      </c>
      <c r="AV107" s="82">
        <f>AS107/AVERAGE($AS$98:$AS$109)</f>
        <v>1.0395332963879378</v>
      </c>
      <c r="AW107" s="38">
        <v>807755</v>
      </c>
      <c r="AX107" s="38">
        <v>705013</v>
      </c>
      <c r="AY107" s="39">
        <v>592523</v>
      </c>
      <c r="AZ107" s="40"/>
    </row>
    <row r="108" spans="1:52">
      <c r="A108">
        <v>2018</v>
      </c>
      <c r="B108">
        <v>4</v>
      </c>
      <c r="C108" t="s">
        <v>112</v>
      </c>
      <c r="D108" s="33">
        <f t="shared" si="21"/>
        <v>4.6752712224859529E-2</v>
      </c>
      <c r="E108" s="33">
        <f t="shared" si="22"/>
        <v>2.0931892042404185</v>
      </c>
      <c r="F108" s="33"/>
      <c r="G108" s="511"/>
      <c r="H108" s="511">
        <v>1.7000000000000029E-2</v>
      </c>
      <c r="I108" s="33"/>
      <c r="J108" s="2">
        <v>0.16500000000000001</v>
      </c>
      <c r="K108" s="2">
        <f t="shared" si="23"/>
        <v>0.13327878095565296</v>
      </c>
      <c r="L108" s="2"/>
      <c r="M108" s="143">
        <f t="shared" si="24"/>
        <v>1.0279906582364471</v>
      </c>
      <c r="N108" s="143"/>
      <c r="O108" s="143"/>
      <c r="P108" s="477"/>
      <c r="Q108" s="477"/>
      <c r="R108" s="477"/>
      <c r="S108" s="477"/>
      <c r="T108" s="477"/>
      <c r="U108" s="477"/>
      <c r="V108" s="477"/>
      <c r="W108" s="2">
        <f t="shared" si="25"/>
        <v>-1.1555476608604058E-2</v>
      </c>
      <c r="X108" s="2">
        <f t="shared" si="26"/>
        <v>0.18458695027007221</v>
      </c>
      <c r="Y108" s="17">
        <f t="shared" si="27"/>
        <v>0.19126590413607206</v>
      </c>
      <c r="Z108" s="17"/>
      <c r="AA108" s="17"/>
      <c r="AB108" s="17">
        <f t="shared" si="17"/>
        <v>-2.6265904136072049E-2</v>
      </c>
      <c r="AC108" s="461">
        <v>91.460188676505638</v>
      </c>
      <c r="AD108" s="461">
        <f t="shared" si="10"/>
        <v>7.5727808319512313E-2</v>
      </c>
      <c r="AE108" s="46">
        <v>75.728329709699693</v>
      </c>
      <c r="AF108">
        <v>75.728329709699693</v>
      </c>
      <c r="AG108" s="82">
        <f t="shared" si="12"/>
        <v>0.11900262351231961</v>
      </c>
      <c r="AH108">
        <v>27.933498133333334</v>
      </c>
      <c r="AI108" s="35">
        <f t="shared" si="7"/>
        <v>4.5991794387575391E-2</v>
      </c>
      <c r="AJ108" s="99">
        <f t="shared" si="13"/>
        <v>2115.3571565863476</v>
      </c>
      <c r="AK108" s="6">
        <v>428772.78269590996</v>
      </c>
      <c r="AL108" s="6"/>
      <c r="AM108" s="20">
        <f t="shared" si="19"/>
        <v>0.1317525727701363</v>
      </c>
      <c r="AN108" s="9">
        <v>0.13527585486916638</v>
      </c>
      <c r="AO108">
        <v>3.3000000000000002E-2</v>
      </c>
      <c r="AP108">
        <f t="shared" si="18"/>
        <v>9.9008571993384864E-2</v>
      </c>
      <c r="AQ108">
        <f t="shared" si="16"/>
        <v>9.9008571993384864E-2</v>
      </c>
      <c r="AS108" s="140">
        <v>9161</v>
      </c>
      <c r="AT108" s="33">
        <f t="shared" si="29"/>
        <v>0.22489637652092531</v>
      </c>
      <c r="AV108" s="82">
        <f t="shared" si="28"/>
        <v>1.0331052862019849</v>
      </c>
      <c r="AW108" s="38">
        <v>927773</v>
      </c>
      <c r="AX108" s="38">
        <v>810820</v>
      </c>
      <c r="AY108" s="38">
        <v>665233</v>
      </c>
    </row>
    <row r="109" spans="1:52">
      <c r="A109">
        <v>2018</v>
      </c>
      <c r="B109">
        <v>4</v>
      </c>
      <c r="C109" s="13" t="s">
        <v>113</v>
      </c>
      <c r="D109" s="30">
        <f t="shared" si="21"/>
        <v>2.429359252170777E-2</v>
      </c>
      <c r="E109" s="30">
        <f t="shared" si="22"/>
        <v>3.0372569470845634</v>
      </c>
      <c r="F109" s="30"/>
      <c r="G109" s="512"/>
      <c r="H109" s="512">
        <v>-4.0000000000000565E-3</v>
      </c>
      <c r="I109" s="30"/>
      <c r="J109" s="11">
        <v>0.14199999999999999</v>
      </c>
      <c r="K109" s="11">
        <f t="shared" si="23"/>
        <v>8.6755339711906881E-2</v>
      </c>
      <c r="L109" s="11"/>
      <c r="M109" s="144">
        <f t="shared" si="24"/>
        <v>1.0508344962931013</v>
      </c>
      <c r="N109" s="144"/>
      <c r="O109" s="144"/>
      <c r="P109" s="478"/>
      <c r="Q109" s="478"/>
      <c r="R109" s="478"/>
      <c r="S109" s="478"/>
      <c r="T109" s="478"/>
      <c r="U109" s="478"/>
      <c r="V109" s="478"/>
      <c r="W109" s="11">
        <f t="shared" si="25"/>
        <v>-1.1259902212458282E-2</v>
      </c>
      <c r="X109" s="11">
        <f t="shared" si="26"/>
        <v>0.13438645191942405</v>
      </c>
      <c r="Y109" s="42">
        <f t="shared" si="27"/>
        <v>0.15220794550817299</v>
      </c>
      <c r="Z109" s="42"/>
      <c r="AA109" s="42"/>
      <c r="AB109" s="42">
        <f t="shared" si="17"/>
        <v>-1.0207945508173E-2</v>
      </c>
      <c r="AC109" s="462">
        <v>86.379851948152307</v>
      </c>
      <c r="AD109" s="462">
        <f t="shared" si="10"/>
        <v>-2.7246999993243315E-2</v>
      </c>
      <c r="AE109" s="47">
        <v>73.748548142264482</v>
      </c>
      <c r="AF109" s="13">
        <v>73.748548142264482</v>
      </c>
      <c r="AG109" s="82">
        <f t="shared" si="12"/>
        <v>5.3703226344087973E-2</v>
      </c>
      <c r="AH109" s="13">
        <v>27.789138709677424</v>
      </c>
      <c r="AI109" s="30">
        <f t="shared" si="7"/>
        <v>9.9078987360154969E-3</v>
      </c>
      <c r="AJ109" s="99">
        <f t="shared" si="13"/>
        <v>2049.4086339627111</v>
      </c>
      <c r="AK109" s="49">
        <v>434162.50218434003</v>
      </c>
      <c r="AL109" s="49"/>
      <c r="AM109" s="20">
        <f t="shared" si="19"/>
        <v>2.614469875422154E-2</v>
      </c>
      <c r="AN109" s="44">
        <v>0.11638157315486009</v>
      </c>
      <c r="AO109" s="13">
        <v>3.3000000000000002E-2</v>
      </c>
      <c r="AP109" s="13">
        <f t="shared" si="18"/>
        <v>8.0717883015353431E-2</v>
      </c>
      <c r="AQ109">
        <f t="shared" si="16"/>
        <v>8.0717883015353431E-2</v>
      </c>
      <c r="AS109" s="140">
        <v>10573</v>
      </c>
      <c r="AT109" s="33">
        <f t="shared" si="29"/>
        <v>0.20462572633018117</v>
      </c>
      <c r="AV109" s="82">
        <f>AS109/AVERAGE($AS$98:$AS$109)</f>
        <v>1.1923395034399724</v>
      </c>
      <c r="AW109" s="33">
        <f>AW106/AX106-1</f>
        <v>0.14493351180506031</v>
      </c>
      <c r="AX109" s="33">
        <f>AX106/AY106-1</f>
        <v>0.20518844672575609</v>
      </c>
    </row>
    <row r="110" spans="1:52">
      <c r="A110">
        <v>2019</v>
      </c>
      <c r="B110">
        <v>1</v>
      </c>
      <c r="C110" t="s">
        <v>114</v>
      </c>
      <c r="D110" s="33">
        <f>0.277494*AM110-0.3743124*AQ110+0.0472523</f>
        <v>2.2712886278850163E-2</v>
      </c>
      <c r="E110" s="33">
        <f t="shared" si="22"/>
        <v>4.2809642051528529</v>
      </c>
      <c r="F110" s="33"/>
      <c r="G110" s="511"/>
      <c r="H110" s="511">
        <v>0.01</v>
      </c>
      <c r="I110" s="33"/>
      <c r="J110" s="2">
        <v>0.104</v>
      </c>
      <c r="K110" s="2">
        <f t="shared" si="23"/>
        <v>6.5361073271185482E-2</v>
      </c>
      <c r="L110" s="2"/>
      <c r="M110" s="143">
        <f t="shared" si="24"/>
        <v>1.0362683860882713</v>
      </c>
      <c r="N110" s="143"/>
      <c r="O110" s="143"/>
      <c r="P110" s="477"/>
      <c r="Q110" s="477"/>
      <c r="R110" s="477"/>
      <c r="S110" s="477"/>
      <c r="T110" s="477"/>
      <c r="U110" s="477"/>
      <c r="V110" s="477"/>
      <c r="W110" s="2">
        <f t="shared" si="25"/>
        <v>1.9626954531076143E-3</v>
      </c>
      <c r="X110" s="2">
        <f t="shared" si="26"/>
        <v>9.5507113629394583E-2</v>
      </c>
      <c r="Y110" s="17">
        <f t="shared" si="27"/>
        <v>0.11756171938123931</v>
      </c>
      <c r="Z110" s="17">
        <f>(J110+1)/(Y110+1)</f>
        <v>0.98786490343571542</v>
      </c>
      <c r="AA110" s="17"/>
      <c r="AB110" s="17">
        <f t="shared" si="17"/>
        <v>-1.3561719381239318E-2</v>
      </c>
      <c r="AC110" s="461">
        <v>84.192802594714394</v>
      </c>
      <c r="AD110" s="461">
        <f t="shared" si="10"/>
        <v>-6.0784893467426659E-2</v>
      </c>
      <c r="AE110" s="46">
        <v>75.963868861760304</v>
      </c>
      <c r="AF110">
        <v>75.523339706502668</v>
      </c>
      <c r="AG110" s="82">
        <f t="shared" si="12"/>
        <v>4.6599293710500422E-2</v>
      </c>
      <c r="AH110">
        <v>27.879174999999993</v>
      </c>
      <c r="AI110" s="35">
        <f t="shared" si="7"/>
        <v>-1.9524062637839235E-2</v>
      </c>
      <c r="AJ110" s="99">
        <f t="shared" si="13"/>
        <v>2117.8099936740659</v>
      </c>
      <c r="AK110" s="6">
        <v>432356.91939646</v>
      </c>
      <c r="AL110" s="6"/>
      <c r="AM110" s="20">
        <f t="shared" si="19"/>
        <v>6.0980948836064641E-4</v>
      </c>
      <c r="AN110" s="9">
        <v>9.2660991193975306E-2</v>
      </c>
      <c r="AO110">
        <v>2.5000000000000001E-2</v>
      </c>
      <c r="AP110">
        <f t="shared" si="18"/>
        <v>6.6010723116073589E-2</v>
      </c>
      <c r="AQ110">
        <f t="shared" si="16"/>
        <v>6.6010723116073589E-2</v>
      </c>
      <c r="AS110" s="140">
        <v>9223</v>
      </c>
      <c r="AT110" s="33">
        <f t="shared" si="29"/>
        <v>0.19601061794962571</v>
      </c>
      <c r="AV110" s="82">
        <f>AS110/AVERAGE($AS$110:$AS$121)</f>
        <v>0.87806631195250284</v>
      </c>
    </row>
    <row r="111" spans="1:52">
      <c r="A111">
        <v>2019</v>
      </c>
      <c r="B111">
        <v>1</v>
      </c>
      <c r="C111" t="s">
        <v>115</v>
      </c>
      <c r="D111" s="33">
        <f>0.277494*AM111-0.3743124*AQ111+0.0472523</f>
        <v>5.0573064643678944E-2</v>
      </c>
      <c r="E111" s="33">
        <f t="shared" si="22"/>
        <v>4.4908427201953893</v>
      </c>
      <c r="F111" s="33"/>
      <c r="G111" s="511"/>
      <c r="H111" s="511">
        <v>0.01</v>
      </c>
      <c r="I111" s="33"/>
      <c r="J111" s="2">
        <v>0.10199999999999999</v>
      </c>
      <c r="K111" s="2">
        <f t="shared" si="23"/>
        <v>8.9449803813647949E-2</v>
      </c>
      <c r="L111" s="2"/>
      <c r="M111" s="143">
        <f t="shared" si="24"/>
        <v>1.0115197562498244</v>
      </c>
      <c r="N111" s="143"/>
      <c r="O111" s="143"/>
      <c r="P111" s="477"/>
      <c r="Q111" s="477"/>
      <c r="R111" s="477"/>
      <c r="S111" s="477"/>
      <c r="T111" s="477"/>
      <c r="U111" s="477"/>
      <c r="V111" s="477"/>
      <c r="W111" s="2">
        <f t="shared" si="25"/>
        <v>1.910926202098371E-2</v>
      </c>
      <c r="X111" s="2">
        <f t="shared" si="26"/>
        <v>9.177018541431671E-2</v>
      </c>
      <c r="Y111" s="17">
        <f t="shared" si="27"/>
        <v>9.5731487019527703E-2</v>
      </c>
      <c r="Z111" s="17">
        <f t="shared" ref="Z111:Z129" si="30">(J111+1)/(Y111+1)</f>
        <v>1.0057208477211177</v>
      </c>
      <c r="AA111" s="17"/>
      <c r="AB111" s="17">
        <f t="shared" si="17"/>
        <v>6.2685129804722906E-3</v>
      </c>
      <c r="AC111" s="461">
        <v>81.430764385691305</v>
      </c>
      <c r="AD111" s="461">
        <f t="shared" si="10"/>
        <v>-5.833695792623439E-2</v>
      </c>
      <c r="AE111" s="46">
        <v>77.799002146973322</v>
      </c>
      <c r="AF111">
        <v>77.688561933336899</v>
      </c>
      <c r="AG111" s="82">
        <f t="shared" si="12"/>
        <v>4.5188849345183968E-2</v>
      </c>
      <c r="AH111" s="48">
        <v>28.124344464285709</v>
      </c>
      <c r="AI111" s="35">
        <f t="shared" si="7"/>
        <v>3.5084955963429865E-2</v>
      </c>
      <c r="AJ111" s="99">
        <f t="shared" si="13"/>
        <v>2188.0459353591814</v>
      </c>
      <c r="AK111" s="6">
        <v>426076.80296577001</v>
      </c>
      <c r="AL111" s="6"/>
      <c r="AM111" s="20">
        <f t="shared" si="19"/>
        <v>6.986750475640835E-2</v>
      </c>
      <c r="AN111" s="9">
        <v>6.8997273238144752E-2</v>
      </c>
      <c r="AO111">
        <v>2.5000000000000001E-2</v>
      </c>
      <c r="AP111">
        <f t="shared" si="18"/>
        <v>4.2924169012824143E-2</v>
      </c>
      <c r="AQ111">
        <f t="shared" si="16"/>
        <v>4.2924169012824143E-2</v>
      </c>
      <c r="AS111" s="140">
        <v>9429</v>
      </c>
      <c r="AT111" s="33">
        <f t="shared" si="29"/>
        <v>0.20449760863344646</v>
      </c>
      <c r="AV111" s="82">
        <f t="shared" ref="AV111:AV121" si="31">AS111/AVERAGE($AS$110:$AS$121)</f>
        <v>0.89767833193105817</v>
      </c>
    </row>
    <row r="112" spans="1:52">
      <c r="A112">
        <v>2019</v>
      </c>
      <c r="B112">
        <v>1</v>
      </c>
      <c r="C112" t="s">
        <v>116</v>
      </c>
      <c r="D112" s="33">
        <f>0.277494*AM112-0.3743124*AQ112+0.0472523</f>
        <v>4.2985892273463722E-2</v>
      </c>
      <c r="E112" s="33">
        <f t="shared" si="22"/>
        <v>1.7598300721355231</v>
      </c>
      <c r="F112" s="33"/>
      <c r="G112" s="511"/>
      <c r="H112" s="511">
        <v>-0.01</v>
      </c>
      <c r="I112" s="33"/>
      <c r="J112" s="2">
        <v>8.8999999999999996E-2</v>
      </c>
      <c r="K112" s="2">
        <f t="shared" si="23"/>
        <v>0.10501268410323719</v>
      </c>
      <c r="L112" s="2"/>
      <c r="M112" s="143">
        <f t="shared" si="24"/>
        <v>0.98550904950359708</v>
      </c>
      <c r="N112" s="143"/>
      <c r="O112" s="143"/>
      <c r="P112" s="477"/>
      <c r="Q112" s="477"/>
      <c r="R112" s="477"/>
      <c r="S112" s="477"/>
      <c r="T112" s="477"/>
      <c r="U112" s="477"/>
      <c r="V112" s="477"/>
      <c r="W112" s="2">
        <f t="shared" si="25"/>
        <v>1.9704027570542598E-2</v>
      </c>
      <c r="X112" s="2">
        <f t="shared" si="26"/>
        <v>7.2902328533786309E-2</v>
      </c>
      <c r="Y112" s="17">
        <f t="shared" si="27"/>
        <v>8.0517090751756434E-2</v>
      </c>
      <c r="Z112" s="17">
        <f t="shared" si="30"/>
        <v>1.0078507867398392</v>
      </c>
      <c r="AA112" s="17"/>
      <c r="AB112" s="17">
        <f t="shared" si="17"/>
        <v>8.4829092482435614E-3</v>
      </c>
      <c r="AC112" s="461">
        <v>78.858609013849886</v>
      </c>
      <c r="AD112" s="461">
        <f t="shared" si="10"/>
        <v>-8.4687702567834533E-2</v>
      </c>
      <c r="AE112" s="46">
        <v>75.574736863119867</v>
      </c>
      <c r="AF112">
        <v>75.592408474364589</v>
      </c>
      <c r="AG112" s="82">
        <f t="shared" si="12"/>
        <v>4.0529517892713418E-3</v>
      </c>
      <c r="AH112" s="48">
        <v>26.863534580645165</v>
      </c>
      <c r="AI112" s="35">
        <f t="shared" si="7"/>
        <v>1.9829383045572246E-2</v>
      </c>
      <c r="AJ112" s="99">
        <f t="shared" si="13"/>
        <v>2030.2045571455794</v>
      </c>
      <c r="AK112" s="6">
        <v>423476.26525835495</v>
      </c>
      <c r="AL112" s="6"/>
      <c r="AM112" s="20">
        <f t="shared" si="19"/>
        <v>3.2352974339866503E-2</v>
      </c>
      <c r="AN112" s="9">
        <v>6.1267214464985065E-2</v>
      </c>
      <c r="AO112">
        <v>2.5000000000000001E-2</v>
      </c>
      <c r="AP112">
        <f>(1+AN112)/(1+AO112)-1</f>
        <v>3.5382648258521998E-2</v>
      </c>
      <c r="AQ112">
        <f t="shared" si="16"/>
        <v>3.5382648258521998E-2</v>
      </c>
      <c r="AS112" s="140">
        <v>10237</v>
      </c>
      <c r="AT112" s="33">
        <f t="shared" si="29"/>
        <v>0.22131630624891119</v>
      </c>
      <c r="AV112" s="82">
        <f t="shared" si="31"/>
        <v>0.97460314815762461</v>
      </c>
    </row>
    <row r="113" spans="1:66">
      <c r="A113">
        <v>2019</v>
      </c>
      <c r="B113">
        <v>2</v>
      </c>
      <c r="C113" t="s">
        <v>117</v>
      </c>
      <c r="D113" s="33">
        <f>0.277494*AM113-0.3743124*AQ113+0.0472523</f>
        <v>5.1563496515417417E-2</v>
      </c>
      <c r="E113" s="33">
        <f t="shared" si="22"/>
        <v>1.698231585739695</v>
      </c>
      <c r="F113" s="33"/>
      <c r="G113" s="511"/>
      <c r="H113" s="511">
        <v>-1.4999999999999999E-2</v>
      </c>
      <c r="I113" s="33"/>
      <c r="J113" s="2">
        <v>7.2999999999999995E-2</v>
      </c>
      <c r="K113" s="2">
        <f t="shared" si="23"/>
        <v>0.10701340625101299</v>
      </c>
      <c r="L113" s="2"/>
      <c r="M113" s="143">
        <f t="shared" si="24"/>
        <v>0.96927462119343055</v>
      </c>
      <c r="N113" s="143"/>
      <c r="O113" s="143"/>
      <c r="P113" s="477"/>
      <c r="Q113" s="477"/>
      <c r="R113" s="477"/>
      <c r="S113" s="477"/>
      <c r="T113" s="477"/>
      <c r="U113" s="477"/>
      <c r="V113" s="477"/>
      <c r="W113" s="2">
        <f t="shared" si="25"/>
        <v>6.8674880172282446E-3</v>
      </c>
      <c r="X113" s="2">
        <f t="shared" si="26"/>
        <v>0.10303188159019791</v>
      </c>
      <c r="Y113" s="17">
        <f t="shared" si="27"/>
        <v>9.1798487954461438E-2</v>
      </c>
      <c r="Z113" s="17">
        <f t="shared" si="30"/>
        <v>0.98278209013672335</v>
      </c>
      <c r="AA113" s="17"/>
      <c r="AB113" s="17">
        <f t="shared" si="17"/>
        <v>-1.8798487954461443E-2</v>
      </c>
      <c r="AC113" s="461">
        <v>79.286322698186922</v>
      </c>
      <c r="AD113" s="461">
        <f t="shared" si="10"/>
        <v>-0.12622961187714421</v>
      </c>
      <c r="AE113" s="46">
        <v>76.825780195283002</v>
      </c>
      <c r="AF113">
        <v>76.975359488463837</v>
      </c>
      <c r="AG113" s="82">
        <f t="shared" si="12"/>
        <v>2.9037089880055156E-2</v>
      </c>
      <c r="AH113" s="48">
        <v>26.811495299999994</v>
      </c>
      <c r="AI113" s="35">
        <f t="shared" si="7"/>
        <v>2.5227633695371843E-2</v>
      </c>
      <c r="AJ113" s="99">
        <f t="shared" si="13"/>
        <v>2059.814044624663</v>
      </c>
      <c r="AK113" s="6">
        <v>430357.62153219001</v>
      </c>
      <c r="AL113" s="6"/>
      <c r="AM113" s="20">
        <f t="shared" si="19"/>
        <v>4.4659216043414496E-2</v>
      </c>
      <c r="AN113" s="9">
        <v>6.8583316792270921E-2</v>
      </c>
      <c r="AO113">
        <v>4.5999999999999999E-2</v>
      </c>
      <c r="AP113">
        <f t="shared" si="18"/>
        <v>2.1590169017467353E-2</v>
      </c>
      <c r="AQ113">
        <f t="shared" si="16"/>
        <v>2.1590169017467353E-2</v>
      </c>
      <c r="AS113" s="140">
        <v>10269</v>
      </c>
      <c r="AT113" s="33">
        <f t="shared" si="29"/>
        <v>0.21093270945161935</v>
      </c>
      <c r="AV113" s="82">
        <f t="shared" si="31"/>
        <v>0.97764967553293414</v>
      </c>
      <c r="AX113" s="692">
        <f>AVERAGE(AH98:AH109)</f>
        <v>27.200492375748851</v>
      </c>
      <c r="AY113" s="146">
        <f>AVERAGE(AS98:AS109)</f>
        <v>8867.4408333333322</v>
      </c>
    </row>
    <row r="114" spans="1:66">
      <c r="A114">
        <v>2019</v>
      </c>
      <c r="B114">
        <v>2</v>
      </c>
      <c r="C114" t="s">
        <v>118</v>
      </c>
      <c r="D114" s="33">
        <f t="shared" ref="D114:D145" si="32">0.277494*AM114-0.3743124*AQ114+0.0472523</f>
        <v>4.5971518041503741E-2</v>
      </c>
      <c r="E114" s="33">
        <f t="shared" si="22"/>
        <v>1.648452989889565</v>
      </c>
      <c r="F114" s="33"/>
      <c r="G114" s="511"/>
      <c r="H114" s="511">
        <v>2.0999999999999942E-2</v>
      </c>
      <c r="I114" s="33"/>
      <c r="J114" s="2">
        <v>8.5000000000000006E-2</v>
      </c>
      <c r="K114" s="2">
        <f t="shared" si="23"/>
        <v>5.0479378321333229E-2</v>
      </c>
      <c r="L114" s="2"/>
      <c r="M114" s="143">
        <f t="shared" si="24"/>
        <v>1.0328617794799844</v>
      </c>
      <c r="N114" s="143"/>
      <c r="O114" s="143"/>
      <c r="P114" s="477"/>
      <c r="Q114" s="477"/>
      <c r="R114" s="477"/>
      <c r="S114" s="477"/>
      <c r="T114" s="477"/>
      <c r="U114" s="477"/>
      <c r="V114" s="477"/>
      <c r="W114" s="2">
        <f t="shared" si="25"/>
        <v>9.741580380551125E-3</v>
      </c>
      <c r="X114" s="2">
        <f t="shared" si="26"/>
        <v>8.0120556352482192E-2</v>
      </c>
      <c r="Y114" s="17">
        <f>-0.0044534+0.134411*AM114+1.315906*AN114</f>
        <v>7.0945750865737747E-2</v>
      </c>
      <c r="Z114" s="17">
        <f t="shared" si="30"/>
        <v>1.0131232129385648</v>
      </c>
      <c r="AA114" s="17"/>
      <c r="AB114" s="17">
        <f t="shared" si="17"/>
        <v>1.4054249134262259E-2</v>
      </c>
      <c r="AC114" s="461">
        <v>76.12559379242478</v>
      </c>
      <c r="AD114" s="461">
        <f t="shared" si="10"/>
        <v>-0.22467385628792547</v>
      </c>
      <c r="AE114" s="46">
        <v>78.460937557259172</v>
      </c>
      <c r="AF114">
        <v>78.744158299450405</v>
      </c>
      <c r="AG114" s="82">
        <f t="shared" si="12"/>
        <v>4.0640803217017796E-2</v>
      </c>
      <c r="AH114" s="48">
        <v>26.378847709677427</v>
      </c>
      <c r="AI114" s="35">
        <f t="shared" si="7"/>
        <v>7.5482767593064715E-3</v>
      </c>
      <c r="AJ114" s="99">
        <f t="shared" si="13"/>
        <v>2069.7091229814496</v>
      </c>
      <c r="AK114" s="6">
        <v>432846.04593996506</v>
      </c>
      <c r="AL114" s="6"/>
      <c r="AM114" s="20">
        <f t="shared" si="19"/>
        <v>8.7959111472375451E-3</v>
      </c>
      <c r="AN114" s="9">
        <v>5.6399836806372498E-2</v>
      </c>
      <c r="AO114">
        <v>4.5999999999999999E-2</v>
      </c>
      <c r="AP114">
        <f t="shared" si="18"/>
        <v>9.9424826064746785E-3</v>
      </c>
      <c r="AQ114">
        <f t="shared" si="16"/>
        <v>9.9424826064746785E-3</v>
      </c>
      <c r="AS114" s="140">
        <v>10239</v>
      </c>
      <c r="AT114" s="33">
        <f t="shared" si="29"/>
        <v>0.17355798160405733</v>
      </c>
      <c r="AV114" s="82">
        <f t="shared" si="31"/>
        <v>0.97479355611858143</v>
      </c>
      <c r="AX114" s="692">
        <f>AVERAGE(AH110:AH121)</f>
        <v>25.925894761091907</v>
      </c>
      <c r="AY114" s="146">
        <f>AVERAGE(AS110:AS121)</f>
        <v>10503.762499999999</v>
      </c>
    </row>
    <row r="115" spans="1:66">
      <c r="A115">
        <v>2019</v>
      </c>
      <c r="B115">
        <v>2</v>
      </c>
      <c r="C115" t="s">
        <v>119</v>
      </c>
      <c r="D115" s="33">
        <f t="shared" si="32"/>
        <v>6.5532546605700001E-2</v>
      </c>
      <c r="E115" s="33">
        <f t="shared" si="22"/>
        <v>0.97886695756649489</v>
      </c>
      <c r="F115" s="33"/>
      <c r="G115" s="511"/>
      <c r="H115" s="511">
        <v>-2.7000000000000027E-2</v>
      </c>
      <c r="I115" s="33"/>
      <c r="J115" s="2">
        <v>4.4999999999999998E-2</v>
      </c>
      <c r="K115" s="2">
        <f t="shared" si="23"/>
        <v>7.152163365822542E-2</v>
      </c>
      <c r="L115" s="2"/>
      <c r="M115" s="143">
        <f t="shared" si="24"/>
        <v>0.97524862510924826</v>
      </c>
      <c r="N115" s="143"/>
      <c r="O115" s="143"/>
      <c r="P115" s="477"/>
      <c r="Q115" s="477"/>
      <c r="R115" s="477"/>
      <c r="S115" s="477"/>
      <c r="T115" s="477"/>
      <c r="U115" s="477"/>
      <c r="V115" s="477"/>
      <c r="W115" s="2">
        <f t="shared" si="25"/>
        <v>1.5638694477371921E-2</v>
      </c>
      <c r="X115" s="2">
        <f t="shared" si="26"/>
        <v>0.10069804920539142</v>
      </c>
      <c r="Y115" s="17">
        <f t="shared" si="27"/>
        <v>8.0305618328475242E-2</v>
      </c>
      <c r="Z115" s="17">
        <f t="shared" si="30"/>
        <v>0.9673188607654355</v>
      </c>
      <c r="AA115" s="17"/>
      <c r="AB115" s="17">
        <f t="shared" si="17"/>
        <v>-3.5305618328475244E-2</v>
      </c>
      <c r="AC115" s="461">
        <v>67.697687412338013</v>
      </c>
      <c r="AD115" s="461">
        <f t="shared" si="10"/>
        <v>-0.30728426415810339</v>
      </c>
      <c r="AE115" s="46">
        <v>81.577988437012962</v>
      </c>
      <c r="AF115">
        <v>82.031319984812058</v>
      </c>
      <c r="AG115" s="82">
        <f t="shared" si="12"/>
        <v>4.1014904732800117E-2</v>
      </c>
      <c r="AH115" s="48">
        <v>26.500110633333332</v>
      </c>
      <c r="AI115" s="35">
        <f>AH115/AH103-1</f>
        <v>1.1370820102314827E-2</v>
      </c>
      <c r="AJ115" s="99">
        <f t="shared" si="13"/>
        <v>2161.8257188256307</v>
      </c>
      <c r="AK115" s="6">
        <v>436888.291464095</v>
      </c>
      <c r="AL115" s="6"/>
      <c r="AM115" s="20">
        <f t="shared" si="19"/>
        <v>7.918805059304157E-2</v>
      </c>
      <c r="AN115" s="9">
        <v>5.6322619746557834E-2</v>
      </c>
      <c r="AO115">
        <v>4.5999999999999999E-2</v>
      </c>
      <c r="AP115">
        <f t="shared" si="18"/>
        <v>9.8686613255811739E-3</v>
      </c>
      <c r="AQ115">
        <f t="shared" si="16"/>
        <v>9.8686613255811739E-3</v>
      </c>
      <c r="AS115" s="140">
        <v>10783</v>
      </c>
      <c r="AT115" s="33">
        <f t="shared" si="29"/>
        <v>0.17960829959403446</v>
      </c>
      <c r="AV115" s="82">
        <f t="shared" si="31"/>
        <v>1.026584521498844</v>
      </c>
      <c r="AX115" s="692">
        <f>AVERAGE(AH122:AH133)</f>
        <v>26.957524502533683</v>
      </c>
      <c r="AY115" s="146">
        <f>AVERAGE(AS122:AS133)</f>
        <v>11595.784174999999</v>
      </c>
    </row>
    <row r="116" spans="1:66">
      <c r="A116">
        <v>2019</v>
      </c>
      <c r="B116">
        <v>3</v>
      </c>
      <c r="C116" t="s">
        <v>120</v>
      </c>
      <c r="D116" s="33">
        <f t="shared" si="32"/>
        <v>6.2478621139114954E-2</v>
      </c>
      <c r="E116" s="33">
        <f t="shared" si="22"/>
        <v>1.0223927417795842</v>
      </c>
      <c r="F116" s="33"/>
      <c r="G116" s="511"/>
      <c r="H116" s="511">
        <v>3.5999999999999942E-2</v>
      </c>
      <c r="I116" s="33"/>
      <c r="J116" s="33">
        <v>6.7000000000000004E-2</v>
      </c>
      <c r="K116" s="33">
        <f t="shared" si="23"/>
        <v>8.8012232976931254E-2</v>
      </c>
      <c r="L116" s="33"/>
      <c r="M116" s="143">
        <f t="shared" si="24"/>
        <v>0.98068750300771956</v>
      </c>
      <c r="N116" s="143"/>
      <c r="O116" s="143"/>
      <c r="P116" s="477"/>
      <c r="Q116" s="477"/>
      <c r="R116" s="477"/>
      <c r="S116" s="477"/>
      <c r="T116" s="477"/>
      <c r="U116" s="477"/>
      <c r="V116" s="477"/>
      <c r="W116" s="33">
        <f t="shared" si="25"/>
        <v>2.0598191336884064E-2</v>
      </c>
      <c r="X116" s="33">
        <f t="shared" si="26"/>
        <v>8.4104593736330863E-2</v>
      </c>
      <c r="Y116" s="17">
        <f t="shared" si="27"/>
        <v>6.8248896393996533E-2</v>
      </c>
      <c r="Z116" s="17">
        <f>(J116+1)/(Y116+1)</f>
        <v>0.99883089381303147</v>
      </c>
      <c r="AA116" s="17"/>
      <c r="AB116" s="17">
        <f t="shared" si="17"/>
        <v>-1.2488963939965292E-3</v>
      </c>
      <c r="AC116" s="461">
        <v>69.028324351340643</v>
      </c>
      <c r="AD116" s="461">
        <f t="shared" si="10"/>
        <v>-0.29839169831016232</v>
      </c>
      <c r="AE116" s="46">
        <v>82.932739225878734</v>
      </c>
      <c r="AF116">
        <v>83.465963370722648</v>
      </c>
      <c r="AG116" s="82">
        <f t="shared" si="12"/>
        <v>8.4775146853699246E-2</v>
      </c>
      <c r="AH116" s="48">
        <v>25.751355387096769</v>
      </c>
      <c r="AI116" s="35">
        <f>AH116/AH104-1</f>
        <v>-2.4595232939930267E-2</v>
      </c>
      <c r="AJ116" s="99">
        <f t="shared" si="13"/>
        <v>2135.630441031024</v>
      </c>
      <c r="AK116">
        <v>440716.09829615499</v>
      </c>
      <c r="AM116" s="20">
        <f t="shared" si="19"/>
        <v>6.4762500715289217E-2</v>
      </c>
      <c r="AN116" s="9">
        <f t="shared" ref="AN116:AN145" si="33">AK116/AK104-1</f>
        <v>4.8633795962898407E-2</v>
      </c>
      <c r="AO116">
        <v>4.1000000000000002E-2</v>
      </c>
      <c r="AP116">
        <f t="shared" si="18"/>
        <v>7.3331373322751414E-3</v>
      </c>
      <c r="AQ116">
        <f t="shared" si="16"/>
        <v>7.3331373322751414E-3</v>
      </c>
      <c r="AS116" s="140">
        <v>10971</v>
      </c>
      <c r="AT116" s="33">
        <f t="shared" si="29"/>
        <v>0.19636477839280797</v>
      </c>
      <c r="AV116" s="82">
        <f t="shared" si="31"/>
        <v>1.0444828698287876</v>
      </c>
      <c r="AX116" s="692">
        <f>AVERAGE(AH134:AH145)</f>
        <v>27.28336762224782</v>
      </c>
      <c r="AY116" s="146">
        <f>AVERAGE(AS134:AS145)</f>
        <v>14019.346672716025</v>
      </c>
    </row>
    <row r="117" spans="1:66">
      <c r="A117">
        <v>2019</v>
      </c>
      <c r="B117">
        <v>3</v>
      </c>
      <c r="C117" t="s">
        <v>121</v>
      </c>
      <c r="D117" s="33">
        <f t="shared" si="32"/>
        <v>1.0742176612116953E-2</v>
      </c>
      <c r="E117" s="33">
        <f t="shared" si="22"/>
        <v>0.72024636875072767</v>
      </c>
      <c r="F117" s="33"/>
      <c r="G117" s="511"/>
      <c r="H117" s="511">
        <v>-7.0000000000000288E-3</v>
      </c>
      <c r="I117" s="33"/>
      <c r="J117" s="33">
        <v>4.4999999999999998E-2</v>
      </c>
      <c r="K117" s="33">
        <f t="shared" si="23"/>
        <v>2.3072340882778791E-2</v>
      </c>
      <c r="L117" s="33"/>
      <c r="M117" s="143">
        <f t="shared" si="24"/>
        <v>1.0214331462605082</v>
      </c>
      <c r="N117" s="143"/>
      <c r="O117" s="143"/>
      <c r="P117" s="477"/>
      <c r="Q117" s="477"/>
      <c r="R117" s="477"/>
      <c r="S117" s="477"/>
      <c r="T117" s="477"/>
      <c r="U117" s="477"/>
      <c r="V117" s="477"/>
      <c r="W117" s="33">
        <f t="shared" si="25"/>
        <v>5.688847367901137E-3</v>
      </c>
      <c r="X117" s="33">
        <f t="shared" si="26"/>
        <v>2.7105132694433334E-2</v>
      </c>
      <c r="Y117" s="17">
        <f t="shared" si="27"/>
        <v>4.0746847378058282E-2</v>
      </c>
      <c r="Z117" s="17">
        <f t="shared" si="30"/>
        <v>1.0040866351242441</v>
      </c>
      <c r="AA117" s="17"/>
      <c r="AB117" s="17">
        <f t="shared" si="17"/>
        <v>4.2531526219417165E-3</v>
      </c>
      <c r="AC117" s="461">
        <v>64.748615798844725</v>
      </c>
      <c r="AD117" s="461">
        <f t="shared" si="10"/>
        <v>-0.33465916252750738</v>
      </c>
      <c r="AE117" s="46">
        <v>73.291679264012089</v>
      </c>
      <c r="AF117">
        <v>73.630942157457469</v>
      </c>
      <c r="AG117" s="82">
        <f t="shared" si="12"/>
        <v>-3.5290542730788688E-2</v>
      </c>
      <c r="AH117" s="48">
        <v>25.246989612903228</v>
      </c>
      <c r="AI117" s="35">
        <f t="shared" ref="AI117:AI133" si="34">AH117/AH105-1</f>
        <v>-8.1333324287402919E-2</v>
      </c>
      <c r="AJ117" s="99">
        <f t="shared" si="13"/>
        <v>1850.3942650907481</v>
      </c>
      <c r="AK117">
        <v>441038.58954311995</v>
      </c>
      <c r="AM117" s="20">
        <f t="shared" si="19"/>
        <v>-0.12380295282457321</v>
      </c>
      <c r="AN117" s="9">
        <f t="shared" si="33"/>
        <v>4.6994789954724725E-2</v>
      </c>
      <c r="AO117">
        <v>4.1000000000000002E-2</v>
      </c>
      <c r="AP117">
        <f t="shared" si="18"/>
        <v>5.7586839142409474E-3</v>
      </c>
      <c r="AQ117">
        <f t="shared" si="16"/>
        <v>5.7586839142409474E-3</v>
      </c>
      <c r="AS117" s="140">
        <v>10537</v>
      </c>
      <c r="AT117" s="33">
        <f t="shared" si="29"/>
        <v>0.17374082127325874</v>
      </c>
      <c r="AV117" s="82">
        <f t="shared" si="31"/>
        <v>1.0031643423011518</v>
      </c>
    </row>
    <row r="118" spans="1:66">
      <c r="A118">
        <v>2019</v>
      </c>
      <c r="B118">
        <v>3</v>
      </c>
      <c r="C118" t="s">
        <v>122</v>
      </c>
      <c r="D118" s="33">
        <f t="shared" si="32"/>
        <v>-4.4093120862598589E-3</v>
      </c>
      <c r="E118" s="33">
        <f>J118/D117</f>
        <v>1.5825470585564896</v>
      </c>
      <c r="F118" s="33"/>
      <c r="G118" s="511"/>
      <c r="H118" s="511">
        <v>-1.4999999999999999E-2</v>
      </c>
      <c r="I118" s="33"/>
      <c r="J118" s="33">
        <v>1.7000000000000001E-2</v>
      </c>
      <c r="K118" s="33">
        <f t="shared" si="23"/>
        <v>2.4173128678311728E-2</v>
      </c>
      <c r="L118" s="33"/>
      <c r="M118" s="143">
        <f t="shared" si="24"/>
        <v>0.99299617566849396</v>
      </c>
      <c r="N118" s="143"/>
      <c r="O118" s="143"/>
      <c r="P118" s="477"/>
      <c r="Q118" s="477"/>
      <c r="R118" s="477"/>
      <c r="S118" s="477"/>
      <c r="T118" s="477"/>
      <c r="U118" s="477"/>
      <c r="V118" s="477"/>
      <c r="W118" s="33">
        <f t="shared" si="25"/>
        <v>8.2264325654758663E-4</v>
      </c>
      <c r="X118" s="33">
        <f t="shared" si="26"/>
        <v>1.2284062182835002E-2</v>
      </c>
      <c r="Y118" s="17">
        <f t="shared" si="27"/>
        <v>3.4689088095186116E-2</v>
      </c>
      <c r="Z118" s="17">
        <f t="shared" si="30"/>
        <v>0.98290395801143426</v>
      </c>
      <c r="AA118" s="17">
        <f>Z118/Z117</f>
        <v>0.97890353643618733</v>
      </c>
      <c r="AB118" s="17">
        <f t="shared" si="17"/>
        <v>-1.7689088095186115E-2</v>
      </c>
      <c r="AC118" s="461">
        <v>68.511280915940574</v>
      </c>
      <c r="AD118" s="461">
        <f t="shared" si="10"/>
        <v>-0.35777469659043015</v>
      </c>
      <c r="AE118" s="46">
        <v>73.555180527223371</v>
      </c>
      <c r="AF118">
        <v>73.814696989851569</v>
      </c>
      <c r="AG118" s="82">
        <f t="shared" si="12"/>
        <v>-4.2800604260104902E-2</v>
      </c>
      <c r="AH118" s="48">
        <v>24.769724166666666</v>
      </c>
      <c r="AI118" s="35">
        <f>AH118/AH106-1</f>
        <v>-0.12136890527387367</v>
      </c>
      <c r="AJ118" s="99">
        <f t="shared" si="13"/>
        <v>1821.941532688694</v>
      </c>
      <c r="AK118">
        <v>443369.82757093501</v>
      </c>
      <c r="AM118" s="20">
        <f t="shared" si="19"/>
        <v>-0.17728992355786122</v>
      </c>
      <c r="AN118" s="9">
        <f t="shared" si="33"/>
        <v>4.7854637041340187E-2</v>
      </c>
      <c r="AO118">
        <v>4.1000000000000002E-2</v>
      </c>
      <c r="AP118">
        <f t="shared" si="18"/>
        <v>6.5846657457639957E-3</v>
      </c>
      <c r="AQ118">
        <f t="shared" si="16"/>
        <v>6.5846657457639957E-3</v>
      </c>
      <c r="AS118" s="140">
        <v>10687.06</v>
      </c>
      <c r="AT118" s="33">
        <f t="shared" si="29"/>
        <v>0.18193541251935397</v>
      </c>
      <c r="AV118" s="82">
        <f t="shared" si="31"/>
        <v>1.0174506516117439</v>
      </c>
    </row>
    <row r="119" spans="1:66">
      <c r="A119">
        <v>2019</v>
      </c>
      <c r="B119">
        <v>4</v>
      </c>
      <c r="C119" t="s">
        <v>123</v>
      </c>
      <c r="D119" s="33">
        <f t="shared" si="32"/>
        <v>-9.8103883087388918E-3</v>
      </c>
      <c r="E119" s="33">
        <f>J119/D118</f>
        <v>-0.45358549380805424</v>
      </c>
      <c r="F119" s="33"/>
      <c r="G119" s="511"/>
      <c r="H119" s="511">
        <v>-1.2000000000000028E-2</v>
      </c>
      <c r="I119" s="33"/>
      <c r="J119" s="41">
        <v>2E-3</v>
      </c>
      <c r="K119" s="41">
        <f t="shared" si="23"/>
        <v>-1.6228594045597677E-2</v>
      </c>
      <c r="L119" s="41"/>
      <c r="M119" s="144">
        <f t="shared" si="24"/>
        <v>1.0185292985090508</v>
      </c>
      <c r="N119" s="144"/>
      <c r="O119" s="144"/>
      <c r="P119" s="478"/>
      <c r="Q119" s="478"/>
      <c r="R119" s="478"/>
      <c r="S119" s="478"/>
      <c r="T119" s="478"/>
      <c r="U119" s="478"/>
      <c r="V119" s="478"/>
      <c r="W119" s="41">
        <f t="shared" si="25"/>
        <v>1.8025961140908583E-2</v>
      </c>
      <c r="X119" s="41">
        <f t="shared" si="26"/>
        <v>-1.8708864314474126E-2</v>
      </c>
      <c r="Y119" s="42">
        <f t="shared" si="27"/>
        <v>2.4142206040835754E-2</v>
      </c>
      <c r="Z119" s="17">
        <f t="shared" si="30"/>
        <v>0.97837975438349145</v>
      </c>
      <c r="AA119" s="17">
        <f t="shared" ref="AA119:AA124" si="35">Z119/Z118</f>
        <v>0.99539710508736179</v>
      </c>
      <c r="AB119" s="42">
        <f t="shared" si="17"/>
        <v>-2.2142206040835756E-2</v>
      </c>
      <c r="AC119" s="462">
        <v>70.938397253426501</v>
      </c>
      <c r="AD119" s="462">
        <f t="shared" si="10"/>
        <v>-0.32165761287499661</v>
      </c>
      <c r="AE119" s="47">
        <v>74.770207314013106</v>
      </c>
      <c r="AF119" s="14">
        <v>74.814110313107975</v>
      </c>
      <c r="AG119" s="82">
        <f t="shared" si="12"/>
        <v>-4.81783768029177E-2</v>
      </c>
      <c r="AH119" s="32">
        <v>24.808206516129029</v>
      </c>
      <c r="AI119" s="30">
        <f t="shared" si="34"/>
        <v>-0.11800514721703503</v>
      </c>
      <c r="AJ119" s="99">
        <f t="shared" si="13"/>
        <v>1854.9147442998183</v>
      </c>
      <c r="AK119" s="12">
        <v>441428.77420384996</v>
      </c>
      <c r="AL119" s="12"/>
      <c r="AM119" s="20">
        <f t="shared" si="19"/>
        <v>-0.17318217092729316</v>
      </c>
      <c r="AN119" s="44">
        <f t="shared" si="33"/>
        <v>3.9420137013847611E-2</v>
      </c>
      <c r="AO119" s="36">
        <v>1.4999999999999999E-2</v>
      </c>
      <c r="AP119">
        <f t="shared" si="18"/>
        <v>2.4059248289505231E-2</v>
      </c>
      <c r="AQ119">
        <f t="shared" si="16"/>
        <v>2.4059248289505231E-2</v>
      </c>
      <c r="AS119" s="140">
        <v>10727.34</v>
      </c>
      <c r="AT119" s="33">
        <f t="shared" si="29"/>
        <v>0.16373833803428073</v>
      </c>
      <c r="AU119" s="146">
        <f t="shared" ref="AU119:AU144" si="36">AS119/AH119</f>
        <v>432.41094405698499</v>
      </c>
      <c r="AV119" s="82">
        <f t="shared" si="31"/>
        <v>1.0212854679454149</v>
      </c>
    </row>
    <row r="120" spans="1:66">
      <c r="A120">
        <v>2019</v>
      </c>
      <c r="B120">
        <v>4</v>
      </c>
      <c r="C120" t="s">
        <v>124</v>
      </c>
      <c r="D120" s="33">
        <f t="shared" si="32"/>
        <v>3.2144422727803379E-3</v>
      </c>
      <c r="E120" s="33">
        <f t="shared" si="22"/>
        <v>4.5869743973248163</v>
      </c>
      <c r="F120" s="33"/>
      <c r="G120" s="511"/>
      <c r="H120" s="511">
        <v>-0.03</v>
      </c>
      <c r="I120" s="33"/>
      <c r="J120" s="29">
        <v>-4.4999999999999998E-2</v>
      </c>
      <c r="K120" s="29">
        <f t="shared" si="23"/>
        <v>-5.7381395766034904E-3</v>
      </c>
      <c r="L120" s="29"/>
      <c r="M120" s="143">
        <f t="shared" si="24"/>
        <v>0.96051154933502403</v>
      </c>
      <c r="N120" s="143"/>
      <c r="O120" s="143"/>
      <c r="P120" s="477"/>
      <c r="Q120" s="477"/>
      <c r="R120" s="477"/>
      <c r="S120" s="477"/>
      <c r="T120" s="477"/>
      <c r="U120" s="477"/>
      <c r="V120" s="477"/>
      <c r="W120" s="29">
        <f t="shared" si="25"/>
        <v>2.3136835866080618E-2</v>
      </c>
      <c r="X120" s="29">
        <f t="shared" si="26"/>
        <v>-9.5070640984031857E-3</v>
      </c>
      <c r="Y120" s="17">
        <f t="shared" si="27"/>
        <v>2.5594149563128585E-2</v>
      </c>
      <c r="Z120" s="17">
        <f t="shared" si="30"/>
        <v>0.93116755824592057</v>
      </c>
      <c r="AA120" s="17">
        <f t="shared" si="35"/>
        <v>0.95174450827907742</v>
      </c>
      <c r="AB120" s="42">
        <f>J120-Y120</f>
        <v>-7.059414956312858E-2</v>
      </c>
      <c r="AC120" s="463">
        <v>75.040539965662433</v>
      </c>
      <c r="AD120" s="463">
        <f t="shared" si="10"/>
        <v>-0.17952782460267436</v>
      </c>
      <c r="AE120" s="46">
        <v>75.476222131010914</v>
      </c>
      <c r="AF120" s="8">
        <v>75.543816625657186</v>
      </c>
      <c r="AG120" s="82">
        <f t="shared" si="12"/>
        <v>-5.3707601464484611E-2</v>
      </c>
      <c r="AH120" s="8">
        <v>24.367518633333326</v>
      </c>
      <c r="AI120" s="33">
        <f t="shared" si="34"/>
        <v>-0.12765961080057808</v>
      </c>
      <c r="AJ120" s="99">
        <f t="shared" si="13"/>
        <v>1839.1682491510137</v>
      </c>
      <c r="AK120">
        <v>444281.63442717993</v>
      </c>
      <c r="AM120" s="20">
        <f t="shared" si="19"/>
        <v>-0.13056372375482594</v>
      </c>
      <c r="AN120" s="9">
        <f t="shared" si="33"/>
        <v>3.6170326935767827E-2</v>
      </c>
      <c r="AO120" s="36">
        <v>1.4999999999999999E-2</v>
      </c>
      <c r="AP120">
        <f t="shared" si="18"/>
        <v>2.0857464961347771E-2</v>
      </c>
      <c r="AQ120">
        <f t="shared" si="16"/>
        <v>2.0857464961347771E-2</v>
      </c>
      <c r="AS120" s="140">
        <v>10679.14</v>
      </c>
      <c r="AT120" s="33">
        <f t="shared" si="29"/>
        <v>0.16571771640650579</v>
      </c>
      <c r="AU120" s="146">
        <f t="shared" si="36"/>
        <v>438.25307618279879</v>
      </c>
      <c r="AV120" s="82">
        <f t="shared" si="31"/>
        <v>1.0166966360863547</v>
      </c>
    </row>
    <row r="121" spans="1:66">
      <c r="A121">
        <v>2019</v>
      </c>
      <c r="B121">
        <v>4</v>
      </c>
      <c r="C121" t="s">
        <v>125</v>
      </c>
      <c r="D121" s="33">
        <f t="shared" si="32"/>
        <v>1.4053539964199308E-3</v>
      </c>
      <c r="E121" s="33">
        <f t="shared" si="22"/>
        <v>-23.02110093145134</v>
      </c>
      <c r="F121" s="33"/>
      <c r="G121" s="513">
        <v>100</v>
      </c>
      <c r="H121" s="511">
        <v>-3.5999999999999942E-2</v>
      </c>
      <c r="I121" s="33"/>
      <c r="J121" s="31">
        <v>-7.3999999999999996E-2</v>
      </c>
      <c r="K121" s="31">
        <f t="shared" si="23"/>
        <v>-7.8164562957137584E-3</v>
      </c>
      <c r="L121" s="31"/>
      <c r="M121" s="144">
        <f t="shared" si="24"/>
        <v>0.93329506004786966</v>
      </c>
      <c r="N121" s="144"/>
      <c r="O121" s="144"/>
      <c r="P121" s="478"/>
      <c r="Q121" s="478"/>
      <c r="R121" s="478"/>
      <c r="S121" s="478"/>
      <c r="T121" s="478"/>
      <c r="U121" s="478"/>
      <c r="V121" s="478"/>
      <c r="W121" s="31">
        <f t="shared" si="25"/>
        <v>1.2156811354684265E-2</v>
      </c>
      <c r="X121" s="31">
        <f t="shared" si="26"/>
        <v>2.8228253600100631E-2</v>
      </c>
      <c r="Y121" s="42">
        <f t="shared" si="27"/>
        <v>6.6841195939723069E-2</v>
      </c>
      <c r="Z121" s="17">
        <f t="shared" si="30"/>
        <v>0.86798297958895043</v>
      </c>
      <c r="AA121" s="17">
        <f t="shared" si="35"/>
        <v>0.93214478092858655</v>
      </c>
      <c r="AB121" s="42">
        <f>J121-Y121</f>
        <v>-0.14084119593972305</v>
      </c>
      <c r="AC121" s="462">
        <v>76.053551258676862</v>
      </c>
      <c r="AD121" s="462">
        <f t="shared" si="10"/>
        <v>-0.11954524645022069</v>
      </c>
      <c r="AE121" s="47">
        <v>78.156624744682119</v>
      </c>
      <c r="AF121" s="14">
        <v>78.486556001959741</v>
      </c>
      <c r="AG121" s="82">
        <f t="shared" si="12"/>
        <v>3.2065873422682856E-2</v>
      </c>
      <c r="AH121" s="14">
        <v>23.609435129032253</v>
      </c>
      <c r="AI121" s="30">
        <f t="shared" si="34"/>
        <v>-0.15040781307805018</v>
      </c>
      <c r="AJ121" s="99">
        <f t="shared" si="13"/>
        <v>1845.2337618136894</v>
      </c>
      <c r="AK121" s="13">
        <v>462103.13809027494</v>
      </c>
      <c r="AL121" s="13"/>
      <c r="AM121" s="20">
        <f t="shared" si="19"/>
        <v>-9.9626237913437388E-2</v>
      </c>
      <c r="AN121" s="44">
        <f t="shared" si="33"/>
        <v>6.4355248934123033E-2</v>
      </c>
      <c r="AO121" s="36">
        <v>1.4999999999999999E-2</v>
      </c>
      <c r="AP121">
        <f t="shared" si="18"/>
        <v>4.8625861018840588E-2</v>
      </c>
      <c r="AQ121">
        <f t="shared" si="16"/>
        <v>4.8625861018840588E-2</v>
      </c>
      <c r="AS121" s="140">
        <v>12263.61</v>
      </c>
      <c r="AT121" s="33">
        <f t="shared" si="29"/>
        <v>0.15989879882720137</v>
      </c>
      <c r="AU121" s="146">
        <f>AS121/AH121</f>
        <v>519.43682400599153</v>
      </c>
      <c r="AV121" s="82">
        <f t="shared" si="31"/>
        <v>1.1675444870350031</v>
      </c>
    </row>
    <row r="122" spans="1:66" ht="18.75">
      <c r="A122">
        <v>2020</v>
      </c>
      <c r="B122">
        <v>1</v>
      </c>
      <c r="C122" t="s">
        <v>126</v>
      </c>
      <c r="D122" s="33">
        <f t="shared" si="32"/>
        <v>-1.0745849220223189E-2</v>
      </c>
      <c r="E122" s="33">
        <f t="shared" si="22"/>
        <v>-41.982304921250844</v>
      </c>
      <c r="F122" s="33"/>
      <c r="G122" s="513">
        <f>G121*(1+H122)</f>
        <v>102.49999999999999</v>
      </c>
      <c r="H122" s="511">
        <v>2.5000000000000001E-2</v>
      </c>
      <c r="I122" s="99">
        <f>100*(1+J122)</f>
        <v>94.100000000000009</v>
      </c>
      <c r="J122" s="108">
        <v>-5.8999999999999997E-2</v>
      </c>
      <c r="K122" s="104">
        <f t="shared" si="23"/>
        <v>-1.519335448533507E-2</v>
      </c>
      <c r="L122" s="104"/>
      <c r="M122" s="145">
        <f t="shared" ref="M122:M135" si="37">(1+J122)/(1+K122)</f>
        <v>0.95551751634274229</v>
      </c>
      <c r="N122" s="145"/>
      <c r="O122" s="4">
        <f t="shared" ref="O122:O128" si="38">(1+K122)*$M122-1</f>
        <v>-5.8999999999999941E-2</v>
      </c>
      <c r="P122" s="4"/>
      <c r="Q122" s="4"/>
      <c r="R122" s="4"/>
      <c r="S122" s="4"/>
      <c r="T122" s="4"/>
      <c r="U122" s="4"/>
      <c r="V122" s="479"/>
      <c r="W122" s="104">
        <f>0.0832476*AM122-0.4809485*AN122-0.4924922*AO122+0.0587894</f>
        <v>1.1962019706499426E-2</v>
      </c>
      <c r="X122" s="104">
        <f>0.2934419*AM122+1.016748*AN122+0.9085597*AO122-0.0215987</f>
        <v>3.4721607259863604E-2</v>
      </c>
      <c r="Y122" s="17">
        <f t="shared" si="27"/>
        <v>9.6970099535765519E-2</v>
      </c>
      <c r="Z122" s="17">
        <f t="shared" si="30"/>
        <v>0.85781736475609349</v>
      </c>
      <c r="AA122" s="17">
        <f>Z122/Z121</f>
        <v>0.98828823252079079</v>
      </c>
      <c r="AB122" s="42"/>
      <c r="AC122" s="463">
        <v>73.389945487840421</v>
      </c>
      <c r="AD122" s="463">
        <f t="shared" si="10"/>
        <v>-0.12831093364211366</v>
      </c>
      <c r="AE122" s="46">
        <v>79.699218547750846</v>
      </c>
      <c r="AF122" s="106">
        <v>79.660334805223314</v>
      </c>
      <c r="AG122" s="82">
        <f t="shared" si="12"/>
        <v>8.0688644798908138E-2</v>
      </c>
      <c r="AH122" s="107">
        <v>24.119351612903227</v>
      </c>
      <c r="AI122" s="33">
        <f t="shared" si="34"/>
        <v>-0.13486135752212058</v>
      </c>
      <c r="AJ122" s="99">
        <f t="shared" si="13"/>
        <v>1922.293475426821</v>
      </c>
      <c r="AK122" s="253">
        <v>469757.91973092995</v>
      </c>
      <c r="AL122" s="253"/>
      <c r="AM122" s="20">
        <f t="shared" si="19"/>
        <v>-9.2320141481651352E-2</v>
      </c>
      <c r="AN122" s="9">
        <f t="shared" si="33"/>
        <v>8.6504919099430921E-2</v>
      </c>
      <c r="AO122" s="105">
        <v>-5.0000000000000001E-3</v>
      </c>
      <c r="AP122">
        <f t="shared" si="18"/>
        <v>9.1964742813498424E-2</v>
      </c>
      <c r="AQ122">
        <f t="shared" si="16"/>
        <v>8.6504919099430921E-2</v>
      </c>
      <c r="AS122" s="140">
        <v>10727</v>
      </c>
      <c r="AT122" s="33">
        <f t="shared" si="29"/>
        <v>0.16307058440854383</v>
      </c>
      <c r="AU122" s="146">
        <f t="shared" si="36"/>
        <v>444.74661558734994</v>
      </c>
      <c r="AV122" s="82">
        <f>AS122/AVERAGE($AS$122:$AS$133)</f>
        <v>0.92507758320708833</v>
      </c>
    </row>
    <row r="123" spans="1:66" ht="18.75">
      <c r="A123">
        <v>2020</v>
      </c>
      <c r="B123">
        <v>1</v>
      </c>
      <c r="C123" t="s">
        <v>127</v>
      </c>
      <c r="D123" s="33">
        <f t="shared" si="32"/>
        <v>-2.7388638281832856E-2</v>
      </c>
      <c r="E123" s="33">
        <f t="shared" si="22"/>
        <v>6.3280247662536677</v>
      </c>
      <c r="F123" s="33"/>
      <c r="G123" s="513">
        <f t="shared" ref="G123:G139" si="39">G122*(1+H123)</f>
        <v>102.60249999999998</v>
      </c>
      <c r="H123" s="511">
        <v>9.9999999999994321E-4</v>
      </c>
      <c r="I123" s="99">
        <f t="shared" ref="I123:I132" si="40">100*(1+J123)</f>
        <v>93.199999999999989</v>
      </c>
      <c r="J123" s="108">
        <v>-6.8000000000000005E-2</v>
      </c>
      <c r="K123" s="142">
        <f t="shared" si="23"/>
        <v>-3.9313752367565402E-2</v>
      </c>
      <c r="L123" s="142"/>
      <c r="M123" s="145">
        <f t="shared" si="37"/>
        <v>0.97013983732656672</v>
      </c>
      <c r="N123" s="145"/>
      <c r="O123" s="4">
        <f t="shared" si="38"/>
        <v>-6.800000000000006E-2</v>
      </c>
      <c r="P123" s="4"/>
      <c r="Q123" s="4"/>
      <c r="R123" s="4"/>
      <c r="S123" s="4"/>
      <c r="T123" s="4"/>
      <c r="U123" s="4"/>
      <c r="V123" s="479"/>
      <c r="W123" s="104">
        <f t="shared" ref="W123:W145" si="41">0.0832476*AM123-0.4809485*AN123-0.4924922*AO123+0.0587894</f>
        <v>3.5243736779658752E-3</v>
      </c>
      <c r="X123" s="104">
        <f t="shared" ref="X123:X145" si="42">0.2934419*AM123+1.016748*AN123+0.9085597*AO123-0.0215987</f>
        <v>2.3553324925069258E-2</v>
      </c>
      <c r="Y123" s="17">
        <f>-0.0044534+0.134411*AM123+1.315906*AN123</f>
        <v>9.0205907991004031E-2</v>
      </c>
      <c r="Z123" s="17">
        <f t="shared" si="30"/>
        <v>0.85488437841752229</v>
      </c>
      <c r="AA123" s="17">
        <f t="shared" si="35"/>
        <v>0.99658087320323119</v>
      </c>
      <c r="AB123" s="17"/>
      <c r="AC123" s="461">
        <v>65.28552628876659</v>
      </c>
      <c r="AD123" s="461">
        <f t="shared" si="10"/>
        <v>-0.19826951421521588</v>
      </c>
      <c r="AE123" s="46">
        <v>75.399082248986758</v>
      </c>
      <c r="AF123" s="106">
        <v>75.002886966367655</v>
      </c>
      <c r="AG123" s="82">
        <f t="shared" si="12"/>
        <v>-7.4349374411319946E-3</v>
      </c>
      <c r="AH123" s="107">
        <v>24.596524137931045</v>
      </c>
      <c r="AI123" s="33">
        <f>AH123/AH111-1</f>
        <v>-0.12543653527052123</v>
      </c>
      <c r="AJ123" s="99">
        <f>AE123*AH123</f>
        <v>1854.555346515051</v>
      </c>
      <c r="AK123" s="253">
        <v>463359.74034885998</v>
      </c>
      <c r="AL123" s="253"/>
      <c r="AM123" s="20">
        <f t="shared" si="19"/>
        <v>-0.15241480238365557</v>
      </c>
      <c r="AN123" s="9">
        <f t="shared" si="33"/>
        <v>8.7502856582608146E-2</v>
      </c>
      <c r="AO123" s="105">
        <v>1E-3</v>
      </c>
      <c r="AP123">
        <f t="shared" si="18"/>
        <v>8.6416440142465856E-2</v>
      </c>
      <c r="AQ123">
        <f t="shared" si="16"/>
        <v>8.6416440142465856E-2</v>
      </c>
      <c r="AS123" s="140">
        <v>10847</v>
      </c>
      <c r="AT123" s="33">
        <f t="shared" si="29"/>
        <v>0.15038710361650232</v>
      </c>
      <c r="AU123" s="146">
        <f t="shared" si="36"/>
        <v>440.99727014974906</v>
      </c>
      <c r="AV123" s="82">
        <f t="shared" ref="AV123:AV132" si="43">AS123/AVERAGE($AS$122:$AS$133)</f>
        <v>0.93542617181386101</v>
      </c>
    </row>
    <row r="124" spans="1:66">
      <c r="A124">
        <v>2020</v>
      </c>
      <c r="B124">
        <v>1</v>
      </c>
      <c r="C124" t="s">
        <v>128</v>
      </c>
      <c r="D124" s="33">
        <f t="shared" si="32"/>
        <v>-2.6656837256296945E-2</v>
      </c>
      <c r="E124" s="33">
        <f t="shared" si="22"/>
        <v>1.5334825911319221</v>
      </c>
      <c r="F124" s="33"/>
      <c r="G124" s="513">
        <f t="shared" si="39"/>
        <v>104.44934499999998</v>
      </c>
      <c r="H124" s="511">
        <v>1.7999999999999971E-2</v>
      </c>
      <c r="I124" s="99">
        <f t="shared" si="40"/>
        <v>95.8</v>
      </c>
      <c r="J124" s="108">
        <v>-4.2000000000000003E-2</v>
      </c>
      <c r="K124" s="82">
        <f t="shared" si="23"/>
        <v>-9.4463022024781129E-2</v>
      </c>
      <c r="L124" s="82"/>
      <c r="M124" s="143">
        <f t="shared" si="37"/>
        <v>1.0579358141089814</v>
      </c>
      <c r="N124" s="143"/>
      <c r="O124" s="4">
        <f t="shared" si="38"/>
        <v>-4.2000000000000037E-2</v>
      </c>
      <c r="P124" s="4"/>
      <c r="Q124" s="4"/>
      <c r="R124" s="4"/>
      <c r="S124" s="4"/>
      <c r="T124" s="4"/>
      <c r="U124" s="4"/>
      <c r="V124" s="479"/>
      <c r="W124" s="33">
        <f t="shared" si="41"/>
        <v>4.5173088066866665E-3</v>
      </c>
      <c r="X124" s="33">
        <f t="shared" si="42"/>
        <v>6.0423375426996426E-2</v>
      </c>
      <c r="Y124" s="17">
        <f t="shared" si="27"/>
        <v>0.16611762246728265</v>
      </c>
      <c r="Z124" s="17">
        <f t="shared" si="30"/>
        <v>0.82152947656605557</v>
      </c>
      <c r="AA124" s="17">
        <f t="shared" si="35"/>
        <v>0.960983142640634</v>
      </c>
      <c r="AB124" s="17"/>
      <c r="AC124" s="461">
        <v>47.666385441363957</v>
      </c>
      <c r="AD124" s="461">
        <f t="shared" si="10"/>
        <v>-0.39554620557671338</v>
      </c>
      <c r="AE124" s="46">
        <v>70.684576751875227</v>
      </c>
      <c r="AF124" s="106">
        <v>69.138175963638716</v>
      </c>
      <c r="AG124" s="82">
        <f t="shared" si="12"/>
        <v>-9.1446229370113707E-2</v>
      </c>
      <c r="AH124" s="107">
        <v>26.412293548387101</v>
      </c>
      <c r="AI124" s="33">
        <f>AH124/AH112-1</f>
        <v>-1.6797530157597995E-2</v>
      </c>
      <c r="AJ124" s="99">
        <f t="shared" si="13"/>
        <v>1866.9417905140269</v>
      </c>
      <c r="AK124" s="253">
        <v>481846.77134785004</v>
      </c>
      <c r="AL124" s="253"/>
      <c r="AM124" s="20">
        <f t="shared" si="19"/>
        <v>-8.0416904817264379E-2</v>
      </c>
      <c r="AN124" s="9">
        <f t="shared" si="33"/>
        <v>0.13783654688152192</v>
      </c>
      <c r="AO124" s="105">
        <v>-3.8000000000000006E-2</v>
      </c>
      <c r="AP124">
        <f t="shared" si="18"/>
        <v>0.18278227326561525</v>
      </c>
      <c r="AQ124">
        <f t="shared" si="16"/>
        <v>0.13783654688152192</v>
      </c>
      <c r="AS124" s="140">
        <v>11446</v>
      </c>
      <c r="AT124" s="33">
        <f t="shared" si="29"/>
        <v>0.11810100615414676</v>
      </c>
      <c r="AU124" s="146">
        <f t="shared" si="36"/>
        <v>433.35880615710346</v>
      </c>
      <c r="AV124" s="82">
        <f t="shared" si="43"/>
        <v>0.98708287660933469</v>
      </c>
      <c r="BD124" s="497"/>
      <c r="BE124" s="608">
        <v>2014</v>
      </c>
      <c r="BF124" s="608">
        <v>2015</v>
      </c>
      <c r="BG124" s="608">
        <v>2016</v>
      </c>
      <c r="BH124" s="608">
        <v>2017</v>
      </c>
      <c r="BI124" s="608">
        <v>2018</v>
      </c>
      <c r="BJ124" s="608">
        <v>2019</v>
      </c>
      <c r="BK124" s="608">
        <v>2020</v>
      </c>
      <c r="BL124" s="608">
        <v>2021</v>
      </c>
      <c r="BM124" s="608">
        <v>2022</v>
      </c>
      <c r="BN124" s="608">
        <v>2023</v>
      </c>
    </row>
    <row r="125" spans="1:66">
      <c r="A125">
        <v>2020</v>
      </c>
      <c r="B125">
        <v>2</v>
      </c>
      <c r="C125" t="s">
        <v>129</v>
      </c>
      <c r="D125" s="33">
        <f t="shared" si="32"/>
        <v>-6.0860710786648342E-2</v>
      </c>
      <c r="E125" s="33">
        <f t="shared" si="22"/>
        <v>0.97535952033687767</v>
      </c>
      <c r="F125" s="33"/>
      <c r="G125" s="513">
        <f t="shared" si="39"/>
        <v>104.55379434499997</v>
      </c>
      <c r="H125" s="511">
        <v>9.9999999999994321E-4</v>
      </c>
      <c r="I125" s="99">
        <f t="shared" si="40"/>
        <v>97.399999999999991</v>
      </c>
      <c r="J125" s="108">
        <v>-2.5999999999999999E-2</v>
      </c>
      <c r="K125" s="82">
        <f t="shared" si="23"/>
        <v>-0.31680227630706148</v>
      </c>
      <c r="L125" s="82"/>
      <c r="M125" s="143">
        <f t="shared" si="37"/>
        <v>1.4256487781240936</v>
      </c>
      <c r="N125" s="143"/>
      <c r="O125" s="4">
        <f t="shared" si="38"/>
        <v>-2.6000000000000023E-2</v>
      </c>
      <c r="P125" s="4"/>
      <c r="Q125" s="4"/>
      <c r="R125" s="4"/>
      <c r="S125" s="4"/>
      <c r="T125" s="4"/>
      <c r="U125" s="4"/>
      <c r="V125" s="479"/>
      <c r="W125" s="33">
        <f t="shared" si="41"/>
        <v>3.2660046966453492E-2</v>
      </c>
      <c r="X125" s="33">
        <f t="shared" si="42"/>
        <v>-8.5774476237504005E-3</v>
      </c>
      <c r="Y125" s="17">
        <f t="shared" si="27"/>
        <v>0.22725919604214193</v>
      </c>
      <c r="Z125" s="17">
        <f t="shared" si="30"/>
        <v>0.79363837984763774</v>
      </c>
      <c r="AA125" s="17">
        <f>Z125/Z124</f>
        <v>0.96604979186504547</v>
      </c>
      <c r="AB125" s="17"/>
      <c r="AC125" s="461">
        <v>36.716302443477453</v>
      </c>
      <c r="AD125" s="461">
        <f t="shared" si="10"/>
        <v>-0.53691505427433506</v>
      </c>
      <c r="AE125" s="46">
        <v>65.546772763790415</v>
      </c>
      <c r="AF125" s="106">
        <v>63.468999541326355</v>
      </c>
      <c r="AG125" s="82">
        <f t="shared" si="12"/>
        <v>-0.13268936837308465</v>
      </c>
      <c r="AH125" s="107">
        <v>27.224653333333325</v>
      </c>
      <c r="AI125" s="33">
        <f t="shared" si="34"/>
        <v>1.5409734843596423E-2</v>
      </c>
      <c r="AJ125" s="99">
        <f t="shared" si="13"/>
        <v>1784.4881656129687</v>
      </c>
      <c r="AK125" s="253">
        <v>512013.24899625999</v>
      </c>
      <c r="AL125" s="253"/>
      <c r="AM125" s="20">
        <f t="shared" si="19"/>
        <v>-0.13366540524868775</v>
      </c>
      <c r="AN125" s="9">
        <f t="shared" si="33"/>
        <v>0.18973900630213958</v>
      </c>
      <c r="AO125" s="125">
        <v>-0.15483019148108079</v>
      </c>
      <c r="AP125">
        <f t="shared" si="18"/>
        <v>0.40769227001499919</v>
      </c>
      <c r="AQ125">
        <f t="shared" si="16"/>
        <v>0.18973900630213958</v>
      </c>
      <c r="AS125" s="140">
        <v>10430</v>
      </c>
      <c r="AT125" s="33">
        <f t="shared" si="29"/>
        <v>1.5678254942058656E-2</v>
      </c>
      <c r="AU125" s="146">
        <f t="shared" si="36"/>
        <v>383.10864319545681</v>
      </c>
      <c r="AV125" s="82">
        <f t="shared" si="43"/>
        <v>0.89946482640532599</v>
      </c>
      <c r="BD125" s="497">
        <v>1</v>
      </c>
      <c r="BE125" s="607">
        <f t="shared" ref="BE125:BE135" si="44">AV50</f>
        <v>0.91143247715663001</v>
      </c>
      <c r="BF125" s="607">
        <f t="shared" ref="BF125:BF136" si="45">AV62</f>
        <v>0.82118523213436867</v>
      </c>
      <c r="BG125" s="607">
        <f t="shared" ref="BG125:BG136" si="46">AV74</f>
        <v>0.84089448656984966</v>
      </c>
      <c r="BH125" s="607">
        <f t="shared" ref="BH125:BH136" si="47">AV86</f>
        <v>0.84555210226939537</v>
      </c>
      <c r="BI125" s="607">
        <f t="shared" ref="BI125:BI136" si="48">AV98</f>
        <v>0.86963873173103601</v>
      </c>
      <c r="BJ125" s="607">
        <f t="shared" ref="BJ125:BJ136" si="49">AV110</f>
        <v>0.87806631195250284</v>
      </c>
      <c r="BK125" s="607">
        <f t="shared" ref="BK125:BK135" si="50">AV122</f>
        <v>0.92507758320708833</v>
      </c>
      <c r="BL125" s="607">
        <f t="shared" ref="BL125:BL136" si="51">AV134</f>
        <v>0.87999821161494274</v>
      </c>
      <c r="BM125" s="607"/>
      <c r="BN125" s="607">
        <f>AVERAGE(BK125:BL125)</f>
        <v>0.90253789741101553</v>
      </c>
    </row>
    <row r="126" spans="1:66">
      <c r="A126">
        <v>2020</v>
      </c>
      <c r="B126">
        <v>2</v>
      </c>
      <c r="C126" t="s">
        <v>130</v>
      </c>
      <c r="D126" s="33">
        <f t="shared" si="32"/>
        <v>-6.6799683322867565E-2</v>
      </c>
      <c r="E126" s="33">
        <f t="shared" si="22"/>
        <v>0.83797904002114199</v>
      </c>
      <c r="F126" s="33"/>
      <c r="G126" s="513">
        <f t="shared" si="39"/>
        <v>103.92647157892998</v>
      </c>
      <c r="H126" s="511">
        <v>-5.9999999999999429E-3</v>
      </c>
      <c r="I126" s="99">
        <f t="shared" si="40"/>
        <v>94.9</v>
      </c>
      <c r="J126" s="108">
        <v>-5.0999999999999941E-2</v>
      </c>
      <c r="K126" s="82">
        <f t="shared" si="23"/>
        <v>-0.26100887977941284</v>
      </c>
      <c r="L126" s="82"/>
      <c r="M126" s="143">
        <f t="shared" si="37"/>
        <v>1.2841832249847951</v>
      </c>
      <c r="N126" s="143"/>
      <c r="O126" s="4">
        <f t="shared" si="38"/>
        <v>-5.0999999999999934E-2</v>
      </c>
      <c r="P126" s="4"/>
      <c r="Q126" s="4"/>
      <c r="R126" s="4"/>
      <c r="S126" s="4"/>
      <c r="T126" s="4"/>
      <c r="U126" s="4"/>
      <c r="V126" s="479"/>
      <c r="W126" s="33">
        <f t="shared" si="41"/>
        <v>-2.3380063389845246E-3</v>
      </c>
      <c r="X126" s="33">
        <f t="shared" si="42"/>
        <v>5.4337213847677895E-2</v>
      </c>
      <c r="Y126" s="17">
        <f t="shared" si="27"/>
        <v>0.24056475688856166</v>
      </c>
      <c r="Z126" s="17">
        <f t="shared" si="30"/>
        <v>0.76497417384334698</v>
      </c>
      <c r="AA126" s="17">
        <f>Z126/Z125</f>
        <v>0.96388253550717429</v>
      </c>
      <c r="AB126" s="17"/>
      <c r="AC126" s="461">
        <v>40.076756156125917</v>
      </c>
      <c r="AD126" s="461">
        <f t="shared" ref="AD126:AD133" si="52">AC126/AC114-1</f>
        <v>-0.47354425549171963</v>
      </c>
      <c r="AE126" s="46">
        <v>66.342857265624275</v>
      </c>
      <c r="AF126" s="106">
        <v>60.520633514826365</v>
      </c>
      <c r="AG126" s="82">
        <f t="shared" si="12"/>
        <v>-0.13645058863069459</v>
      </c>
      <c r="AH126" s="107">
        <v>26.814329032258055</v>
      </c>
      <c r="AI126" s="33">
        <f t="shared" si="34"/>
        <v>1.6508731820793932E-2</v>
      </c>
      <c r="AJ126" s="99">
        <f>AE126*AH126</f>
        <v>1778.9392036605811</v>
      </c>
      <c r="AK126" s="253">
        <v>519652.13026646001</v>
      </c>
      <c r="AL126" s="253"/>
      <c r="AM126" s="20">
        <f t="shared" si="19"/>
        <v>-0.14048830151649994</v>
      </c>
      <c r="AN126" s="9">
        <f t="shared" si="33"/>
        <v>0.20054725032312026</v>
      </c>
      <c r="AO126" s="125">
        <v>-9.547523151101614E-2</v>
      </c>
      <c r="AP126">
        <f t="shared" si="18"/>
        <v>0.32726851949963121</v>
      </c>
      <c r="AQ126">
        <f t="shared" si="16"/>
        <v>0.20054725032312026</v>
      </c>
      <c r="AS126" s="140">
        <v>10542</v>
      </c>
      <c r="AT126" s="33">
        <f t="shared" si="29"/>
        <v>2.9592733665396942E-2</v>
      </c>
      <c r="AU126" s="146">
        <f t="shared" si="36"/>
        <v>393.14800632593904</v>
      </c>
      <c r="AV126" s="82">
        <f t="shared" si="43"/>
        <v>0.90912350910498052</v>
      </c>
      <c r="BD126" s="497">
        <v>2</v>
      </c>
      <c r="BE126" s="607">
        <f t="shared" si="44"/>
        <v>0.92351967767465282</v>
      </c>
      <c r="BF126" s="607">
        <f t="shared" si="45"/>
        <v>0.86349231500554591</v>
      </c>
      <c r="BG126" s="607">
        <f t="shared" si="46"/>
        <v>0.88388381956046791</v>
      </c>
      <c r="BH126" s="607">
        <f t="shared" si="47"/>
        <v>0.87384037999179032</v>
      </c>
      <c r="BI126" s="607">
        <f t="shared" si="48"/>
        <v>0.88279810907487499</v>
      </c>
      <c r="BJ126" s="607">
        <f t="shared" si="49"/>
        <v>0.89767833193105817</v>
      </c>
      <c r="BK126" s="607">
        <f t="shared" si="50"/>
        <v>0.93542617181386101</v>
      </c>
      <c r="BL126" s="607">
        <f t="shared" si="51"/>
        <v>0.89512017164269408</v>
      </c>
      <c r="BM126" s="497"/>
      <c r="BN126" s="607">
        <f>AVERAGE(BK126:BL126)</f>
        <v>0.9152731717282776</v>
      </c>
    </row>
    <row r="127" spans="1:66">
      <c r="A127">
        <v>2020</v>
      </c>
      <c r="B127">
        <v>2</v>
      </c>
      <c r="C127" t="s">
        <v>131</v>
      </c>
      <c r="D127" s="33">
        <f t="shared" si="32"/>
        <v>-7.2053355028940252E-2</v>
      </c>
      <c r="E127" s="33">
        <f t="shared" si="22"/>
        <v>0.68862601904360743</v>
      </c>
      <c r="F127" s="33"/>
      <c r="G127" s="513">
        <f t="shared" si="39"/>
        <v>101.84794214735138</v>
      </c>
      <c r="H127" s="511">
        <v>-0.02</v>
      </c>
      <c r="I127" s="99">
        <f t="shared" si="40"/>
        <v>95.4</v>
      </c>
      <c r="J127" s="108">
        <v>-4.5999999999999944E-2</v>
      </c>
      <c r="K127" s="82">
        <f t="shared" si="23"/>
        <v>-0.19785277090939024</v>
      </c>
      <c r="L127" s="82"/>
      <c r="M127" s="143">
        <f t="shared" si="37"/>
        <v>1.1893078544714852</v>
      </c>
      <c r="N127" s="143"/>
      <c r="O127" s="4">
        <f t="shared" si="38"/>
        <v>-4.599999999999993E-2</v>
      </c>
      <c r="P127" s="4"/>
      <c r="Q127" s="4"/>
      <c r="R127" s="4"/>
      <c r="S127" s="4"/>
      <c r="T127" s="4"/>
      <c r="U127" s="4"/>
      <c r="V127" s="479"/>
      <c r="W127" s="33">
        <f t="shared" si="41"/>
        <v>-1.3011578233347136E-2</v>
      </c>
      <c r="X127" s="33">
        <f t="shared" si="42"/>
        <v>7.9224194459418751E-2</v>
      </c>
      <c r="Y127" s="17">
        <f>-0.0044534+0.134411*AM127+1.315906*AN127</f>
        <v>0.2659406214882391</v>
      </c>
      <c r="Z127" s="17">
        <f t="shared" si="30"/>
        <v>0.75358984758580394</v>
      </c>
      <c r="AA127" s="17">
        <f>Z127/Z126</f>
        <v>0.98511802535718762</v>
      </c>
      <c r="AB127" s="17"/>
      <c r="AC127" s="461">
        <v>45.964417172618703</v>
      </c>
      <c r="AD127" s="461">
        <f t="shared" si="52"/>
        <v>-0.32103416040410249</v>
      </c>
      <c r="AE127" s="46">
        <v>70.076832016052819</v>
      </c>
      <c r="AF127" s="106">
        <v>60.028681783141337</v>
      </c>
      <c r="AG127" s="82">
        <f t="shared" si="12"/>
        <v>-0.1068570654676132</v>
      </c>
      <c r="AH127" s="107">
        <v>26.707343333333327</v>
      </c>
      <c r="AI127" s="33">
        <f t="shared" si="34"/>
        <v>7.8200692392327298E-3</v>
      </c>
      <c r="AJ127" s="99">
        <f t="shared" si="13"/>
        <v>1871.5660123650478</v>
      </c>
      <c r="AK127" s="253">
        <v>532652.29741945001</v>
      </c>
      <c r="AL127" s="253"/>
      <c r="AM127" s="20">
        <f t="shared" si="19"/>
        <v>-0.13426600670578603</v>
      </c>
      <c r="AN127" s="9">
        <f t="shared" si="33"/>
        <v>0.2191956338185026</v>
      </c>
      <c r="AO127" s="123">
        <v>-9.0962163214060171E-2</v>
      </c>
      <c r="AP127" s="130">
        <f>(1+AN127)/(1+AO127)-1</f>
        <v>0.34119349545358757</v>
      </c>
      <c r="AQ127">
        <f t="shared" si="16"/>
        <v>0.2191956338185026</v>
      </c>
      <c r="AS127" s="140">
        <v>11579</v>
      </c>
      <c r="AT127" s="33">
        <f t="shared" si="29"/>
        <v>7.381990169711572E-2</v>
      </c>
      <c r="AU127" s="146">
        <f t="shared" si="36"/>
        <v>433.55117188119181</v>
      </c>
      <c r="AV127" s="82">
        <f t="shared" si="43"/>
        <v>0.99855256231517442</v>
      </c>
      <c r="BD127" s="497">
        <v>3</v>
      </c>
      <c r="BE127" s="607">
        <f t="shared" si="44"/>
        <v>0.98280451831066984</v>
      </c>
      <c r="BF127" s="607">
        <f t="shared" si="45"/>
        <v>0.91815877040088745</v>
      </c>
      <c r="BG127" s="607">
        <f t="shared" si="46"/>
        <v>0.94846420768538753</v>
      </c>
      <c r="BH127" s="607">
        <f t="shared" si="47"/>
        <v>0.95026095115228992</v>
      </c>
      <c r="BI127" s="607">
        <f t="shared" si="48"/>
        <v>0.94524904733411919</v>
      </c>
      <c r="BJ127" s="607">
        <f t="shared" si="49"/>
        <v>0.97460314815762461</v>
      </c>
      <c r="BK127" s="607">
        <f t="shared" si="50"/>
        <v>0.98708287660933469</v>
      </c>
      <c r="BL127" s="607">
        <f t="shared" si="51"/>
        <v>0.97094396178184328</v>
      </c>
      <c r="BM127" s="497"/>
      <c r="BN127" s="607">
        <f t="shared" ref="BN127:BN135" si="53">AVERAGE(BK127:BL127)</f>
        <v>0.97901341919558904</v>
      </c>
    </row>
    <row r="128" spans="1:66">
      <c r="A128">
        <v>2020</v>
      </c>
      <c r="B128">
        <v>3</v>
      </c>
      <c r="C128" t="s">
        <v>132</v>
      </c>
      <c r="D128" s="33">
        <f t="shared" si="32"/>
        <v>-6.2375820402764209E-2</v>
      </c>
      <c r="E128" s="33">
        <f t="shared" si="22"/>
        <v>1.0408953194459332</v>
      </c>
      <c r="F128" s="33"/>
      <c r="G128" s="513">
        <f t="shared" si="39"/>
        <v>102.25533391594078</v>
      </c>
      <c r="H128" s="511">
        <v>4.0000000000000565E-3</v>
      </c>
      <c r="I128" s="99">
        <f t="shared" si="40"/>
        <v>92.5</v>
      </c>
      <c r="J128" s="108">
        <v>-7.4999999999999997E-2</v>
      </c>
      <c r="K128" s="82">
        <f t="shared" si="23"/>
        <v>-0.14576134715324196</v>
      </c>
      <c r="L128" s="82"/>
      <c r="M128" s="143">
        <f t="shared" si="37"/>
        <v>1.0828355716724234</v>
      </c>
      <c r="N128" s="143"/>
      <c r="O128" s="4">
        <f t="shared" si="38"/>
        <v>-7.4999999999999956E-2</v>
      </c>
      <c r="P128" s="4"/>
      <c r="Q128" s="4"/>
      <c r="R128" s="4"/>
      <c r="S128" s="4"/>
      <c r="T128" s="4"/>
      <c r="U128" s="4"/>
      <c r="V128" s="479"/>
      <c r="W128" s="33">
        <f t="shared" si="41"/>
        <v>-4.7410928762370456E-2</v>
      </c>
      <c r="X128" s="33">
        <f t="shared" si="42"/>
        <v>0.17753243290323559</v>
      </c>
      <c r="Y128" s="17">
        <f t="shared" si="27"/>
        <v>0.30999262506927405</v>
      </c>
      <c r="Z128" s="17">
        <f t="shared" si="30"/>
        <v>0.70611084543402292</v>
      </c>
      <c r="AA128" s="17"/>
      <c r="AB128" s="17"/>
      <c r="AC128" s="461">
        <v>47.838802568428477</v>
      </c>
      <c r="AD128" s="461">
        <f t="shared" si="52"/>
        <v>-0.30696850868147474</v>
      </c>
      <c r="AE128" s="122">
        <v>73.192970329836328</v>
      </c>
      <c r="AF128" s="106">
        <v>60.179786435596888</v>
      </c>
      <c r="AG128" s="82">
        <f t="shared" ref="AG128:AG133" si="54">AE128/AE115-1</f>
        <v>-0.10278530113120865</v>
      </c>
      <c r="AH128" s="107">
        <v>27.312838709677415</v>
      </c>
      <c r="AI128" s="33">
        <f t="shared" si="34"/>
        <v>6.0636937322648965E-2</v>
      </c>
      <c r="AJ128" s="99">
        <f>AE128*AH128</f>
        <v>1999.1077933010242</v>
      </c>
      <c r="AK128" s="253">
        <v>548906.36791107</v>
      </c>
      <c r="AL128" s="253"/>
      <c r="AM128" s="20">
        <f t="shared" si="19"/>
        <v>-6.3926157403942252E-2</v>
      </c>
      <c r="AN128" s="9">
        <f t="shared" si="33"/>
        <v>0.24548744652892784</v>
      </c>
      <c r="AO128" s="123">
        <v>-3.4900430089345638E-2</v>
      </c>
      <c r="AP128">
        <f t="shared" si="18"/>
        <v>0.29052740811420197</v>
      </c>
      <c r="AQ128">
        <f t="shared" si="16"/>
        <v>0.24548744652892784</v>
      </c>
      <c r="AS128" s="140">
        <v>11804</v>
      </c>
      <c r="AT128" s="33">
        <f t="shared" si="29"/>
        <v>7.5927445082490275E-2</v>
      </c>
      <c r="AU128" s="146">
        <f t="shared" si="36"/>
        <v>432.17770680927566</v>
      </c>
      <c r="AV128" s="82">
        <f t="shared" si="43"/>
        <v>1.0179561659528733</v>
      </c>
      <c r="BD128" s="497">
        <v>4</v>
      </c>
      <c r="BE128" s="607">
        <f t="shared" si="44"/>
        <v>0.98769695661558388</v>
      </c>
      <c r="BF128" s="607">
        <f t="shared" si="45"/>
        <v>0.95024560291554439</v>
      </c>
      <c r="BG128" s="607">
        <f t="shared" si="46"/>
        <v>0.94364477573576666</v>
      </c>
      <c r="BH128" s="607">
        <f t="shared" si="47"/>
        <v>0.93717234504192803</v>
      </c>
      <c r="BI128" s="607">
        <f t="shared" si="48"/>
        <v>0.95633454560217446</v>
      </c>
      <c r="BJ128" s="607">
        <f t="shared" si="49"/>
        <v>0.97764967553293414</v>
      </c>
      <c r="BK128" s="607">
        <f t="shared" si="50"/>
        <v>0.89946482640532599</v>
      </c>
      <c r="BL128" s="607">
        <f t="shared" si="51"/>
        <v>0.96602219177281101</v>
      </c>
      <c r="BM128" s="497"/>
      <c r="BN128" s="607">
        <f t="shared" si="53"/>
        <v>0.93274350908906856</v>
      </c>
    </row>
    <row r="129" spans="1:66">
      <c r="A129">
        <v>2020</v>
      </c>
      <c r="B129">
        <v>3</v>
      </c>
      <c r="C129" t="s">
        <v>133</v>
      </c>
      <c r="D129" s="33">
        <f t="shared" si="32"/>
        <v>-1.8488437252476758E-2</v>
      </c>
      <c r="E129" s="33">
        <f>J129/D128</f>
        <v>0.75349710346923426</v>
      </c>
      <c r="F129" s="33"/>
      <c r="G129" s="513">
        <f t="shared" si="39"/>
        <v>104.60720659600742</v>
      </c>
      <c r="H129" s="511">
        <v>2.2999999999999972E-2</v>
      </c>
      <c r="I129" s="99">
        <f t="shared" si="40"/>
        <v>95.3</v>
      </c>
      <c r="J129" s="108">
        <v>-4.7E-2</v>
      </c>
      <c r="K129" s="82">
        <f t="shared" si="23"/>
        <v>-9.2546051685132177E-2</v>
      </c>
      <c r="L129" s="82"/>
      <c r="M129" s="143">
        <f t="shared" si="37"/>
        <v>1.0501910336824372</v>
      </c>
      <c r="N129" s="143"/>
      <c r="O129" s="4">
        <f>(1+K129)*$M129-1</f>
        <v>-4.7000000000000042E-2</v>
      </c>
      <c r="P129" s="4"/>
      <c r="Q129" s="4"/>
      <c r="R129" s="4"/>
      <c r="S129" s="4"/>
      <c r="T129" s="4"/>
      <c r="U129" s="4"/>
      <c r="V129" s="479"/>
      <c r="W129" s="33">
        <f t="shared" si="41"/>
        <v>-4.7370896980147965E-2</v>
      </c>
      <c r="X129" s="33">
        <f t="shared" si="42"/>
        <v>0.26977240156488502</v>
      </c>
      <c r="Y129" s="17">
        <f>-0.0044534+0.134411*AM129+1.315906*AN129</f>
        <v>0.37543308255840296</v>
      </c>
      <c r="Z129" s="17">
        <f t="shared" si="30"/>
        <v>0.69287267558473475</v>
      </c>
      <c r="AA129" s="17"/>
      <c r="AB129" s="17"/>
      <c r="AC129" s="461">
        <v>52.145933593115927</v>
      </c>
      <c r="AD129" s="461">
        <f t="shared" si="52"/>
        <v>-0.1946401795658721</v>
      </c>
      <c r="AE129" s="122">
        <v>76.246559069934008</v>
      </c>
      <c r="AF129" s="106">
        <v>60.389473220098822</v>
      </c>
      <c r="AG129" s="82">
        <f t="shared" si="54"/>
        <v>-8.0621720907276373E-2</v>
      </c>
      <c r="AH129" s="107">
        <v>27.521419354838709</v>
      </c>
      <c r="AI129" s="33">
        <f t="shared" si="34"/>
        <v>9.0087165908012468E-2</v>
      </c>
      <c r="AJ129" s="99">
        <f t="shared" si="13"/>
        <v>2098.4135265271348</v>
      </c>
      <c r="AK129" s="253">
        <v>562323.00620272011</v>
      </c>
      <c r="AL129" s="253"/>
      <c r="AM129" s="20">
        <f t="shared" si="19"/>
        <v>0.1340359004107825</v>
      </c>
      <c r="AN129" s="9">
        <f t="shared" si="33"/>
        <v>0.2749972894327477</v>
      </c>
      <c r="AO129" s="123">
        <v>-3.0337678147108183E-2</v>
      </c>
      <c r="AP129">
        <f t="shared" si="18"/>
        <v>0.31488793644822932</v>
      </c>
      <c r="AQ129">
        <f t="shared" si="16"/>
        <v>0.2749972894327477</v>
      </c>
      <c r="AS129" s="140">
        <v>11446</v>
      </c>
      <c r="AT129" s="33">
        <f t="shared" si="29"/>
        <v>8.6267438549871844E-2</v>
      </c>
      <c r="AU129" s="146">
        <f t="shared" si="36"/>
        <v>415.8942477647908</v>
      </c>
      <c r="AV129" s="82">
        <f t="shared" si="43"/>
        <v>0.98708287660933469</v>
      </c>
      <c r="BD129" s="497">
        <v>5</v>
      </c>
      <c r="BE129" s="607">
        <f t="shared" si="44"/>
        <v>0.98712137563853519</v>
      </c>
      <c r="BF129" s="607">
        <f t="shared" si="45"/>
        <v>0.96070353351291404</v>
      </c>
      <c r="BG129" s="607">
        <f t="shared" si="46"/>
        <v>0.96080195347641695</v>
      </c>
      <c r="BH129" s="607">
        <f t="shared" si="47"/>
        <v>0.96264586876209457</v>
      </c>
      <c r="BI129" s="607">
        <f t="shared" si="48"/>
        <v>0.98390845385774128</v>
      </c>
      <c r="BJ129" s="607">
        <f t="shared" si="49"/>
        <v>0.97479355611858143</v>
      </c>
      <c r="BK129" s="607">
        <f t="shared" si="50"/>
        <v>0.90912350910498052</v>
      </c>
      <c r="BL129" s="607">
        <f t="shared" si="51"/>
        <v>0.96288367176705136</v>
      </c>
      <c r="BM129" s="497"/>
      <c r="BN129" s="607">
        <f t="shared" si="53"/>
        <v>0.936003590436016</v>
      </c>
    </row>
    <row r="130" spans="1:66">
      <c r="A130">
        <v>2020</v>
      </c>
      <c r="B130">
        <v>3</v>
      </c>
      <c r="C130" t="s">
        <v>134</v>
      </c>
      <c r="D130" s="33">
        <f t="shared" si="32"/>
        <v>1.0536872235015385E-2</v>
      </c>
      <c r="E130" s="109">
        <v>0.75</v>
      </c>
      <c r="F130" s="109"/>
      <c r="G130" s="513">
        <f t="shared" si="39"/>
        <v>106.38552910813955</v>
      </c>
      <c r="H130" s="511">
        <v>1.7000000000000029E-2</v>
      </c>
      <c r="I130" s="99">
        <f t="shared" si="40"/>
        <v>98.3</v>
      </c>
      <c r="J130" s="108">
        <v>-1.7000000000000001E-2</v>
      </c>
      <c r="K130" s="82">
        <f t="shared" si="23"/>
        <v>-2.5881291113214328E-2</v>
      </c>
      <c r="L130" s="82"/>
      <c r="M130" s="143">
        <f t="shared" si="37"/>
        <v>1.0091172575089578</v>
      </c>
      <c r="N130" s="143"/>
      <c r="O130" s="4">
        <f>(1+K130)*$M$130-1</f>
        <v>-1.7000000000000126E-2</v>
      </c>
      <c r="P130" s="4"/>
      <c r="Q130" s="4"/>
      <c r="R130" s="4"/>
      <c r="S130" s="4"/>
      <c r="T130" s="4"/>
      <c r="U130" s="4"/>
      <c r="V130" s="479"/>
      <c r="W130" s="33">
        <f>0.0832476*AM130-0.4809485*AN130-0.4924922*AO130+0.0587894</f>
        <v>-3.9735457900128245E-2</v>
      </c>
      <c r="X130" s="33">
        <f t="shared" si="42"/>
        <v>0.30671333585855609</v>
      </c>
      <c r="Y130" s="17">
        <f>-0.0044534+0.134411*AM130+1.315906*AN130</f>
        <v>0.39821971983476523</v>
      </c>
      <c r="Z130" s="129">
        <v>0.75</v>
      </c>
      <c r="AA130" s="17"/>
      <c r="AB130" s="17"/>
      <c r="AC130" s="461">
        <v>53.482255180276418</v>
      </c>
      <c r="AD130" s="461">
        <f t="shared" si="52"/>
        <v>-0.21936570933630495</v>
      </c>
      <c r="AE130" s="122">
        <v>81.176230603036799</v>
      </c>
      <c r="AF130" s="106">
        <v>60.67464677134609</v>
      </c>
      <c r="AG130" s="82">
        <f t="shared" si="54"/>
        <v>0.10757771438996366</v>
      </c>
      <c r="AH130" s="107">
        <v>27.976716666666668</v>
      </c>
      <c r="AI130" s="33">
        <f>AH130/AH118-1</f>
        <v>0.12947227342627188</v>
      </c>
      <c r="AJ130" s="99">
        <f t="shared" si="13"/>
        <v>2271.0444036491563</v>
      </c>
      <c r="AK130" s="253">
        <v>567879.80887951003</v>
      </c>
      <c r="AL130" s="253"/>
      <c r="AM130" s="20">
        <f t="shared" si="19"/>
        <v>0.24649686222241596</v>
      </c>
      <c r="AN130" s="9">
        <f t="shared" si="33"/>
        <v>0.2808264648740777</v>
      </c>
      <c r="AO130" s="123">
        <v>-3.2524244960255855E-2</v>
      </c>
      <c r="AP130">
        <f t="shared" si="18"/>
        <v>0.32388481902728516</v>
      </c>
      <c r="AQ130">
        <f t="shared" si="16"/>
        <v>0.2808264648740777</v>
      </c>
      <c r="AS130" s="140">
        <v>11988</v>
      </c>
      <c r="AT130" s="33">
        <f t="shared" si="29"/>
        <v>0.12173039170735445</v>
      </c>
      <c r="AU130" s="146">
        <f t="shared" si="36"/>
        <v>428.49917461126898</v>
      </c>
      <c r="AV130" s="82">
        <f t="shared" si="43"/>
        <v>1.0338240018165914</v>
      </c>
      <c r="BD130" s="497">
        <v>6</v>
      </c>
      <c r="BE130" s="607">
        <f t="shared" si="44"/>
        <v>1.0363335491761998</v>
      </c>
      <c r="BF130" s="607">
        <f t="shared" si="45"/>
        <v>1.0217873554111869</v>
      </c>
      <c r="BG130" s="607">
        <f t="shared" si="46"/>
        <v>1.0288523326050636</v>
      </c>
      <c r="BH130" s="607">
        <f t="shared" si="47"/>
        <v>1.0358294728200317</v>
      </c>
      <c r="BI130" s="607">
        <f t="shared" si="48"/>
        <v>1.0308690152899245</v>
      </c>
      <c r="BJ130" s="607">
        <f t="shared" si="49"/>
        <v>1.026584521498844</v>
      </c>
      <c r="BK130" s="607">
        <f t="shared" si="50"/>
        <v>0.99855256231517442</v>
      </c>
      <c r="BL130" s="607">
        <f t="shared" si="51"/>
        <v>1.0209462918736059</v>
      </c>
      <c r="BM130" s="497"/>
      <c r="BN130" s="607">
        <f t="shared" si="53"/>
        <v>1.0097494270943901</v>
      </c>
    </row>
    <row r="131" spans="1:66">
      <c r="A131">
        <v>2020</v>
      </c>
      <c r="B131">
        <v>4</v>
      </c>
      <c r="C131" t="s">
        <v>135</v>
      </c>
      <c r="D131" s="33">
        <f t="shared" si="32"/>
        <v>1.0327981144479359E-2</v>
      </c>
      <c r="E131" s="33"/>
      <c r="F131" s="33"/>
      <c r="G131" s="513">
        <f t="shared" si="39"/>
        <v>110.42817921424886</v>
      </c>
      <c r="H131" s="511">
        <v>3.7999999999999971E-2</v>
      </c>
      <c r="I131" s="99">
        <f t="shared" si="40"/>
        <v>103.2</v>
      </c>
      <c r="J131" s="108">
        <v>3.2000000000000001E-2</v>
      </c>
      <c r="K131" s="82">
        <f t="shared" si="23"/>
        <v>-7.1636251260481787E-4</v>
      </c>
      <c r="L131" s="82"/>
      <c r="M131" s="143">
        <f t="shared" si="37"/>
        <v>1.0327398160895209</v>
      </c>
      <c r="N131" s="143"/>
      <c r="O131" s="4">
        <f>(1+K131)*$M$131-1</f>
        <v>3.2000000000000028E-2</v>
      </c>
      <c r="P131" s="4"/>
      <c r="Q131" s="4"/>
      <c r="R131" s="4"/>
      <c r="S131" s="4"/>
      <c r="T131" s="4"/>
      <c r="U131" s="4"/>
      <c r="V131" s="479"/>
      <c r="W131" s="33">
        <f t="shared" si="41"/>
        <v>-5.235595058458533E-2</v>
      </c>
      <c r="X131" s="33">
        <f t="shared" si="42"/>
        <v>0.35675402568917669</v>
      </c>
      <c r="Y131" s="17">
        <f>-0.0044534+0.134411*AM131+1.315906*AN131</f>
        <v>0.45350172121295557</v>
      </c>
      <c r="Z131" s="114">
        <v>0.8</v>
      </c>
      <c r="AA131" s="17"/>
      <c r="AB131" s="17"/>
      <c r="AC131" s="461">
        <v>56.916777023770464</v>
      </c>
      <c r="AD131" s="461">
        <f t="shared" si="52"/>
        <v>-0.19765910666918485</v>
      </c>
      <c r="AE131" s="122">
        <v>84.847588461790551</v>
      </c>
      <c r="AF131" s="106">
        <v>60.713533892441369</v>
      </c>
      <c r="AG131" s="82">
        <f t="shared" si="54"/>
        <v>0.15352294500028818</v>
      </c>
      <c r="AH131" s="107">
        <v>28.324951612903224</v>
      </c>
      <c r="AI131" s="33">
        <f t="shared" si="34"/>
        <v>0.14175732915185901</v>
      </c>
      <c r="AJ131" s="99">
        <f>AE131*AH131</f>
        <v>2403.3038376517434</v>
      </c>
      <c r="AK131" s="253">
        <v>581722.47843255999</v>
      </c>
      <c r="AL131" s="253"/>
      <c r="AM131" s="20">
        <f t="shared" si="19"/>
        <v>0.29564113123642644</v>
      </c>
      <c r="AN131" s="9">
        <f t="shared" si="33"/>
        <v>0.31781730695227184</v>
      </c>
      <c r="AO131" s="123">
        <v>-3.4715254031296022E-2</v>
      </c>
      <c r="AP131">
        <f t="shared" si="18"/>
        <v>0.36521095195572228</v>
      </c>
      <c r="AQ131">
        <f t="shared" si="16"/>
        <v>0.31781730695227184</v>
      </c>
      <c r="AS131" s="140">
        <v>12174</v>
      </c>
      <c r="AT131" s="33">
        <f t="shared" si="29"/>
        <v>0.13485728987801271</v>
      </c>
      <c r="AU131" s="146">
        <f t="shared" si="36"/>
        <v>429.79773333325744</v>
      </c>
      <c r="AV131" s="82">
        <f t="shared" si="43"/>
        <v>1.0498643141570889</v>
      </c>
      <c r="BD131" s="497">
        <v>7</v>
      </c>
      <c r="BE131" s="607">
        <f t="shared" si="44"/>
        <v>1.017914957910641</v>
      </c>
      <c r="BF131" s="607">
        <f t="shared" si="45"/>
        <v>1.0434162573284742</v>
      </c>
      <c r="BG131" s="607">
        <f t="shared" si="46"/>
        <v>1.0359850918905025</v>
      </c>
      <c r="BH131" s="607">
        <f t="shared" si="47"/>
        <v>1.0328739811176919</v>
      </c>
      <c r="BI131" s="607">
        <f t="shared" si="48"/>
        <v>1.0341518113691015</v>
      </c>
      <c r="BJ131" s="607">
        <f t="shared" si="49"/>
        <v>1.0444828698287876</v>
      </c>
      <c r="BK131" s="607">
        <f t="shared" si="50"/>
        <v>1.0179561659528733</v>
      </c>
      <c r="BL131" s="607">
        <f t="shared" si="51"/>
        <v>1.0232288518777948</v>
      </c>
      <c r="BM131" s="497"/>
      <c r="BN131" s="607">
        <f t="shared" si="53"/>
        <v>1.020592508915334</v>
      </c>
    </row>
    <row r="132" spans="1:66">
      <c r="A132">
        <v>2020</v>
      </c>
      <c r="B132">
        <v>4</v>
      </c>
      <c r="C132" t="s">
        <v>136</v>
      </c>
      <c r="D132" s="33">
        <f t="shared" si="32"/>
        <v>2.8926455390748687E-2</v>
      </c>
      <c r="E132" s="109">
        <v>-0.3</v>
      </c>
      <c r="F132" s="109"/>
      <c r="G132" s="513">
        <f t="shared" si="39"/>
        <v>112.63674279853383</v>
      </c>
      <c r="H132" s="511">
        <v>0.02</v>
      </c>
      <c r="I132" s="99">
        <f t="shared" si="40"/>
        <v>108.60000000000001</v>
      </c>
      <c r="J132" s="108">
        <v>8.5999999999999993E-2</v>
      </c>
      <c r="K132" s="82">
        <f t="shared" si="23"/>
        <v>1.9094815500824563E-2</v>
      </c>
      <c r="L132" s="82"/>
      <c r="M132" s="143">
        <f t="shared" si="37"/>
        <v>1.0656515796975137</v>
      </c>
      <c r="N132" s="143"/>
      <c r="O132" s="4">
        <f>(1+K132)*$M$132-1</f>
        <v>8.6000000000000076E-2</v>
      </c>
      <c r="P132" s="4"/>
      <c r="Q132" s="4"/>
      <c r="R132" s="4"/>
      <c r="S132" s="4"/>
      <c r="T132" s="4"/>
      <c r="U132" s="4"/>
      <c r="V132" s="479"/>
      <c r="W132" s="33">
        <f t="shared" si="41"/>
        <v>-6.6593349250162248E-2</v>
      </c>
      <c r="X132" s="33">
        <f t="shared" si="42"/>
        <v>0.41171901831940683</v>
      </c>
      <c r="Y132" s="17">
        <f t="shared" si="27"/>
        <v>0.46439553012989571</v>
      </c>
      <c r="Z132" s="17"/>
      <c r="AA132" s="17"/>
      <c r="AB132" s="17"/>
      <c r="AC132" s="461">
        <v>60.819748220404406</v>
      </c>
      <c r="AD132" s="461">
        <f t="shared" si="52"/>
        <v>-0.18950812123373939</v>
      </c>
      <c r="AE132" s="122">
        <v>88.308806580322923</v>
      </c>
      <c r="AF132" s="106">
        <v>60.879920582100503</v>
      </c>
      <c r="AG132" s="82">
        <f t="shared" si="54"/>
        <v>0.18106943597804448</v>
      </c>
      <c r="AH132" s="107">
        <v>28.310153333333343</v>
      </c>
      <c r="AI132" s="33">
        <f t="shared" si="34"/>
        <v>0.16179877645016871</v>
      </c>
      <c r="AJ132" s="99">
        <f>AE132*AH132</f>
        <v>2500.0358549726184</v>
      </c>
      <c r="AK132" s="253">
        <v>586269.83144441003</v>
      </c>
      <c r="AL132" s="253"/>
      <c r="AM132" s="20">
        <f t="shared" si="19"/>
        <v>0.3593296078956727</v>
      </c>
      <c r="AN132" s="9">
        <f t="shared" si="33"/>
        <v>0.31959051649816206</v>
      </c>
      <c r="AO132" s="123">
        <v>3.2274565818540273E-3</v>
      </c>
      <c r="AP132">
        <f t="shared" si="18"/>
        <v>0.31534529666303635</v>
      </c>
      <c r="AQ132">
        <f>IF(AO132&gt;0,AP132,AN132)</f>
        <v>0.31534529666303635</v>
      </c>
      <c r="AS132" s="140">
        <v>11987.410099999999</v>
      </c>
      <c r="AT132" s="33">
        <f t="shared" si="29"/>
        <v>0.12250706517566012</v>
      </c>
      <c r="AU132" s="146">
        <f t="shared" si="36"/>
        <v>423.43147911832796</v>
      </c>
      <c r="AV132" s="82">
        <f t="shared" si="43"/>
        <v>1.0337731298797652</v>
      </c>
      <c r="BD132" s="497">
        <v>8</v>
      </c>
      <c r="BE132" s="607">
        <f t="shared" si="44"/>
        <v>0.96985394632707389</v>
      </c>
      <c r="BF132" s="607">
        <f t="shared" si="45"/>
        <v>0.99944541277135168</v>
      </c>
      <c r="BG132" s="607">
        <f t="shared" si="46"/>
        <v>1.0028274000771109</v>
      </c>
      <c r="BH132" s="607">
        <f t="shared" si="47"/>
        <v>1.001207998592623</v>
      </c>
      <c r="BI132" s="607">
        <f t="shared" si="48"/>
        <v>1.0123867944236826</v>
      </c>
      <c r="BJ132" s="607">
        <f t="shared" si="49"/>
        <v>1.0031643423011518</v>
      </c>
      <c r="BK132" s="607">
        <f t="shared" si="50"/>
        <v>0.98708287660933469</v>
      </c>
      <c r="BL132" s="607">
        <f t="shared" si="51"/>
        <v>0.99840601183224076</v>
      </c>
      <c r="BM132" s="497"/>
      <c r="BN132" s="607">
        <f t="shared" si="53"/>
        <v>0.99274444422078778</v>
      </c>
    </row>
    <row r="133" spans="1:66">
      <c r="A133">
        <v>2020</v>
      </c>
      <c r="B133">
        <v>4</v>
      </c>
      <c r="C133" t="s">
        <v>137</v>
      </c>
      <c r="D133" s="33">
        <f t="shared" si="32"/>
        <v>8.0076764414234336E-2</v>
      </c>
      <c r="E133" s="33"/>
      <c r="F133" s="33"/>
      <c r="G133" s="513">
        <f t="shared" si="39"/>
        <v>114.66420416890745</v>
      </c>
      <c r="H133" s="511">
        <v>1.7999999999999971E-2</v>
      </c>
      <c r="I133" s="99">
        <f>100*(1+J133)</f>
        <v>114.5</v>
      </c>
      <c r="J133" s="108">
        <v>0.14499999999999999</v>
      </c>
      <c r="K133" s="82">
        <f t="shared" si="23"/>
        <v>8.6332650867241262E-2</v>
      </c>
      <c r="L133" s="82"/>
      <c r="M133" s="143">
        <f t="shared" si="37"/>
        <v>1.054004957952726</v>
      </c>
      <c r="N133" s="143"/>
      <c r="O133" s="4">
        <f>(1+K133)*$M133-1</f>
        <v>0.14500000000000002</v>
      </c>
      <c r="P133" s="4"/>
      <c r="Q133" s="4"/>
      <c r="R133" s="4"/>
      <c r="S133" s="4"/>
      <c r="T133" s="4"/>
      <c r="U133" s="4"/>
      <c r="V133" s="479"/>
      <c r="W133" s="33">
        <f t="shared" si="41"/>
        <v>-3.5715107245035148E-2</v>
      </c>
      <c r="X133" s="33">
        <f t="shared" si="42"/>
        <v>0.4178480709678053</v>
      </c>
      <c r="Y133" s="17">
        <f>-0.0044534+0.134411*AM133+1.315906*AN133</f>
        <v>0.44524839229583379</v>
      </c>
      <c r="AA133" s="17"/>
      <c r="AB133" s="17"/>
      <c r="AC133" s="461">
        <v>72.42173076106674</v>
      </c>
      <c r="AD133" s="461">
        <f t="shared" si="52"/>
        <v>-4.7753463677947194E-2</v>
      </c>
      <c r="AE133" s="122">
        <v>98.853626138256104</v>
      </c>
      <c r="AF133" s="106">
        <v>61.610697877409578</v>
      </c>
      <c r="AG133" s="82">
        <f t="shared" si="54"/>
        <v>0.30973203675545546</v>
      </c>
      <c r="AH133" s="107">
        <v>28.169719354838708</v>
      </c>
      <c r="AI133" s="33">
        <f t="shared" si="34"/>
        <v>0.193155160251959</v>
      </c>
      <c r="AJ133" s="99">
        <f>AE133*AH133</f>
        <v>2784.6789055228228</v>
      </c>
      <c r="AK133" s="253">
        <v>595992.85887780006</v>
      </c>
      <c r="AL133" s="253"/>
      <c r="AM133" s="20">
        <f t="shared" si="19"/>
        <v>0.509119854161864</v>
      </c>
      <c r="AN133" s="9">
        <f t="shared" si="33"/>
        <v>0.28973990815307737</v>
      </c>
      <c r="AO133" s="123">
        <v>-5.0000000000000001E-3</v>
      </c>
      <c r="AP133" s="130">
        <f>(1+AN133)/(1+AO133)-1</f>
        <v>0.29622101321917316</v>
      </c>
      <c r="AQ133">
        <f>IF(AO133&gt;0,AP133,AN133)</f>
        <v>0.28973990815307737</v>
      </c>
      <c r="AS133" s="140">
        <v>14179</v>
      </c>
      <c r="AT133" s="33">
        <f t="shared" si="29"/>
        <v>0.15618484279914302</v>
      </c>
      <c r="AU133" s="146">
        <f t="shared" si="36"/>
        <v>503.34189778019481</v>
      </c>
      <c r="AV133" s="82">
        <f>AS133/AVERAGE($AS$122:$AS$133)</f>
        <v>1.2227719821285827</v>
      </c>
      <c r="BD133" s="497">
        <v>9</v>
      </c>
      <c r="BE133" s="607">
        <f t="shared" si="44"/>
        <v>1.0017986905532772</v>
      </c>
      <c r="BF133" s="607">
        <f t="shared" si="45"/>
        <v>1.0322452860085565</v>
      </c>
      <c r="BG133" s="607">
        <f t="shared" si="46"/>
        <v>1.0329006554427451</v>
      </c>
      <c r="BH133" s="607">
        <f t="shared" si="47"/>
        <v>1.0345628335190289</v>
      </c>
      <c r="BI133" s="607">
        <f t="shared" si="48"/>
        <v>1.019685405287452</v>
      </c>
      <c r="BJ133" s="607">
        <f t="shared" si="49"/>
        <v>1.0174506516117439</v>
      </c>
      <c r="BK133" s="607">
        <f t="shared" si="50"/>
        <v>1.0338240018165914</v>
      </c>
      <c r="BL133" s="607">
        <f t="shared" si="51"/>
        <v>1.0156678718639192</v>
      </c>
      <c r="BM133" s="497"/>
      <c r="BN133" s="607">
        <f t="shared" si="53"/>
        <v>1.0247459368402554</v>
      </c>
    </row>
    <row r="134" spans="1:66">
      <c r="A134">
        <v>2021</v>
      </c>
      <c r="B134">
        <v>1</v>
      </c>
      <c r="C134" t="s">
        <v>182</v>
      </c>
      <c r="D134" s="33">
        <f t="shared" si="32"/>
        <v>9.3352207738319232E-2</v>
      </c>
      <c r="E134" s="33">
        <v>-0.45</v>
      </c>
      <c r="F134" s="33">
        <f>G134/G122-1</f>
        <v>0.1768462710799088</v>
      </c>
      <c r="G134" s="513">
        <f t="shared" si="39"/>
        <v>120.62674278569064</v>
      </c>
      <c r="H134" s="511">
        <v>5.1999999999999998E-2</v>
      </c>
      <c r="I134" s="119">
        <f>I122*(1+J134)</f>
        <v>110.66160000000001</v>
      </c>
      <c r="J134" s="9">
        <v>0.17599999999999999</v>
      </c>
      <c r="K134" s="33">
        <f t="shared" si="23"/>
        <v>8.2604302776464772E-2</v>
      </c>
      <c r="L134" s="33">
        <f t="shared" ref="L134:L144" si="55">0.1819129*AM134+0.663448*AO134+1.328648*AT134+0.0020096*$AD134-0.2116617</f>
        <v>8.129124620798317E-2</v>
      </c>
      <c r="M134" s="143">
        <f t="shared" si="37"/>
        <v>1.0862694679709024</v>
      </c>
      <c r="N134" s="372">
        <f t="shared" ref="N134:N142" si="56">M134/M133-1</f>
        <v>3.0611345586880612E-2</v>
      </c>
      <c r="O134" s="296">
        <f>((1+K134)*$M134-1)</f>
        <v>0.17599999999999993</v>
      </c>
      <c r="P134" s="479"/>
      <c r="Q134" s="479"/>
      <c r="R134" s="479"/>
      <c r="S134" s="479"/>
      <c r="T134" s="479"/>
      <c r="U134" s="479"/>
      <c r="V134" s="479"/>
      <c r="W134" s="33">
        <f t="shared" si="41"/>
        <v>-3.1010995085785663E-2</v>
      </c>
      <c r="X134" s="33">
        <f t="shared" si="42"/>
        <v>0.4412066276846871</v>
      </c>
      <c r="Y134" s="2">
        <f>-0.0044534+0.134411*AM134+1.315906*AN134</f>
        <v>0.47345042669169646</v>
      </c>
      <c r="AC134" s="464">
        <v>79.322570905731965</v>
      </c>
      <c r="AD134" s="465">
        <f t="shared" ref="AD134:AD144" si="57">AC134/AC122-1</f>
        <v>8.0837032626962291E-2</v>
      </c>
      <c r="AE134" s="312">
        <v>107.3942318607757</v>
      </c>
      <c r="AH134" s="339">
        <v>28.219770967741901</v>
      </c>
      <c r="AI134" s="123"/>
      <c r="AJ134" s="99">
        <f t="shared" ref="AJ134:AJ159" si="58">AE134*AH134</f>
        <v>3030.6406263676604</v>
      </c>
      <c r="AK134" s="290">
        <v>612696.52761580993</v>
      </c>
      <c r="AL134" s="290"/>
      <c r="AM134" s="20">
        <f>AJ134/AJ122-1</f>
        <v>0.57657541114774102</v>
      </c>
      <c r="AN134">
        <f t="shared" si="33"/>
        <v>0.30428142215623111</v>
      </c>
      <c r="AO134" s="255">
        <v>-1.7350080429817508E-2</v>
      </c>
      <c r="AP134" s="130">
        <f t="shared" ref="AP134:AP145" si="59">(1+AN134)/(1+AO134)-1</f>
        <v>0.32731036372214062</v>
      </c>
      <c r="AQ134">
        <f t="shared" ref="AQ134:AQ145" si="60">IF(AO134&gt;0,AP134,AN134)</f>
        <v>0.30428142215623111</v>
      </c>
      <c r="AS134" s="295">
        <f t="array" ref="AS134:AS145">TRANSPOSE('Прогноз Зарплати 2021'!B81:M81)</f>
        <v>12337</v>
      </c>
      <c r="AT134" s="33">
        <f t="shared" si="29"/>
        <v>0.1500885615735994</v>
      </c>
      <c r="AU134" s="146">
        <f t="shared" si="36"/>
        <v>437.17576638387527</v>
      </c>
      <c r="AV134" s="82">
        <f>AS134/AVERAGE($AS$134:$AS$145)</f>
        <v>0.87999821161494274</v>
      </c>
      <c r="BD134" s="497">
        <v>10</v>
      </c>
      <c r="BE134" s="607">
        <f t="shared" si="44"/>
        <v>1.0098568242319592</v>
      </c>
      <c r="BF134" s="607">
        <f t="shared" si="45"/>
        <v>1.0771668515290762</v>
      </c>
      <c r="BG134" s="607">
        <f t="shared" si="46"/>
        <v>1.0313584372188664</v>
      </c>
      <c r="BH134" s="607">
        <f t="shared" si="47"/>
        <v>1.0382220137219258</v>
      </c>
      <c r="BI134" s="607">
        <f t="shared" si="48"/>
        <v>1.0395332963879378</v>
      </c>
      <c r="BJ134" s="607">
        <f t="shared" si="49"/>
        <v>1.0212854679454149</v>
      </c>
      <c r="BK134" s="607">
        <f t="shared" si="50"/>
        <v>1.0498643141570889</v>
      </c>
      <c r="BL134" s="607">
        <f t="shared" si="51"/>
        <v>1.001829851838524</v>
      </c>
      <c r="BM134" s="497"/>
      <c r="BN134" s="607">
        <f t="shared" si="53"/>
        <v>1.0258470829978066</v>
      </c>
    </row>
    <row r="135" spans="1:66">
      <c r="A135">
        <v>2021</v>
      </c>
      <c r="B135">
        <v>1</v>
      </c>
      <c r="C135" t="s">
        <v>183</v>
      </c>
      <c r="D135" s="33">
        <f t="shared" si="32"/>
        <v>9.401737256439599E-2</v>
      </c>
      <c r="E135" s="33"/>
      <c r="F135" s="33">
        <f>G135/G123-1</f>
        <v>0.26737290731682495</v>
      </c>
      <c r="G135" s="513">
        <f t="shared" si="39"/>
        <v>130.03562872297451</v>
      </c>
      <c r="H135" s="511">
        <v>7.8E-2</v>
      </c>
      <c r="I135" s="119">
        <f>I123*(1+J135)</f>
        <v>117.99119999999999</v>
      </c>
      <c r="J135" s="9">
        <v>0.26600000000000001</v>
      </c>
      <c r="K135" s="33">
        <f t="shared" si="23"/>
        <v>0.10072310357444439</v>
      </c>
      <c r="L135" s="33">
        <f t="shared" si="55"/>
        <v>9.9641484681059933E-2</v>
      </c>
      <c r="M135" s="143">
        <f t="shared" si="37"/>
        <v>1.1501530184011237</v>
      </c>
      <c r="N135" s="372">
        <f t="shared" si="56"/>
        <v>5.8810039602376518E-2</v>
      </c>
      <c r="O135" s="296">
        <f>((1+K135)*$M135-1)</f>
        <v>0.26600000000000001</v>
      </c>
      <c r="P135" s="479"/>
      <c r="Q135" s="479"/>
      <c r="R135" s="479"/>
      <c r="S135" s="479"/>
      <c r="T135" s="479"/>
      <c r="U135" s="479"/>
      <c r="V135" s="479"/>
      <c r="W135" s="33">
        <f t="shared" si="41"/>
        <v>-4.185811518128698E-2</v>
      </c>
      <c r="X135" s="33">
        <f t="shared" si="42"/>
        <v>0.48076121243970749</v>
      </c>
      <c r="Y135" s="2">
        <f t="shared" ref="Y135:Y144" si="61">-0.0044534+0.134411*AM135+1.315906*AN135</f>
        <v>0.51153070067321116</v>
      </c>
      <c r="AC135" s="464">
        <v>80.505654773363972</v>
      </c>
      <c r="AD135" s="465">
        <f t="shared" si="57"/>
        <v>0.23313174220694366</v>
      </c>
      <c r="AE135" s="312">
        <v>107.27689409677562</v>
      </c>
      <c r="AH135" s="339">
        <v>27.884660714285701</v>
      </c>
      <c r="AI135" s="123"/>
      <c r="AJ135" s="99">
        <f t="shared" si="58"/>
        <v>2991.3797943709469</v>
      </c>
      <c r="AK135" s="290">
        <v>616036.92753105995</v>
      </c>
      <c r="AL135" s="290"/>
      <c r="AM135" s="20">
        <f t="shared" si="19"/>
        <v>0.61299030519209685</v>
      </c>
      <c r="AN135">
        <f t="shared" si="33"/>
        <v>0.32950032962995546</v>
      </c>
      <c r="AO135" s="255">
        <v>-1.3797583744952834E-2</v>
      </c>
      <c r="AP135" s="130">
        <f t="shared" si="59"/>
        <v>0.34810086420040398</v>
      </c>
      <c r="AQ135">
        <f t="shared" si="60"/>
        <v>0.32950032962995546</v>
      </c>
      <c r="AS135" s="295">
        <v>12549</v>
      </c>
      <c r="AT135" s="33">
        <f t="shared" si="29"/>
        <v>0.15690974462985152</v>
      </c>
      <c r="AU135" s="146">
        <f t="shared" si="36"/>
        <v>450.03237186855824</v>
      </c>
      <c r="AV135" s="82">
        <f t="shared" ref="AV135:AV145" si="62">AS135/AVERAGE($AS$134:$AS$145)</f>
        <v>0.89512017164269408</v>
      </c>
      <c r="BD135" s="497">
        <v>11</v>
      </c>
      <c r="BE135" s="607">
        <f t="shared" si="44"/>
        <v>1.017051586445068</v>
      </c>
      <c r="BF135" s="607">
        <f t="shared" si="45"/>
        <v>1.0690857233401998</v>
      </c>
      <c r="BG135" s="607">
        <f t="shared" si="46"/>
        <v>1.0421539647860172</v>
      </c>
      <c r="BH135" s="607">
        <f t="shared" si="47"/>
        <v>1.0525772591332903</v>
      </c>
      <c r="BI135" s="607">
        <f t="shared" si="48"/>
        <v>1.0331052862019849</v>
      </c>
      <c r="BJ135" s="607">
        <f t="shared" si="49"/>
        <v>1.0166966360863547</v>
      </c>
      <c r="BK135" s="607">
        <f t="shared" si="50"/>
        <v>1.0337731298797652</v>
      </c>
      <c r="BL135" s="607">
        <f t="shared" si="51"/>
        <v>1.0200304198499335</v>
      </c>
      <c r="BM135" s="497"/>
      <c r="BN135" s="607">
        <f t="shared" si="53"/>
        <v>1.0269017748648492</v>
      </c>
    </row>
    <row r="136" spans="1:66">
      <c r="A136">
        <v>2021</v>
      </c>
      <c r="B136">
        <v>1</v>
      </c>
      <c r="C136" t="s">
        <v>184</v>
      </c>
      <c r="D136" s="33">
        <f t="shared" si="32"/>
        <v>0.12875850863216587</v>
      </c>
      <c r="E136" s="33">
        <v>-0.6</v>
      </c>
      <c r="F136" s="33">
        <f>G136/G124-1</f>
        <v>0.26488298019046597</v>
      </c>
      <c r="G136" s="513">
        <f t="shared" si="39"/>
        <v>132.11619878254211</v>
      </c>
      <c r="H136" s="511">
        <v>1.6E-2</v>
      </c>
      <c r="I136" s="119">
        <f t="shared" ref="I136:I144" si="63">I124*(1+J136)</f>
        <v>120.99539999999999</v>
      </c>
      <c r="J136" s="9">
        <v>0.26300000000000001</v>
      </c>
      <c r="K136" s="335">
        <f t="shared" si="23"/>
        <v>0.16351153800313026</v>
      </c>
      <c r="L136" s="33">
        <f t="shared" si="55"/>
        <v>0.16366193669651913</v>
      </c>
      <c r="M136" s="143">
        <f t="shared" ref="M136:M141" si="64">(1+J136)/(1+K136)</f>
        <v>1.0855070695453661</v>
      </c>
      <c r="N136" s="372">
        <f t="shared" si="56"/>
        <v>-5.6206389777270327E-2</v>
      </c>
      <c r="O136" s="296">
        <f t="shared" ref="O136:O143" si="65">((1+K136)*$M136-1)</f>
        <v>0.2629999999999999</v>
      </c>
      <c r="P136" s="479"/>
      <c r="Q136" s="479"/>
      <c r="R136" s="479"/>
      <c r="S136" s="479"/>
      <c r="T136" s="479"/>
      <c r="U136" s="479"/>
      <c r="V136" s="479"/>
      <c r="W136" s="33">
        <f t="shared" si="41"/>
        <v>-2.1417320195444643E-2</v>
      </c>
      <c r="X136" s="33">
        <f t="shared" si="42"/>
        <v>0.44140143375462804</v>
      </c>
      <c r="Y136" s="2">
        <f t="shared" si="61"/>
        <v>0.42639563989187035</v>
      </c>
      <c r="AC136" s="464">
        <v>84.93293042115512</v>
      </c>
      <c r="AD136" s="465">
        <f t="shared" si="57"/>
        <v>0.78182024155437602</v>
      </c>
      <c r="AE136" s="312">
        <v>109.38117039790873</v>
      </c>
      <c r="AH136" s="339">
        <v>27.795558064516101</v>
      </c>
      <c r="AI136" s="123"/>
      <c r="AJ136" s="99">
        <f t="shared" si="58"/>
        <v>3040.3106729598016</v>
      </c>
      <c r="AK136" s="290">
        <v>608678.19999999995</v>
      </c>
      <c r="AL136" s="290"/>
      <c r="AM136" s="20">
        <f t="shared" si="19"/>
        <v>0.628497839840368</v>
      </c>
      <c r="AN136">
        <f t="shared" si="33"/>
        <v>0.26321942201121251</v>
      </c>
      <c r="AO136" s="255">
        <v>1.2046222823793022E-2</v>
      </c>
      <c r="AP136" s="130">
        <f t="shared" si="59"/>
        <v>0.24818352514236031</v>
      </c>
      <c r="AQ136">
        <f t="shared" si="60"/>
        <v>0.24818352514236031</v>
      </c>
      <c r="AS136" s="295">
        <v>13612</v>
      </c>
      <c r="AT136" s="33">
        <f t="shared" si="29"/>
        <v>0.18923641446793638</v>
      </c>
      <c r="AU136" s="146">
        <f t="shared" si="36"/>
        <v>489.71853590437973</v>
      </c>
      <c r="AV136" s="82">
        <f t="shared" si="62"/>
        <v>0.97094396178184328</v>
      </c>
      <c r="BD136" s="497">
        <v>12</v>
      </c>
      <c r="BE136" s="607">
        <f>AV61</f>
        <v>1.1546154399597093</v>
      </c>
      <c r="BF136" s="607">
        <f t="shared" si="45"/>
        <v>1.2430676596418953</v>
      </c>
      <c r="BG136" s="607">
        <f t="shared" si="46"/>
        <v>1.2482328749518057</v>
      </c>
      <c r="BH136" s="607">
        <f t="shared" si="47"/>
        <v>1.2352547938779099</v>
      </c>
      <c r="BI136" s="607">
        <f t="shared" si="48"/>
        <v>1.1923395034399724</v>
      </c>
      <c r="BJ136" s="607">
        <f t="shared" si="49"/>
        <v>1.1675444870350031</v>
      </c>
      <c r="BK136" s="607">
        <f>AV133</f>
        <v>1.2227719821285827</v>
      </c>
      <c r="BL136" s="607">
        <f t="shared" si="51"/>
        <v>1.2449224922846394</v>
      </c>
      <c r="BM136" s="497"/>
      <c r="BN136" s="607">
        <f>AVERAGE(BI136:BL136)</f>
        <v>1.2068946162220495</v>
      </c>
    </row>
    <row r="137" spans="1:66">
      <c r="A137">
        <v>2021</v>
      </c>
      <c r="B137">
        <v>2</v>
      </c>
      <c r="C137" t="s">
        <v>185</v>
      </c>
      <c r="D137" s="33">
        <f t="shared" si="32"/>
        <v>0.2405167291966018</v>
      </c>
      <c r="E137" s="98">
        <v>-3</v>
      </c>
      <c r="F137" s="33">
        <f>G137/G125-1</f>
        <v>0.27878279315959209</v>
      </c>
      <c r="G137" s="513">
        <f t="shared" si="39"/>
        <v>133.70159316793263</v>
      </c>
      <c r="H137" s="511">
        <v>1.2E-2</v>
      </c>
      <c r="I137" s="119">
        <f t="shared" si="63"/>
        <v>124.4772</v>
      </c>
      <c r="J137" s="9">
        <v>0.27800000000000002</v>
      </c>
      <c r="K137" s="335">
        <f t="shared" si="23"/>
        <v>0.41650335435588293</v>
      </c>
      <c r="L137" s="33">
        <f t="shared" si="55"/>
        <v>0.41845271348727026</v>
      </c>
      <c r="M137" s="143">
        <f t="shared" si="64"/>
        <v>0.9022216545199333</v>
      </c>
      <c r="N137" s="372">
        <f t="shared" si="56"/>
        <v>-0.16884773961186339</v>
      </c>
      <c r="O137" s="109">
        <f>((1+K137)*$M137-1)</f>
        <v>0.27800000000000002</v>
      </c>
      <c r="P137" s="4"/>
      <c r="Q137" s="4"/>
      <c r="R137" s="4"/>
      <c r="S137" s="4"/>
      <c r="T137" s="4"/>
      <c r="U137" s="4"/>
      <c r="V137" s="479"/>
      <c r="W137" s="33">
        <f t="shared" si="41"/>
        <v>-4.1349942739799604E-2</v>
      </c>
      <c r="X137" s="33">
        <f t="shared" si="42"/>
        <v>0.54766667933082669</v>
      </c>
      <c r="Y137" s="2">
        <f t="shared" si="61"/>
        <v>0.38468747402258563</v>
      </c>
      <c r="AC137" s="464">
        <v>86.588279818386724</v>
      </c>
      <c r="AD137" s="465">
        <f t="shared" si="57"/>
        <v>1.3583060944572019</v>
      </c>
      <c r="AE137" s="312">
        <v>114.88689547968715</v>
      </c>
      <c r="AH137" s="339">
        <v>27.93</v>
      </c>
      <c r="AI137" s="123"/>
      <c r="AJ137" s="99">
        <f t="shared" si="58"/>
        <v>3208.7909907476624</v>
      </c>
      <c r="AK137" s="291">
        <v>621683.62517782894</v>
      </c>
      <c r="AL137" s="291"/>
      <c r="AM137" s="20">
        <f t="shared" si="19"/>
        <v>0.79815761885170478</v>
      </c>
      <c r="AN137">
        <f t="shared" si="33"/>
        <v>0.21419441078246404</v>
      </c>
      <c r="AO137" s="255">
        <v>0.1290732489909665</v>
      </c>
      <c r="AP137" s="130">
        <f t="shared" si="59"/>
        <v>7.539029187660673E-2</v>
      </c>
      <c r="AQ137">
        <f t="shared" si="60"/>
        <v>7.539029187660673E-2</v>
      </c>
      <c r="AS137" s="295">
        <v>13543</v>
      </c>
      <c r="AT137" s="33">
        <f t="shared" si="29"/>
        <v>0.29846596356663468</v>
      </c>
      <c r="AU137" s="146">
        <f t="shared" si="36"/>
        <v>484.89079842463303</v>
      </c>
      <c r="AV137" s="82">
        <f t="shared" si="62"/>
        <v>0.96602219177281101</v>
      </c>
    </row>
    <row r="138" spans="1:66">
      <c r="A138">
        <v>2021</v>
      </c>
      <c r="B138">
        <v>2</v>
      </c>
      <c r="C138" t="s">
        <v>186</v>
      </c>
      <c r="D138" s="33">
        <f t="shared" si="32"/>
        <v>0.25359985591718848</v>
      </c>
      <c r="E138" s="109">
        <v>1.5</v>
      </c>
      <c r="F138" s="33">
        <f>G138/G126-1</f>
        <v>0.33281586892689896</v>
      </c>
      <c r="G138" s="513">
        <f t="shared" si="39"/>
        <v>138.51485052197822</v>
      </c>
      <c r="H138" s="511">
        <v>3.5999999999999997E-2</v>
      </c>
      <c r="I138" s="119">
        <f t="shared" si="63"/>
        <v>126.31190000000001</v>
      </c>
      <c r="J138" s="9">
        <v>0.33100000000000002</v>
      </c>
      <c r="K138" s="33">
        <f t="shared" si="23"/>
        <v>0.3787881898441916</v>
      </c>
      <c r="L138" s="33">
        <f t="shared" si="55"/>
        <v>0.37944066358378431</v>
      </c>
      <c r="M138" s="143">
        <f t="shared" si="64"/>
        <v>0.96534044155861831</v>
      </c>
      <c r="N138" s="372">
        <f t="shared" si="56"/>
        <v>6.9959290738006219E-2</v>
      </c>
      <c r="O138" s="109">
        <f>((1+K138)*$M138-1)</f>
        <v>0.33099999999999996</v>
      </c>
      <c r="P138" s="4"/>
      <c r="Q138" s="4"/>
      <c r="R138" s="4"/>
      <c r="S138" s="4"/>
      <c r="T138" s="4"/>
      <c r="U138" s="4"/>
      <c r="V138" s="479"/>
      <c r="W138" s="33">
        <f t="shared" si="41"/>
        <v>-3.4371612543956861E-3</v>
      </c>
      <c r="X138" s="33">
        <f t="shared" si="42"/>
        <v>0.56051721848898772</v>
      </c>
      <c r="Y138" s="2">
        <f t="shared" si="61"/>
        <v>0.44197763531454759</v>
      </c>
      <c r="AC138" s="464">
        <v>95.914920873851102</v>
      </c>
      <c r="AD138" s="465">
        <f t="shared" si="57"/>
        <v>1.393280546464339</v>
      </c>
      <c r="AE138" s="312">
        <v>127.36303446213165</v>
      </c>
      <c r="AH138" s="339">
        <v>27.6</v>
      </c>
      <c r="AI138" s="123"/>
      <c r="AJ138" s="99">
        <f t="shared" si="58"/>
        <v>3515.2197511548338</v>
      </c>
      <c r="AK138" s="291">
        <v>644141.86903595994</v>
      </c>
      <c r="AL138" s="291"/>
      <c r="AM138" s="20">
        <f t="shared" si="19"/>
        <v>0.97602017197746371</v>
      </c>
      <c r="AN138">
        <f t="shared" si="33"/>
        <v>0.23956360711090663</v>
      </c>
      <c r="AO138" s="255">
        <v>5.7381904989615908E-2</v>
      </c>
      <c r="AP138" s="130">
        <f t="shared" si="59"/>
        <v>0.17229508209059041</v>
      </c>
      <c r="AQ138">
        <f t="shared" si="60"/>
        <v>0.17229508209059041</v>
      </c>
      <c r="AS138" s="295">
        <v>13499</v>
      </c>
      <c r="AT138" s="33">
        <f t="shared" si="29"/>
        <v>0.28049705938152147</v>
      </c>
      <c r="AU138" s="146">
        <f t="shared" si="36"/>
        <v>489.09420289855069</v>
      </c>
      <c r="AV138" s="82">
        <f t="shared" si="62"/>
        <v>0.96288367176705136</v>
      </c>
    </row>
    <row r="139" spans="1:66">
      <c r="A139">
        <v>2021</v>
      </c>
      <c r="B139">
        <v>2</v>
      </c>
      <c r="C139" t="s">
        <v>187</v>
      </c>
      <c r="D139" s="33">
        <f t="shared" si="32"/>
        <v>0.22850027429816497</v>
      </c>
      <c r="E139" s="33"/>
      <c r="F139" s="33"/>
      <c r="G139" s="513">
        <f t="shared" si="39"/>
        <v>141.83920693450571</v>
      </c>
      <c r="H139" s="511">
        <v>2.4E-2</v>
      </c>
      <c r="I139" s="119">
        <f t="shared" si="63"/>
        <v>132.70140000000001</v>
      </c>
      <c r="J139" s="9">
        <v>0.39100000000000001</v>
      </c>
      <c r="K139" s="33">
        <f t="shared" si="23"/>
        <v>0.28329062376836056</v>
      </c>
      <c r="L139" s="33">
        <f t="shared" si="55"/>
        <v>0.28374370588126563</v>
      </c>
      <c r="M139" s="143">
        <f t="shared" si="64"/>
        <v>1.0839321773546142</v>
      </c>
      <c r="N139" s="372">
        <f t="shared" si="56"/>
        <v>0.12284965043474227</v>
      </c>
      <c r="O139" s="109">
        <f>((1+K139)*$M139-1)</f>
        <v>0.39100000000000001</v>
      </c>
      <c r="P139" s="4"/>
      <c r="Q139" s="4"/>
      <c r="R139" s="4"/>
      <c r="S139" s="4"/>
      <c r="T139" s="4"/>
      <c r="U139" s="4"/>
      <c r="V139" s="479"/>
      <c r="W139" s="33">
        <f t="shared" si="41"/>
        <v>2.1209909044699535E-2</v>
      </c>
      <c r="X139" s="33">
        <f t="shared" si="42"/>
        <v>0.47803220546371583</v>
      </c>
      <c r="Y139" s="2">
        <f t="shared" si="61"/>
        <v>0.39431777915918836</v>
      </c>
      <c r="AC139" s="464">
        <v>106.57057609481033</v>
      </c>
      <c r="AD139" s="465">
        <f t="shared" si="57"/>
        <v>1.3185451410073599</v>
      </c>
      <c r="AE139" s="312">
        <v>130.64615081746115</v>
      </c>
      <c r="AH139" s="339">
        <v>27.239873333333321</v>
      </c>
      <c r="AI139" s="123"/>
      <c r="AJ139" s="99">
        <f t="shared" si="58"/>
        <v>3558.7845997552031</v>
      </c>
      <c r="AK139" s="291">
        <v>645019.00763998996</v>
      </c>
      <c r="AL139" s="291"/>
      <c r="AM139" s="20">
        <f t="shared" si="19"/>
        <v>0.90150097631772153</v>
      </c>
      <c r="AN139">
        <f t="shared" si="33"/>
        <v>0.21095696153930987</v>
      </c>
      <c r="AO139" s="255">
        <v>2.2676195510342809E-2</v>
      </c>
      <c r="AP139" s="130">
        <f t="shared" si="59"/>
        <v>0.1841059436560073</v>
      </c>
      <c r="AQ139">
        <f t="shared" si="60"/>
        <v>0.1841059436560073</v>
      </c>
      <c r="AS139" s="295">
        <v>14313</v>
      </c>
      <c r="AT139" s="33">
        <f t="shared" si="29"/>
        <v>0.23611710855859736</v>
      </c>
      <c r="AU139" s="146">
        <f t="shared" si="36"/>
        <v>525.44297195704064</v>
      </c>
      <c r="AV139" s="82">
        <f t="shared" si="62"/>
        <v>1.0209462918736059</v>
      </c>
    </row>
    <row r="140" spans="1:66">
      <c r="A140">
        <v>2021</v>
      </c>
      <c r="B140">
        <v>3</v>
      </c>
      <c r="C140" t="s">
        <v>188</v>
      </c>
      <c r="D140" s="33">
        <f t="shared" si="32"/>
        <v>0.20655190512169755</v>
      </c>
      <c r="E140" s="33"/>
      <c r="F140" s="33"/>
      <c r="G140" s="513">
        <f>G139*(1+H140)</f>
        <v>145.52702631480287</v>
      </c>
      <c r="H140" s="511">
        <v>2.5999999999999999E-2</v>
      </c>
      <c r="I140" s="119">
        <f t="shared" si="63"/>
        <v>131.535</v>
      </c>
      <c r="J140" s="9">
        <v>0.42199999999999988</v>
      </c>
      <c r="K140" s="33">
        <f t="shared" si="23"/>
        <v>0.23468298565531556</v>
      </c>
      <c r="L140" s="33">
        <f t="shared" si="55"/>
        <v>0.23578749523214471</v>
      </c>
      <c r="M140" s="143">
        <f t="shared" si="64"/>
        <v>1.1517126392126191</v>
      </c>
      <c r="N140" s="372">
        <f t="shared" si="56"/>
        <v>6.2532013786532392E-2</v>
      </c>
      <c r="O140" s="109">
        <f t="shared" si="65"/>
        <v>0.42199999999999993</v>
      </c>
      <c r="P140" s="4"/>
      <c r="Q140" s="4"/>
      <c r="R140" s="4"/>
      <c r="S140" s="4"/>
      <c r="T140" s="4"/>
      <c r="U140" s="4"/>
      <c r="V140" s="479"/>
      <c r="W140" s="33">
        <f>0.0832476*AM140-0.4809485*AN140-0.4924922*AO140+0.0587894</f>
        <v>2.3931911543324809E-2</v>
      </c>
      <c r="X140" s="33">
        <f>0.2934419*AM140+1.016748*AN140+0.9085597*AO140-0.0215987</f>
        <v>0.4144651676244917</v>
      </c>
      <c r="Y140" s="2">
        <f t="shared" si="61"/>
        <v>0.33884747732560172</v>
      </c>
      <c r="AC140" s="464">
        <v>115.4048955356094</v>
      </c>
      <c r="AD140" s="465">
        <f t="shared" si="57"/>
        <v>1.4123700707293958</v>
      </c>
      <c r="AE140" s="312">
        <v>130.68952299701678</v>
      </c>
      <c r="AH140" s="339">
        <v>27.214548387096801</v>
      </c>
      <c r="AI140" s="123"/>
      <c r="AJ140" s="99">
        <f t="shared" si="58"/>
        <v>3556.6563472889134</v>
      </c>
      <c r="AK140" s="291">
        <v>648425</v>
      </c>
      <c r="AL140" s="291"/>
      <c r="AM140" s="20">
        <f t="shared" si="19"/>
        <v>0.77912184585904143</v>
      </c>
      <c r="AN140" s="130">
        <f t="shared" si="33"/>
        <v>0.18130347524963186</v>
      </c>
      <c r="AO140" s="255">
        <v>2.5421474220125244E-2</v>
      </c>
      <c r="AP140" s="130">
        <f>(1+AN140)/(1+AO140)-1</f>
        <v>0.15201749226878758</v>
      </c>
      <c r="AQ140">
        <f>IF(AO140&gt;0,AP140,AN140)</f>
        <v>0.15201749226878758</v>
      </c>
      <c r="AS140" s="295">
        <v>14345</v>
      </c>
      <c r="AT140" s="33">
        <f t="shared" si="29"/>
        <v>0.21526601152151814</v>
      </c>
      <c r="AU140" s="146">
        <f t="shared" si="36"/>
        <v>527.10777323798527</v>
      </c>
      <c r="AV140" s="82">
        <f t="shared" si="62"/>
        <v>1.0232288518777948</v>
      </c>
    </row>
    <row r="141" spans="1:66" ht="18.75">
      <c r="A141">
        <v>2021</v>
      </c>
      <c r="B141">
        <v>3</v>
      </c>
      <c r="C141" t="s">
        <v>189</v>
      </c>
      <c r="D141" s="33">
        <f t="shared" si="32"/>
        <v>0.15819125901557857</v>
      </c>
      <c r="E141" s="33"/>
      <c r="F141" s="33"/>
      <c r="G141" s="513">
        <f>G140*(1+H141)</f>
        <v>153.38548573580223</v>
      </c>
      <c r="H141" s="511">
        <v>5.3999999999999999E-2</v>
      </c>
      <c r="I141" s="119">
        <f t="shared" si="63"/>
        <v>139.61449999999999</v>
      </c>
      <c r="J141" s="9">
        <v>0.46500000000000002</v>
      </c>
      <c r="K141" s="33">
        <f t="shared" si="23"/>
        <v>0.21765501508520793</v>
      </c>
      <c r="L141" s="33">
        <f t="shared" si="55"/>
        <v>0.21950366291527024</v>
      </c>
      <c r="M141" s="143">
        <f t="shared" si="64"/>
        <v>1.2031322351983937</v>
      </c>
      <c r="N141" s="372">
        <f t="shared" si="56"/>
        <v>4.4646202737627538E-2</v>
      </c>
      <c r="O141" s="109">
        <f>((1+K141)*$M141-1)</f>
        <v>0.46500000000000008</v>
      </c>
      <c r="P141" s="4"/>
      <c r="Q141" s="4"/>
      <c r="R141" s="4"/>
      <c r="S141" s="4"/>
      <c r="T141" s="4"/>
      <c r="U141" s="4"/>
      <c r="V141" s="479"/>
      <c r="W141" s="33">
        <f>0.0832476*AM141-0.4809485*AN141-0.4924922*AO141+0.0587894</f>
        <v>1.1479036909182658E-3</v>
      </c>
      <c r="X141" s="33">
        <f>0.2934419*AM141+1.016748*AN141+0.9085597*AO141-0.0215987</f>
        <v>0.35092052672244844</v>
      </c>
      <c r="Y141" s="2">
        <f t="shared" si="61"/>
        <v>0.28543082546828691</v>
      </c>
      <c r="AC141" s="464">
        <v>123.88738690396187</v>
      </c>
      <c r="AD141" s="465">
        <f t="shared" si="57"/>
        <v>1.3757823164243228</v>
      </c>
      <c r="AE141" s="312">
        <v>121.37686063335032</v>
      </c>
      <c r="AH141" s="339">
        <v>26.76</v>
      </c>
      <c r="AI141" s="123"/>
      <c r="AJ141" s="99">
        <f t="shared" si="58"/>
        <v>3248.0447905484548</v>
      </c>
      <c r="AK141" s="325">
        <v>654730.97259354999</v>
      </c>
      <c r="AL141" s="325"/>
      <c r="AM141" s="20">
        <f t="shared" si="19"/>
        <v>0.54785734531741936</v>
      </c>
      <c r="AN141">
        <f t="shared" si="33"/>
        <v>0.16433253729888553</v>
      </c>
      <c r="AO141" s="255">
        <v>4.9165891630436151E-2</v>
      </c>
      <c r="AP141" s="130">
        <f>(1+AN141)/(1+AO141)-1</f>
        <v>0.10976971953355918</v>
      </c>
      <c r="AQ141">
        <f>IF(AO141&gt;0,AP141,AN141)</f>
        <v>0.10976971953355918</v>
      </c>
      <c r="AS141" s="295">
        <v>13997</v>
      </c>
      <c r="AT141" s="33">
        <f t="shared" si="29"/>
        <v>0.22287261925563517</v>
      </c>
      <c r="AU141" s="146">
        <f t="shared" si="36"/>
        <v>523.05680119581461</v>
      </c>
      <c r="AV141" s="82">
        <f t="shared" si="62"/>
        <v>0.99840601183224076</v>
      </c>
      <c r="AY141" s="33">
        <f>AX143/AVERAGE(AS122:AS133)</f>
        <v>1.2090037604305468</v>
      </c>
    </row>
    <row r="142" spans="1:66">
      <c r="A142">
        <v>2021</v>
      </c>
      <c r="B142">
        <v>3</v>
      </c>
      <c r="C142" t="s">
        <v>190</v>
      </c>
      <c r="D142" s="33">
        <f t="shared" si="32"/>
        <v>0.10290939042865452</v>
      </c>
      <c r="E142" s="33"/>
      <c r="F142" s="33"/>
      <c r="G142" s="513">
        <f>G141*(1+H142)</f>
        <v>154.45918413595282</v>
      </c>
      <c r="H142" s="511">
        <v>7.0000000000000001E-3</v>
      </c>
      <c r="I142" s="119">
        <f t="shared" si="63"/>
        <v>142.63329999999999</v>
      </c>
      <c r="J142" s="9">
        <v>0.45100000000000001</v>
      </c>
      <c r="K142" s="33">
        <f t="shared" si="23"/>
        <v>9.7406474543824756E-2</v>
      </c>
      <c r="L142" s="33">
        <f t="shared" si="55"/>
        <v>9.9589224917686847E-2</v>
      </c>
      <c r="M142" s="143">
        <f>(1+J142)/(1+K142)</f>
        <v>1.3222083463678842</v>
      </c>
      <c r="N142" s="372">
        <f t="shared" si="56"/>
        <v>9.8971756957251689E-2</v>
      </c>
      <c r="O142" s="109">
        <f t="shared" si="65"/>
        <v>0.45100000000000007</v>
      </c>
      <c r="P142" s="4"/>
      <c r="Q142" s="4"/>
      <c r="R142" s="4"/>
      <c r="S142" s="4"/>
      <c r="T142" s="4"/>
      <c r="U142" s="4"/>
      <c r="V142" s="479"/>
      <c r="W142" s="33">
        <f t="shared" si="41"/>
        <v>3.4194048651638095E-2</v>
      </c>
      <c r="X142" s="33">
        <f t="shared" si="42"/>
        <v>0.2121112002695838</v>
      </c>
      <c r="Y142" s="2">
        <f t="shared" si="61"/>
        <v>0.22420779954089612</v>
      </c>
      <c r="AC142" s="464">
        <v>146.73260807542323</v>
      </c>
      <c r="AD142" s="465">
        <f t="shared" si="57"/>
        <v>1.7435755575530849</v>
      </c>
      <c r="AE142" s="312">
        <v>117.4428654492054</v>
      </c>
      <c r="AH142" s="339">
        <v>26.73</v>
      </c>
      <c r="AI142" s="123"/>
      <c r="AJ142" s="99">
        <f>AE142*AH142</f>
        <v>3139.2477934572603</v>
      </c>
      <c r="AK142" s="137">
        <v>644383.72109488992</v>
      </c>
      <c r="AL142" s="137"/>
      <c r="AM142" s="20">
        <f t="shared" si="19"/>
        <v>0.38229256478343565</v>
      </c>
      <c r="AN142">
        <f t="shared" si="33"/>
        <v>0.13471849327823548</v>
      </c>
      <c r="AO142" s="255">
        <v>-1.7000000000000001E-2</v>
      </c>
      <c r="AP142" s="130">
        <f t="shared" si="59"/>
        <v>0.15434231259230469</v>
      </c>
      <c r="AQ142">
        <f t="shared" si="60"/>
        <v>0.13471849327823548</v>
      </c>
      <c r="AS142" s="295">
        <v>14239</v>
      </c>
      <c r="AT142" s="33">
        <f t="shared" si="29"/>
        <v>0.18777110443777101</v>
      </c>
      <c r="AU142" s="146">
        <f t="shared" si="36"/>
        <v>532.69734380845489</v>
      </c>
      <c r="AV142" s="82">
        <f t="shared" si="62"/>
        <v>1.0156678718639192</v>
      </c>
      <c r="AZ142" s="146">
        <f>AVERAGE(AU122:AU133)</f>
        <v>430.17106272615882</v>
      </c>
    </row>
    <row r="143" spans="1:66">
      <c r="A143">
        <v>2021</v>
      </c>
      <c r="B143">
        <v>4</v>
      </c>
      <c r="C143" t="s">
        <v>191</v>
      </c>
      <c r="D143" s="33">
        <f>0.277494*AM143-0.3743124*AQ143+0.0472523</f>
        <v>0.14642861138237118</v>
      </c>
      <c r="E143" s="33"/>
      <c r="F143" s="33"/>
      <c r="G143" s="513">
        <f>G142*(1+H143)</f>
        <v>173.76658215294694</v>
      </c>
      <c r="H143" s="511">
        <v>0.125</v>
      </c>
      <c r="I143" s="119">
        <f t="shared" si="63"/>
        <v>162.2304</v>
      </c>
      <c r="J143" s="9">
        <v>0.57199999999999995</v>
      </c>
      <c r="K143" s="33">
        <f t="shared" si="23"/>
        <v>0.11624267067261909</v>
      </c>
      <c r="L143" s="33">
        <f t="shared" si="55"/>
        <v>0.12104570170731849</v>
      </c>
      <c r="M143" s="143">
        <f>(1+J143)/(1+K143)</f>
        <v>1.408295921040855</v>
      </c>
      <c r="N143" s="372">
        <f>M143/M142-1</f>
        <v>6.5108933028182658E-2</v>
      </c>
      <c r="O143" s="109">
        <f t="shared" si="65"/>
        <v>0.57200000000000006</v>
      </c>
      <c r="P143" s="4"/>
      <c r="Q143" s="4"/>
      <c r="R143" s="4"/>
      <c r="S143" s="4"/>
      <c r="T143" s="4"/>
      <c r="U143" s="4"/>
      <c r="V143" s="479"/>
      <c r="W143" s="33">
        <f t="shared" si="41"/>
        <v>2.1275551073098031E-5</v>
      </c>
      <c r="X143" s="33">
        <f t="shared" si="42"/>
        <v>0.29320925938719955</v>
      </c>
      <c r="Y143" s="2">
        <f t="shared" si="61"/>
        <v>0.21620715856192796</v>
      </c>
      <c r="AC143" s="464">
        <v>187.84652565102033</v>
      </c>
      <c r="AD143" s="465">
        <f t="shared" si="57"/>
        <v>2.3003717967475383</v>
      </c>
      <c r="AE143" s="312">
        <v>129.9378643666553</v>
      </c>
      <c r="AH143" s="339">
        <v>26.37</v>
      </c>
      <c r="AI143" s="123"/>
      <c r="AJ143" s="99">
        <f t="shared" si="58"/>
        <v>3426.4614833487003</v>
      </c>
      <c r="AK143" s="137">
        <v>653973.42193310999</v>
      </c>
      <c r="AL143" s="137"/>
      <c r="AM143" s="20">
        <f t="shared" si="19"/>
        <v>0.42572962671947434</v>
      </c>
      <c r="AN143">
        <f t="shared" si="33"/>
        <v>0.12420173910973631</v>
      </c>
      <c r="AO143" s="255">
        <v>7.0000000000000007E-2</v>
      </c>
      <c r="AP143" s="130">
        <f t="shared" si="59"/>
        <v>5.0655830943678648E-2</v>
      </c>
      <c r="AQ143">
        <f t="shared" si="60"/>
        <v>5.0655830943678648E-2</v>
      </c>
      <c r="AS143" s="295">
        <v>14045</v>
      </c>
      <c r="AT143" s="33">
        <f t="shared" si="29"/>
        <v>0.15368818794151462</v>
      </c>
      <c r="AU143" s="146">
        <f t="shared" si="36"/>
        <v>532.61281759575274</v>
      </c>
      <c r="AV143" s="82">
        <f t="shared" si="62"/>
        <v>1.001829851838524</v>
      </c>
      <c r="AX143" s="146">
        <f>AVERAGE(AS134:AS145)</f>
        <v>14019.346672716025</v>
      </c>
      <c r="AY143" s="33">
        <f>AVERAGE(AT134:AT145)</f>
        <v>0.20956243456594334</v>
      </c>
      <c r="AZ143" s="146">
        <f>AVERAGE(AU134:AU145)</f>
        <v>514.49821061553234</v>
      </c>
      <c r="BA143" s="33">
        <f>AZ143/AZ142-1</f>
        <v>0.19603166088151092</v>
      </c>
    </row>
    <row r="144" spans="1:66">
      <c r="A144">
        <v>2021</v>
      </c>
      <c r="B144">
        <v>4</v>
      </c>
      <c r="C144" t="s">
        <v>192</v>
      </c>
      <c r="D144" s="33">
        <f t="shared" si="32"/>
        <v>0.11550253085024592</v>
      </c>
      <c r="E144" s="33"/>
      <c r="F144" s="33"/>
      <c r="G144" s="514">
        <f>(J144+1)*G132</f>
        <v>181.00724567724387</v>
      </c>
      <c r="H144" s="521">
        <v>4.2999999999999997E-2</v>
      </c>
      <c r="I144" s="119">
        <f t="shared" si="63"/>
        <v>174.52020000000002</v>
      </c>
      <c r="J144" s="9">
        <v>0.60699999999999998</v>
      </c>
      <c r="K144" s="33">
        <f t="shared" si="23"/>
        <v>0.14671668290915721</v>
      </c>
      <c r="L144" s="33">
        <f t="shared" si="55"/>
        <v>0.15004072228400961</v>
      </c>
      <c r="M144" s="143">
        <f>(1+J144)/(1+K144)</f>
        <v>1.4013923612963659</v>
      </c>
      <c r="N144" s="372">
        <f>M144/M143-1</f>
        <v>-4.9020661363463613E-3</v>
      </c>
      <c r="O144" s="109">
        <f>((1+K144)*$M144-1)</f>
        <v>0.60699999999999998</v>
      </c>
      <c r="P144" s="4"/>
      <c r="Q144" s="4"/>
      <c r="R144" s="4"/>
      <c r="S144" s="4"/>
      <c r="T144" s="4"/>
      <c r="U144" s="4"/>
      <c r="V144" s="479"/>
      <c r="W144" s="33">
        <f t="shared" si="41"/>
        <v>-6.9291902116083645E-3</v>
      </c>
      <c r="X144" s="33">
        <f t="shared" si="42"/>
        <v>0.25192287753112674</v>
      </c>
      <c r="Y144" s="2">
        <f t="shared" si="61"/>
        <v>0.19203365790848476</v>
      </c>
      <c r="AC144" s="464">
        <v>156.77152747976686</v>
      </c>
      <c r="AD144" s="465">
        <f t="shared" si="57"/>
        <v>1.5776418361950997</v>
      </c>
      <c r="AE144" s="312">
        <v>123.5061720626106</v>
      </c>
      <c r="AH144" s="339">
        <v>26.446000000000002</v>
      </c>
      <c r="AI144" s="123"/>
      <c r="AJ144" s="99">
        <f>AE144*AH144</f>
        <v>3266.2442263678004</v>
      </c>
      <c r="AK144" s="137">
        <v>655456.80323993997</v>
      </c>
      <c r="AL144" s="137"/>
      <c r="AM144" s="20">
        <f t="shared" si="19"/>
        <v>0.30647895304028494</v>
      </c>
      <c r="AN144">
        <f t="shared" si="33"/>
        <v>0.11801216450976515</v>
      </c>
      <c r="AO144" s="255">
        <v>7.0000000000000007E-2</v>
      </c>
      <c r="AP144" s="130">
        <f t="shared" si="59"/>
        <v>4.4871181784827074E-2</v>
      </c>
      <c r="AQ144">
        <f t="shared" si="60"/>
        <v>4.4871181784827074E-2</v>
      </c>
      <c r="AS144" s="295">
        <v>14300.160072592294</v>
      </c>
      <c r="AT144" s="33">
        <f t="shared" si="29"/>
        <v>0.19293158015777689</v>
      </c>
      <c r="AU144" s="146">
        <f t="shared" si="36"/>
        <v>540.73054800696866</v>
      </c>
      <c r="AV144" s="82">
        <f t="shared" si="62"/>
        <v>1.0200304198499335</v>
      </c>
    </row>
    <row r="145" spans="1:59" ht="21.75">
      <c r="A145">
        <v>2021</v>
      </c>
      <c r="B145">
        <v>4</v>
      </c>
      <c r="C145" t="s">
        <v>193</v>
      </c>
      <c r="D145" s="33">
        <f t="shared" si="32"/>
        <v>0.1097624971874358</v>
      </c>
      <c r="E145" s="33"/>
      <c r="F145" s="33"/>
      <c r="G145" s="514">
        <f>(J145+1)*G133</f>
        <v>185.98533916196786</v>
      </c>
      <c r="H145" s="521">
        <v>2.7E-2</v>
      </c>
      <c r="I145" s="119">
        <f>I133*(1+J145)</f>
        <v>185.71899999999999</v>
      </c>
      <c r="J145" s="9">
        <v>0.622</v>
      </c>
      <c r="K145" s="33">
        <f t="shared" si="23"/>
        <v>0.17480045201189656</v>
      </c>
      <c r="L145" s="33">
        <f>0.1819129*AM145+0.663448*AO145+1.328648*AT145+0.0020096*$AD145-0.2116617</f>
        <v>0.17680080082876587</v>
      </c>
      <c r="M145" s="328">
        <v>1.49</v>
      </c>
      <c r="N145" s="328">
        <f>AVERAGE(N134:N144)</f>
        <v>2.9412094304192712E-2</v>
      </c>
      <c r="O145" s="109">
        <f>((1+L145)*$M145-1)</f>
        <v>0.75343319323486102</v>
      </c>
      <c r="P145" s="4"/>
      <c r="Q145" s="4"/>
      <c r="R145" s="4"/>
      <c r="S145" s="4"/>
      <c r="T145" s="4"/>
      <c r="U145" s="4">
        <f>AVERAGE(U148:U159)</f>
        <v>0.61153423244047544</v>
      </c>
      <c r="V145" s="479"/>
      <c r="W145" s="33">
        <f t="shared" si="41"/>
        <v>2.0445909193683248E-2</v>
      </c>
      <c r="X145" s="33">
        <f t="shared" si="42"/>
        <v>0.22554388368296582</v>
      </c>
      <c r="Y145" s="2">
        <f>-0.0044534+0.134411*AM145+1.315906*AN145</f>
        <v>0.20369127660543812</v>
      </c>
      <c r="AC145" s="464">
        <v>181.06444941291755</v>
      </c>
      <c r="AD145" s="465">
        <f>AC145/AC133-1</f>
        <v>1.5001397717252036</v>
      </c>
      <c r="AE145" s="312">
        <v>139.12591896129169</v>
      </c>
      <c r="AH145" s="339">
        <v>27.21</v>
      </c>
      <c r="AI145" s="123"/>
      <c r="AJ145" s="99">
        <f t="shared" si="58"/>
        <v>3785.6162549367468</v>
      </c>
      <c r="AK145" s="136">
        <v>668382.80699214095</v>
      </c>
      <c r="AL145" s="136"/>
      <c r="AM145" s="20">
        <f t="shared" si="19"/>
        <v>0.35944443987016816</v>
      </c>
      <c r="AN145">
        <f t="shared" si="33"/>
        <v>0.1214610998035186</v>
      </c>
      <c r="AO145" s="255">
        <v>0.02</v>
      </c>
      <c r="AP145" s="130">
        <f t="shared" si="59"/>
        <v>9.9471666474037823E-2</v>
      </c>
      <c r="AQ145">
        <f t="shared" si="60"/>
        <v>9.9471666474037823E-2</v>
      </c>
      <c r="AS145" s="295">
        <v>17453</v>
      </c>
      <c r="AT145" s="33">
        <f t="shared" si="29"/>
        <v>0.23090485929896332</v>
      </c>
      <c r="AU145" s="146">
        <f>AS145/AH145</f>
        <v>641.41859610437336</v>
      </c>
      <c r="AV145" s="82">
        <f t="shared" si="62"/>
        <v>1.2449224922846394</v>
      </c>
    </row>
    <row r="146" spans="1:59">
      <c r="G146" s="507"/>
      <c r="H146" s="507"/>
      <c r="M146" s="375">
        <f>(M145/M143)^(1/2)</f>
        <v>1.0285991793797715</v>
      </c>
      <c r="N146" s="159"/>
      <c r="AE146" s="135">
        <f>(AE145/AE133)^(1/12)</f>
        <v>1.0288876479484754</v>
      </c>
      <c r="AH146" s="115">
        <f>(AH145/AH134)^(1/11)</f>
        <v>0.99669290981444558</v>
      </c>
      <c r="AK146" s="135">
        <f>(AK145/AK133)^(1/12)</f>
        <v>1.0095984717069417</v>
      </c>
      <c r="AL146" s="135"/>
      <c r="AO146" s="134"/>
      <c r="AP146" s="130"/>
      <c r="AT146">
        <f>(AT145/AT131)^(1/14)</f>
        <v>1.0391608113674746</v>
      </c>
      <c r="BB146" t="s">
        <v>441</v>
      </c>
    </row>
    <row r="147" spans="1:59" ht="37.5">
      <c r="G147" s="507"/>
      <c r="H147" s="507"/>
      <c r="I147" s="309" t="s">
        <v>421</v>
      </c>
      <c r="M147" s="328">
        <v>1.25</v>
      </c>
      <c r="N147" s="159"/>
      <c r="R147" s="782" t="s">
        <v>1827</v>
      </c>
      <c r="S147" s="690" t="s">
        <v>1685</v>
      </c>
      <c r="T147" s="690" t="s">
        <v>1686</v>
      </c>
      <c r="U147" s="468" t="s">
        <v>273</v>
      </c>
      <c r="AE147" s="135"/>
      <c r="AH147" s="115"/>
      <c r="AK147" s="135"/>
      <c r="AL147" s="135"/>
      <c r="AO147" s="134"/>
      <c r="AP147" s="130"/>
      <c r="AW147" s="317" t="s">
        <v>3</v>
      </c>
      <c r="AX147" s="317" t="s">
        <v>444</v>
      </c>
      <c r="BB147">
        <v>2014</v>
      </c>
      <c r="BC147">
        <v>2015</v>
      </c>
      <c r="BD147" s="117" t="s">
        <v>442</v>
      </c>
      <c r="BE147" s="6" t="s">
        <v>443</v>
      </c>
    </row>
    <row r="148" spans="1:59">
      <c r="A148" s="376">
        <v>2022</v>
      </c>
      <c r="B148" s="376">
        <v>1</v>
      </c>
      <c r="C148" s="376" t="s">
        <v>409</v>
      </c>
      <c r="G148" s="524">
        <f>(U148+1)*G134</f>
        <v>203.97982205060285</v>
      </c>
      <c r="H148" s="522">
        <f>G148/G145-1</f>
        <v>9.6752157829839813E-2</v>
      </c>
      <c r="J148" s="396">
        <f>O148</f>
        <v>0.36619925668927933</v>
      </c>
      <c r="K148" s="381">
        <f t="shared" ref="K148:K159" si="66">0.1841001*AM148+0.6479684*AO148+1.335972*AT148-0.2128151</f>
        <v>0.14541061028338501</v>
      </c>
      <c r="L148" s="381">
        <f t="shared" ref="L148:L159" si="67">0.1819129*AM148+0.663448*AO148+1.328648*AT148+0.0020096*$AD148-0.2116617</f>
        <v>0.14753546790236788</v>
      </c>
      <c r="M148" s="393">
        <f>M147*$P$150</f>
        <v>1.1905507889761497</v>
      </c>
      <c r="N148" s="378"/>
      <c r="O148" s="394">
        <f>((1+L148)*$M148-1)</f>
        <v>0.36619925668927933</v>
      </c>
      <c r="P148" s="479"/>
      <c r="Q148" s="479"/>
      <c r="R148" s="4">
        <v>0.69099999999999995</v>
      </c>
      <c r="S148" s="479"/>
      <c r="T148" s="479"/>
      <c r="U148" s="486">
        <v>0.69099999999999995</v>
      </c>
      <c r="V148" s="479">
        <f t="shared" ref="V148:V159" si="68">0.1274618*AM148-0.5944938*AN148-1.230591*AW148-0.0825006*AY148+0.2070396</f>
        <v>0.3551427863937886</v>
      </c>
      <c r="W148" s="126">
        <f>U148/V148</f>
        <v>1.9456962846312946</v>
      </c>
      <c r="AA148" s="126">
        <f>U148/V148</f>
        <v>1.9456962846312946</v>
      </c>
      <c r="AC148" s="464">
        <v>173.3971539563122</v>
      </c>
      <c r="AD148" s="465">
        <f>AC148/AC134-1</f>
        <v>1.1859749624401328</v>
      </c>
      <c r="AE148" s="379">
        <v>155.10996500177873</v>
      </c>
      <c r="AH148" s="470">
        <v>27.98</v>
      </c>
      <c r="AJ148" s="140">
        <f t="shared" si="58"/>
        <v>4339.9768207497691</v>
      </c>
      <c r="AK148" s="473">
        <v>692826.35255078005</v>
      </c>
      <c r="AL148" s="473"/>
      <c r="AM148" s="8">
        <f>AJ148/AJ134-1</f>
        <v>0.43203281279555683</v>
      </c>
      <c r="AN148" s="8">
        <f>AK148/AK134-1</f>
        <v>0.13078224100074443</v>
      </c>
      <c r="AO148" s="393">
        <v>5.5742132419516734E-2</v>
      </c>
      <c r="AP148" s="130">
        <f t="shared" ref="AP148:AP158" si="69">(1+AN148)/(1+AO148)-1</f>
        <v>7.1078065634506027E-2</v>
      </c>
      <c r="AQ148" s="5">
        <f t="shared" ref="AQ148:AQ159" si="70">IF(AO148&gt;0,AP148,AN148)</f>
        <v>7.1078065634506027E-2</v>
      </c>
      <c r="AS148" s="471">
        <v>14577</v>
      </c>
      <c r="AT148" s="381">
        <f>AS148/AS134-1</f>
        <v>0.18156764205236287</v>
      </c>
      <c r="AV148" s="505">
        <f>AX148/AH148</f>
        <v>520.97927090779126</v>
      </c>
      <c r="AW148" s="393">
        <v>-0.1509552542239927</v>
      </c>
      <c r="AX148" s="140">
        <f>AS148</f>
        <v>14577</v>
      </c>
      <c r="AY148" s="33">
        <f>AX148/AS134-1</f>
        <v>0.18156764205236287</v>
      </c>
      <c r="AZ148" s="33">
        <f>AV148/AU134-1</f>
        <v>0.19169293215198446</v>
      </c>
      <c r="BA148">
        <v>1</v>
      </c>
    </row>
    <row r="149" spans="1:59">
      <c r="A149" s="376">
        <v>2022</v>
      </c>
      <c r="B149" s="376">
        <v>1</v>
      </c>
      <c r="C149" s="376" t="s">
        <v>410</v>
      </c>
      <c r="G149" s="524">
        <f>(U149+1)*G135</f>
        <v>199.60469008976588</v>
      </c>
      <c r="H149" s="522">
        <f>G149/G148-1</f>
        <v>-2.1448846836191415E-2</v>
      </c>
      <c r="J149" s="396">
        <f t="shared" ref="J149:J159" si="71">O149</f>
        <v>0.28488923568431934</v>
      </c>
      <c r="K149" s="381">
        <f t="shared" si="66"/>
        <v>0.2102496462282463</v>
      </c>
      <c r="L149" s="381">
        <f t="shared" si="67"/>
        <v>0.21215965630596162</v>
      </c>
      <c r="M149" s="393">
        <v>1.06</v>
      </c>
      <c r="N149" s="378"/>
      <c r="O149" s="394">
        <f t="shared" ref="O149:O159" si="72">((1+L149)*$M149-1)</f>
        <v>0.28488923568431934</v>
      </c>
      <c r="R149" s="33">
        <v>0.53500000000000003</v>
      </c>
      <c r="U149" s="486">
        <v>0.53500000000000003</v>
      </c>
      <c r="V149" s="479">
        <f t="shared" si="68"/>
        <v>0.27340878575363731</v>
      </c>
      <c r="W149" s="126">
        <f>U149/V149</f>
        <v>1.9567769138263058</v>
      </c>
      <c r="X149" s="126">
        <f>U149/U148-1</f>
        <v>-0.22575976845151946</v>
      </c>
      <c r="Y149" s="126">
        <f>V149/V148-1</f>
        <v>-0.2301440540862435</v>
      </c>
      <c r="AA149" s="126">
        <f t="shared" ref="AA149:AA159" si="73">U149/V149</f>
        <v>1.9567769138263058</v>
      </c>
      <c r="AC149" s="464">
        <v>186.08550041228617</v>
      </c>
      <c r="AD149" s="465">
        <f t="shared" ref="AD149:AD159" si="74">AC149/AC135-1</f>
        <v>1.3114587532533708</v>
      </c>
      <c r="AE149" s="379">
        <v>160.75564639999533</v>
      </c>
      <c r="AH149" s="470">
        <v>28.41</v>
      </c>
      <c r="AJ149" s="140">
        <f t="shared" si="58"/>
        <v>4567.0679142238669</v>
      </c>
      <c r="AK149" s="473">
        <v>790775.49494611006</v>
      </c>
      <c r="AL149" s="473"/>
      <c r="AM149" s="8">
        <f t="shared" ref="AM149:AM157" si="75">AJ149/AJ135-1</f>
        <v>0.52674291737143641</v>
      </c>
      <c r="AN149" s="8">
        <f t="shared" ref="AN149:AN159" si="76">AK149/AK135-1</f>
        <v>0.28364950152479285</v>
      </c>
      <c r="AO149" s="381">
        <f>AO148</f>
        <v>5.5742132419516734E-2</v>
      </c>
      <c r="AP149" s="130">
        <f t="shared" si="69"/>
        <v>0.21587408715323808</v>
      </c>
      <c r="AQ149" s="5">
        <f t="shared" si="70"/>
        <v>0.21587408715323808</v>
      </c>
      <c r="AS149" s="380">
        <v>15272.755373084912</v>
      </c>
      <c r="AT149" s="381">
        <f t="shared" ref="AT149:AT159" si="77">AS149/AS135-1</f>
        <v>0.21704959543269675</v>
      </c>
      <c r="AV149" s="505">
        <f t="shared" ref="AV149:AV159" si="78">AX149/AH149</f>
        <v>537.58378645142238</v>
      </c>
      <c r="AW149" s="381">
        <f>AW148</f>
        <v>-0.1509552542239927</v>
      </c>
      <c r="AX149" s="140">
        <f>AX148*(1+BE149)</f>
        <v>15272.75537308491</v>
      </c>
      <c r="AY149" s="33">
        <f t="shared" ref="AY149:AY159" si="79">AX149/AS135-1</f>
        <v>0.21704959543269675</v>
      </c>
      <c r="AZ149" s="33">
        <f>AV149/AU135-1</f>
        <v>0.19454470401617119</v>
      </c>
      <c r="BA149">
        <v>2</v>
      </c>
      <c r="BB149" s="29">
        <f t="shared" ref="BB149:BB159" si="80">AW51</f>
        <v>1.3261761919797888E-2</v>
      </c>
      <c r="BC149" s="29">
        <f t="shared" ref="BC149:BC159" si="81">AW63</f>
        <v>5.1519536903039009E-2</v>
      </c>
      <c r="BD149" s="481">
        <f>AS149/AS148-1</f>
        <v>4.7729668181718532E-2</v>
      </c>
      <c r="BE149" s="29">
        <f>BD149*BG149</f>
        <v>4.7729668181718532E-2</v>
      </c>
      <c r="BG149">
        <v>1</v>
      </c>
    </row>
    <row r="150" spans="1:59" ht="21.75">
      <c r="A150" s="376">
        <v>2022</v>
      </c>
      <c r="B150" s="376">
        <v>1</v>
      </c>
      <c r="C150" s="376" t="s">
        <v>411</v>
      </c>
      <c r="G150" s="524">
        <f t="shared" ref="G150:G156" si="82">(U150+1)*G136</f>
        <v>207.44771730059881</v>
      </c>
      <c r="H150" s="522">
        <f t="shared" ref="H150:H158" si="83">G150/G149-1</f>
        <v>3.929280022080528E-2</v>
      </c>
      <c r="I150" s="29">
        <v>0.20899999999999999</v>
      </c>
      <c r="J150" s="396">
        <f t="shared" si="71"/>
        <v>0.38006785896620832</v>
      </c>
      <c r="K150" s="381">
        <f t="shared" si="66"/>
        <v>0.2761107335838785</v>
      </c>
      <c r="L150" s="381">
        <f t="shared" si="67"/>
        <v>0.27784061015389661</v>
      </c>
      <c r="M150" s="395">
        <v>1.08</v>
      </c>
      <c r="N150" s="378"/>
      <c r="O150" s="394">
        <f t="shared" si="72"/>
        <v>0.38006785896620832</v>
      </c>
      <c r="P150" s="375">
        <f>(M150/M147)^(1/3)</f>
        <v>0.95244063118091971</v>
      </c>
      <c r="Q150" s="747">
        <f>T150/S150</f>
        <v>1.0683918669131236</v>
      </c>
      <c r="R150" s="103">
        <v>0.52718643339564475</v>
      </c>
      <c r="S150" s="582">
        <v>0.54100000000000004</v>
      </c>
      <c r="T150" s="582">
        <v>0.57799999999999996</v>
      </c>
      <c r="U150" s="587">
        <f>V150*W150</f>
        <v>0.57019138616037024</v>
      </c>
      <c r="V150" s="479">
        <f t="shared" si="68"/>
        <v>0.39323543873128985</v>
      </c>
      <c r="W150" s="484">
        <v>1.45</v>
      </c>
      <c r="X150" s="126">
        <f t="shared" ref="X150:X159" si="84">U150/U149-1</f>
        <v>6.577829188854234E-2</v>
      </c>
      <c r="Y150" s="126">
        <f t="shared" ref="Y150:Y159" si="85">V150/V149-1</f>
        <v>0.43826921160326471</v>
      </c>
      <c r="AA150" s="126">
        <f t="shared" si="73"/>
        <v>1.45</v>
      </c>
      <c r="AC150" s="464">
        <v>228.30383362958679</v>
      </c>
      <c r="AD150" s="465">
        <f t="shared" si="74"/>
        <v>1.6880484695100169</v>
      </c>
      <c r="AE150" s="379">
        <v>209.5082557254367</v>
      </c>
      <c r="AH150" s="470">
        <v>29.25</v>
      </c>
      <c r="AJ150" s="140">
        <f t="shared" si="58"/>
        <v>6128.1164799690232</v>
      </c>
      <c r="AK150" s="473">
        <v>732841.50363818998</v>
      </c>
      <c r="AL150" s="473"/>
      <c r="AM150" s="8">
        <f t="shared" si="75"/>
        <v>1.0156218028873947</v>
      </c>
      <c r="AN150" s="8">
        <f t="shared" si="76"/>
        <v>0.20398841890212283</v>
      </c>
      <c r="AO150" s="381">
        <f>AO149</f>
        <v>5.5742132419516734E-2</v>
      </c>
      <c r="AP150" s="130">
        <f t="shared" si="69"/>
        <v>0.1404190303013293</v>
      </c>
      <c r="AQ150" s="5">
        <f>IF(AO150&gt;0,AP150,AN150)</f>
        <v>0.1404190303013293</v>
      </c>
      <c r="AS150" s="380">
        <v>16320.50464595284</v>
      </c>
      <c r="AT150" s="381">
        <f t="shared" si="77"/>
        <v>0.19897918351108146</v>
      </c>
      <c r="AV150" s="505">
        <f t="shared" si="78"/>
        <v>509.09184576949696</v>
      </c>
      <c r="AW150" s="381">
        <f>AW149</f>
        <v>-0.1509552542239927</v>
      </c>
      <c r="AX150" s="140">
        <f t="shared" ref="AX150:AX158" si="86">AX149*(1+BE150)</f>
        <v>14890.936488757787</v>
      </c>
      <c r="AY150" s="33">
        <f t="shared" si="79"/>
        <v>9.3956544869070457E-2</v>
      </c>
      <c r="AZ150" s="119"/>
      <c r="BA150">
        <v>3</v>
      </c>
      <c r="BB150" s="29">
        <f t="shared" si="80"/>
        <v>6.4194453100654414E-2</v>
      </c>
      <c r="BC150" s="29">
        <f t="shared" si="81"/>
        <v>6.330856041838695E-2</v>
      </c>
      <c r="BD150" s="481">
        <f t="shared" ref="BD150:BD159" si="87">AS150/AS149-1</f>
        <v>6.8602504739542214E-2</v>
      </c>
      <c r="BE150" s="482">
        <f>-2.5%*BG150</f>
        <v>-2.5000000000000001E-2</v>
      </c>
      <c r="BG150">
        <v>1</v>
      </c>
    </row>
    <row r="151" spans="1:59">
      <c r="A151" s="376">
        <v>2022</v>
      </c>
      <c r="B151" s="376">
        <v>2</v>
      </c>
      <c r="C151" s="376" t="s">
        <v>412</v>
      </c>
      <c r="G151" s="524">
        <f t="shared" si="82"/>
        <v>217.88989051662429</v>
      </c>
      <c r="H151" s="522">
        <f t="shared" si="83"/>
        <v>5.0336409346430244E-2</v>
      </c>
      <c r="I151" s="29"/>
      <c r="J151" s="396">
        <f>O151</f>
        <v>0.25389129553524015</v>
      </c>
      <c r="K151" s="381">
        <f t="shared" si="66"/>
        <v>0.13486637297621032</v>
      </c>
      <c r="L151" s="381">
        <f t="shared" si="67"/>
        <v>0.13695891254856052</v>
      </c>
      <c r="M151" s="393">
        <f>M150*$P$153</f>
        <v>1.102846621541115</v>
      </c>
      <c r="N151" s="378"/>
      <c r="O151" s="394">
        <f>((1+L151)*$M151-1)</f>
        <v>0.25389129553524015</v>
      </c>
      <c r="R151" s="33">
        <v>0.62015228296091784</v>
      </c>
      <c r="S151" s="583"/>
      <c r="T151" s="583"/>
      <c r="U151" s="587">
        <f t="shared" ref="U151:U158" si="88">V151*W151*$U$161</f>
        <v>0.62967310526321851</v>
      </c>
      <c r="V151" s="479">
        <f t="shared" si="68"/>
        <v>0.64914753119919433</v>
      </c>
      <c r="W151" s="485">
        <v>0.97</v>
      </c>
      <c r="X151" s="126">
        <f t="shared" si="84"/>
        <v>0.10431886651847577</v>
      </c>
      <c r="Y151" s="126">
        <f t="shared" si="85"/>
        <v>0.65078593448638089</v>
      </c>
      <c r="AA151" s="126">
        <f t="shared" si="73"/>
        <v>0.97</v>
      </c>
      <c r="AC151" s="464">
        <v>223.93373994317039</v>
      </c>
      <c r="AD151" s="465">
        <f t="shared" si="74"/>
        <v>1.5861899602677965</v>
      </c>
      <c r="AE151" s="379">
        <v>190.610414582011</v>
      </c>
      <c r="AH151" s="470">
        <v>29.25</v>
      </c>
      <c r="AJ151" s="140">
        <f t="shared" si="58"/>
        <v>5575.3546265238219</v>
      </c>
      <c r="AK151" s="473">
        <v>736288.22226537007</v>
      </c>
      <c r="AL151" s="473"/>
      <c r="AM151" s="8">
        <f t="shared" si="75"/>
        <v>0.7375250187999125</v>
      </c>
      <c r="AN151" s="8">
        <f t="shared" si="76"/>
        <v>0.1843455295364409</v>
      </c>
      <c r="AO151" s="393">
        <v>2.7655277974961485E-2</v>
      </c>
      <c r="AP151" s="130">
        <f t="shared" si="69"/>
        <v>0.15247355306756583</v>
      </c>
      <c r="AQ151" s="5">
        <f t="shared" si="70"/>
        <v>0.15247355306756583</v>
      </c>
      <c r="AS151" s="380">
        <v>15509.4452487291</v>
      </c>
      <c r="AT151" s="381">
        <f t="shared" si="77"/>
        <v>0.14520012174031605</v>
      </c>
      <c r="AV151" s="505">
        <f t="shared" si="78"/>
        <v>483.79215470487532</v>
      </c>
      <c r="AW151" s="393">
        <v>-0.37493955369360166</v>
      </c>
      <c r="AX151" s="140">
        <f t="shared" si="86"/>
        <v>14150.920525117603</v>
      </c>
      <c r="AY151" s="33">
        <f t="shared" si="79"/>
        <v>4.4888172865509945E-2</v>
      </c>
      <c r="AZ151" s="119"/>
      <c r="BA151">
        <v>4</v>
      </c>
      <c r="BB151" s="29">
        <f t="shared" si="80"/>
        <v>4.9780380673498659E-3</v>
      </c>
      <c r="BC151" s="29">
        <f t="shared" si="81"/>
        <v>3.4946932435930611E-2</v>
      </c>
      <c r="BD151" s="481">
        <f t="shared" si="87"/>
        <v>-4.9695730298687013E-2</v>
      </c>
      <c r="BE151" s="29">
        <f>BD151*BG151</f>
        <v>-4.9695730298687013E-2</v>
      </c>
      <c r="BG151">
        <v>1</v>
      </c>
    </row>
    <row r="152" spans="1:59">
      <c r="A152" s="376">
        <v>2022</v>
      </c>
      <c r="B152" s="376">
        <v>2</v>
      </c>
      <c r="C152" s="376" t="s">
        <v>413</v>
      </c>
      <c r="G152" s="524">
        <f t="shared" si="82"/>
        <v>224.98529667092427</v>
      </c>
      <c r="H152" s="522">
        <f t="shared" si="83"/>
        <v>3.2564182475270043E-2</v>
      </c>
      <c r="I152" s="29"/>
      <c r="J152" s="396">
        <f>O152</f>
        <v>0.25546567155733402</v>
      </c>
      <c r="K152" s="381">
        <f t="shared" si="66"/>
        <v>0.11288585260134013</v>
      </c>
      <c r="L152" s="381">
        <f t="shared" si="67"/>
        <v>0.11480360252645155</v>
      </c>
      <c r="M152" s="393">
        <f>M151*$P$153</f>
        <v>1.1261765468931957</v>
      </c>
      <c r="N152" s="378"/>
      <c r="O152" s="394">
        <f t="shared" si="72"/>
        <v>0.25546567155733402</v>
      </c>
      <c r="R152" s="33">
        <v>0.61856910355632078</v>
      </c>
      <c r="S152" s="583"/>
      <c r="T152" s="583"/>
      <c r="U152" s="587">
        <f t="shared" si="88"/>
        <v>0.62426841470854244</v>
      </c>
      <c r="V152" s="479">
        <f t="shared" si="68"/>
        <v>0.64357568526653863</v>
      </c>
      <c r="W152" s="485">
        <v>0.97</v>
      </c>
      <c r="X152" s="126">
        <f t="shared" si="84"/>
        <v>-8.5833276179340112E-3</v>
      </c>
      <c r="Y152" s="126">
        <f t="shared" si="85"/>
        <v>-8.5833276179340112E-3</v>
      </c>
      <c r="AA152" s="126">
        <f t="shared" si="73"/>
        <v>0.97</v>
      </c>
      <c r="AC152" s="464">
        <v>221.8892031609675</v>
      </c>
      <c r="AD152" s="465">
        <f t="shared" si="74"/>
        <v>1.3133960924890911</v>
      </c>
      <c r="AE152" s="379">
        <v>183.00936410355791</v>
      </c>
      <c r="AH152" s="470">
        <v>29.25</v>
      </c>
      <c r="AJ152" s="140">
        <f t="shared" si="58"/>
        <v>5353.0239000290694</v>
      </c>
      <c r="AK152" s="473">
        <v>739020.79961753008</v>
      </c>
      <c r="AL152" s="473"/>
      <c r="AM152" s="8">
        <f t="shared" si="75"/>
        <v>0.52281344523922657</v>
      </c>
      <c r="AN152" s="8">
        <f t="shared" si="76"/>
        <v>0.14729508380439316</v>
      </c>
      <c r="AO152" s="381">
        <f>AO151</f>
        <v>2.7655277974961485E-2</v>
      </c>
      <c r="AP152" s="130">
        <f t="shared" si="69"/>
        <v>0.11642017356752832</v>
      </c>
      <c r="AQ152" s="5">
        <f t="shared" si="70"/>
        <v>0.11642017356752832</v>
      </c>
      <c r="AS152" s="380">
        <v>15636.364894632838</v>
      </c>
      <c r="AT152" s="381">
        <f t="shared" si="77"/>
        <v>0.15833505405088055</v>
      </c>
      <c r="AV152" s="505">
        <f t="shared" si="78"/>
        <v>483.5102245447909</v>
      </c>
      <c r="AW152" s="381">
        <f>AW151</f>
        <v>-0.37493955369360166</v>
      </c>
      <c r="AX152" s="140">
        <f t="shared" si="86"/>
        <v>14142.674067935133</v>
      </c>
      <c r="AY152" s="33">
        <f t="shared" si="79"/>
        <v>4.7683092668726168E-2</v>
      </c>
      <c r="AZ152" s="119"/>
      <c r="BA152">
        <v>5</v>
      </c>
      <c r="BB152" s="29">
        <f t="shared" si="80"/>
        <v>-5.8275058275059077E-4</v>
      </c>
      <c r="BC152" s="29">
        <f t="shared" si="81"/>
        <v>1.1005502751375795E-2</v>
      </c>
      <c r="BD152" s="481">
        <f t="shared" si="87"/>
        <v>8.1833775398341135E-3</v>
      </c>
      <c r="BE152" s="29">
        <f>BB152*BG152</f>
        <v>-5.8275058275059077E-4</v>
      </c>
      <c r="BG152">
        <v>1</v>
      </c>
    </row>
    <row r="153" spans="1:59" ht="21.75">
      <c r="A153" s="376">
        <v>2022</v>
      </c>
      <c r="B153" s="376">
        <v>2</v>
      </c>
      <c r="C153" s="376" t="s">
        <v>414</v>
      </c>
      <c r="G153" s="524">
        <f t="shared" si="82"/>
        <v>227.68121268908189</v>
      </c>
      <c r="H153" s="522">
        <f t="shared" si="83"/>
        <v>1.1982632012174532E-2</v>
      </c>
      <c r="I153" s="29">
        <v>0.14499999999999999</v>
      </c>
      <c r="J153" s="396">
        <f t="shared" si="71"/>
        <v>0.2903218851760947</v>
      </c>
      <c r="K153" s="381">
        <f t="shared" si="66"/>
        <v>0.12049727817065012</v>
      </c>
      <c r="L153" s="381">
        <f t="shared" si="67"/>
        <v>0.12201903058790864</v>
      </c>
      <c r="M153" s="395">
        <v>1.1499999999999999</v>
      </c>
      <c r="N153" s="378"/>
      <c r="O153" s="394">
        <f t="shared" si="72"/>
        <v>0.2903218851760947</v>
      </c>
      <c r="P153" s="375">
        <f>(M153/M150)^(1/3)</f>
        <v>1.0211542792047361</v>
      </c>
      <c r="Q153" s="747">
        <f>T153/S153</f>
        <v>1.1588447653429603</v>
      </c>
      <c r="R153" s="103">
        <v>0.59529987304435683</v>
      </c>
      <c r="S153" s="582">
        <v>0.55400000000000005</v>
      </c>
      <c r="T153" s="582">
        <v>0.64200000000000002</v>
      </c>
      <c r="U153" s="587">
        <f t="shared" si="88"/>
        <v>0.60520647012792284</v>
      </c>
      <c r="V153" s="479">
        <f t="shared" si="68"/>
        <v>0.65783311970426395</v>
      </c>
      <c r="W153" s="484">
        <v>0.92</v>
      </c>
      <c r="X153" s="126">
        <f t="shared" si="84"/>
        <v>-3.0534853488493718E-2</v>
      </c>
      <c r="Y153" s="126">
        <f t="shared" si="85"/>
        <v>2.2153469691479355E-2</v>
      </c>
      <c r="Z153" s="375">
        <f>(W153/W150)^(1/3)</f>
        <v>0.85929036404065617</v>
      </c>
      <c r="AA153" s="126">
        <f t="shared" si="73"/>
        <v>0.92</v>
      </c>
      <c r="AC153" s="464">
        <v>228.51292063218096</v>
      </c>
      <c r="AD153" s="465">
        <f t="shared" si="74"/>
        <v>1.1442402678661026</v>
      </c>
      <c r="AE153" s="379">
        <v>186.75808375886092</v>
      </c>
      <c r="AG153" s="82">
        <f>AH153/AH139-1</f>
        <v>7.3793539421745269E-2</v>
      </c>
      <c r="AH153" s="470">
        <v>29.25</v>
      </c>
      <c r="AJ153" s="140">
        <f t="shared" si="58"/>
        <v>5462.6739499466821</v>
      </c>
      <c r="AK153" s="473">
        <v>729369.66297767998</v>
      </c>
      <c r="AL153" s="473"/>
      <c r="AM153" s="8">
        <f>AJ153/AJ139-1</f>
        <v>0.53498302491317995</v>
      </c>
      <c r="AN153" s="8">
        <f>AK153/AK139-1</f>
        <v>0.13077235606794613</v>
      </c>
      <c r="AO153" s="381">
        <f>AO152</f>
        <v>2.7655277974961485E-2</v>
      </c>
      <c r="AP153" s="130">
        <f t="shared" si="69"/>
        <v>0.10034208970948044</v>
      </c>
      <c r="AQ153" s="5">
        <f t="shared" si="70"/>
        <v>0.10034208970948044</v>
      </c>
      <c r="AS153" s="380">
        <v>16636.792145062591</v>
      </c>
      <c r="AT153" s="381">
        <f t="shared" si="77"/>
        <v>0.16235535143314395</v>
      </c>
      <c r="AV153" s="505">
        <f t="shared" si="78"/>
        <v>495.56273888840013</v>
      </c>
      <c r="AW153" s="381">
        <f>AW152</f>
        <v>-0.37493955369360166</v>
      </c>
      <c r="AX153" s="140">
        <f>AX152*(1+BE153)</f>
        <v>14495.210112485704</v>
      </c>
      <c r="AY153" s="33">
        <f t="shared" si="79"/>
        <v>1.2730392823705916E-2</v>
      </c>
      <c r="AZ153" s="119"/>
      <c r="BA153">
        <v>6</v>
      </c>
      <c r="BB153" s="29">
        <f t="shared" si="80"/>
        <v>4.9854227405247808E-2</v>
      </c>
      <c r="BC153" s="29">
        <f t="shared" si="81"/>
        <v>6.3582384957941551E-2</v>
      </c>
      <c r="BD153" s="481">
        <f t="shared" si="87"/>
        <v>6.3980807378903659E-2</v>
      </c>
      <c r="BE153" s="29">
        <f t="shared" ref="BE153:BE159" si="89">BB153*BG153</f>
        <v>2.4927113702623904E-2</v>
      </c>
      <c r="BG153">
        <v>0.5</v>
      </c>
    </row>
    <row r="154" spans="1:59">
      <c r="A154" s="376">
        <v>2022</v>
      </c>
      <c r="B154" s="376">
        <v>3</v>
      </c>
      <c r="C154" s="376" t="s">
        <v>415</v>
      </c>
      <c r="G154" s="524">
        <f t="shared" si="82"/>
        <v>247.99961670850971</v>
      </c>
      <c r="H154" s="522">
        <f t="shared" si="83"/>
        <v>8.9240582389089385E-2</v>
      </c>
      <c r="J154" s="396">
        <f t="shared" si="71"/>
        <v>0.34749602286780568</v>
      </c>
      <c r="K154" s="381">
        <f t="shared" si="66"/>
        <v>0.1989001589638936</v>
      </c>
      <c r="L154" s="381">
        <f t="shared" si="67"/>
        <v>0.1992331922697394</v>
      </c>
      <c r="M154" s="393">
        <f>M153*$P$156</f>
        <v>1.1236313600672236</v>
      </c>
      <c r="N154" s="378"/>
      <c r="O154" s="394">
        <f t="shared" si="72"/>
        <v>0.34749602286780568</v>
      </c>
      <c r="R154" s="33">
        <v>0.66558606024784073</v>
      </c>
      <c r="S154" s="583"/>
      <c r="T154" s="583"/>
      <c r="U154" s="587">
        <f t="shared" si="88"/>
        <v>0.70414817775523686</v>
      </c>
      <c r="V154" s="479">
        <f t="shared" si="68"/>
        <v>0.79209902254593711</v>
      </c>
      <c r="W154" s="82">
        <f>W153*$Z$156</f>
        <v>0.88896483610343102</v>
      </c>
      <c r="X154" s="126">
        <f t="shared" si="84"/>
        <v>0.16348421986698303</v>
      </c>
      <c r="Y154" s="126">
        <f t="shared" si="85"/>
        <v>0.20410328823521962</v>
      </c>
      <c r="AA154" s="126">
        <f t="shared" si="73"/>
        <v>0.88896483610343102</v>
      </c>
      <c r="AC154" s="464">
        <v>239.72224127987167</v>
      </c>
      <c r="AD154" s="465">
        <f t="shared" si="74"/>
        <v>1.0772276615068104</v>
      </c>
      <c r="AE154" s="379">
        <v>205.13848403225657</v>
      </c>
      <c r="AH154" s="470">
        <v>36.57</v>
      </c>
      <c r="AJ154" s="140">
        <f>AE154*AH154</f>
        <v>7501.9143610596229</v>
      </c>
      <c r="AK154" s="473">
        <v>726893.0878877301</v>
      </c>
      <c r="AL154" s="473"/>
      <c r="AM154" s="8">
        <f t="shared" si="75"/>
        <v>1.1092603919346917</v>
      </c>
      <c r="AN154" s="8">
        <f t="shared" si="76"/>
        <v>0.12101335989162987</v>
      </c>
      <c r="AO154" s="393">
        <v>3.0399493591073926E-2</v>
      </c>
      <c r="AP154" s="130">
        <f t="shared" si="69"/>
        <v>8.794051905514344E-2</v>
      </c>
      <c r="AQ154" s="5">
        <f t="shared" si="70"/>
        <v>8.794051905514344E-2</v>
      </c>
      <c r="AS154" s="380">
        <v>16361.528346980933</v>
      </c>
      <c r="AT154" s="381">
        <f t="shared" si="77"/>
        <v>0.14057360383275941</v>
      </c>
      <c r="AV154" s="505">
        <f t="shared" si="78"/>
        <v>389.32428355674244</v>
      </c>
      <c r="AW154" s="393">
        <v>-0.41849408078066652</v>
      </c>
      <c r="AX154" s="140">
        <f>AX153*(1+BE154)</f>
        <v>14237.589049670072</v>
      </c>
      <c r="AY154" s="33">
        <f t="shared" si="79"/>
        <v>-7.4876925988098808E-3</v>
      </c>
      <c r="AZ154" s="119"/>
      <c r="BA154">
        <v>7</v>
      </c>
      <c r="BB154" s="29">
        <f t="shared" si="80"/>
        <v>-1.7772840877534057E-2</v>
      </c>
      <c r="BC154" s="29">
        <f t="shared" si="81"/>
        <v>2.1167713421726075E-2</v>
      </c>
      <c r="BD154" s="481">
        <f t="shared" si="87"/>
        <v>-1.6545485192188902E-2</v>
      </c>
      <c r="BE154" s="29">
        <f t="shared" si="89"/>
        <v>-1.7772840877534057E-2</v>
      </c>
      <c r="BG154">
        <v>1</v>
      </c>
    </row>
    <row r="155" spans="1:59">
      <c r="A155" s="376">
        <v>2022</v>
      </c>
      <c r="B155" s="376">
        <v>3</v>
      </c>
      <c r="C155" s="376" t="s">
        <v>416</v>
      </c>
      <c r="G155" s="524">
        <f>(U155+1)*G141</f>
        <v>263.76009890661453</v>
      </c>
      <c r="H155" s="522">
        <f t="shared" si="83"/>
        <v>6.3550429663079555E-2</v>
      </c>
      <c r="J155" s="396">
        <f t="shared" si="71"/>
        <v>0.39451799474227212</v>
      </c>
      <c r="K155" s="381">
        <f t="shared" si="66"/>
        <v>0.27108136110375458</v>
      </c>
      <c r="L155" s="381">
        <f t="shared" si="67"/>
        <v>0.27020629215351377</v>
      </c>
      <c r="M155" s="393">
        <f>M154*$P$156</f>
        <v>1.0978673333274076</v>
      </c>
      <c r="N155" s="378"/>
      <c r="O155" s="394">
        <f t="shared" si="72"/>
        <v>0.39451799474227212</v>
      </c>
      <c r="R155" s="33">
        <v>0.64781813202875549</v>
      </c>
      <c r="S155" s="583"/>
      <c r="T155" s="583"/>
      <c r="U155" s="587">
        <f t="shared" si="88"/>
        <v>0.71958968373921817</v>
      </c>
      <c r="V155" s="479">
        <f t="shared" si="68"/>
        <v>0.83772907971052091</v>
      </c>
      <c r="W155" s="82">
        <f>W154*$Z$156</f>
        <v>0.85897660850913038</v>
      </c>
      <c r="X155" s="126">
        <f t="shared" si="84"/>
        <v>2.1929341680905212E-2</v>
      </c>
      <c r="Y155" s="126">
        <f t="shared" si="85"/>
        <v>5.760650608799045E-2</v>
      </c>
      <c r="AA155" s="126">
        <f t="shared" si="73"/>
        <v>0.85897660850913038</v>
      </c>
      <c r="AC155" s="464">
        <v>242.6360707955613</v>
      </c>
      <c r="AD155" s="465">
        <f t="shared" si="74"/>
        <v>0.958521176846308</v>
      </c>
      <c r="AE155" s="379">
        <v>230.60665470544814</v>
      </c>
      <c r="AH155" s="470">
        <v>36.57</v>
      </c>
      <c r="AJ155" s="140">
        <f t="shared" si="58"/>
        <v>8433.2853625782391</v>
      </c>
      <c r="AK155" s="473">
        <v>754216.07079393999</v>
      </c>
      <c r="AL155" s="473"/>
      <c r="AM155" s="8">
        <f t="shared" si="75"/>
        <v>1.5964190478894906</v>
      </c>
      <c r="AN155" s="8">
        <f t="shared" si="76"/>
        <v>0.15194805555983559</v>
      </c>
      <c r="AO155" s="381">
        <f>AO154</f>
        <v>3.0399493591073926E-2</v>
      </c>
      <c r="AP155" s="130">
        <f t="shared" si="69"/>
        <v>0.11796255988553472</v>
      </c>
      <c r="AQ155" s="5">
        <f t="shared" si="70"/>
        <v>0.11796255988553472</v>
      </c>
      <c r="AS155" s="380">
        <v>15781.21113345392</v>
      </c>
      <c r="AT155" s="381">
        <f t="shared" si="77"/>
        <v>0.1274709675969079</v>
      </c>
      <c r="AV155" s="505">
        <f t="shared" si="78"/>
        <v>370.94227751942947</v>
      </c>
      <c r="AW155" s="381">
        <f>AW154</f>
        <v>-0.41849408078066652</v>
      </c>
      <c r="AX155" s="140">
        <f t="shared" si="86"/>
        <v>13565.359088885536</v>
      </c>
      <c r="AY155" s="33">
        <f t="shared" si="79"/>
        <v>-3.0838101815707897E-2</v>
      </c>
      <c r="AZ155" s="119"/>
      <c r="BA155">
        <v>8</v>
      </c>
      <c r="BB155" s="29">
        <f t="shared" si="80"/>
        <v>-4.7215154085383126E-2</v>
      </c>
      <c r="BC155" s="29">
        <f t="shared" si="81"/>
        <v>-4.2141230068337143E-2</v>
      </c>
      <c r="BD155" s="481">
        <f t="shared" si="87"/>
        <v>-3.5468398869601514E-2</v>
      </c>
      <c r="BE155" s="29">
        <f t="shared" si="89"/>
        <v>-4.7215154085383126E-2</v>
      </c>
      <c r="BG155">
        <v>1</v>
      </c>
    </row>
    <row r="156" spans="1:59" ht="21.75">
      <c r="A156" s="376">
        <v>2022</v>
      </c>
      <c r="B156" s="376">
        <v>3</v>
      </c>
      <c r="C156" s="376" t="s">
        <v>417</v>
      </c>
      <c r="G156" s="524">
        <f t="shared" si="82"/>
        <v>259.56492924170954</v>
      </c>
      <c r="H156" s="522">
        <f>G156/G155-1</f>
        <v>-1.5905247542352119E-2</v>
      </c>
      <c r="I156" s="98">
        <v>0.06</v>
      </c>
      <c r="J156" s="396">
        <f t="shared" si="71"/>
        <v>0.35680559904984177</v>
      </c>
      <c r="K156" s="381">
        <f t="shared" si="66"/>
        <v>0.26612734481482425</v>
      </c>
      <c r="L156" s="381">
        <f t="shared" si="67"/>
        <v>0.26485794424673281</v>
      </c>
      <c r="M156" s="395">
        <v>1.0726940564522183</v>
      </c>
      <c r="N156" s="378"/>
      <c r="O156" s="394">
        <f t="shared" si="72"/>
        <v>0.35680559904984177</v>
      </c>
      <c r="P156" s="375">
        <f>(M156/M153)^(1/3)</f>
        <v>0.97707074788454229</v>
      </c>
      <c r="Q156" s="747">
        <f>T156/S156</f>
        <v>1.3507014028056112</v>
      </c>
      <c r="R156" s="103">
        <v>0.64053567998602567</v>
      </c>
      <c r="S156" s="582">
        <v>0.499</v>
      </c>
      <c r="T156" s="582">
        <v>0.67400000000000004</v>
      </c>
      <c r="U156" s="587">
        <f t="shared" si="88"/>
        <v>0.68047585317584036</v>
      </c>
      <c r="V156" s="479">
        <f t="shared" si="68"/>
        <v>0.81985042551306075</v>
      </c>
      <c r="W156" s="484">
        <v>0.83</v>
      </c>
      <c r="X156" s="126">
        <f t="shared" si="84"/>
        <v>-5.4355741121981938E-2</v>
      </c>
      <c r="Y156" s="126">
        <f t="shared" si="85"/>
        <v>-2.1341809220276953E-2</v>
      </c>
      <c r="Z156" s="375">
        <f>(W156/W153)^(1/3)</f>
        <v>0.96626612619938146</v>
      </c>
      <c r="AA156" s="126">
        <f t="shared" si="73"/>
        <v>0.83</v>
      </c>
      <c r="AC156" s="464">
        <v>244.24610453929944</v>
      </c>
      <c r="AD156" s="465">
        <f t="shared" si="74"/>
        <v>0.66456595942022978</v>
      </c>
      <c r="AE156" s="379">
        <v>210.54868377955887</v>
      </c>
      <c r="AH156" s="470">
        <v>36.57</v>
      </c>
      <c r="AJ156" s="140">
        <f t="shared" si="58"/>
        <v>7699.7653658184681</v>
      </c>
      <c r="AK156" s="473">
        <v>740492.30557939014</v>
      </c>
      <c r="AL156" s="473"/>
      <c r="AM156" s="8">
        <f>AJ156/AJ142-1</f>
        <v>1.4527421447475799</v>
      </c>
      <c r="AN156" s="8">
        <f t="shared" si="76"/>
        <v>0.14914806401564507</v>
      </c>
      <c r="AO156" s="381">
        <f>AO155</f>
        <v>3.0399493591073926E-2</v>
      </c>
      <c r="AP156" s="130">
        <f t="shared" si="69"/>
        <v>0.1152451754520154</v>
      </c>
      <c r="AQ156" s="5">
        <f t="shared" si="70"/>
        <v>0.1152451754520154</v>
      </c>
      <c r="AS156" s="380">
        <v>16283.176623677064</v>
      </c>
      <c r="AT156" s="381">
        <f t="shared" si="77"/>
        <v>0.1435618107786405</v>
      </c>
      <c r="AV156" s="505">
        <f t="shared" si="78"/>
        <v>383.16025758015843</v>
      </c>
      <c r="AW156" s="381">
        <f>AW155</f>
        <v>-0.41849408078066652</v>
      </c>
      <c r="AX156" s="140">
        <f>AX155*(1+BE156)</f>
        <v>14012.170619706394</v>
      </c>
      <c r="AY156" s="33">
        <f t="shared" si="79"/>
        <v>-1.5930148205183348E-2</v>
      </c>
      <c r="AZ156" s="119"/>
      <c r="BA156">
        <v>9</v>
      </c>
      <c r="BB156" s="29">
        <f t="shared" si="80"/>
        <v>3.293768545994058E-2</v>
      </c>
      <c r="BC156" s="29">
        <f t="shared" si="81"/>
        <v>3.2818073721759822E-2</v>
      </c>
      <c r="BD156" s="481">
        <f t="shared" si="87"/>
        <v>3.180779256916777E-2</v>
      </c>
      <c r="BE156" s="29">
        <f t="shared" si="89"/>
        <v>3.293768545994058E-2</v>
      </c>
      <c r="BG156">
        <v>1</v>
      </c>
    </row>
    <row r="157" spans="1:59">
      <c r="A157" s="376">
        <v>2022</v>
      </c>
      <c r="B157" s="376">
        <v>4</v>
      </c>
      <c r="C157" s="376" t="s">
        <v>418</v>
      </c>
      <c r="G157" s="524">
        <f>(U157+1)*G143</f>
        <v>275.94850298522204</v>
      </c>
      <c r="H157" s="522">
        <f>G157/G156-1</f>
        <v>6.3119365899604762E-2</v>
      </c>
      <c r="J157" s="396">
        <f t="shared" si="71"/>
        <v>0.27321282961626592</v>
      </c>
      <c r="K157" s="381">
        <f t="shared" si="66"/>
        <v>0.18178526861842983</v>
      </c>
      <c r="L157" s="381">
        <f t="shared" si="67"/>
        <v>0.1806148928440422</v>
      </c>
      <c r="M157" s="393">
        <f>M156*$P$159</f>
        <v>1.0784319572228671</v>
      </c>
      <c r="N157" s="378"/>
      <c r="O157" s="394">
        <f t="shared" si="72"/>
        <v>0.27321282961626592</v>
      </c>
      <c r="R157" s="33">
        <v>0.5886593483495498</v>
      </c>
      <c r="S157" s="583"/>
      <c r="T157" s="583"/>
      <c r="U157" s="587">
        <f t="shared" si="88"/>
        <v>0.58804126527813017</v>
      </c>
      <c r="V157" s="479">
        <f t="shared" si="68"/>
        <v>0.76090564764258117</v>
      </c>
      <c r="W157" s="82">
        <f>W156*$Z$159</f>
        <v>0.77281758533398315</v>
      </c>
      <c r="X157" s="126">
        <f t="shared" si="84"/>
        <v>-0.13583816011444039</v>
      </c>
      <c r="Y157" s="126">
        <f t="shared" si="85"/>
        <v>-7.1896990031556141E-2</v>
      </c>
      <c r="AA157" s="126">
        <f t="shared" si="73"/>
        <v>0.77281758533398315</v>
      </c>
      <c r="AC157" s="464">
        <v>247.75438908811788</v>
      </c>
      <c r="AD157" s="465">
        <f t="shared" si="74"/>
        <v>0.31891919868879492</v>
      </c>
      <c r="AE157" s="379">
        <v>178.69019960961467</v>
      </c>
      <c r="AH157" s="470">
        <v>36.57</v>
      </c>
      <c r="AJ157" s="140">
        <f>AE157*AH157</f>
        <v>6534.7005997236083</v>
      </c>
      <c r="AK157" s="473">
        <v>734049.8</v>
      </c>
      <c r="AL157" s="472"/>
      <c r="AM157" s="8">
        <f t="shared" si="75"/>
        <v>0.90712798946661688</v>
      </c>
      <c r="AN157" s="8">
        <f t="shared" si="76"/>
        <v>0.12244592116632003</v>
      </c>
      <c r="AO157" s="393">
        <v>1.4035474258070604E-2</v>
      </c>
      <c r="AP157" s="130">
        <f t="shared" si="69"/>
        <v>0.10690991554074469</v>
      </c>
      <c r="AQ157" s="5">
        <f t="shared" si="70"/>
        <v>0.10690991554074469</v>
      </c>
      <c r="AS157" s="380">
        <v>16342.114949758128</v>
      </c>
      <c r="AT157" s="381">
        <f t="shared" si="77"/>
        <v>0.16355393020705788</v>
      </c>
      <c r="AV157" s="505">
        <f t="shared" si="78"/>
        <v>386.24227056845046</v>
      </c>
      <c r="AW157" s="393">
        <v>-0.4156575482252135</v>
      </c>
      <c r="AX157" s="140">
        <f t="shared" si="86"/>
        <v>14124.879834688234</v>
      </c>
      <c r="AY157" s="33">
        <f t="shared" si="79"/>
        <v>5.6874214801163614E-3</v>
      </c>
      <c r="AZ157" s="119"/>
      <c r="BA157">
        <v>10</v>
      </c>
      <c r="BB157" s="29">
        <f t="shared" si="80"/>
        <v>8.043665613329587E-3</v>
      </c>
      <c r="BC157" s="29">
        <f t="shared" si="81"/>
        <v>4.3518305318903883E-2</v>
      </c>
      <c r="BD157" s="481">
        <f t="shared" si="87"/>
        <v>3.6195840310031535E-3</v>
      </c>
      <c r="BE157" s="29">
        <f t="shared" si="89"/>
        <v>8.043665613329587E-3</v>
      </c>
      <c r="BG157">
        <v>1</v>
      </c>
    </row>
    <row r="158" spans="1:59">
      <c r="A158" s="376">
        <v>2022</v>
      </c>
      <c r="B158" s="376">
        <v>4</v>
      </c>
      <c r="C158" s="376" t="s">
        <v>419</v>
      </c>
      <c r="G158" s="524">
        <f>(U158+1)*G144</f>
        <v>276.47582876161528</v>
      </c>
      <c r="H158" s="522">
        <f t="shared" si="83"/>
        <v>1.9109571919710966E-3</v>
      </c>
      <c r="J158" s="396">
        <f>O158</f>
        <v>0.21152019137946798</v>
      </c>
      <c r="K158" s="381">
        <f t="shared" si="66"/>
        <v>0.11826414602724836</v>
      </c>
      <c r="L158" s="381">
        <f t="shared" si="67"/>
        <v>0.11743181738067038</v>
      </c>
      <c r="M158" s="393">
        <f>M157*$P$159</f>
        <v>1.0842005503470866</v>
      </c>
      <c r="N158" s="378"/>
      <c r="O158" s="394">
        <f t="shared" si="72"/>
        <v>0.21152019137946798</v>
      </c>
      <c r="R158" s="33">
        <v>0.52365699673812571</v>
      </c>
      <c r="S158" s="583"/>
      <c r="T158" s="583"/>
      <c r="U158" s="587">
        <f t="shared" si="88"/>
        <v>0.52742962154455708</v>
      </c>
      <c r="V158" s="479">
        <f t="shared" si="68"/>
        <v>0.73297408120064944</v>
      </c>
      <c r="W158" s="82">
        <f>W157*$Z$159</f>
        <v>0.71957472313427517</v>
      </c>
      <c r="X158" s="126">
        <f t="shared" si="84"/>
        <v>-0.10307379313746823</v>
      </c>
      <c r="Y158" s="126">
        <f t="shared" si="85"/>
        <v>-3.6708317947788394E-2</v>
      </c>
      <c r="AA158" s="126">
        <f t="shared" si="73"/>
        <v>0.71957472313427517</v>
      </c>
      <c r="AC158" s="464">
        <v>199.97575115613702</v>
      </c>
      <c r="AD158" s="465">
        <f t="shared" si="74"/>
        <v>0.27558718327820175</v>
      </c>
      <c r="AE158" s="379">
        <v>164.50445003631515</v>
      </c>
      <c r="AH158" s="470">
        <v>36.57</v>
      </c>
      <c r="AJ158" s="140">
        <f t="shared" si="58"/>
        <v>6015.9277378280449</v>
      </c>
      <c r="AK158" s="473">
        <v>758328.94226985995</v>
      </c>
      <c r="AL158" s="472"/>
      <c r="AM158" s="8">
        <f>AJ158/AJ144-1</f>
        <v>0.84184871702567299</v>
      </c>
      <c r="AN158" s="8">
        <f t="shared" si="76"/>
        <v>0.15694724430568163</v>
      </c>
      <c r="AO158" s="381">
        <f>AO157</f>
        <v>1.4035474258070604E-2</v>
      </c>
      <c r="AP158" s="130">
        <f t="shared" si="69"/>
        <v>0.14093369874675621</v>
      </c>
      <c r="AQ158" s="5">
        <f t="shared" si="70"/>
        <v>0.14093369874675621</v>
      </c>
      <c r="AS158" s="380">
        <v>16087.720427370554</v>
      </c>
      <c r="AT158" s="381">
        <f t="shared" si="77"/>
        <v>0.12500282134633589</v>
      </c>
      <c r="AV158" s="505">
        <f t="shared" si="78"/>
        <v>388.99406787942547</v>
      </c>
      <c r="AW158" s="381">
        <f>AW157</f>
        <v>-0.4156575482252135</v>
      </c>
      <c r="AX158" s="140">
        <f t="shared" si="86"/>
        <v>14225.51306235059</v>
      </c>
      <c r="AY158" s="33">
        <f t="shared" si="79"/>
        <v>-5.2200122140432237E-3</v>
      </c>
      <c r="AZ158" s="119"/>
      <c r="BA158">
        <v>11</v>
      </c>
      <c r="BB158" s="29">
        <f t="shared" si="80"/>
        <v>7.1245369051011753E-3</v>
      </c>
      <c r="BC158" s="29">
        <f t="shared" si="81"/>
        <v>-7.5022065313327113E-3</v>
      </c>
      <c r="BD158" s="481">
        <f t="shared" si="87"/>
        <v>-1.5566805347391077E-2</v>
      </c>
      <c r="BE158" s="29">
        <f t="shared" si="89"/>
        <v>7.1245369051011753E-3</v>
      </c>
      <c r="BG158">
        <v>1</v>
      </c>
    </row>
    <row r="159" spans="1:59" ht="22.5" thickBot="1">
      <c r="A159" s="376">
        <v>2022</v>
      </c>
      <c r="B159" s="376">
        <v>4</v>
      </c>
      <c r="C159" s="376" t="s">
        <v>420</v>
      </c>
      <c r="G159" s="525">
        <f>(U159+1)*G145</f>
        <v>272.16849246805401</v>
      </c>
      <c r="H159" s="523">
        <f>G159/G158-1</f>
        <v>-1.5579431709652813E-2</v>
      </c>
      <c r="I159" s="98">
        <v>0.05</v>
      </c>
      <c r="J159" s="396">
        <f t="shared" si="71"/>
        <v>0.10112160001301818</v>
      </c>
      <c r="K159" s="381">
        <f t="shared" si="66"/>
        <v>1.0558480645750573E-2</v>
      </c>
      <c r="L159" s="381">
        <f t="shared" si="67"/>
        <v>1.0203302764236671E-2</v>
      </c>
      <c r="M159" s="395">
        <v>1.0900000000000001</v>
      </c>
      <c r="N159" s="378"/>
      <c r="O159" s="394">
        <f t="shared" si="72"/>
        <v>0.10112160001301818</v>
      </c>
      <c r="P159" s="375">
        <f>(M159/M156)^(1/3)</f>
        <v>1.0053490561788196</v>
      </c>
      <c r="Q159" s="747">
        <f>T159/S159</f>
        <v>1.2894736842105263</v>
      </c>
      <c r="R159" s="103">
        <v>0.46497764564082578</v>
      </c>
      <c r="S159" s="582">
        <v>0.38</v>
      </c>
      <c r="T159" s="582">
        <v>0.49</v>
      </c>
      <c r="U159" s="587">
        <f>V159*W159*$U$161</f>
        <v>0.46338681153266803</v>
      </c>
      <c r="V159" s="479">
        <f t="shared" si="68"/>
        <v>0.6916221067651761</v>
      </c>
      <c r="W159" s="484">
        <v>0.67</v>
      </c>
      <c r="X159" s="126">
        <f t="shared" si="84"/>
        <v>-0.12142437094136305</v>
      </c>
      <c r="Y159" s="126">
        <f t="shared" si="85"/>
        <v>-5.641669398150706E-2</v>
      </c>
      <c r="Z159" s="375">
        <f>(W159/W156)^(1/3)</f>
        <v>0.93110552449877493</v>
      </c>
      <c r="AA159" s="126">
        <f t="shared" si="73"/>
        <v>0.67</v>
      </c>
      <c r="AC159" s="464">
        <v>191.26614686352303</v>
      </c>
      <c r="AD159" s="465">
        <f t="shared" si="74"/>
        <v>5.6342907090173755E-2</v>
      </c>
      <c r="AE159" s="379">
        <v>161.90078935475867</v>
      </c>
      <c r="AG159" s="119">
        <f>37/AH145-1</f>
        <v>0.35979419331128248</v>
      </c>
      <c r="AH159" s="480">
        <v>36.57</v>
      </c>
      <c r="AJ159" s="140">
        <f t="shared" si="58"/>
        <v>5920.7118667035247</v>
      </c>
      <c r="AK159" s="473">
        <v>792536.82511305995</v>
      </c>
      <c r="AL159" s="472"/>
      <c r="AM159" s="8">
        <f>AJ159/AJ145-1</f>
        <v>0.5640021248805771</v>
      </c>
      <c r="AN159" s="8">
        <f t="shared" si="76"/>
        <v>0.18575286022038395</v>
      </c>
      <c r="AO159" s="381">
        <f>AO158</f>
        <v>1.4035474258070604E-2</v>
      </c>
      <c r="AP159" s="130">
        <f>(1+AN159)/(1+AO159)-1</f>
        <v>0.16934061018718505</v>
      </c>
      <c r="AQ159" s="5">
        <f t="shared" si="70"/>
        <v>0.16934061018718505</v>
      </c>
      <c r="AS159" s="380">
        <v>18895.857590652045</v>
      </c>
      <c r="AT159" s="381">
        <f t="shared" si="77"/>
        <v>8.2671035962415873E-2</v>
      </c>
      <c r="AV159" s="505">
        <f t="shared" si="78"/>
        <v>410.03981371376233</v>
      </c>
      <c r="AW159" s="381">
        <f>AW158</f>
        <v>-0.4156575482252135</v>
      </c>
      <c r="AX159" s="140">
        <f>AX158*(1+BE159)</f>
        <v>14995.155987512288</v>
      </c>
      <c r="AY159" s="33">
        <f t="shared" si="79"/>
        <v>-0.14082644889060403</v>
      </c>
      <c r="AZ159" s="119"/>
      <c r="BA159">
        <v>12</v>
      </c>
      <c r="BB159" s="29">
        <f t="shared" si="80"/>
        <v>0.13525749858517266</v>
      </c>
      <c r="BC159" s="29">
        <f t="shared" si="81"/>
        <v>0.1627389951089373</v>
      </c>
      <c r="BD159" s="481">
        <f t="shared" si="87"/>
        <v>0.17455158895625256</v>
      </c>
      <c r="BE159" s="29">
        <f t="shared" si="89"/>
        <v>5.4102999434069071E-2</v>
      </c>
      <c r="BG159">
        <v>0.4</v>
      </c>
    </row>
    <row r="160" spans="1:59">
      <c r="N160" s="159"/>
      <c r="AE160" s="135"/>
      <c r="AH160" s="115">
        <f>(AH159/AH155)^(1/4)</f>
        <v>1</v>
      </c>
      <c r="AK160" s="135"/>
      <c r="AL160" s="135"/>
      <c r="AO160" s="134"/>
      <c r="AP160" s="130"/>
    </row>
    <row r="161" spans="1:52">
      <c r="G161" s="545">
        <f>G159/AVERAGE(G148:G159)-1</f>
        <v>0.13501824077620417</v>
      </c>
      <c r="M161" s="375"/>
      <c r="N161" s="159"/>
      <c r="S161" s="29">
        <f>AVERAGE(S150:S159)</f>
        <v>0.49350000000000005</v>
      </c>
      <c r="T161" s="29">
        <f>AVERAGE(T150:T159)</f>
        <v>0.59600000000000009</v>
      </c>
      <c r="U161" s="573">
        <v>1</v>
      </c>
      <c r="V161" s="572" t="s">
        <v>477</v>
      </c>
      <c r="AE161" s="135"/>
      <c r="AH161" s="115"/>
      <c r="AK161" s="574">
        <v>0.98</v>
      </c>
      <c r="AL161" s="574"/>
      <c r="AO161" s="134"/>
      <c r="AP161" s="130"/>
      <c r="AV161" s="146">
        <f>AVERAGE(AV150:AV159)</f>
        <v>430.06599347255315</v>
      </c>
      <c r="AW161" s="33">
        <f>AV161/AV149-1</f>
        <v>-0.20000192656216731</v>
      </c>
      <c r="AX161" s="146">
        <f>AVERAGE(AX150:AX159)</f>
        <v>14284.040883710933</v>
      </c>
      <c r="AY161" s="33">
        <f>AX161/AX149-1</f>
        <v>-6.4737139122674758E-2</v>
      </c>
    </row>
    <row r="162" spans="1:52">
      <c r="G162" s="545"/>
      <c r="M162" s="375"/>
      <c r="N162" s="159"/>
      <c r="U162" s="573"/>
      <c r="V162" s="572"/>
      <c r="AE162" s="135"/>
      <c r="AH162" s="115"/>
      <c r="AK162" s="574"/>
      <c r="AL162" s="33">
        <f>AK150/AK145-1</f>
        <v>9.6439788653640557E-2</v>
      </c>
      <c r="AO162" s="134"/>
      <c r="AP162" s="130"/>
      <c r="AV162" s="146"/>
      <c r="AW162" s="33"/>
      <c r="AX162" s="146"/>
      <c r="AY162" s="33"/>
    </row>
    <row r="163" spans="1:52">
      <c r="A163" s="576">
        <v>2023</v>
      </c>
      <c r="K163" s="33"/>
      <c r="L163" s="33"/>
      <c r="M163" s="365"/>
      <c r="N163" s="365"/>
      <c r="T163" s="4"/>
      <c r="U163" s="587">
        <f>V163*W163*$U$161</f>
        <v>0.30243182400000002</v>
      </c>
      <c r="V163" s="577">
        <f>0.1274618*AL163-0.5944938*AN163-1.230591*AW163-0.0825006*AY163+0.2070396</f>
        <v>0.15121591200000001</v>
      </c>
      <c r="W163" s="98">
        <v>2</v>
      </c>
      <c r="AE163" s="580"/>
      <c r="AF163" s="123"/>
      <c r="AH163" s="364"/>
      <c r="AJ163" s="99"/>
      <c r="AK163" s="578"/>
      <c r="AL163" s="119"/>
      <c r="AN163" s="8"/>
      <c r="AO163" s="134"/>
      <c r="AP163" s="130"/>
      <c r="AT163" s="109"/>
      <c r="AW163" s="381">
        <v>0.04</v>
      </c>
      <c r="AX163" s="146">
        <f>AX161*(1+$AY$163)</f>
        <v>15426.764154407809</v>
      </c>
      <c r="AY163" s="579">
        <v>0.08</v>
      </c>
      <c r="AZ163" s="146">
        <f>AX156/37</f>
        <v>378.70731404611877</v>
      </c>
    </row>
    <row r="164" spans="1:52">
      <c r="F164" s="605" t="s">
        <v>1930</v>
      </c>
      <c r="K164" s="33"/>
      <c r="L164" s="33"/>
      <c r="M164" s="365"/>
      <c r="N164" s="365"/>
      <c r="T164" s="4"/>
      <c r="U164" s="587"/>
      <c r="V164" s="577"/>
      <c r="W164" s="98"/>
      <c r="AE164" s="580"/>
      <c r="AH164" s="364"/>
      <c r="AJ164" s="99"/>
      <c r="AK164" s="578"/>
      <c r="AL164" s="119"/>
      <c r="AN164" s="8"/>
      <c r="AO164" s="134"/>
      <c r="AP164" s="130"/>
      <c r="AT164" s="109"/>
      <c r="AW164" s="381"/>
      <c r="AX164" s="146"/>
      <c r="AY164" s="579"/>
      <c r="AZ164" s="146"/>
    </row>
    <row r="165" spans="1:52">
      <c r="A165">
        <v>2023</v>
      </c>
      <c r="B165">
        <v>1</v>
      </c>
      <c r="C165">
        <v>1</v>
      </c>
      <c r="F165" s="391">
        <f t="shared" ref="F165:F175" si="90">G148*(1+I165)</f>
        <v>274.07367191533041</v>
      </c>
      <c r="G165" s="689">
        <f>G159*(1+H165)</f>
        <v>274.07367191533041</v>
      </c>
      <c r="H165" s="123">
        <f>AVERAGE(H74,H86,H98)*$K165</f>
        <v>7.0000000000000262E-3</v>
      </c>
      <c r="I165" s="33">
        <f>G165/G148-1</f>
        <v>0.34363129235076406</v>
      </c>
      <c r="K165">
        <v>0.7</v>
      </c>
      <c r="L165" s="33"/>
      <c r="M165" s="365"/>
      <c r="N165" s="365"/>
      <c r="R165" s="33">
        <v>0.34509194135471488</v>
      </c>
      <c r="T165" s="4"/>
      <c r="U165" s="4">
        <f>I165</f>
        <v>0.34363129235076406</v>
      </c>
      <c r="V165" s="4">
        <f>0.1274618*AM165-0.5944938*AN165-1.230591*AO165-0.0825006*AT165+0.2070396</f>
        <v>0.24879643928030978</v>
      </c>
      <c r="W165" s="33">
        <f>0.1819129*AM165+0.663448*AO165+1.328648*AY165+0.0020096*$AD165-0.2116617</f>
        <v>-0.29216178599704595</v>
      </c>
      <c r="X165" s="29"/>
      <c r="AC165">
        <v>181.77113896994229</v>
      </c>
      <c r="AD165" s="465">
        <f>AC165/AC148-1</f>
        <v>4.8293670470161976E-2</v>
      </c>
      <c r="AE165" s="363">
        <v>146.68577622635451</v>
      </c>
      <c r="AG165" s="99">
        <v>36.57</v>
      </c>
      <c r="AH165" s="768">
        <v>37.5</v>
      </c>
      <c r="AJ165" s="140">
        <f t="shared" ref="AJ165:AJ176" si="91">AE165*AH165</f>
        <v>5500.7166084882938</v>
      </c>
      <c r="AK165" s="781">
        <v>829830.78719953005</v>
      </c>
      <c r="AL165" s="82">
        <v>0.01</v>
      </c>
      <c r="AM165" s="8">
        <f>AJ165/AJ148-1</f>
        <v>0.26745299241897724</v>
      </c>
      <c r="AN165" s="8">
        <f>AK165/AK148-1</f>
        <v>0.19774714709442054</v>
      </c>
      <c r="AO165" s="393">
        <v>-0.105</v>
      </c>
      <c r="AP165" s="130">
        <f>(1+AN165)/(1+AO165)-1</f>
        <v>0.33826496882058166</v>
      </c>
      <c r="AS165" s="158">
        <f t="array" ref="AS165:AS176">TRANSPOSE('Прогноз Зарплати 2023'!AL129:AW129)</f>
        <v>15281.249968948276</v>
      </c>
      <c r="AT165" s="381">
        <f>AS165/AS148-1</f>
        <v>4.8312407830711113E-2</v>
      </c>
      <c r="AX165" s="606">
        <f>$AX$163*BN125</f>
        <v>13923.239283774847</v>
      </c>
      <c r="AY165" s="123">
        <f>AX165/AX148-1</f>
        <v>-4.484878344139076E-2</v>
      </c>
      <c r="AZ165" s="146">
        <f>AX157/37</f>
        <v>381.75350904562794</v>
      </c>
    </row>
    <row r="166" spans="1:52">
      <c r="A166">
        <v>2023</v>
      </c>
      <c r="B166">
        <v>1</v>
      </c>
      <c r="C166">
        <v>2</v>
      </c>
      <c r="F166" s="391">
        <f t="shared" si="90"/>
        <v>277.78280227525124</v>
      </c>
      <c r="G166" s="689">
        <f>G165*(1+H166)</f>
        <v>277.78280227525124</v>
      </c>
      <c r="H166" s="123">
        <f>AVERAGE(H75,H87,H99)*$K166</f>
        <v>1.3533333333333338E-2</v>
      </c>
      <c r="I166" s="33">
        <f t="shared" ref="I166:I173" si="92">G166/G149-1</f>
        <v>0.39166470562554023</v>
      </c>
      <c r="K166">
        <v>0.7</v>
      </c>
      <c r="L166" s="33"/>
      <c r="M166" s="365"/>
      <c r="N166" s="365"/>
      <c r="R166" s="33">
        <v>0.39317757130355591</v>
      </c>
      <c r="T166" s="4"/>
      <c r="U166" s="4">
        <f t="shared" ref="U166:U175" si="93">I166</f>
        <v>0.39166470562554023</v>
      </c>
      <c r="V166" s="4">
        <f t="shared" ref="V166:V176" si="94">0.1274618*AM166-0.5944938*AN166-1.230591*AO166-0.0825006*AT166+0.2070396</f>
        <v>0.31081221906685136</v>
      </c>
      <c r="W166" s="33">
        <f t="shared" ref="W166:W176" si="95">0.1819129*AM166+0.663448*AO166+1.328648*AY166+0.0020096*$AD166-0.2116617</f>
        <v>-0.35641703550531284</v>
      </c>
      <c r="X166" s="29"/>
      <c r="Y166" s="19">
        <f>AVERAGE('[36]Комодіді фючерси ціни'!$AX$160:$AX$163)</f>
        <v>94.068750000000009</v>
      </c>
      <c r="Z166" s="158">
        <f>AVERAGE('[37]Комодіді фючерси ціни'!$AZ$160:$AZ$163)</f>
        <v>90.276250000000005</v>
      </c>
      <c r="AA166" s="33">
        <f>Z166/Y166-1</f>
        <v>-4.0316258055943188E-2</v>
      </c>
      <c r="AC166">
        <v>175.95078343882403</v>
      </c>
      <c r="AD166" s="465">
        <f t="shared" ref="AD166:AD176" si="96">AC166/AC149-1</f>
        <v>-5.4462690274136971E-2</v>
      </c>
      <c r="AE166" s="363">
        <v>138.74359824996117</v>
      </c>
      <c r="AG166" s="99">
        <v>36.57</v>
      </c>
      <c r="AH166" s="768">
        <v>37.5</v>
      </c>
      <c r="AJ166" s="140">
        <f t="shared" si="91"/>
        <v>5202.8849343735437</v>
      </c>
      <c r="AK166" s="781">
        <v>847001.77082967001</v>
      </c>
      <c r="AL166" s="119"/>
      <c r="AM166" s="8">
        <f t="shared" ref="AM166:AM176" si="97">AJ166/AJ149-1</f>
        <v>0.13921777212234177</v>
      </c>
      <c r="AN166" s="8">
        <f t="shared" ref="AN166:AN176" si="98">AK166/AK149-1</f>
        <v>7.1102703919007526E-2</v>
      </c>
      <c r="AO166" s="381">
        <f>AO165</f>
        <v>-0.105</v>
      </c>
      <c r="AP166" s="130">
        <f t="shared" ref="AP166:AP176" si="99">(1+AN166)/(1+AO166)-1</f>
        <v>0.19676279767486871</v>
      </c>
      <c r="AS166" s="158">
        <v>15442.007209071919</v>
      </c>
      <c r="AT166" s="381">
        <f t="shared" ref="AT166:AT176" si="100">AS166/AS149-1</f>
        <v>1.1081945061811149E-2</v>
      </c>
      <c r="AV166" s="82">
        <f>400/AV149-1</f>
        <v>-0.25592994044632489</v>
      </c>
      <c r="AX166" s="606">
        <f t="shared" ref="AX166:AX175" si="101">$AX$163*BN126</f>
        <v>14119.703357108936</v>
      </c>
      <c r="AY166" s="123">
        <f t="shared" ref="AY166:AY176" si="102">AX166/AX149-1</f>
        <v>-7.5497314519159531E-2</v>
      </c>
      <c r="AZ166" s="146">
        <f>AX158/37</f>
        <v>384.47332600947539</v>
      </c>
    </row>
    <row r="167" spans="1:52" ht="18.75">
      <c r="A167">
        <v>2023</v>
      </c>
      <c r="B167">
        <v>1</v>
      </c>
      <c r="C167">
        <v>3</v>
      </c>
      <c r="F167" s="391">
        <f t="shared" si="90"/>
        <v>282.83844927666081</v>
      </c>
      <c r="G167" s="689">
        <f t="shared" ref="G167:G173" si="103">G166*(1+H167)</f>
        <v>282.83844927666081</v>
      </c>
      <c r="H167" s="123">
        <f>AVERAGE(H76,H88,H100)*$K167</f>
        <v>1.8199999999999994E-2</v>
      </c>
      <c r="I167" s="33">
        <f t="shared" si="92"/>
        <v>0.36342039795414216</v>
      </c>
      <c r="J167" s="368">
        <f>800/1050-1</f>
        <v>-0.23809523809523814</v>
      </c>
      <c r="K167">
        <v>0.7</v>
      </c>
      <c r="L167" s="126">
        <v>0.34699999999999998</v>
      </c>
      <c r="M167" s="159"/>
      <c r="N167" s="159"/>
      <c r="R167" s="33">
        <v>0.40333766397137638</v>
      </c>
      <c r="S167" s="582">
        <v>0.34699999999999998</v>
      </c>
      <c r="T167" s="582">
        <v>0.36399999999999999</v>
      </c>
      <c r="U167" s="4">
        <f t="shared" si="93"/>
        <v>0.36342039795414216</v>
      </c>
      <c r="V167" s="4">
        <f t="shared" si="94"/>
        <v>0.20529331475799889</v>
      </c>
      <c r="W167" s="33">
        <f>0.1819129*AM167+0.663448*AO167+1.328648*AY167+0.0020096*$AD167-0.2116617</f>
        <v>-0.30357066391720111</v>
      </c>
      <c r="X167" s="29"/>
      <c r="AC167">
        <v>168.95145792095735</v>
      </c>
      <c r="AD167" s="465">
        <f t="shared" si="96"/>
        <v>-0.25997099901934251</v>
      </c>
      <c r="AE167" s="363">
        <v>126.90257301984613</v>
      </c>
      <c r="AG167" s="99">
        <v>36.57</v>
      </c>
      <c r="AH167" s="768">
        <v>37.5</v>
      </c>
      <c r="AJ167" s="140">
        <f>AE167*AH167</f>
        <v>4758.8464882442295</v>
      </c>
      <c r="AK167" s="781">
        <v>863753.46562943002</v>
      </c>
      <c r="AL167" s="126">
        <v>8.9999999999999993E-3</v>
      </c>
      <c r="AM167" s="8">
        <f t="shared" si="97"/>
        <v>-0.22344059487128343</v>
      </c>
      <c r="AN167" s="8">
        <f t="shared" si="98"/>
        <v>0.17863611891702069</v>
      </c>
      <c r="AO167" s="381">
        <f>AO166</f>
        <v>-0.105</v>
      </c>
      <c r="AP167" s="130">
        <f t="shared" si="99"/>
        <v>0.31691186471175503</v>
      </c>
      <c r="AS167" s="158">
        <v>15584.630248327954</v>
      </c>
      <c r="AT167" s="381">
        <f t="shared" si="100"/>
        <v>-4.5088948754251179E-2</v>
      </c>
      <c r="AX167" s="606">
        <f t="shared" si="101"/>
        <v>15103.00912193074</v>
      </c>
      <c r="AY167" s="123">
        <f t="shared" si="102"/>
        <v>1.4241725719068121E-2</v>
      </c>
      <c r="AZ167" s="146">
        <f>AX159/37</f>
        <v>405.27448614898077</v>
      </c>
    </row>
    <row r="168" spans="1:52">
      <c r="A168">
        <v>2023</v>
      </c>
      <c r="B168">
        <v>2</v>
      </c>
      <c r="C168">
        <v>4</v>
      </c>
      <c r="F168" s="391">
        <f t="shared" si="90"/>
        <v>286.2702224612176</v>
      </c>
      <c r="G168" s="689">
        <f>G167*(1+H168)</f>
        <v>286.2702224612176</v>
      </c>
      <c r="H168" s="123">
        <f>AVERAGE(H77,H89,H101)*$K168</f>
        <v>1.2133333333333335E-2</v>
      </c>
      <c r="I168" s="33">
        <f t="shared" si="92"/>
        <v>0.31382975952882086</v>
      </c>
      <c r="K168">
        <v>0.7</v>
      </c>
      <c r="M168" s="159"/>
      <c r="N168" s="159"/>
      <c r="R168" s="33">
        <v>0.32298712316890366</v>
      </c>
      <c r="S168" s="583"/>
      <c r="T168" s="583"/>
      <c r="U168" s="4">
        <f t="shared" si="93"/>
        <v>0.31382975952882086</v>
      </c>
      <c r="V168" s="4">
        <f>0.1274618*AM168-0.5944938*AN168-1.230591*AO168-0.0825006*AT168+0.2070396</f>
        <v>-0.14593548180459726</v>
      </c>
      <c r="W168" s="33">
        <f t="shared" si="95"/>
        <v>-9.7058734860644799E-2</v>
      </c>
      <c r="X168" s="29">
        <f>0.2048332*AM168+1.424105*AN168+0.1819805*AO168+1.136635*AY168-0.2987386</f>
        <v>-2.480860753586539E-2</v>
      </c>
      <c r="AC168">
        <v>162.51117485579812</v>
      </c>
      <c r="AD168" s="465">
        <f t="shared" si="96"/>
        <v>-0.27428901559434504</v>
      </c>
      <c r="AE168" s="363">
        <v>126.90331385610364</v>
      </c>
      <c r="AG168" s="99">
        <v>36.57</v>
      </c>
      <c r="AH168" s="768">
        <v>37.5</v>
      </c>
      <c r="AJ168" s="140">
        <f t="shared" si="91"/>
        <v>4758.8742696038862</v>
      </c>
      <c r="AK168" s="781">
        <v>866592.27656392998</v>
      </c>
      <c r="AM168" s="8">
        <f t="shared" si="97"/>
        <v>-0.14644456032189712</v>
      </c>
      <c r="AN168" s="8">
        <f t="shared" si="98"/>
        <v>0.17697424779884119</v>
      </c>
      <c r="AO168" s="393">
        <v>0.18</v>
      </c>
      <c r="AP168" s="130">
        <f t="shared" si="99"/>
        <v>-2.5641967806430133E-3</v>
      </c>
      <c r="AS168" s="158">
        <v>16936.777850357194</v>
      </c>
      <c r="AT168" s="381">
        <f t="shared" si="100"/>
        <v>9.2029893960588582E-2</v>
      </c>
      <c r="AX168" s="606">
        <f t="shared" si="101"/>
        <v>14389.214131271798</v>
      </c>
      <c r="AY168" s="123">
        <f t="shared" si="102"/>
        <v>1.6839442051224118E-2</v>
      </c>
    </row>
    <row r="169" spans="1:52">
      <c r="A169">
        <v>2023</v>
      </c>
      <c r="B169">
        <v>2</v>
      </c>
      <c r="C169">
        <v>5</v>
      </c>
      <c r="F169" s="391">
        <f t="shared" si="90"/>
        <v>288.56038424090735</v>
      </c>
      <c r="G169" s="689">
        <f t="shared" si="103"/>
        <v>288.56038424090735</v>
      </c>
      <c r="H169" s="123">
        <f>AVERAGE(H78,H90,H102)*$K169</f>
        <v>7.999999999999995E-3</v>
      </c>
      <c r="I169" s="33">
        <f t="shared" si="92"/>
        <v>0.28257441046457132</v>
      </c>
      <c r="K169">
        <v>0.5</v>
      </c>
      <c r="M169" s="159"/>
      <c r="N169" s="159"/>
      <c r="R169" s="33">
        <v>0.28848980009958303</v>
      </c>
      <c r="S169" s="583"/>
      <c r="T169" s="583"/>
      <c r="U169" s="4">
        <f t="shared" si="93"/>
        <v>0.28257441046457132</v>
      </c>
      <c r="V169" s="4">
        <f t="shared" si="94"/>
        <v>-0.17458299388178627</v>
      </c>
      <c r="W169" s="33">
        <f>0.1819129*AM169+0.663448*AO169+1.328648*AY169+0.0020096*$AD169-0.2116617</f>
        <v>-0.10467742788459365</v>
      </c>
      <c r="X169" s="29">
        <f>0.2048332*AM169+1.424105*AN169+0.1819805*AO169+1.136635*AY169-0.2987386</f>
        <v>1.0667189132644916E-2</v>
      </c>
      <c r="AC169">
        <v>162.73659218081983</v>
      </c>
      <c r="AD169" s="465">
        <f t="shared" si="96"/>
        <v>-0.26658625177555817</v>
      </c>
      <c r="AE169" s="363">
        <v>111.52648750672626</v>
      </c>
      <c r="AG169" s="99">
        <v>36.57</v>
      </c>
      <c r="AH169" s="768">
        <v>37.5</v>
      </c>
      <c r="AJ169" s="140">
        <f t="shared" si="91"/>
        <v>4182.2432815022348</v>
      </c>
      <c r="AK169" s="781">
        <v>893452.81014526007</v>
      </c>
      <c r="AM169" s="8">
        <f t="shared" si="97"/>
        <v>-0.21871387843429524</v>
      </c>
      <c r="AN169" s="8">
        <f t="shared" si="98"/>
        <v>0.20896842227939194</v>
      </c>
      <c r="AO169" s="381">
        <f>AO168</f>
        <v>0.18</v>
      </c>
      <c r="AP169" s="130">
        <f t="shared" si="99"/>
        <v>2.4549510406264519E-2</v>
      </c>
      <c r="AS169" s="158">
        <v>17154.146004190199</v>
      </c>
      <c r="AT169" s="381">
        <f t="shared" si="100"/>
        <v>9.7067388730377901E-2</v>
      </c>
      <c r="AX169" s="606">
        <f>$AX$163*BN129</f>
        <v>14439.506637335338</v>
      </c>
      <c r="AY169" s="123">
        <f t="shared" si="102"/>
        <v>2.0988433161533093E-2</v>
      </c>
    </row>
    <row r="170" spans="1:52">
      <c r="A170">
        <v>2023</v>
      </c>
      <c r="B170">
        <v>2</v>
      </c>
      <c r="C170">
        <v>6</v>
      </c>
      <c r="F170" s="391">
        <f t="shared" si="90"/>
        <v>288.89703802252177</v>
      </c>
      <c r="G170" s="689">
        <f t="shared" si="103"/>
        <v>288.89703802252177</v>
      </c>
      <c r="H170" s="123">
        <f t="shared" ref="H170:H173" si="104">AVERAGE(H79,H91,H103)*$K170</f>
        <v>1.1666666666666668E-3</v>
      </c>
      <c r="I170" s="33">
        <f>G170/G153-1</f>
        <v>0.26886638827348186</v>
      </c>
      <c r="K170">
        <v>0.7</v>
      </c>
      <c r="L170" s="126">
        <v>0.27900000000000003</v>
      </c>
      <c r="M170" s="159"/>
      <c r="N170" s="159"/>
      <c r="R170" s="33">
        <v>0.2777082677993894</v>
      </c>
      <c r="S170" s="582">
        <v>0.27900000000000003</v>
      </c>
      <c r="T170" s="582">
        <v>0.249</v>
      </c>
      <c r="U170" s="4">
        <f>I170</f>
        <v>0.26886638827348186</v>
      </c>
      <c r="V170" s="4">
        <f t="shared" si="94"/>
        <v>-0.19344484489375496</v>
      </c>
      <c r="W170" s="33">
        <f t="shared" si="95"/>
        <v>-3.6254433935617947E-2</v>
      </c>
      <c r="X170" s="29">
        <f>0.2048332*AM170+1.424105*AN170+0.1819805*AO170+1.136635*AY170-0.2987386</f>
        <v>0.11860355576769049</v>
      </c>
      <c r="Y170" s="29"/>
      <c r="AC170">
        <v>162.64787531446291</v>
      </c>
      <c r="AD170" s="465">
        <f t="shared" si="96"/>
        <v>-0.28823335300035735</v>
      </c>
      <c r="AE170" s="363">
        <v>111.55227321847254</v>
      </c>
      <c r="AG170" s="99">
        <v>36.57</v>
      </c>
      <c r="AH170" s="768">
        <v>37.5</v>
      </c>
      <c r="AJ170" s="140">
        <f t="shared" si="91"/>
        <v>4183.2102456927205</v>
      </c>
      <c r="AK170" s="781">
        <v>907458.19482016994</v>
      </c>
      <c r="AL170" s="126">
        <v>3.5000000000000003E-2</v>
      </c>
      <c r="AM170" s="8">
        <f t="shared" si="97"/>
        <v>-0.23421930651131939</v>
      </c>
      <c r="AN170" s="8">
        <f t="shared" si="98"/>
        <v>0.24416772575299683</v>
      </c>
      <c r="AO170" s="381">
        <f>AO169</f>
        <v>0.18</v>
      </c>
      <c r="AP170" s="130">
        <f t="shared" si="99"/>
        <v>5.4379428604234725E-2</v>
      </c>
      <c r="AS170" s="158">
        <v>17436.935641215663</v>
      </c>
      <c r="AT170" s="381">
        <f t="shared" si="100"/>
        <v>4.809481835057583E-2</v>
      </c>
      <c r="AX170" s="606">
        <f>$AX$163*BN130</f>
        <v>15577.166266833558</v>
      </c>
      <c r="AY170" s="123">
        <f t="shared" si="102"/>
        <v>7.4642322943348827E-2</v>
      </c>
    </row>
    <row r="171" spans="1:52">
      <c r="A171">
        <v>2023</v>
      </c>
      <c r="B171">
        <v>3</v>
      </c>
      <c r="C171">
        <v>7</v>
      </c>
      <c r="F171" s="391">
        <f t="shared" si="90"/>
        <v>296.31206199843319</v>
      </c>
      <c r="G171" s="689">
        <f t="shared" si="103"/>
        <v>296.31206199843319</v>
      </c>
      <c r="H171" s="123">
        <f>AVERAGE(H80,H92,H104)*$K171</f>
        <v>2.5666666666666647E-2</v>
      </c>
      <c r="I171" s="33">
        <f t="shared" si="92"/>
        <v>0.1948085482192834</v>
      </c>
      <c r="K171">
        <v>1</v>
      </c>
      <c r="M171" s="159"/>
      <c r="N171" s="159"/>
      <c r="R171" s="33">
        <v>0.20808525423980551</v>
      </c>
      <c r="S171" s="583"/>
      <c r="T171" s="583"/>
      <c r="U171" s="4">
        <f t="shared" si="93"/>
        <v>0.1948085482192834</v>
      </c>
      <c r="V171" s="4">
        <f t="shared" si="94"/>
        <v>-7.2701088011922543E-2</v>
      </c>
      <c r="W171" s="33">
        <f t="shared" si="95"/>
        <v>-0.1327987419203564</v>
      </c>
      <c r="X171" s="29">
        <f t="shared" ref="X171:X176" si="105">0.2048332*AM171+1.424105*AN171+0.1819805*AO171+1.136635*AY171-0.2987386</f>
        <v>0.15798080922792207</v>
      </c>
      <c r="Y171" s="29"/>
      <c r="AC171">
        <v>175.14634069588607</v>
      </c>
      <c r="AD171" s="465">
        <f t="shared" si="96"/>
        <v>-0.26937801114830362</v>
      </c>
      <c r="AE171" s="363">
        <v>109.38568070013625</v>
      </c>
      <c r="AG171" s="99">
        <v>37.639391741326797</v>
      </c>
      <c r="AH171" s="768">
        <v>37.5</v>
      </c>
      <c r="AJ171" s="140">
        <f t="shared" si="91"/>
        <v>4101.9630262551091</v>
      </c>
      <c r="AK171" s="781">
        <v>943021.52258211991</v>
      </c>
      <c r="AM171" s="8">
        <f t="shared" si="97"/>
        <v>-0.45321116333355227</v>
      </c>
      <c r="AN171" s="8">
        <f t="shared" si="98"/>
        <v>0.29733180614281918</v>
      </c>
      <c r="AO171" s="393">
        <v>3.2000000000000001E-2</v>
      </c>
      <c r="AP171" s="130">
        <f t="shared" si="99"/>
        <v>0.25710446331668524</v>
      </c>
      <c r="AS171" s="158">
        <v>17518.28</v>
      </c>
      <c r="AT171" s="381">
        <f t="shared" si="100"/>
        <v>7.0699486532534772E-2</v>
      </c>
      <c r="AX171" s="606">
        <f t="shared" si="101"/>
        <v>15744.439932792207</v>
      </c>
      <c r="AY171" s="123">
        <f t="shared" si="102"/>
        <v>0.10583609892554491</v>
      </c>
    </row>
    <row r="172" spans="1:52">
      <c r="A172">
        <v>2023</v>
      </c>
      <c r="B172">
        <v>3</v>
      </c>
      <c r="C172">
        <v>8</v>
      </c>
      <c r="F172" s="391">
        <f t="shared" si="90"/>
        <v>298.18870505775658</v>
      </c>
      <c r="G172" s="689">
        <f t="shared" si="103"/>
        <v>298.18870505775658</v>
      </c>
      <c r="H172" s="123">
        <f>AVERAGE(H81,H93,H105)*$K172</f>
        <v>6.3333333333333236E-3</v>
      </c>
      <c r="I172" s="33">
        <f t="shared" si="92"/>
        <v>0.13053000167144946</v>
      </c>
      <c r="K172">
        <v>1</v>
      </c>
      <c r="M172" s="159"/>
      <c r="N172" s="159"/>
      <c r="R172" s="33">
        <v>0.16221871773133301</v>
      </c>
      <c r="S172" s="583"/>
      <c r="T172" s="583"/>
      <c r="U172" s="4">
        <f t="shared" si="93"/>
        <v>0.13053000167144946</v>
      </c>
      <c r="V172" s="4">
        <f>0.1274618*AM172-0.5944938*AN172-1.230591*AO172-0.0825006*AT172+0.2070396</f>
        <v>-3.9067036367279567E-2</v>
      </c>
      <c r="W172" s="33">
        <f t="shared" si="95"/>
        <v>-0.11304801142013769</v>
      </c>
      <c r="X172" s="29">
        <f t="shared" si="105"/>
        <v>6.6014338804766148E-2</v>
      </c>
      <c r="Y172" s="29"/>
      <c r="Z172" s="33">
        <f>AE172/AA172-1</f>
        <v>0</v>
      </c>
      <c r="AA172">
        <f>'[33]ІЦВ (Стрим Інфл)+'!AE172</f>
        <v>109.34920390790697</v>
      </c>
      <c r="AC172">
        <v>181.31472324775254</v>
      </c>
      <c r="AD172" s="465">
        <f t="shared" si="96"/>
        <v>-0.25272972541447269</v>
      </c>
      <c r="AE172" s="363">
        <v>109.34920390790697</v>
      </c>
      <c r="AG172" s="99">
        <v>39.06887237324667</v>
      </c>
      <c r="AH172" s="768">
        <v>37.5</v>
      </c>
      <c r="AJ172" s="140">
        <f t="shared" si="91"/>
        <v>4100.5951465465114</v>
      </c>
      <c r="AK172" s="781">
        <v>922407.14449592005</v>
      </c>
      <c r="AM172" s="8">
        <f t="shared" si="97"/>
        <v>-0.51376065551600525</v>
      </c>
      <c r="AN172" s="8">
        <f t="shared" si="98"/>
        <v>0.22300117992040458</v>
      </c>
      <c r="AO172" s="381">
        <f>AO171</f>
        <v>3.2000000000000001E-2</v>
      </c>
      <c r="AP172" s="130">
        <f t="shared" si="99"/>
        <v>0.18507866271357032</v>
      </c>
      <c r="AS172" s="158">
        <v>17439.670000000002</v>
      </c>
      <c r="AT172" s="381">
        <f t="shared" si="100"/>
        <v>0.10509072165129241</v>
      </c>
      <c r="AX172" s="606">
        <f t="shared" si="101"/>
        <v>15314.83440659275</v>
      </c>
      <c r="AY172" s="123">
        <f t="shared" si="102"/>
        <v>0.1289663846156941</v>
      </c>
    </row>
    <row r="173" spans="1:52">
      <c r="A173">
        <v>2023</v>
      </c>
      <c r="B173">
        <v>3</v>
      </c>
      <c r="C173">
        <v>9</v>
      </c>
      <c r="F173" s="391">
        <f t="shared" si="90"/>
        <v>303.55610174879621</v>
      </c>
      <c r="G173" s="689">
        <f t="shared" si="103"/>
        <v>303.55610174879621</v>
      </c>
      <c r="H173" s="123">
        <f t="shared" si="104"/>
        <v>1.8000000000000013E-2</v>
      </c>
      <c r="I173" s="33">
        <f t="shared" si="92"/>
        <v>0.16948041723356866</v>
      </c>
      <c r="K173">
        <v>1</v>
      </c>
      <c r="L173" s="126">
        <v>0.23400000000000001</v>
      </c>
      <c r="M173" s="159"/>
      <c r="N173" s="159"/>
      <c r="R173" s="33">
        <v>0.16969641358651333</v>
      </c>
      <c r="S173" s="582">
        <v>0.23400000000000001</v>
      </c>
      <c r="T173" s="582">
        <v>0.159</v>
      </c>
      <c r="U173" s="4">
        <f t="shared" si="93"/>
        <v>0.16948041723356866</v>
      </c>
      <c r="V173" s="4">
        <f t="shared" si="94"/>
        <v>-4.6231314127168466E-2</v>
      </c>
      <c r="W173" s="33">
        <f t="shared" si="95"/>
        <v>-0.10103447172804625</v>
      </c>
      <c r="X173" s="29">
        <f t="shared" si="105"/>
        <v>0.12163644422060166</v>
      </c>
      <c r="Y173" s="29"/>
      <c r="Z173" s="33">
        <f t="shared" ref="Z173:Z176" si="106">AE173/AA173-1</f>
        <v>9.6427150050601984E-3</v>
      </c>
      <c r="AA173">
        <f>'[33]ІЦВ (Стрим Інфл)+'!AE173</f>
        <v>113.40856661423261</v>
      </c>
      <c r="AC173">
        <v>187.57015393239351</v>
      </c>
      <c r="AD173" s="465">
        <f t="shared" si="96"/>
        <v>-0.23204444023297299</v>
      </c>
      <c r="AE173" s="363">
        <v>114.50213310122605</v>
      </c>
      <c r="AG173" s="99">
        <v>40.308066803488529</v>
      </c>
      <c r="AH173" s="768">
        <v>37.5</v>
      </c>
      <c r="AJ173" s="140">
        <f t="shared" si="91"/>
        <v>4293.8299912959765</v>
      </c>
      <c r="AK173" s="781">
        <v>927391.94967375998</v>
      </c>
      <c r="AL173" s="126">
        <v>5.2999999999999999E-2</v>
      </c>
      <c r="AM173" s="8">
        <f t="shared" si="97"/>
        <v>-0.44234274847418653</v>
      </c>
      <c r="AN173" s="8">
        <f t="shared" si="98"/>
        <v>0.2523991710462572</v>
      </c>
      <c r="AO173" s="381">
        <f>AO172</f>
        <v>3.2000000000000001E-2</v>
      </c>
      <c r="AP173" s="130">
        <f t="shared" si="99"/>
        <v>0.21356508822311748</v>
      </c>
      <c r="AS173" s="158">
        <v>17755.650000000001</v>
      </c>
      <c r="AT173" s="381">
        <f t="shared" si="100"/>
        <v>9.042912266773806E-2</v>
      </c>
      <c r="AX173" s="606">
        <f t="shared" si="101"/>
        <v>15808.5138858223</v>
      </c>
      <c r="AY173" s="123">
        <f t="shared" si="102"/>
        <v>0.12819878624583469</v>
      </c>
    </row>
    <row r="174" spans="1:52">
      <c r="A174">
        <v>2023</v>
      </c>
      <c r="B174">
        <v>4</v>
      </c>
      <c r="C174">
        <v>10</v>
      </c>
      <c r="F174" s="391">
        <f t="shared" si="90"/>
        <v>312.79491561272238</v>
      </c>
      <c r="G174" s="689">
        <f>G173*(1+H174)</f>
        <v>312.79491561272238</v>
      </c>
      <c r="H174" s="123">
        <f>AVERAGE(H83,H95,H107)*$M174</f>
        <v>3.0435276414149226E-2</v>
      </c>
      <c r="I174" s="33">
        <f>G174/G157-1</f>
        <v>0.13352640883677336</v>
      </c>
      <c r="K174">
        <v>1</v>
      </c>
      <c r="M174" s="893">
        <f>K174*(1+Z174)</f>
        <v>1.1413228655305963</v>
      </c>
      <c r="N174" s="159"/>
      <c r="R174" s="33">
        <v>8.7997412144775078E-2</v>
      </c>
      <c r="S174" s="583"/>
      <c r="T174" s="583"/>
      <c r="U174" s="4">
        <f>I174</f>
        <v>0.13352640883677336</v>
      </c>
      <c r="V174" s="4">
        <f t="shared" si="94"/>
        <v>-3.3533374174262859E-2</v>
      </c>
      <c r="W174" s="33">
        <f t="shared" si="95"/>
        <v>-8.5367550300093714E-2</v>
      </c>
      <c r="X174" s="29">
        <f t="shared" si="105"/>
        <v>0.14903709390414738</v>
      </c>
      <c r="Y174" s="29"/>
      <c r="Z174" s="33">
        <f t="shared" si="106"/>
        <v>0.14132286553059625</v>
      </c>
      <c r="AA174">
        <f>'[33]ІЦВ (Стрим Інфл)+'!AE174</f>
        <v>106.44910105541832</v>
      </c>
      <c r="AC174">
        <v>188.0965247134603</v>
      </c>
      <c r="AD174" s="465">
        <f t="shared" si="96"/>
        <v>-0.24079437944261517</v>
      </c>
      <c r="AE174" s="363">
        <v>121.49279304972606</v>
      </c>
      <c r="AG174" s="99">
        <v>40.689354520721388</v>
      </c>
      <c r="AH174" s="768">
        <v>37.5</v>
      </c>
      <c r="AJ174" s="140">
        <f t="shared" si="91"/>
        <v>4555.9797393647277</v>
      </c>
      <c r="AK174" s="781">
        <v>923190.05134101002</v>
      </c>
      <c r="AM174" s="8">
        <f t="shared" si="97"/>
        <v>-0.30280206876541105</v>
      </c>
      <c r="AN174" s="8">
        <f t="shared" si="98"/>
        <v>0.25766678410784927</v>
      </c>
      <c r="AO174" s="393">
        <v>3.3000000000000002E-2</v>
      </c>
      <c r="AP174" s="130">
        <f t="shared" si="99"/>
        <v>0.21748962643547864</v>
      </c>
      <c r="AS174" s="158">
        <v>17963.73</v>
      </c>
      <c r="AT174" s="381">
        <f t="shared" si="100"/>
        <v>9.9229203516639775E-2</v>
      </c>
      <c r="AX174" s="606">
        <f>$AX$163*BN134</f>
        <v>15825.501007894374</v>
      </c>
      <c r="AY174" s="123">
        <f t="shared" si="102"/>
        <v>0.1203989834327448</v>
      </c>
    </row>
    <row r="175" spans="1:52">
      <c r="A175">
        <v>2023</v>
      </c>
      <c r="B175">
        <v>4</v>
      </c>
      <c r="C175">
        <v>11</v>
      </c>
      <c r="F175" s="391">
        <f t="shared" si="90"/>
        <v>318.73040695695977</v>
      </c>
      <c r="G175" s="689">
        <f>G174*(1+H175)</f>
        <v>318.73040695695977</v>
      </c>
      <c r="H175" s="123">
        <f t="shared" ref="H175:H176" si="107">AVERAGE(H84,H96,H108)*$M175</f>
        <v>1.8975664398542275E-2</v>
      </c>
      <c r="I175" s="33">
        <f>G175/G158-1</f>
        <v>0.15283281140564919</v>
      </c>
      <c r="K175">
        <v>1</v>
      </c>
      <c r="M175" s="893">
        <f t="shared" ref="M175:M176" si="108">K175*(1+Z175)</f>
        <v>0.99871917887064543</v>
      </c>
      <c r="N175" s="159"/>
      <c r="R175" s="33">
        <v>9.9380569782649308E-2</v>
      </c>
      <c r="S175" s="583"/>
      <c r="T175" s="583"/>
      <c r="U175" s="4">
        <f t="shared" si="93"/>
        <v>0.15283281140564919</v>
      </c>
      <c r="V175" s="4">
        <f t="shared" si="94"/>
        <v>-1.2335532804605281E-2</v>
      </c>
      <c r="W175" s="33">
        <f t="shared" si="95"/>
        <v>-9.5732128237157876E-2</v>
      </c>
      <c r="X175" s="29">
        <f t="shared" si="105"/>
        <v>8.4129588300259239E-2</v>
      </c>
      <c r="Y175" s="29"/>
      <c r="Z175" s="33">
        <f t="shared" si="106"/>
        <v>-1.2808211293545702E-3</v>
      </c>
      <c r="AA175">
        <f>'[33]ІЦВ (Стрим Інфл)+'!AE175</f>
        <v>110.45739275820789</v>
      </c>
      <c r="AC175">
        <v>189.98657003460664</v>
      </c>
      <c r="AD175" s="465">
        <f t="shared" si="96"/>
        <v>-4.9951961994287086E-2</v>
      </c>
      <c r="AE175" s="363">
        <v>110.31591659566976</v>
      </c>
      <c r="AG175" s="99">
        <v>41.71434098677566</v>
      </c>
      <c r="AH175" s="768">
        <v>37.5</v>
      </c>
      <c r="AJ175" s="140">
        <f t="shared" si="91"/>
        <v>4136.8468723376163</v>
      </c>
      <c r="AK175" s="918">
        <v>924308.60211822006</v>
      </c>
      <c r="AM175" s="8">
        <f t="shared" si="97"/>
        <v>-0.31235097018782354</v>
      </c>
      <c r="AN175" s="8">
        <f t="shared" si="98"/>
        <v>0.21887554410298948</v>
      </c>
      <c r="AO175" s="381">
        <f>AO174</f>
        <v>3.3000000000000002E-2</v>
      </c>
      <c r="AP175" s="130">
        <f t="shared" si="99"/>
        <v>0.17993760319747287</v>
      </c>
      <c r="AS175" s="158">
        <v>17810.099999999999</v>
      </c>
      <c r="AT175" s="381">
        <f t="shared" si="100"/>
        <v>0.10706175436136411</v>
      </c>
      <c r="AX175" s="606">
        <f t="shared" si="101"/>
        <v>15841.771490582814</v>
      </c>
      <c r="AY175" s="123">
        <f t="shared" si="102"/>
        <v>0.11361688124344926</v>
      </c>
    </row>
    <row r="176" spans="1:52">
      <c r="A176">
        <v>2023</v>
      </c>
      <c r="B176">
        <v>4</v>
      </c>
      <c r="C176">
        <v>12</v>
      </c>
      <c r="F176" s="391">
        <f>G159*(1+I176)</f>
        <v>319.16076728225141</v>
      </c>
      <c r="G176" s="689">
        <f>G175*(1+H176)</f>
        <v>319.16076728225141</v>
      </c>
      <c r="H176" s="123">
        <f t="shared" si="107"/>
        <v>1.3502330367550369E-3</v>
      </c>
      <c r="I176" s="33">
        <f>G176/G159-1</f>
        <v>0.17265876144614034</v>
      </c>
      <c r="K176">
        <v>0.1</v>
      </c>
      <c r="L176" s="98">
        <v>0.14000000000000001</v>
      </c>
      <c r="M176" s="893">
        <f t="shared" si="108"/>
        <v>9.0015535783669248E-2</v>
      </c>
      <c r="N176" s="159"/>
      <c r="R176" s="33">
        <v>0.12115736275158917</v>
      </c>
      <c r="S176" s="582">
        <v>0.14000000000000001</v>
      </c>
      <c r="T176" s="582">
        <v>0.12</v>
      </c>
      <c r="U176" s="4">
        <f>I176</f>
        <v>0.17265876144614034</v>
      </c>
      <c r="V176" s="4">
        <f t="shared" si="94"/>
        <v>-2.6437677346766164E-4</v>
      </c>
      <c r="W176" s="33">
        <f t="shared" si="95"/>
        <v>6.7721660329080224E-2</v>
      </c>
      <c r="X176" s="29">
        <f t="shared" si="105"/>
        <v>0.19511203374892644</v>
      </c>
      <c r="Y176" s="29"/>
      <c r="Z176" s="33">
        <f t="shared" si="106"/>
        <v>-9.9844642163307573E-2</v>
      </c>
      <c r="AA176">
        <f>'[33]ІЦВ (Стрим Інфл)+'!AE176</f>
        <v>114.13882793114254</v>
      </c>
      <c r="AC176">
        <v>189.29098198051494</v>
      </c>
      <c r="AD176" s="465">
        <f t="shared" si="96"/>
        <v>-1.0326787648508806E-2</v>
      </c>
      <c r="AE176" s="363">
        <v>102.74267749941828</v>
      </c>
      <c r="AG176" s="99">
        <v>42.149961060235221</v>
      </c>
      <c r="AH176" s="768">
        <v>37.5</v>
      </c>
      <c r="AJ176" s="140">
        <f t="shared" si="91"/>
        <v>3852.8504062281854</v>
      </c>
      <c r="AK176" s="578">
        <v>950997.28716030531</v>
      </c>
      <c r="AL176" s="126">
        <v>8.1000000000000003E-2</v>
      </c>
      <c r="AM176" s="8">
        <f t="shared" si="97"/>
        <v>-0.34925892477633147</v>
      </c>
      <c r="AN176" s="8">
        <f t="shared" si="98"/>
        <v>0.19994081918482465</v>
      </c>
      <c r="AO176" s="381">
        <f>AO175</f>
        <v>3.3000000000000002E-2</v>
      </c>
      <c r="AP176" s="130">
        <f t="shared" si="99"/>
        <v>0.16160776300563873</v>
      </c>
      <c r="AS176" s="158">
        <v>19654.830000000002</v>
      </c>
      <c r="AT176" s="381">
        <f t="shared" si="100"/>
        <v>4.0166073739009711E-2</v>
      </c>
      <c r="AX176" s="606">
        <f>$AX$163*BN136</f>
        <v>18618.478603682084</v>
      </c>
      <c r="AY176" s="123">
        <f t="shared" si="102"/>
        <v>0.24163287258813693</v>
      </c>
    </row>
    <row r="177" spans="1:50">
      <c r="M177" s="159"/>
      <c r="N177" s="159"/>
      <c r="AH177" s="115">
        <f>(AH176/AH165)^(1/11)</f>
        <v>1</v>
      </c>
      <c r="AP177" s="130"/>
      <c r="AX177" s="391"/>
    </row>
    <row r="178" spans="1:50">
      <c r="H178" s="126">
        <f>AVERAGE(H165:H176)</f>
        <v>1.3399542265231658E-2</v>
      </c>
      <c r="I178" s="126">
        <f>AVERAGE(I165:I176)</f>
        <v>0.24315199191751544</v>
      </c>
      <c r="U178" s="589">
        <f>AVERAGE(U165:U176)</f>
        <v>0.24315199191751544</v>
      </c>
      <c r="X178" t="s">
        <v>1826</v>
      </c>
      <c r="AK178" s="767">
        <f>AVERAGE(AK165:AK176)</f>
        <v>899950.48854661046</v>
      </c>
    </row>
    <row r="179" spans="1:50">
      <c r="H179" s="126"/>
      <c r="I179" s="126"/>
      <c r="U179" s="589"/>
    </row>
    <row r="180" spans="1:50">
      <c r="A180">
        <v>2024</v>
      </c>
      <c r="B180">
        <v>1</v>
      </c>
      <c r="C180">
        <v>1</v>
      </c>
      <c r="E180" s="123">
        <f>F180/G176-1</f>
        <v>-8.1641495044421086E-3</v>
      </c>
      <c r="F180" s="391">
        <f>G165*(1+U180)</f>
        <v>316.55509106220666</v>
      </c>
      <c r="G180" s="119">
        <f>G176*(1+H180)</f>
        <v>323.46943764056181</v>
      </c>
      <c r="H180" s="123">
        <f>AVERAGE(H110,H98)*K180</f>
        <v>1.3500000000000015E-2</v>
      </c>
      <c r="I180" s="126"/>
      <c r="K180">
        <v>0.5</v>
      </c>
      <c r="M180" s="33">
        <f>G180/G165-1</f>
        <v>0.18022805831744115</v>
      </c>
      <c r="S180" s="33">
        <f>'[38]ІЦВ (Стрим Інфл)+'!U180</f>
        <v>0.158</v>
      </c>
      <c r="U180" s="549">
        <v>0.155</v>
      </c>
      <c r="V180" s="4">
        <f>0.1274618*AM180-0.5944938*AN180-1.230591*AO180-0.0825006*AT180+0.2070396</f>
        <v>-4.880145149279097E-2</v>
      </c>
      <c r="W180" s="98">
        <v>1</v>
      </c>
      <c r="Z180" s="33">
        <f>AE180/AA180-1</f>
        <v>-0.1173418953135984</v>
      </c>
      <c r="AA180">
        <f>'[33]ІЦВ (Стрим Інфл)+'!AE180</f>
        <v>115.48096397464066</v>
      </c>
      <c r="AD180" s="465" t="e">
        <f>AC180/AC163-1</f>
        <v>#DIV/0!</v>
      </c>
      <c r="AE180">
        <v>101.93020878921494</v>
      </c>
      <c r="AG180" s="605" t="s">
        <v>1684</v>
      </c>
      <c r="AH180" s="871">
        <v>38.4</v>
      </c>
      <c r="AJ180" s="140">
        <f t="shared" ref="AJ180:AJ191" si="109">AE180*AH180</f>
        <v>3914.1200175058539</v>
      </c>
      <c r="AK180" s="140">
        <v>977650.53210921644</v>
      </c>
      <c r="AM180" s="8">
        <f>AJ180/AJ165-1</f>
        <v>-0.28843452660951896</v>
      </c>
      <c r="AN180" s="8">
        <f>AK180/AK165-1</f>
        <v>0.17813239420598115</v>
      </c>
      <c r="AO180" s="393">
        <v>0.08</v>
      </c>
      <c r="AP180" s="130">
        <f>(1+AN180)/(1+AO180)-1</f>
        <v>9.086332796850094E-2</v>
      </c>
      <c r="AS180" s="158">
        <f t="array" ref="AS180:AS191">TRANSPOSE('Прогноз Зарплати 2023'!AX112:BI112)</f>
        <v>18009.772993627608</v>
      </c>
      <c r="AT180" s="381">
        <f>AS180/AS165-1</f>
        <v>0.17855365432956938</v>
      </c>
    </row>
    <row r="181" spans="1:50">
      <c r="A181">
        <v>2024</v>
      </c>
      <c r="B181">
        <v>1</v>
      </c>
      <c r="C181">
        <v>2</v>
      </c>
      <c r="E181" s="123">
        <f>F181/F180-1</f>
        <v>3.0031168831170518E-3</v>
      </c>
      <c r="F181" s="391">
        <f t="shared" ref="F181:F191" si="110">G166*(1+U181)</f>
        <v>317.5057430006122</v>
      </c>
      <c r="G181" s="119">
        <f>G180*(1+H181)</f>
        <v>327.02760145460803</v>
      </c>
      <c r="H181" s="123">
        <f t="shared" ref="H181:H191" si="111">AVERAGE(H111,H99)*K181</f>
        <v>1.1000000000000013E-2</v>
      </c>
      <c r="I181" s="126"/>
      <c r="K181">
        <v>1</v>
      </c>
      <c r="M181" s="33">
        <f t="shared" ref="M181:M191" si="112">G181/G166-1</f>
        <v>0.17727807040610366</v>
      </c>
      <c r="S181" s="33">
        <f>'[38]ІЦВ (Стрим Інфл)+'!U181</f>
        <v>0.14499999999999999</v>
      </c>
      <c r="U181" s="549">
        <v>0.14299999999999999</v>
      </c>
      <c r="V181" s="4">
        <f t="shared" ref="V181:V190" si="113">0.1274618*AM181-0.5944938*AN181-1.230591*AO181-0.0825006*AT181+0.2070396</f>
        <v>-3.2859947842428905E-2</v>
      </c>
      <c r="W181" s="98">
        <v>1</v>
      </c>
      <c r="Z181" s="33">
        <f t="shared" ref="Z181:Z191" si="114">AE181/AA181-1</f>
        <v>-0.1244268598295033</v>
      </c>
      <c r="AA181">
        <f>'[33]ІЦВ (Стрим Інфл)+'!AE181</f>
        <v>115.71212840338681</v>
      </c>
      <c r="AE181">
        <v>101.31443162196511</v>
      </c>
      <c r="AH181" s="19">
        <f>AH180*$AH$192</f>
        <v>38.629387962299688</v>
      </c>
      <c r="AJ181" s="140">
        <f t="shared" si="109"/>
        <v>3913.7144853047739</v>
      </c>
      <c r="AK181" s="140">
        <v>982980.64841868822</v>
      </c>
      <c r="AM181" s="8">
        <f t="shared" ref="AM181:AM191" si="115">AJ181/AJ166-1</f>
        <v>-0.24777992696930418</v>
      </c>
      <c r="AN181" s="8">
        <f t="shared" ref="AN181:AN191" si="116">AK181/AK166-1</f>
        <v>0.16054143246456465</v>
      </c>
      <c r="AO181" s="381">
        <f>AO180</f>
        <v>0.08</v>
      </c>
      <c r="AP181" s="130">
        <f t="shared" ref="AP181:AP191" si="117">(1+AN181)/(1+AO181)-1</f>
        <v>7.4575400430152428E-2</v>
      </c>
      <c r="AS181" s="158">
        <v>18142.730259245323</v>
      </c>
      <c r="AT181" s="381">
        <f t="shared" ref="AT181:AT191" si="118">AS181/AS166-1</f>
        <v>0.17489455960017786</v>
      </c>
    </row>
    <row r="182" spans="1:50">
      <c r="A182">
        <v>2024</v>
      </c>
      <c r="B182">
        <v>1</v>
      </c>
      <c r="C182">
        <v>3</v>
      </c>
      <c r="E182" s="123">
        <f t="shared" ref="E182:E191" si="119">F182/F181-1</f>
        <v>6.6194225721782907E-3</v>
      </c>
      <c r="F182" s="391">
        <f t="shared" si="110"/>
        <v>319.60744768262668</v>
      </c>
      <c r="G182" s="119">
        <f t="shared" ref="G182:G191" si="120">G181*(1+H182)</f>
        <v>325.88300484951691</v>
      </c>
      <c r="H182" s="123">
        <f t="shared" si="111"/>
        <v>-3.5000000000000144E-3</v>
      </c>
      <c r="I182" s="126"/>
      <c r="K182">
        <v>1</v>
      </c>
      <c r="M182" s="33">
        <f t="shared" si="112"/>
        <v>0.15218777957148144</v>
      </c>
      <c r="S182" s="33">
        <f>'[38]ІЦВ (Стрим Інфл)+'!U182</f>
        <v>0.13200000000000001</v>
      </c>
      <c r="U182" s="549">
        <v>0.13</v>
      </c>
      <c r="V182" s="4">
        <f t="shared" si="113"/>
        <v>-3.1085438570296609E-3</v>
      </c>
      <c r="W182" s="98">
        <v>1</v>
      </c>
      <c r="Z182" s="33">
        <f t="shared" si="114"/>
        <v>-0.12816968576468057</v>
      </c>
      <c r="AA182">
        <f>'[33]ІЦВ (Стрим Інфл)+'!AE182</f>
        <v>115.31594291520999</v>
      </c>
      <c r="AE182">
        <v>100.53593474810968</v>
      </c>
      <c r="AH182" s="19">
        <f t="shared" ref="AH182:AH190" si="121">AH181*$AH$192</f>
        <v>38.86014620681938</v>
      </c>
      <c r="AJ182" s="140">
        <f t="shared" si="109"/>
        <v>3906.841123350795</v>
      </c>
      <c r="AK182" s="140">
        <v>971238.67900622461</v>
      </c>
      <c r="AM182" s="8">
        <f t="shared" si="115"/>
        <v>-0.17903611032592492</v>
      </c>
      <c r="AN182" s="8">
        <f t="shared" si="116"/>
        <v>0.12443968985811082</v>
      </c>
      <c r="AO182" s="381">
        <f>AO181</f>
        <v>0.08</v>
      </c>
      <c r="AP182" s="130">
        <f t="shared" si="117"/>
        <v>4.114786097973222E-2</v>
      </c>
      <c r="AS182" s="158">
        <v>18399.661513575946</v>
      </c>
      <c r="AT182" s="381">
        <f t="shared" si="118"/>
        <v>0.18062868482555183</v>
      </c>
    </row>
    <row r="183" spans="1:50">
      <c r="A183">
        <v>2024</v>
      </c>
      <c r="B183">
        <v>2</v>
      </c>
      <c r="C183">
        <v>4</v>
      </c>
      <c r="E183" s="123">
        <f t="shared" si="119"/>
        <v>-2.1006240716412217E-2</v>
      </c>
      <c r="F183" s="391">
        <f t="shared" si="110"/>
        <v>312.89369670184732</v>
      </c>
      <c r="G183" s="119">
        <f t="shared" si="120"/>
        <v>323.43888231314554</v>
      </c>
      <c r="H183" s="123">
        <f t="shared" si="111"/>
        <v>-7.4999999999999997E-3</v>
      </c>
      <c r="I183" s="126"/>
      <c r="K183">
        <v>1</v>
      </c>
      <c r="M183" s="33">
        <f t="shared" si="112"/>
        <v>0.12983767411213498</v>
      </c>
      <c r="R183" s="29">
        <f>U183/S183</f>
        <v>0.89593640032739019</v>
      </c>
      <c r="S183" s="33">
        <f>'[38]ІЦВ (Стрим Інфл)+'!U183</f>
        <v>0.1038033503962697</v>
      </c>
      <c r="U183" s="29">
        <f>V183*W183*$S$194</f>
        <v>9.3001200095956651E-2</v>
      </c>
      <c r="V183" s="4">
        <f t="shared" si="113"/>
        <v>4.2273272770889381E-2</v>
      </c>
      <c r="W183" s="98">
        <v>2</v>
      </c>
      <c r="Z183" s="33">
        <f t="shared" si="114"/>
        <v>-0.11886292658030584</v>
      </c>
      <c r="AA183">
        <f>'[33]ІЦВ (Стрим Інфл)+'!AE183</f>
        <v>114.52451698725591</v>
      </c>
      <c r="AE183">
        <v>100.91179773295472</v>
      </c>
      <c r="AH183" s="19">
        <f t="shared" si="121"/>
        <v>39.092282919138398</v>
      </c>
      <c r="AJ183" s="140">
        <f t="shared" si="109"/>
        <v>3944.8725468555349</v>
      </c>
      <c r="AK183" s="140">
        <v>991990.81366396137</v>
      </c>
      <c r="AM183" s="8">
        <f t="shared" si="115"/>
        <v>-0.1710492180782297</v>
      </c>
      <c r="AN183" s="8">
        <f t="shared" si="116"/>
        <v>0.14470304027776604</v>
      </c>
      <c r="AO183" s="393">
        <v>0.04</v>
      </c>
      <c r="AP183" s="130">
        <f t="shared" si="117"/>
        <v>0.10067600026708279</v>
      </c>
      <c r="AS183" s="158">
        <v>18520.690863539232</v>
      </c>
      <c r="AT183" s="381">
        <f t="shared" si="118"/>
        <v>9.3519146745414394E-2</v>
      </c>
    </row>
    <row r="184" spans="1:50">
      <c r="A184">
        <v>2024</v>
      </c>
      <c r="B184">
        <v>2</v>
      </c>
      <c r="C184">
        <v>5</v>
      </c>
      <c r="E184" s="123">
        <f t="shared" si="119"/>
        <v>9.8177827507572868E-3</v>
      </c>
      <c r="F184" s="391">
        <f>G169*(1+U184)</f>
        <v>315.96561904014737</v>
      </c>
      <c r="G184" s="119">
        <f t="shared" si="120"/>
        <v>328.12874610668615</v>
      </c>
      <c r="H184" s="123">
        <f t="shared" si="111"/>
        <v>1.4499999999999957E-2</v>
      </c>
      <c r="I184" s="126"/>
      <c r="K184">
        <v>1</v>
      </c>
      <c r="M184" s="33">
        <f t="shared" si="112"/>
        <v>0.13712333371702456</v>
      </c>
      <c r="R184" s="29">
        <f t="shared" ref="R184:R191" si="122">U184/S184</f>
        <v>0.95345083383119955</v>
      </c>
      <c r="S184" s="33">
        <f>'[38]ІЦВ (Стрим Інфл)+'!U184</f>
        <v>9.960898547971471E-2</v>
      </c>
      <c r="U184" s="29">
        <f t="shared" ref="U184:U191" si="123">V184*W184*$S$194</f>
        <v>9.4972270262713834E-2</v>
      </c>
      <c r="V184" s="4">
        <f t="shared" si="113"/>
        <v>7.0769202878326248E-2</v>
      </c>
      <c r="W184" s="98">
        <v>1.22</v>
      </c>
      <c r="Z184" s="33">
        <f t="shared" si="114"/>
        <v>-0.11269265954426966</v>
      </c>
      <c r="AA184">
        <f>'[33]ІЦВ (Стрим Інфл)+'!AE184</f>
        <v>114.02809192546249</v>
      </c>
      <c r="AE184">
        <v>101.17796298362366</v>
      </c>
      <c r="AH184" s="19">
        <f t="shared" si="121"/>
        <v>39.325806333733816</v>
      </c>
      <c r="AJ184" s="140">
        <f t="shared" si="109"/>
        <v>3978.904977535673</v>
      </c>
      <c r="AK184" s="140">
        <v>1004777.6372944616</v>
      </c>
      <c r="AM184" s="8">
        <f t="shared" si="115"/>
        <v>-4.8619434662233285E-2</v>
      </c>
      <c r="AN184" s="8">
        <f t="shared" si="116"/>
        <v>0.12460067939245945</v>
      </c>
      <c r="AO184" s="381">
        <f>AO183</f>
        <v>0.04</v>
      </c>
      <c r="AP184" s="130">
        <f t="shared" si="117"/>
        <v>8.1346807108134023E-2</v>
      </c>
      <c r="AS184" s="158">
        <v>18562.918458420201</v>
      </c>
      <c r="AT184" s="381">
        <f t="shared" si="118"/>
        <v>8.2124312914550579E-2</v>
      </c>
    </row>
    <row r="185" spans="1:50">
      <c r="A185">
        <v>2024</v>
      </c>
      <c r="B185">
        <v>2</v>
      </c>
      <c r="C185">
        <v>6</v>
      </c>
      <c r="E185" s="123">
        <f t="shared" si="119"/>
        <v>-7.9779050261362672E-3</v>
      </c>
      <c r="F185" s="391">
        <f t="shared" si="110"/>
        <v>313.44487533992071</v>
      </c>
      <c r="G185" s="119">
        <f t="shared" si="120"/>
        <v>325.50371613783267</v>
      </c>
      <c r="H185" s="123">
        <f t="shared" si="111"/>
        <v>-8.0000000000000418E-3</v>
      </c>
      <c r="I185" s="126"/>
      <c r="K185">
        <v>1</v>
      </c>
      <c r="M185" s="33">
        <f t="shared" si="112"/>
        <v>0.12671184988908446</v>
      </c>
      <c r="R185" s="29">
        <f t="shared" si="122"/>
        <v>0.9503580112533323</v>
      </c>
      <c r="S185" s="33">
        <f>'[38]ІЦВ (Стрим Інфл)+'!U185</f>
        <v>8.9409343753632978E-2</v>
      </c>
      <c r="U185" s="29">
        <f t="shared" si="123"/>
        <v>8.4970886117168187E-2</v>
      </c>
      <c r="V185" s="4">
        <f>0.1274618*AM185-0.5944938*AN185-1.230591*AO185-0.0825006*AT185+0.2070396</f>
        <v>7.3567866768110973E-2</v>
      </c>
      <c r="W185" s="98">
        <v>1.05</v>
      </c>
      <c r="Z185" s="33">
        <f t="shared" si="114"/>
        <v>-0.11422752611483566</v>
      </c>
      <c r="AA185">
        <f>'[33]ІЦВ (Стрим Інфл)+'!AE185</f>
        <v>114.26358443095589</v>
      </c>
      <c r="AE185">
        <v>101.21153785639414</v>
      </c>
      <c r="AH185" s="19">
        <f t="shared" si="121"/>
        <v>39.560724734272547</v>
      </c>
      <c r="AJ185" s="140">
        <f t="shared" si="109"/>
        <v>4004.0017890692143</v>
      </c>
      <c r="AK185" s="140">
        <v>1013580.2309365758</v>
      </c>
      <c r="AM185" s="8">
        <f t="shared" si="115"/>
        <v>-4.283993538408204E-2</v>
      </c>
      <c r="AN185" s="8">
        <f t="shared" si="116"/>
        <v>0.11694426996434348</v>
      </c>
      <c r="AO185" s="381">
        <f>AO184</f>
        <v>0.04</v>
      </c>
      <c r="AP185" s="130">
        <f t="shared" si="117"/>
        <v>7.398487496571482E-2</v>
      </c>
      <c r="AS185" s="158">
        <v>19395.140952480677</v>
      </c>
      <c r="AT185" s="381">
        <f t="shared" si="118"/>
        <v>0.11230214709495212</v>
      </c>
    </row>
    <row r="186" spans="1:50">
      <c r="A186">
        <v>2024</v>
      </c>
      <c r="B186">
        <v>3</v>
      </c>
      <c r="C186">
        <v>7</v>
      </c>
      <c r="E186" s="123">
        <f>F186/F185-1</f>
        <v>2.5107811148311843E-2</v>
      </c>
      <c r="F186" s="391">
        <f>G171*(1+U186)</f>
        <v>321.3147900753616</v>
      </c>
      <c r="G186" s="119">
        <f t="shared" si="120"/>
        <v>333.96681275741633</v>
      </c>
      <c r="H186" s="123">
        <f t="shared" si="111"/>
        <v>2.5999999999999943E-2</v>
      </c>
      <c r="I186" s="126"/>
      <c r="K186">
        <v>1</v>
      </c>
      <c r="M186" s="33">
        <f t="shared" si="112"/>
        <v>0.1270780220859935</v>
      </c>
      <c r="R186" s="29">
        <f t="shared" si="122"/>
        <v>0.9789057282533431</v>
      </c>
      <c r="S186" s="33">
        <f>'[38]ІЦВ (Стрим Інфл)+'!U186</f>
        <v>8.6198001547253947E-2</v>
      </c>
      <c r="U186" s="29">
        <f t="shared" si="123"/>
        <v>8.4379717478597419E-2</v>
      </c>
      <c r="V186" s="4">
        <f>0.1274618*AM186-0.5944938*AN186-1.230591*AO186-0.0825006*AT186+0.2070396</f>
        <v>9.588604258931524E-2</v>
      </c>
      <c r="W186" s="98">
        <v>0.8</v>
      </c>
      <c r="Z186" s="33">
        <f t="shared" si="114"/>
        <v>-0.1126836774988883</v>
      </c>
      <c r="AA186">
        <f>'[33]ІЦВ (Стрим Інфл)+'!AE186</f>
        <v>114.75190606181346</v>
      </c>
      <c r="AE186">
        <v>101.82123928676134</v>
      </c>
      <c r="AH186" s="19">
        <f t="shared" si="121"/>
        <v>39.797046453905196</v>
      </c>
      <c r="AJ186" s="140">
        <f t="shared" si="109"/>
        <v>4052.184589889438</v>
      </c>
      <c r="AK186" s="140">
        <v>1017928.0541646022</v>
      </c>
      <c r="AM186" s="8">
        <f t="shared" si="115"/>
        <v>-1.2135271831330008E-2</v>
      </c>
      <c r="AN186" s="8">
        <f>AK186/AK171-1</f>
        <v>7.9432472948632205E-2</v>
      </c>
      <c r="AO186" s="393">
        <v>4.2000000000000003E-2</v>
      </c>
      <c r="AP186" s="130">
        <f t="shared" si="117"/>
        <v>3.5923678453581687E-2</v>
      </c>
      <c r="AS186" s="158">
        <v>19790.297147582925</v>
      </c>
      <c r="AT186" s="381">
        <f t="shared" si="118"/>
        <v>0.12969407656361964</v>
      </c>
    </row>
    <row r="187" spans="1:50">
      <c r="A187">
        <v>2024</v>
      </c>
      <c r="B187">
        <v>3</v>
      </c>
      <c r="C187">
        <v>8</v>
      </c>
      <c r="E187" s="123">
        <f t="shared" si="119"/>
        <v>6.3335603165395327E-3</v>
      </c>
      <c r="F187" s="391">
        <f t="shared" si="110"/>
        <v>323.34985667890015</v>
      </c>
      <c r="G187" s="119">
        <f>G186*(1+H187)</f>
        <v>334.96871319568857</v>
      </c>
      <c r="H187" s="123">
        <f t="shared" si="111"/>
        <v>2.9999999999999714E-3</v>
      </c>
      <c r="I187" s="126"/>
      <c r="K187">
        <v>1</v>
      </c>
      <c r="M187" s="33">
        <f t="shared" si="112"/>
        <v>0.12334473946894797</v>
      </c>
      <c r="R187" s="29">
        <f t="shared" si="122"/>
        <v>0.95425747627624957</v>
      </c>
      <c r="S187" s="33">
        <f>'[38]ІЦВ (Стрим Інфл)+'!U187</f>
        <v>8.8424732489184615E-2</v>
      </c>
      <c r="U187" s="29">
        <f t="shared" si="123"/>
        <v>8.4379962065531805E-2</v>
      </c>
      <c r="V187" s="4">
        <f t="shared" si="113"/>
        <v>7.8274547370623199E-2</v>
      </c>
      <c r="W187" s="98">
        <v>0.98</v>
      </c>
      <c r="Z187" s="33">
        <f t="shared" si="114"/>
        <v>-0.10848923604271943</v>
      </c>
      <c r="AA187">
        <f>'[33]ІЦВ (Стрим Інфл)+'!AE187</f>
        <v>114.55003330010287</v>
      </c>
      <c r="AE187">
        <v>102.12258769870664</v>
      </c>
      <c r="AH187" s="19">
        <f t="shared" si="121"/>
        <v>40.03477987556164</v>
      </c>
      <c r="AI187" s="82"/>
      <c r="AJ187" s="140">
        <f t="shared" si="109"/>
        <v>4088.4553188404593</v>
      </c>
      <c r="AK187" s="140">
        <v>1025977.7651502874</v>
      </c>
      <c r="AM187" s="8">
        <f t="shared" si="115"/>
        <v>-2.9605038469296963E-3</v>
      </c>
      <c r="AN187" s="8">
        <f t="shared" si="116"/>
        <v>0.11228297750335292</v>
      </c>
      <c r="AO187" s="381">
        <f>AO186</f>
        <v>4.2000000000000003E-2</v>
      </c>
      <c r="AP187" s="130">
        <f t="shared" si="117"/>
        <v>6.7450074379417302E-2</v>
      </c>
      <c r="AS187" s="158">
        <v>19543.269025103524</v>
      </c>
      <c r="AT187" s="381">
        <f t="shared" si="118"/>
        <v>0.12062149255711385</v>
      </c>
    </row>
    <row r="188" spans="1:50">
      <c r="A188">
        <v>2024</v>
      </c>
      <c r="B188">
        <v>3</v>
      </c>
      <c r="C188">
        <v>9</v>
      </c>
      <c r="E188" s="123">
        <f t="shared" si="119"/>
        <v>2.5412618164124101E-2</v>
      </c>
      <c r="F188" s="391">
        <f t="shared" si="110"/>
        <v>331.56702312010526</v>
      </c>
      <c r="G188" s="119">
        <f t="shared" si="120"/>
        <v>334.46626012589508</v>
      </c>
      <c r="H188" s="123">
        <f t="shared" si="111"/>
        <v>-1.4999999999999857E-3</v>
      </c>
      <c r="I188" s="126"/>
      <c r="K188">
        <v>1</v>
      </c>
      <c r="M188" s="33">
        <f t="shared" si="112"/>
        <v>0.10182683925318736</v>
      </c>
      <c r="R188" s="29">
        <f t="shared" si="122"/>
        <v>0.96546360496670736</v>
      </c>
      <c r="S188" s="33">
        <f>'[38]ІЦВ (Стрим Інфл)+'!U188</f>
        <v>9.5576807644487602E-2</v>
      </c>
      <c r="U188" s="29">
        <f t="shared" si="123"/>
        <v>9.2275929259656553E-2</v>
      </c>
      <c r="V188" s="4">
        <f t="shared" si="113"/>
        <v>8.5599192263132243E-2</v>
      </c>
      <c r="W188" s="98">
        <v>0.98</v>
      </c>
      <c r="Z188" s="33">
        <f t="shared" si="114"/>
        <v>-0.10846124916888311</v>
      </c>
      <c r="AA188">
        <f>'[33]ІЦВ (Стрим Інфл)+'!AE188</f>
        <v>114.9875605823776</v>
      </c>
      <c r="AE188">
        <v>102.5158661227303</v>
      </c>
      <c r="AH188" s="19">
        <f t="shared" si="121"/>
        <v>40.273933432248398</v>
      </c>
      <c r="AI188" s="82"/>
      <c r="AJ188" s="140">
        <f t="shared" si="109"/>
        <v>4128.7171679761286</v>
      </c>
      <c r="AK188" s="140">
        <v>1012769.2738628993</v>
      </c>
      <c r="AM188" s="8">
        <f>AJ188/AJ173-1</f>
        <v>-3.8453507394225706E-2</v>
      </c>
      <c r="AN188" s="8">
        <f t="shared" si="116"/>
        <v>9.2061748238351226E-2</v>
      </c>
      <c r="AO188" s="381">
        <f>AO187</f>
        <v>4.2000000000000003E-2</v>
      </c>
      <c r="AP188" s="130">
        <f t="shared" si="117"/>
        <v>4.804390425945404E-2</v>
      </c>
      <c r="AS188" s="158">
        <v>19934.541647671926</v>
      </c>
      <c r="AT188" s="381">
        <f t="shared" si="118"/>
        <v>0.12271539750287519</v>
      </c>
    </row>
    <row r="189" spans="1:50">
      <c r="A189">
        <v>2024</v>
      </c>
      <c r="B189">
        <v>4</v>
      </c>
      <c r="C189">
        <v>10</v>
      </c>
      <c r="E189" s="123">
        <f t="shared" si="119"/>
        <v>3.1337422075053745E-2</v>
      </c>
      <c r="F189" s="391">
        <f t="shared" si="110"/>
        <v>341.9574788697891</v>
      </c>
      <c r="G189" s="119">
        <f t="shared" si="120"/>
        <v>332.96116195532852</v>
      </c>
      <c r="H189" s="123">
        <f t="shared" si="111"/>
        <v>-4.5000000000000283E-3</v>
      </c>
      <c r="I189" s="126"/>
      <c r="K189">
        <v>1</v>
      </c>
      <c r="M189" s="33">
        <f t="shared" si="112"/>
        <v>6.4471144945253522E-2</v>
      </c>
      <c r="R189" s="29">
        <f t="shared" si="122"/>
        <v>0.93121576278468232</v>
      </c>
      <c r="S189" s="33">
        <f>'[38]ІЦВ (Стрим Інфл)+'!U189</f>
        <v>0.1001188125380381</v>
      </c>
      <c r="U189" s="29">
        <f t="shared" si="123"/>
        <v>9.3232216386705771E-2</v>
      </c>
      <c r="V189" s="4">
        <f>0.1274618*AM189-0.5944938*AN189-1.230591*AO189-0.0825006*AT189+0.2070396</f>
        <v>6.278263729744496E-2</v>
      </c>
      <c r="W189" s="98">
        <v>1.35</v>
      </c>
      <c r="Z189" s="33">
        <f t="shared" si="114"/>
        <v>-0.10801761863893899</v>
      </c>
      <c r="AA189">
        <f>'[33]ІЦВ (Стрим Інфл)+'!AE189</f>
        <v>115.48113863422346</v>
      </c>
      <c r="AE189">
        <v>103.00714104124147</v>
      </c>
      <c r="AH189" s="19">
        <f t="shared" si="121"/>
        <v>40.514515607347796</v>
      </c>
      <c r="AJ189" s="140">
        <f t="shared" si="109"/>
        <v>4173.2844233836531</v>
      </c>
      <c r="AK189" s="140">
        <v>1025010.7352777197</v>
      </c>
      <c r="AM189" s="8">
        <f t="shared" si="115"/>
        <v>-8.3998467480989381E-2</v>
      </c>
      <c r="AN189" s="8">
        <f t="shared" si="116"/>
        <v>0.11029222399960514</v>
      </c>
      <c r="AO189" s="393">
        <v>4.4999999999999998E-2</v>
      </c>
      <c r="AP189" s="130">
        <f t="shared" si="117"/>
        <v>6.2480597128808713E-2</v>
      </c>
      <c r="AS189" s="158">
        <v>20708.508861531449</v>
      </c>
      <c r="AT189" s="381">
        <f t="shared" si="118"/>
        <v>0.15279559765880757</v>
      </c>
    </row>
    <row r="190" spans="1:50">
      <c r="A190">
        <v>2024</v>
      </c>
      <c r="B190">
        <v>4</v>
      </c>
      <c r="C190">
        <v>11</v>
      </c>
      <c r="E190" s="123">
        <f t="shared" si="119"/>
        <v>2.7567418785931608E-2</v>
      </c>
      <c r="F190" s="391">
        <f t="shared" si="110"/>
        <v>351.38436389677395</v>
      </c>
      <c r="G190" s="119">
        <f t="shared" si="120"/>
        <v>330.79691440261888</v>
      </c>
      <c r="H190" s="123">
        <f t="shared" si="111"/>
        <v>-6.499999999999985E-3</v>
      </c>
      <c r="I190" s="126"/>
      <c r="K190">
        <v>1</v>
      </c>
      <c r="M190" s="33">
        <f>G190/G175-1</f>
        <v>3.7858036705260334E-2</v>
      </c>
      <c r="R190" s="29">
        <f t="shared" si="122"/>
        <v>0.88621891574458123</v>
      </c>
      <c r="S190" s="33">
        <f>'[38]ІЦВ (Стрим Інфл)+'!U190</f>
        <v>0.11560358518354336</v>
      </c>
      <c r="U190" s="29">
        <f t="shared" si="123"/>
        <v>0.10245008391754613</v>
      </c>
      <c r="V190" s="4">
        <f t="shared" si="113"/>
        <v>7.7613699937534947E-2</v>
      </c>
      <c r="W190" s="98">
        <v>1.2</v>
      </c>
      <c r="Z190" s="33">
        <f t="shared" si="114"/>
        <v>-0.10361470850995558</v>
      </c>
      <c r="AA190">
        <f>'[33]ІЦВ (Стрим Інфл)+'!AE190</f>
        <v>117.46432477668819</v>
      </c>
      <c r="AE190">
        <v>105.29329300463289</v>
      </c>
      <c r="AH190" s="19">
        <f t="shared" si="121"/>
        <v>40.756534934918847</v>
      </c>
      <c r="AJ190" s="140">
        <f t="shared" si="109"/>
        <v>4291.3897747559668</v>
      </c>
      <c r="AK190" s="140">
        <v>1026904.3037359401</v>
      </c>
      <c r="AM190" s="8">
        <f t="shared" si="115"/>
        <v>3.7357656008916384E-2</v>
      </c>
      <c r="AN190" s="8">
        <f t="shared" si="116"/>
        <v>0.1109972377002697</v>
      </c>
      <c r="AO190" s="381">
        <f>AO189</f>
        <v>4.4999999999999998E-2</v>
      </c>
      <c r="AP190" s="130">
        <f t="shared" si="117"/>
        <v>6.3155251387817968E-2</v>
      </c>
      <c r="AS190" s="158">
        <v>20578.483863578273</v>
      </c>
      <c r="AT190" s="381">
        <f t="shared" si="118"/>
        <v>0.15543898482199836</v>
      </c>
    </row>
    <row r="191" spans="1:50">
      <c r="A191">
        <v>2024</v>
      </c>
      <c r="B191">
        <v>4</v>
      </c>
      <c r="C191">
        <v>12</v>
      </c>
      <c r="E191" s="123">
        <f t="shared" si="119"/>
        <v>2.7512949625509098E-2</v>
      </c>
      <c r="F191" s="391">
        <f t="shared" si="110"/>
        <v>361.05198419985749</v>
      </c>
      <c r="G191" s="119">
        <f t="shared" si="120"/>
        <v>324.18097611456648</v>
      </c>
      <c r="H191" s="123">
        <f t="shared" si="111"/>
        <v>-0.02</v>
      </c>
      <c r="I191" s="126"/>
      <c r="K191">
        <v>1</v>
      </c>
      <c r="M191" s="33">
        <f t="shared" si="112"/>
        <v>1.5729404572697447E-2</v>
      </c>
      <c r="R191" s="29">
        <f t="shared" si="122"/>
        <v>1.0194144772344882</v>
      </c>
      <c r="S191" s="33">
        <f>'[38]ІЦВ (Стрим Інфл)+'!U191</f>
        <v>0.12875457781842775</v>
      </c>
      <c r="U191" s="29">
        <f t="shared" si="123"/>
        <v>0.13125428063831976</v>
      </c>
      <c r="V191" s="4">
        <f>0.1274618*AM191-0.5944938*AN191-1.230591*AO191-0.0825006*AT191+0.2070396</f>
        <v>9.5457658646050728E-2</v>
      </c>
      <c r="W191" s="98">
        <v>1.25</v>
      </c>
      <c r="Z191" s="33">
        <f t="shared" si="114"/>
        <v>-0.10831716972019911</v>
      </c>
      <c r="AA191">
        <f>'[33]ІЦВ (Стрим Інфл)+'!AE191</f>
        <v>118.74395352004647</v>
      </c>
      <c r="AE191">
        <v>105.88194455336817</v>
      </c>
      <c r="AH191" s="871">
        <v>41</v>
      </c>
      <c r="AJ191" s="140">
        <f t="shared" si="109"/>
        <v>4341.1597266880954</v>
      </c>
      <c r="AK191" s="140">
        <v>1043404.6282872281</v>
      </c>
      <c r="AM191" s="8">
        <f t="shared" si="115"/>
        <v>0.1267397560181811</v>
      </c>
      <c r="AN191" s="8">
        <f t="shared" si="116"/>
        <v>9.716887984281497E-2</v>
      </c>
      <c r="AO191" s="381">
        <f>AO190</f>
        <v>4.4999999999999998E-2</v>
      </c>
      <c r="AP191" s="130">
        <f t="shared" si="117"/>
        <v>4.992237305532532E-2</v>
      </c>
      <c r="AS191" s="158">
        <v>23131.571933866795</v>
      </c>
      <c r="AT191" s="381">
        <f t="shared" si="118"/>
        <v>0.17688995192870105</v>
      </c>
    </row>
    <row r="192" spans="1:50">
      <c r="H192" s="126"/>
      <c r="I192" s="126"/>
      <c r="AH192">
        <f>(AH191/AH180)^(1/11)</f>
        <v>1.0059736448515544</v>
      </c>
    </row>
    <row r="193" spans="8:21">
      <c r="H193" s="126"/>
      <c r="I193" s="126"/>
      <c r="M193" s="589">
        <f>AVERAGE(M180:M191)</f>
        <v>0.11447291275371753</v>
      </c>
      <c r="U193" s="589">
        <f>AVERAGE(U180:U191)</f>
        <v>0.10740971218518301</v>
      </c>
    </row>
    <row r="194" spans="8:21">
      <c r="H194" s="126"/>
      <c r="I194" s="126"/>
      <c r="R194" s="29">
        <f>AVERAGE(R183:R191)</f>
        <v>0.94835791229688604</v>
      </c>
      <c r="S194" s="605">
        <v>1.1000000000000001</v>
      </c>
    </row>
    <row r="195" spans="8:21">
      <c r="H195" s="126"/>
      <c r="I195" s="126"/>
      <c r="U195" s="82">
        <f>U193/0.093</f>
        <v>1.1549431417761615</v>
      </c>
    </row>
    <row r="196" spans="8:21">
      <c r="H196" s="126"/>
      <c r="I196" s="126"/>
    </row>
    <row r="197" spans="8:21">
      <c r="H197" s="126"/>
      <c r="I197" s="126"/>
    </row>
    <row r="198" spans="8:21">
      <c r="H198" s="126"/>
      <c r="I198" s="126"/>
    </row>
    <row r="199" spans="8:21">
      <c r="H199" s="126"/>
      <c r="I199" s="126"/>
    </row>
    <row r="200" spans="8:21">
      <c r="H200" s="126"/>
      <c r="I200" s="126"/>
    </row>
    <row r="201" spans="8:21">
      <c r="H201" s="126"/>
      <c r="I201" s="126"/>
    </row>
    <row r="202" spans="8:21">
      <c r="H202" s="126"/>
      <c r="I202" s="126"/>
    </row>
    <row r="203" spans="8:21">
      <c r="H203" s="126"/>
      <c r="I203" s="126"/>
    </row>
    <row r="204" spans="8:21">
      <c r="H204" s="126"/>
      <c r="I204" s="126"/>
    </row>
    <row r="205" spans="8:21">
      <c r="H205" s="126"/>
      <c r="I205" s="126"/>
    </row>
    <row r="206" spans="8:21">
      <c r="H206" s="126"/>
      <c r="I206" s="126"/>
    </row>
    <row r="207" spans="8:21">
      <c r="H207" s="126"/>
      <c r="I207" s="126"/>
    </row>
    <row r="208" spans="8:21">
      <c r="H208" s="126"/>
      <c r="I208" s="126"/>
    </row>
    <row r="209" spans="3:52">
      <c r="H209" s="126"/>
      <c r="I209" s="126"/>
    </row>
    <row r="210" spans="3:52">
      <c r="H210" s="126"/>
      <c r="I210" s="126"/>
    </row>
    <row r="211" spans="3:52" ht="17.25" customHeight="1">
      <c r="I211" s="309" t="s">
        <v>349</v>
      </c>
      <c r="J211" s="332">
        <v>0.46500000000000002</v>
      </c>
      <c r="AK211" s="140">
        <v>866430.10520516825</v>
      </c>
      <c r="AL211" s="862">
        <f>AK211</f>
        <v>866430.10520516825</v>
      </c>
    </row>
    <row r="212" spans="3:52" ht="54">
      <c r="C212">
        <v>2017</v>
      </c>
      <c r="D212" s="33">
        <f>AVERAGEIF(A:A,C212,J:J)</f>
        <v>0.27166666666666667</v>
      </c>
      <c r="M212" s="258" t="s">
        <v>262</v>
      </c>
      <c r="N212" s="258"/>
      <c r="O212" s="258" t="s">
        <v>263</v>
      </c>
      <c r="P212" s="258"/>
      <c r="Q212" s="258"/>
      <c r="R212" s="258"/>
      <c r="S212" s="258"/>
      <c r="T212" s="258"/>
      <c r="U212" s="258"/>
      <c r="V212" s="258"/>
      <c r="W212" s="261" t="s">
        <v>266</v>
      </c>
      <c r="Y212" s="117" t="s">
        <v>260</v>
      </c>
      <c r="Z212" s="117" t="s">
        <v>261</v>
      </c>
      <c r="AJ212" s="146">
        <f>AK212-AK211</f>
        <v>-5138.7325580259785</v>
      </c>
      <c r="AK212" s="140">
        <v>861291.37264714227</v>
      </c>
      <c r="AL212" s="862">
        <f>AK212</f>
        <v>861291.37264714227</v>
      </c>
      <c r="AO212">
        <v>-7.4924326428120344E-2</v>
      </c>
      <c r="AP212">
        <v>-4.8345452942901192E-2</v>
      </c>
      <c r="AQ212">
        <v>-4.6821461656212732E-2</v>
      </c>
      <c r="AR212">
        <v>-3.9999851287866296E-2</v>
      </c>
      <c r="AS212">
        <v>-3.417210925193568E-2</v>
      </c>
      <c r="AT212">
        <v>-2.9193434803605197E-2</v>
      </c>
      <c r="AU212">
        <v>-2.1999999999999999E-2</v>
      </c>
    </row>
    <row r="213" spans="3:52">
      <c r="C213">
        <v>2018</v>
      </c>
      <c r="D213" s="33">
        <f>AVERAGEIF(A:A,C213,J:J)</f>
        <v>0.17508333333333334</v>
      </c>
      <c r="E213" s="29">
        <f t="shared" ref="E213:E224" si="124">J134-J122</f>
        <v>0.23499999999999999</v>
      </c>
      <c r="F213" s="29"/>
      <c r="G213" s="29"/>
      <c r="H213" s="29"/>
      <c r="I213" s="33">
        <v>-5.8999999999999997E-2</v>
      </c>
      <c r="J213" s="313">
        <f t="shared" ref="J213:J224" si="125">(1+J134)/(1+J122)-1</f>
        <v>0.24973432518597227</v>
      </c>
      <c r="K213">
        <v>1</v>
      </c>
      <c r="M213" s="33" t="e">
        <f>#REF!</f>
        <v>#REF!</v>
      </c>
      <c r="N213" s="33"/>
      <c r="O213" s="33">
        <f t="shared" ref="O213:O224" si="126">O134</f>
        <v>0.17599999999999993</v>
      </c>
      <c r="P213" s="4"/>
      <c r="Q213" s="4"/>
      <c r="R213" s="4"/>
      <c r="S213" s="4"/>
      <c r="T213" s="4"/>
      <c r="U213" s="4"/>
      <c r="V213" s="4"/>
      <c r="W213" s="33">
        <f>O134</f>
        <v>0.17599999999999993</v>
      </c>
      <c r="X213" s="29" t="e">
        <f t="shared" ref="X213:X224" si="127">M213/O213</f>
        <v>#REF!</v>
      </c>
      <c r="Y213" s="99" t="e">
        <f>#REF!</f>
        <v>#REF!</v>
      </c>
      <c r="Z213" s="99">
        <f t="shared" ref="Z213:Z224" si="128">AH134</f>
        <v>28.219770967741901</v>
      </c>
      <c r="AJ213" s="146">
        <f t="shared" ref="AJ213:AJ218" si="129">AK213-AK212</f>
        <v>-2681.243020773516</v>
      </c>
      <c r="AK213" s="140">
        <v>858610.12962636875</v>
      </c>
      <c r="AL213" s="505">
        <f>AK213+([39]ГБ!$G$280*1000)</f>
        <v>833303.68962636881</v>
      </c>
    </row>
    <row r="214" spans="3:52">
      <c r="C214">
        <v>2019</v>
      </c>
      <c r="D214" s="33">
        <f>AVERAGEIF(A:A,C214,J:J)</f>
        <v>4.2500000000000003E-2</v>
      </c>
      <c r="E214" s="29">
        <f t="shared" si="124"/>
        <v>0.33400000000000002</v>
      </c>
      <c r="F214" s="29"/>
      <c r="G214" s="29"/>
      <c r="H214" s="29"/>
      <c r="I214" s="33">
        <v>-6.8000000000000005E-2</v>
      </c>
      <c r="J214" s="313">
        <f t="shared" si="125"/>
        <v>0.35836909871244638</v>
      </c>
      <c r="K214">
        <v>2</v>
      </c>
      <c r="M214" s="33" t="e">
        <f>#REF!</f>
        <v>#REF!</v>
      </c>
      <c r="N214" s="33"/>
      <c r="O214" s="33">
        <f t="shared" si="126"/>
        <v>0.26600000000000001</v>
      </c>
      <c r="P214" s="4"/>
      <c r="Q214" s="4"/>
      <c r="R214" s="4"/>
      <c r="S214" s="4"/>
      <c r="T214" s="4"/>
      <c r="U214" s="4"/>
      <c r="V214" s="4"/>
      <c r="W214" s="33">
        <f>O135</f>
        <v>0.26600000000000001</v>
      </c>
      <c r="X214" s="29" t="e">
        <f t="shared" si="127"/>
        <v>#REF!</v>
      </c>
      <c r="Y214" s="99" t="e">
        <f>#REF!</f>
        <v>#REF!</v>
      </c>
      <c r="Z214" s="99">
        <f t="shared" si="128"/>
        <v>27.884660714285701</v>
      </c>
      <c r="AJ214" s="146">
        <f t="shared" si="129"/>
        <v>19372.32100269536</v>
      </c>
      <c r="AK214" s="140">
        <v>877982.45062906411</v>
      </c>
      <c r="AL214" s="505">
        <f>AK214+([39]ГБ!$G$280*1000)</f>
        <v>852676.01062906417</v>
      </c>
    </row>
    <row r="215" spans="3:52">
      <c r="C215">
        <v>2020</v>
      </c>
      <c r="D215" s="33">
        <f>AVERAGEIF(A:A,C215,J:J)</f>
        <v>-1.3999999999999997E-2</v>
      </c>
      <c r="E215" s="29">
        <f t="shared" si="124"/>
        <v>0.30499999999999999</v>
      </c>
      <c r="F215" s="29"/>
      <c r="G215" s="29"/>
      <c r="H215" s="29"/>
      <c r="I215" s="33">
        <v>-4.2000000000000003E-2</v>
      </c>
      <c r="J215" s="313">
        <f t="shared" si="125"/>
        <v>0.31837160751565752</v>
      </c>
      <c r="K215">
        <v>3</v>
      </c>
      <c r="M215" s="33" t="e">
        <f>#REF!</f>
        <v>#REF!</v>
      </c>
      <c r="N215" s="33"/>
      <c r="O215" s="33">
        <f t="shared" si="126"/>
        <v>0.2629999999999999</v>
      </c>
      <c r="P215" s="4"/>
      <c r="Q215" s="4"/>
      <c r="R215" s="4"/>
      <c r="S215" s="4"/>
      <c r="T215" s="4"/>
      <c r="U215" s="4"/>
      <c r="V215" s="4"/>
      <c r="W215" s="33">
        <f>O136</f>
        <v>0.2629999999999999</v>
      </c>
      <c r="X215" s="29" t="e">
        <f t="shared" si="127"/>
        <v>#REF!</v>
      </c>
      <c r="Y215" s="99" t="e">
        <f>#REF!</f>
        <v>#REF!</v>
      </c>
      <c r="Z215" s="99">
        <f t="shared" si="128"/>
        <v>27.795558064516101</v>
      </c>
      <c r="AJ215" s="146">
        <f t="shared" si="129"/>
        <v>-14265.445615991484</v>
      </c>
      <c r="AK215" s="140">
        <v>863717.00501307263</v>
      </c>
      <c r="AL215" s="505">
        <f>AK215+([39]ГБ!$G$280*1000)</f>
        <v>838410.56501307269</v>
      </c>
    </row>
    <row r="216" spans="3:52">
      <c r="C216">
        <v>2021</v>
      </c>
      <c r="D216" s="33">
        <f>AVERAGEIF(A:A,C216,O:O)</f>
        <v>0.41461943276957175</v>
      </c>
      <c r="E216" s="29">
        <f t="shared" si="124"/>
        <v>0.30400000000000005</v>
      </c>
      <c r="F216" s="29"/>
      <c r="G216" s="29"/>
      <c r="H216" s="29"/>
      <c r="I216" s="33">
        <v>-2.5999999999999999E-2</v>
      </c>
      <c r="J216" s="313">
        <f t="shared" si="125"/>
        <v>0.31211498973305951</v>
      </c>
      <c r="K216">
        <v>4</v>
      </c>
      <c r="M216" s="33" t="e">
        <f>#REF!</f>
        <v>#REF!</v>
      </c>
      <c r="N216" s="33"/>
      <c r="O216" s="33">
        <f t="shared" si="126"/>
        <v>0.27800000000000002</v>
      </c>
      <c r="P216" s="4"/>
      <c r="Q216" s="4"/>
      <c r="R216" s="4"/>
      <c r="S216" s="4"/>
      <c r="T216" s="4"/>
      <c r="U216" s="4"/>
      <c r="V216" s="4"/>
      <c r="W216" s="33">
        <f>O137</f>
        <v>0.27800000000000002</v>
      </c>
      <c r="X216" s="29" t="e">
        <f t="shared" si="127"/>
        <v>#REF!</v>
      </c>
      <c r="Y216" s="99" t="e">
        <f>#REF!</f>
        <v>#REF!</v>
      </c>
      <c r="Z216" s="99">
        <f t="shared" si="128"/>
        <v>27.93</v>
      </c>
      <c r="AJ216" s="146">
        <f t="shared" si="129"/>
        <v>2428.6242489606375</v>
      </c>
      <c r="AK216" s="140">
        <v>866145.62926203327</v>
      </c>
      <c r="AL216" s="505">
        <f>AK216+([39]ГБ!$G$280*1000)</f>
        <v>840839.18926203332</v>
      </c>
      <c r="AO216">
        <v>11446</v>
      </c>
      <c r="AP216">
        <v>11988</v>
      </c>
      <c r="AQ216">
        <v>12174</v>
      </c>
      <c r="AR216">
        <v>11987.410099999999</v>
      </c>
      <c r="AS216">
        <v>14179</v>
      </c>
    </row>
    <row r="217" spans="3:52">
      <c r="E217" s="29">
        <f t="shared" si="124"/>
        <v>0.38199999999999995</v>
      </c>
      <c r="F217" s="29"/>
      <c r="G217" s="29"/>
      <c r="H217" s="29"/>
      <c r="I217" s="33">
        <v>-5.0999999999999941E-2</v>
      </c>
      <c r="J217" s="313">
        <f t="shared" si="125"/>
        <v>0.40252897787144359</v>
      </c>
      <c r="K217">
        <v>5</v>
      </c>
      <c r="M217" s="33" t="e">
        <f>#REF!</f>
        <v>#REF!</v>
      </c>
      <c r="N217" s="33"/>
      <c r="O217" s="33">
        <f t="shared" si="126"/>
        <v>0.33099999999999996</v>
      </c>
      <c r="P217" s="4"/>
      <c r="Q217" s="4"/>
      <c r="R217" s="4"/>
      <c r="S217" s="4"/>
      <c r="T217" s="4"/>
      <c r="U217" s="4"/>
      <c r="V217" s="4"/>
      <c r="W217" s="33">
        <f t="shared" ref="W217:W223" si="130">O217*$O$227</f>
        <v>0.33099999999999996</v>
      </c>
      <c r="X217" s="29" t="e">
        <f t="shared" si="127"/>
        <v>#REF!</v>
      </c>
      <c r="Y217" s="99" t="e">
        <f>#REF!</f>
        <v>#REF!</v>
      </c>
      <c r="Z217" s="99">
        <f t="shared" si="128"/>
        <v>27.6</v>
      </c>
      <c r="AJ217" s="146">
        <f t="shared" si="129"/>
        <v>14611.790837599197</v>
      </c>
      <c r="AK217" s="140">
        <v>880757.42009963247</v>
      </c>
      <c r="AL217" s="505">
        <f>AK217+([39]ГБ!$G$280*1000)</f>
        <v>855450.98009963252</v>
      </c>
    </row>
    <row r="218" spans="3:52">
      <c r="E218" s="29">
        <f t="shared" si="124"/>
        <v>0.43699999999999994</v>
      </c>
      <c r="F218" s="29"/>
      <c r="G218" s="29"/>
      <c r="H218" s="29"/>
      <c r="I218" s="33">
        <v>-4.5999999999999944E-2</v>
      </c>
      <c r="J218" s="256">
        <f t="shared" si="125"/>
        <v>0.45807127882599574</v>
      </c>
      <c r="K218">
        <v>6</v>
      </c>
      <c r="M218" s="33" t="e">
        <f>#REF!</f>
        <v>#REF!</v>
      </c>
      <c r="N218" s="33"/>
      <c r="O218" s="33">
        <f t="shared" si="126"/>
        <v>0.39100000000000001</v>
      </c>
      <c r="P218" s="4"/>
      <c r="Q218" s="4"/>
      <c r="R218" s="4"/>
      <c r="S218" s="4"/>
      <c r="T218" s="4"/>
      <c r="U218" s="4"/>
      <c r="V218" s="4"/>
      <c r="W218" s="33">
        <f>O218*$O$227</f>
        <v>0.39100000000000001</v>
      </c>
      <c r="X218" s="29" t="e">
        <f t="shared" si="127"/>
        <v>#REF!</v>
      </c>
      <c r="Y218" s="99" t="e">
        <f>#REF!</f>
        <v>#REF!</v>
      </c>
      <c r="Z218" s="99">
        <f t="shared" si="128"/>
        <v>27.239873333333321</v>
      </c>
      <c r="AJ218" s="146">
        <f t="shared" si="129"/>
        <v>21344.654850350693</v>
      </c>
      <c r="AK218" s="140">
        <v>902102.07494998316</v>
      </c>
      <c r="AL218" s="505">
        <f>AK218+([39]ГБ!$G$280*1000)</f>
        <v>876795.63494998321</v>
      </c>
    </row>
    <row r="219" spans="3:52">
      <c r="E219" s="29">
        <f t="shared" si="124"/>
        <v>0.49699999999999989</v>
      </c>
      <c r="F219" s="29"/>
      <c r="G219" s="29"/>
      <c r="H219" s="29"/>
      <c r="I219" s="33">
        <v>-7.4999999999999997E-2</v>
      </c>
      <c r="J219" s="256">
        <f t="shared" si="125"/>
        <v>0.53729729729729714</v>
      </c>
      <c r="K219">
        <v>7</v>
      </c>
      <c r="M219" s="33" t="e">
        <f>#REF!</f>
        <v>#REF!</v>
      </c>
      <c r="N219" s="33"/>
      <c r="O219" s="33">
        <f t="shared" si="126"/>
        <v>0.42199999999999993</v>
      </c>
      <c r="P219" s="4"/>
      <c r="Q219" s="4"/>
      <c r="R219" s="4"/>
      <c r="S219" s="4"/>
      <c r="T219" s="4"/>
      <c r="U219" s="4"/>
      <c r="V219" s="4"/>
      <c r="W219" s="33">
        <f t="shared" si="130"/>
        <v>0.42199999999999993</v>
      </c>
      <c r="X219" s="29" t="e">
        <f t="shared" si="127"/>
        <v>#REF!</v>
      </c>
      <c r="Y219" s="99" t="e">
        <f>#REF!</f>
        <v>#REF!</v>
      </c>
      <c r="Z219" s="99">
        <f t="shared" si="128"/>
        <v>27.214548387096801</v>
      </c>
      <c r="AO219">
        <v>14351.948927215542</v>
      </c>
      <c r="AP219">
        <v>15272.755373084912</v>
      </c>
      <c r="AQ219">
        <v>16320.50464595284</v>
      </c>
      <c r="AR219">
        <v>15509.445248729069</v>
      </c>
      <c r="AS219">
        <v>15636.364894632838</v>
      </c>
      <c r="AT219">
        <v>16636.792145062591</v>
      </c>
      <c r="AU219">
        <v>16361.528346980933</v>
      </c>
      <c r="AV219">
        <v>15781.21113345392</v>
      </c>
      <c r="AW219">
        <v>16283.176623677064</v>
      </c>
      <c r="AX219">
        <v>16342.114949758128</v>
      </c>
      <c r="AY219">
        <v>16087.720427370554</v>
      </c>
      <c r="AZ219">
        <v>18895.857590652045</v>
      </c>
    </row>
    <row r="220" spans="3:52">
      <c r="E220" s="29">
        <f t="shared" si="124"/>
        <v>0.51200000000000001</v>
      </c>
      <c r="F220" s="29"/>
      <c r="G220" s="29"/>
      <c r="H220" s="29"/>
      <c r="I220" s="33">
        <v>-4.7E-2</v>
      </c>
      <c r="J220" s="256">
        <f t="shared" si="125"/>
        <v>0.53725078698845774</v>
      </c>
      <c r="K220">
        <v>8</v>
      </c>
      <c r="M220" s="33" t="e">
        <f>#REF!</f>
        <v>#REF!</v>
      </c>
      <c r="N220" s="33"/>
      <c r="O220" s="33">
        <f t="shared" si="126"/>
        <v>0.46500000000000008</v>
      </c>
      <c r="P220" s="4"/>
      <c r="Q220" s="4"/>
      <c r="R220" s="4"/>
      <c r="S220" s="4"/>
      <c r="T220" s="4"/>
      <c r="U220" s="4"/>
      <c r="V220" s="4"/>
      <c r="W220" s="33">
        <f>O220*$O$227</f>
        <v>0.46500000000000008</v>
      </c>
      <c r="X220" s="29" t="e">
        <f t="shared" si="127"/>
        <v>#REF!</v>
      </c>
      <c r="Y220" s="99" t="e">
        <f>#REF!</f>
        <v>#REF!</v>
      </c>
      <c r="Z220" s="99">
        <f t="shared" si="128"/>
        <v>26.76</v>
      </c>
    </row>
    <row r="221" spans="3:52">
      <c r="E221" s="29">
        <f t="shared" si="124"/>
        <v>0.46800000000000003</v>
      </c>
      <c r="F221" s="29"/>
      <c r="G221" s="29"/>
      <c r="H221" s="29"/>
      <c r="I221" s="33">
        <v>-1.7000000000000001E-2</v>
      </c>
      <c r="J221" s="256">
        <f t="shared" si="125"/>
        <v>0.47609359104781301</v>
      </c>
      <c r="K221">
        <v>9</v>
      </c>
      <c r="M221" s="33" t="e">
        <f>#REF!</f>
        <v>#REF!</v>
      </c>
      <c r="N221" s="33"/>
      <c r="O221" s="33">
        <f t="shared" si="126"/>
        <v>0.45100000000000007</v>
      </c>
      <c r="P221" s="4"/>
      <c r="Q221" s="4"/>
      <c r="R221" s="4"/>
      <c r="S221" s="4"/>
      <c r="T221" s="4"/>
      <c r="U221" s="4"/>
      <c r="V221" s="4"/>
      <c r="W221" s="33">
        <f t="shared" si="130"/>
        <v>0.45100000000000007</v>
      </c>
      <c r="X221" s="29" t="e">
        <f t="shared" si="127"/>
        <v>#REF!</v>
      </c>
      <c r="Y221" s="99" t="e">
        <f>#REF!</f>
        <v>#REF!</v>
      </c>
      <c r="Z221" s="99">
        <f t="shared" si="128"/>
        <v>26.73</v>
      </c>
    </row>
    <row r="222" spans="3:52">
      <c r="E222" s="29">
        <f t="shared" si="124"/>
        <v>0.53999999999999992</v>
      </c>
      <c r="F222" s="29"/>
      <c r="G222" s="29"/>
      <c r="H222" s="29"/>
      <c r="I222" s="33">
        <v>3.2000000000000001E-2</v>
      </c>
      <c r="J222" s="256">
        <f t="shared" si="125"/>
        <v>0.52325581395348841</v>
      </c>
      <c r="K222">
        <v>10</v>
      </c>
      <c r="M222" s="33" t="e">
        <f>#REF!</f>
        <v>#REF!</v>
      </c>
      <c r="N222" s="33"/>
      <c r="O222" s="33">
        <f t="shared" si="126"/>
        <v>0.57200000000000006</v>
      </c>
      <c r="P222" s="4"/>
      <c r="Q222" s="4"/>
      <c r="R222" s="4"/>
      <c r="S222" s="4"/>
      <c r="T222" s="4"/>
      <c r="U222" s="4"/>
      <c r="V222" s="4"/>
      <c r="W222" s="33">
        <f t="shared" si="130"/>
        <v>0.57200000000000006</v>
      </c>
      <c r="X222" s="29" t="e">
        <f t="shared" si="127"/>
        <v>#REF!</v>
      </c>
      <c r="Y222" s="99" t="e">
        <f>#REF!</f>
        <v>#REF!</v>
      </c>
      <c r="Z222" s="99">
        <f t="shared" si="128"/>
        <v>26.37</v>
      </c>
    </row>
    <row r="223" spans="3:52">
      <c r="E223" s="29">
        <f t="shared" si="124"/>
        <v>0.52100000000000002</v>
      </c>
      <c r="F223" s="29"/>
      <c r="G223" s="29"/>
      <c r="H223" s="29"/>
      <c r="I223" s="33">
        <v>8.5999999999999993E-2</v>
      </c>
      <c r="J223" s="256">
        <f t="shared" si="125"/>
        <v>0.4797421731123388</v>
      </c>
      <c r="K223">
        <v>11</v>
      </c>
      <c r="M223" s="33" t="e">
        <f>#REF!</f>
        <v>#REF!</v>
      </c>
      <c r="N223" s="33"/>
      <c r="O223" s="33">
        <f t="shared" si="126"/>
        <v>0.60699999999999998</v>
      </c>
      <c r="P223" s="4"/>
      <c r="Q223" s="4"/>
      <c r="R223" s="4"/>
      <c r="S223" s="4"/>
      <c r="T223" s="4"/>
      <c r="U223" s="4"/>
      <c r="V223" s="4"/>
      <c r="W223" s="33">
        <f t="shared" si="130"/>
        <v>0.60699999999999998</v>
      </c>
      <c r="X223" s="29" t="e">
        <f t="shared" si="127"/>
        <v>#REF!</v>
      </c>
      <c r="Y223" s="99" t="e">
        <f>#REF!</f>
        <v>#REF!</v>
      </c>
      <c r="Z223" s="99">
        <f t="shared" si="128"/>
        <v>26.446000000000002</v>
      </c>
    </row>
    <row r="224" spans="3:52">
      <c r="E224" s="29">
        <f t="shared" si="124"/>
        <v>0.47699999999999998</v>
      </c>
      <c r="F224" s="29"/>
      <c r="G224" s="29"/>
      <c r="H224" s="29"/>
      <c r="I224" s="33">
        <v>0.14499999999999999</v>
      </c>
      <c r="J224" s="256">
        <f t="shared" si="125"/>
        <v>0.41659388646288198</v>
      </c>
      <c r="K224">
        <v>12</v>
      </c>
      <c r="M224" s="33" t="e">
        <f>#REF!</f>
        <v>#REF!</v>
      </c>
      <c r="N224" s="33"/>
      <c r="O224" s="33">
        <f t="shared" si="126"/>
        <v>0.75343319323486102</v>
      </c>
      <c r="P224" s="4"/>
      <c r="Q224" s="4"/>
      <c r="R224" s="4"/>
      <c r="S224" s="4"/>
      <c r="T224" s="4"/>
      <c r="U224" s="4"/>
      <c r="V224" s="4"/>
      <c r="W224" s="33">
        <f>O224*$O$227</f>
        <v>0.75343319323486102</v>
      </c>
      <c r="X224" s="29" t="e">
        <f t="shared" si="127"/>
        <v>#REF!</v>
      </c>
      <c r="Y224" s="99" t="e">
        <f>#REF!</f>
        <v>#REF!</v>
      </c>
      <c r="Z224" s="99">
        <f t="shared" si="128"/>
        <v>27.21</v>
      </c>
      <c r="AN224">
        <v>1.0149999999999999</v>
      </c>
    </row>
    <row r="225" spans="1:52">
      <c r="K225" s="259" t="s">
        <v>265</v>
      </c>
      <c r="L225" s="259"/>
      <c r="M225" s="260" t="e">
        <f>AVERAGE(M213:M224)</f>
        <v>#REF!</v>
      </c>
      <c r="N225" s="260"/>
      <c r="O225" s="260">
        <f>AVERAGE(O213:O224)</f>
        <v>0.41461943276957175</v>
      </c>
      <c r="P225" s="260"/>
      <c r="Q225" s="260"/>
      <c r="R225" s="260"/>
      <c r="S225" s="260"/>
      <c r="T225" s="260"/>
      <c r="U225" s="260"/>
      <c r="V225" s="260"/>
      <c r="W225" s="260">
        <f>AVERAGE(W213:W224)</f>
        <v>0.41461943276957175</v>
      </c>
    </row>
    <row r="226" spans="1:52" ht="36">
      <c r="O226" s="139" t="s">
        <v>264</v>
      </c>
      <c r="P226" s="139"/>
      <c r="Q226" s="139"/>
      <c r="R226" s="139"/>
      <c r="S226" s="139"/>
      <c r="T226" s="139"/>
      <c r="U226" s="139"/>
      <c r="V226" s="139"/>
      <c r="AN226" s="124">
        <f>AVERAGE(AO226:AZ226)</f>
        <v>27.3934376554229</v>
      </c>
      <c r="AO226" s="306">
        <v>27.325151949803619</v>
      </c>
      <c r="AP226" s="306">
        <v>27.28648382248976</v>
      </c>
      <c r="AQ226" s="306">
        <v>27.582282473126181</v>
      </c>
      <c r="AR226" s="306">
        <v>27.401370890902129</v>
      </c>
      <c r="AS226" s="306">
        <v>27.376618257532837</v>
      </c>
      <c r="AT226" s="306">
        <v>27.42153213182554</v>
      </c>
      <c r="AU226" s="306">
        <v>27.336738159740495</v>
      </c>
      <c r="AV226" s="306">
        <v>27.029420944416142</v>
      </c>
      <c r="AW226" s="306">
        <v>27.680277564711943</v>
      </c>
      <c r="AX226" s="306">
        <v>27.455258396971622</v>
      </c>
      <c r="AY226" s="306">
        <v>27.506208030548446</v>
      </c>
      <c r="AZ226" s="306">
        <v>27.319909243006148</v>
      </c>
    </row>
    <row r="227" spans="1:52">
      <c r="O227">
        <v>1</v>
      </c>
      <c r="AN227" s="124">
        <f>AVERAGE(AO227:AZ227)</f>
        <v>27.804339220254239</v>
      </c>
      <c r="AO227" s="391">
        <f>AO226*$AN$224</f>
        <v>27.735029229050671</v>
      </c>
      <c r="AP227" s="391">
        <f t="shared" ref="AP227:AZ227" si="131">AP226*$AN$224</f>
        <v>27.695781079827103</v>
      </c>
      <c r="AQ227" s="391">
        <f t="shared" si="131"/>
        <v>27.996016710223071</v>
      </c>
      <c r="AR227" s="391">
        <f t="shared" si="131"/>
        <v>27.812391454265658</v>
      </c>
      <c r="AS227" s="391">
        <f t="shared" si="131"/>
        <v>27.787267531395827</v>
      </c>
      <c r="AT227" s="391">
        <f t="shared" si="131"/>
        <v>27.832855113802921</v>
      </c>
      <c r="AU227" s="391">
        <f t="shared" si="131"/>
        <v>27.746789232136599</v>
      </c>
      <c r="AV227" s="391">
        <f t="shared" si="131"/>
        <v>27.434862258582381</v>
      </c>
      <c r="AW227" s="391">
        <f t="shared" si="131"/>
        <v>28.095481728182619</v>
      </c>
      <c r="AX227" s="391">
        <f t="shared" si="131"/>
        <v>27.867087272926195</v>
      </c>
      <c r="AY227" s="391">
        <f t="shared" si="131"/>
        <v>27.918801151006669</v>
      </c>
      <c r="AZ227" s="391">
        <f t="shared" si="131"/>
        <v>27.729707881651237</v>
      </c>
    </row>
    <row r="229" spans="1:52">
      <c r="AO229">
        <v>27.735029229050671</v>
      </c>
      <c r="AP229">
        <v>27.695781079827103</v>
      </c>
      <c r="AQ229">
        <v>27.996016710223071</v>
      </c>
      <c r="AR229">
        <v>27.812391454265658</v>
      </c>
      <c r="AS229">
        <v>27.787267531395827</v>
      </c>
      <c r="AT229">
        <v>27.832855113802921</v>
      </c>
      <c r="AU229">
        <v>27.746789232136599</v>
      </c>
      <c r="AV229">
        <v>27.434862258582381</v>
      </c>
      <c r="AW229">
        <v>28.095481728182619</v>
      </c>
      <c r="AX229">
        <v>27.867087272926195</v>
      </c>
      <c r="AY229">
        <v>27.918801151006669</v>
      </c>
      <c r="AZ229">
        <v>27.729707881651237</v>
      </c>
    </row>
    <row r="234" spans="1:52" ht="24">
      <c r="C234" s="318" t="s">
        <v>344</v>
      </c>
    </row>
    <row r="235" spans="1:52">
      <c r="D235" s="310">
        <v>2013</v>
      </c>
      <c r="E235" s="310">
        <v>2014</v>
      </c>
      <c r="F235" s="310">
        <v>2015</v>
      </c>
      <c r="G235" s="310">
        <v>2016</v>
      </c>
      <c r="H235" s="310">
        <v>2017</v>
      </c>
      <c r="I235" s="310">
        <v>2018</v>
      </c>
      <c r="J235" s="310">
        <v>2019</v>
      </c>
      <c r="K235" s="310">
        <v>2020</v>
      </c>
      <c r="L235" s="310"/>
      <c r="M235" s="310">
        <v>2021</v>
      </c>
      <c r="N235" s="310"/>
    </row>
    <row r="236" spans="1:52">
      <c r="A236" s="33"/>
      <c r="C236">
        <v>1</v>
      </c>
      <c r="D236" s="314">
        <v>0.29999999999999716</v>
      </c>
      <c r="E236" s="314">
        <v>0.5</v>
      </c>
      <c r="F236" s="314">
        <v>2.2999999999999972</v>
      </c>
      <c r="G236" s="314">
        <v>-1.0999999999999943</v>
      </c>
      <c r="H236" s="314">
        <v>-0.3</v>
      </c>
      <c r="I236" s="314">
        <v>4.4000000000000057</v>
      </c>
      <c r="J236" s="314">
        <v>1</v>
      </c>
      <c r="K236" s="314">
        <v>2.5</v>
      </c>
      <c r="L236" s="314"/>
      <c r="M236" s="314">
        <v>5.2000000000000028</v>
      </c>
      <c r="N236" s="314"/>
    </row>
    <row r="237" spans="1:52">
      <c r="A237" s="33"/>
      <c r="C237">
        <v>2</v>
      </c>
      <c r="D237" s="314">
        <v>-1.5999999999999943</v>
      </c>
      <c r="E237" s="314">
        <v>-0.29999999999999716</v>
      </c>
      <c r="F237" s="314">
        <v>4.7999999999999972</v>
      </c>
      <c r="G237" s="314">
        <v>1.5</v>
      </c>
      <c r="H237" s="314">
        <v>3.1</v>
      </c>
      <c r="I237" s="314">
        <v>1.2000000000000028</v>
      </c>
      <c r="J237" s="314">
        <v>1</v>
      </c>
      <c r="K237" s="314">
        <v>9.9999999999994316E-2</v>
      </c>
      <c r="L237" s="314"/>
      <c r="M237" s="314">
        <v>7.7999999999999972</v>
      </c>
      <c r="N237" s="314"/>
      <c r="AH237">
        <v>28.016152491027789</v>
      </c>
      <c r="AI237">
        <v>28.016152491027789</v>
      </c>
      <c r="AJ237">
        <v>27.895625207234886</v>
      </c>
      <c r="AK237">
        <v>27.961438008289264</v>
      </c>
      <c r="AM237">
        <v>27.826512308499538</v>
      </c>
      <c r="AN237">
        <v>27.646179592324586</v>
      </c>
      <c r="AO237">
        <v>27.566163719580636</v>
      </c>
      <c r="AP237">
        <v>27.505758822428191</v>
      </c>
      <c r="AQ237">
        <v>27.422891453795746</v>
      </c>
      <c r="AR237">
        <v>27.413980341756293</v>
      </c>
      <c r="AS237">
        <v>28.004205754364509</v>
      </c>
      <c r="AT237">
        <v>27.984013016298995</v>
      </c>
      <c r="AU237">
        <v>28.550613318503185</v>
      </c>
    </row>
    <row r="238" spans="1:52">
      <c r="A238" s="33"/>
      <c r="C238">
        <v>3</v>
      </c>
      <c r="D238" s="314">
        <v>2.2000000000000028</v>
      </c>
      <c r="E238" s="314">
        <v>2.7000000000000028</v>
      </c>
      <c r="F238" s="314">
        <v>10.5</v>
      </c>
      <c r="G238" s="314">
        <v>4</v>
      </c>
      <c r="H238" s="314">
        <v>3.5</v>
      </c>
      <c r="I238" s="314">
        <v>0.29999999999999716</v>
      </c>
      <c r="J238" s="314">
        <v>-1</v>
      </c>
      <c r="K238" s="314">
        <v>1.7999999999999972</v>
      </c>
      <c r="L238" s="314"/>
      <c r="M238" s="314">
        <v>1.5999999999999943</v>
      </c>
      <c r="N238" s="314"/>
      <c r="AH238">
        <v>27.895625207234886</v>
      </c>
    </row>
    <row r="239" spans="1:52">
      <c r="A239" s="33"/>
      <c r="C239">
        <v>4</v>
      </c>
      <c r="D239" s="314">
        <v>2.5</v>
      </c>
      <c r="E239" s="314">
        <v>6.0999999999999943</v>
      </c>
      <c r="F239" s="314">
        <v>4</v>
      </c>
      <c r="G239" s="314">
        <v>3.6</v>
      </c>
      <c r="H239" s="314">
        <v>1.6</v>
      </c>
      <c r="I239" s="314">
        <v>0</v>
      </c>
      <c r="J239" s="314">
        <v>-1.5</v>
      </c>
      <c r="K239" s="314">
        <v>9.9999999999994316E-2</v>
      </c>
      <c r="L239" s="314"/>
      <c r="M239" s="314">
        <v>1.2000000000000028</v>
      </c>
      <c r="N239" s="314"/>
      <c r="AH239">
        <v>27.961438008289264</v>
      </c>
    </row>
    <row r="240" spans="1:52">
      <c r="A240" s="33"/>
      <c r="C240">
        <v>5</v>
      </c>
      <c r="D240" s="314">
        <v>3.0999999999999943</v>
      </c>
      <c r="E240" s="314">
        <v>4.2999999999999972</v>
      </c>
      <c r="F240" s="314">
        <v>-0.40000000000000568</v>
      </c>
      <c r="G240" s="314">
        <v>5.3</v>
      </c>
      <c r="H240" s="314">
        <v>-1.3</v>
      </c>
      <c r="I240" s="314">
        <v>0.79999999999999716</v>
      </c>
      <c r="J240" s="314">
        <v>2.0999999999999943</v>
      </c>
      <c r="K240" s="314">
        <v>-0.59999999999999432</v>
      </c>
      <c r="L240" s="314"/>
      <c r="M240" s="314">
        <v>3.5999999999999943</v>
      </c>
      <c r="N240" s="314"/>
      <c r="AH240">
        <v>27.826512308499538</v>
      </c>
    </row>
    <row r="241" spans="1:35">
      <c r="A241" s="33"/>
      <c r="C241">
        <v>6</v>
      </c>
      <c r="D241" s="314">
        <v>-2.7000000000000028</v>
      </c>
      <c r="E241" s="314">
        <v>3.5999999999999943</v>
      </c>
      <c r="F241" s="314">
        <v>0.59999999999999432</v>
      </c>
      <c r="G241" s="314">
        <v>0</v>
      </c>
      <c r="H241" s="314">
        <v>-0.59999999999999432</v>
      </c>
      <c r="I241" s="314">
        <v>1.0999999999999943</v>
      </c>
      <c r="J241" s="314">
        <v>-2.7000000000000028</v>
      </c>
      <c r="K241" s="314">
        <v>-2</v>
      </c>
      <c r="L241" s="314"/>
      <c r="M241" s="315"/>
      <c r="N241" s="315"/>
      <c r="AH241">
        <v>27.646179592324586</v>
      </c>
    </row>
    <row r="242" spans="1:35">
      <c r="A242" s="33"/>
      <c r="C242">
        <v>7</v>
      </c>
      <c r="D242" s="314">
        <v>-2.9000000000000057</v>
      </c>
      <c r="E242" s="314">
        <v>2.7000000000000028</v>
      </c>
      <c r="F242" s="314">
        <v>2</v>
      </c>
      <c r="G242" s="314">
        <v>4.3</v>
      </c>
      <c r="H242" s="314">
        <v>1.8</v>
      </c>
      <c r="I242" s="314">
        <v>1.5999999999999943</v>
      </c>
      <c r="J242" s="314">
        <v>3.5999999999999943</v>
      </c>
      <c r="K242" s="314">
        <v>0.40000000000000568</v>
      </c>
      <c r="L242" s="314"/>
      <c r="M242" s="315"/>
      <c r="N242" s="315"/>
      <c r="AH242">
        <v>27.566163719580636</v>
      </c>
    </row>
    <row r="243" spans="1:35">
      <c r="A243" s="33"/>
      <c r="C243">
        <v>8</v>
      </c>
      <c r="D243" s="314">
        <v>1.2000000000000028</v>
      </c>
      <c r="E243" s="314">
        <v>2.5999999999999943</v>
      </c>
      <c r="F243" s="314">
        <v>-0.29999999999999716</v>
      </c>
      <c r="G243" s="314">
        <v>0.2</v>
      </c>
      <c r="H243" s="314">
        <v>0.4</v>
      </c>
      <c r="I243" s="314">
        <v>1.2999999999999972</v>
      </c>
      <c r="J243" s="314">
        <v>-0.70000000000000284</v>
      </c>
      <c r="K243" s="314">
        <v>2.2999999999999972</v>
      </c>
      <c r="L243" s="314"/>
      <c r="M243" s="315"/>
      <c r="N243" s="315"/>
      <c r="AH243">
        <v>27.505758822428191</v>
      </c>
    </row>
    <row r="244" spans="1:35">
      <c r="A244" s="33"/>
      <c r="C244">
        <v>9</v>
      </c>
      <c r="D244" s="314">
        <v>0.20000000000000284</v>
      </c>
      <c r="E244" s="314">
        <v>2.4000000000000057</v>
      </c>
      <c r="F244" s="314">
        <v>2</v>
      </c>
      <c r="G244" s="314">
        <v>2.6</v>
      </c>
      <c r="H244" s="314">
        <v>1.6</v>
      </c>
      <c r="I244" s="314">
        <v>1.2000000000000028</v>
      </c>
      <c r="J244" s="314">
        <v>-1.5</v>
      </c>
      <c r="K244" s="314">
        <v>1.7000000000000028</v>
      </c>
      <c r="L244" s="314"/>
      <c r="M244" s="315"/>
      <c r="N244" s="315"/>
      <c r="AH244">
        <v>27.422891453795746</v>
      </c>
    </row>
    <row r="245" spans="1:35">
      <c r="A245" s="33"/>
      <c r="C245">
        <v>10</v>
      </c>
      <c r="D245" s="314">
        <v>0.20000000000000284</v>
      </c>
      <c r="E245" s="314">
        <v>-0.70000000000000284</v>
      </c>
      <c r="F245" s="314">
        <v>-2.4000000000000057</v>
      </c>
      <c r="G245" s="314">
        <v>5.4</v>
      </c>
      <c r="H245" s="314">
        <v>2.2999999999999998</v>
      </c>
      <c r="I245" s="314">
        <v>0.29999999999999716</v>
      </c>
      <c r="J245" s="314">
        <v>-1.2000000000000028</v>
      </c>
      <c r="K245" s="314">
        <v>3.7999999999999972</v>
      </c>
      <c r="L245" s="314"/>
      <c r="M245" s="315"/>
      <c r="N245" s="315"/>
      <c r="AH245">
        <v>27.413980341756293</v>
      </c>
    </row>
    <row r="246" spans="1:35">
      <c r="A246" s="33"/>
      <c r="C246">
        <v>11</v>
      </c>
      <c r="D246" s="314">
        <v>-1.2999999999999972</v>
      </c>
      <c r="E246" s="314">
        <v>4.2000000000000028</v>
      </c>
      <c r="F246" s="314">
        <v>9.9999999999994316E-2</v>
      </c>
      <c r="G246" s="314">
        <v>2.2000000000000002</v>
      </c>
      <c r="H246" s="314">
        <v>1.8</v>
      </c>
      <c r="I246" s="314">
        <v>1.7000000000000028</v>
      </c>
      <c r="J246" s="314">
        <v>-3</v>
      </c>
      <c r="K246" s="314">
        <v>2</v>
      </c>
      <c r="L246" s="314"/>
      <c r="M246" s="315"/>
      <c r="N246" s="315"/>
      <c r="AH246">
        <v>28.004205754364509</v>
      </c>
    </row>
    <row r="247" spans="1:35">
      <c r="A247" s="33"/>
      <c r="C247">
        <v>12</v>
      </c>
      <c r="D247" s="314">
        <v>0.70000000000000284</v>
      </c>
      <c r="E247" s="314">
        <v>0</v>
      </c>
      <c r="F247" s="314">
        <v>0.29999999999999716</v>
      </c>
      <c r="G247" s="314">
        <v>3.2</v>
      </c>
      <c r="H247" s="314">
        <v>1.7</v>
      </c>
      <c r="I247" s="314">
        <v>-0.40000000000000568</v>
      </c>
      <c r="J247" s="314">
        <v>-3.5999999999999943</v>
      </c>
      <c r="K247" s="314">
        <v>1.7999999999999972</v>
      </c>
      <c r="L247" s="314"/>
      <c r="M247" s="315"/>
      <c r="N247" s="315"/>
      <c r="AH247">
        <v>27.984013016298995</v>
      </c>
    </row>
    <row r="248" spans="1:35">
      <c r="AH248">
        <v>28.550613318503185</v>
      </c>
    </row>
    <row r="249" spans="1:35">
      <c r="C249" s="316">
        <v>40909</v>
      </c>
      <c r="D249" s="317">
        <v>100</v>
      </c>
    </row>
    <row r="250" spans="1:35">
      <c r="C250">
        <v>1</v>
      </c>
      <c r="D250" s="19">
        <f>D249*(1+D236/100)</f>
        <v>100.29999999999998</v>
      </c>
      <c r="E250" s="19">
        <f t="shared" ref="E250:K250" si="132">D261*(1+E236/100)</f>
        <v>102.20924226960877</v>
      </c>
      <c r="F250" s="19">
        <f t="shared" si="132"/>
        <v>137.03313089432942</v>
      </c>
      <c r="G250" s="19">
        <f t="shared" si="132"/>
        <v>166.23268557507225</v>
      </c>
      <c r="H250" s="19">
        <f t="shared" si="132"/>
        <v>227.49386140714861</v>
      </c>
      <c r="I250" s="19">
        <f t="shared" si="132"/>
        <v>277.83439212806093</v>
      </c>
      <c r="J250" s="19">
        <f t="shared" si="132"/>
        <v>307.16052532837023</v>
      </c>
      <c r="K250" s="19">
        <f t="shared" si="132"/>
        <v>288.38428824953564</v>
      </c>
      <c r="L250" s="19"/>
      <c r="M250" s="19">
        <f>K261*(1+M236/100)</f>
        <v>339.38397426449956</v>
      </c>
      <c r="N250" s="19"/>
    </row>
    <row r="251" spans="1:35">
      <c r="C251">
        <v>2</v>
      </c>
      <c r="D251" s="19">
        <f t="shared" ref="D251:E261" si="133">D250*(1+D237/100)</f>
        <v>98.6952</v>
      </c>
      <c r="E251" s="19">
        <f t="shared" si="133"/>
        <v>101.90261454279994</v>
      </c>
      <c r="F251" s="19">
        <f t="shared" ref="F251:K251" si="134">F250*(1+F237/100)</f>
        <v>143.61072117725723</v>
      </c>
      <c r="G251" s="19">
        <f t="shared" si="134"/>
        <v>168.72617585869833</v>
      </c>
      <c r="H251" s="19">
        <f t="shared" si="134"/>
        <v>234.54617111077019</v>
      </c>
      <c r="I251" s="19">
        <f t="shared" si="134"/>
        <v>281.16840483359766</v>
      </c>
      <c r="J251" s="19">
        <f t="shared" si="134"/>
        <v>310.23213058165391</v>
      </c>
      <c r="K251" s="19">
        <f t="shared" si="134"/>
        <v>288.67267253778516</v>
      </c>
      <c r="L251" s="19"/>
      <c r="M251" s="19">
        <f>M250*(1+M237/100)</f>
        <v>365.85592425713054</v>
      </c>
      <c r="N251" s="19"/>
    </row>
    <row r="252" spans="1:35">
      <c r="C252">
        <v>3</v>
      </c>
      <c r="D252" s="19">
        <f t="shared" si="133"/>
        <v>100.86649440000001</v>
      </c>
      <c r="E252" s="19">
        <f t="shared" ref="E252:E261" si="135">E251*(1+E238/100)</f>
        <v>104.65398513545556</v>
      </c>
      <c r="F252" s="19">
        <f t="shared" ref="F252:F261" si="136">F251*(1+F238/100)</f>
        <v>158.68984690086924</v>
      </c>
      <c r="G252" s="19">
        <f t="shared" ref="G252:G261" si="137">G251*(1+G238/100)</f>
        <v>175.47522289304626</v>
      </c>
      <c r="H252" s="19">
        <f t="shared" ref="H252:H261" si="138">H251*(1+H238/100)</f>
        <v>242.75528709964712</v>
      </c>
      <c r="I252" s="19">
        <f t="shared" ref="I252:I261" si="139">I251*(1+I238/100)</f>
        <v>282.0119100480984</v>
      </c>
      <c r="J252" s="19">
        <f t="shared" ref="J252:J261" si="140">J251*(1+J238/100)</f>
        <v>307.12980927583737</v>
      </c>
      <c r="K252" s="19">
        <f t="shared" ref="K252:K261" si="141">K251*(1+K238/100)</f>
        <v>293.8687806434653</v>
      </c>
      <c r="L252" s="19"/>
      <c r="M252" s="19">
        <f>M251*(1+M238/100)</f>
        <v>371.70961904524461</v>
      </c>
      <c r="N252" s="19"/>
    </row>
    <row r="253" spans="1:35">
      <c r="C253">
        <v>4</v>
      </c>
      <c r="D253" s="19">
        <f t="shared" si="133"/>
        <v>103.38815676</v>
      </c>
      <c r="E253" s="19">
        <f t="shared" si="135"/>
        <v>111.03787822871834</v>
      </c>
      <c r="F253" s="19">
        <f t="shared" si="136"/>
        <v>165.03744077690402</v>
      </c>
      <c r="G253" s="19">
        <f t="shared" si="137"/>
        <v>181.79233091719593</v>
      </c>
      <c r="H253" s="19">
        <f t="shared" si="138"/>
        <v>246.63937169324149</v>
      </c>
      <c r="I253" s="19">
        <f t="shared" si="139"/>
        <v>282.0119100480984</v>
      </c>
      <c r="J253" s="19">
        <f t="shared" si="140"/>
        <v>302.52286213669981</v>
      </c>
      <c r="K253" s="19">
        <f t="shared" si="141"/>
        <v>294.16264942410874</v>
      </c>
      <c r="L253" s="19"/>
      <c r="M253" s="19">
        <f>M252*(1+M239/100)</f>
        <v>376.17013447378753</v>
      </c>
      <c r="N253" s="19"/>
    </row>
    <row r="254" spans="1:35">
      <c r="C254">
        <v>5</v>
      </c>
      <c r="D254" s="19">
        <f t="shared" si="133"/>
        <v>106.59318961955999</v>
      </c>
      <c r="E254" s="19">
        <f t="shared" si="135"/>
        <v>115.81250699255322</v>
      </c>
      <c r="F254" s="19">
        <f t="shared" si="136"/>
        <v>164.37729101379639</v>
      </c>
      <c r="G254" s="19">
        <f t="shared" si="137"/>
        <v>191.42732445580731</v>
      </c>
      <c r="H254" s="19">
        <f t="shared" si="138"/>
        <v>243.43305986122934</v>
      </c>
      <c r="I254" s="19">
        <f t="shared" si="139"/>
        <v>284.26800532848318</v>
      </c>
      <c r="J254" s="19">
        <f t="shared" si="140"/>
        <v>308.87584224157047</v>
      </c>
      <c r="K254" s="19">
        <f t="shared" si="141"/>
        <v>292.39767352756411</v>
      </c>
      <c r="L254" s="19"/>
      <c r="M254" s="19">
        <f>M253*(1+M240/100)</f>
        <v>389.71225931484389</v>
      </c>
      <c r="N254" s="19"/>
    </row>
    <row r="255" spans="1:35">
      <c r="C255">
        <v>6</v>
      </c>
      <c r="D255" s="19">
        <f t="shared" si="133"/>
        <v>103.71517349983188</v>
      </c>
      <c r="E255" s="19">
        <f t="shared" si="135"/>
        <v>119.98175724428515</v>
      </c>
      <c r="F255" s="19">
        <f t="shared" si="136"/>
        <v>165.36355475987918</v>
      </c>
      <c r="G255" s="19">
        <f t="shared" si="137"/>
        <v>191.42732445580731</v>
      </c>
      <c r="H255" s="19">
        <f t="shared" si="138"/>
        <v>241.97246150206198</v>
      </c>
      <c r="I255" s="19">
        <f t="shared" si="139"/>
        <v>287.39495338709645</v>
      </c>
      <c r="J255" s="19">
        <f t="shared" si="140"/>
        <v>300.53619450104804</v>
      </c>
      <c r="K255" s="19">
        <f t="shared" si="141"/>
        <v>286.54972005701285</v>
      </c>
      <c r="L255" s="19"/>
      <c r="M255" s="19"/>
      <c r="N255" s="19"/>
      <c r="AH255">
        <v>28.219770967741901</v>
      </c>
      <c r="AI255">
        <v>-1.7350080429817508E-2</v>
      </c>
    </row>
    <row r="256" spans="1:35">
      <c r="C256">
        <v>7</v>
      </c>
      <c r="D256" s="19">
        <f t="shared" si="133"/>
        <v>100.70743346833675</v>
      </c>
      <c r="E256" s="19">
        <f t="shared" si="135"/>
        <v>123.22126468988087</v>
      </c>
      <c r="F256" s="19">
        <f t="shared" si="136"/>
        <v>168.67082585507677</v>
      </c>
      <c r="G256" s="19">
        <f t="shared" si="137"/>
        <v>199.658699407407</v>
      </c>
      <c r="H256" s="19">
        <f t="shared" si="138"/>
        <v>246.32796580909908</v>
      </c>
      <c r="I256" s="19">
        <f t="shared" si="139"/>
        <v>291.99327264128999</v>
      </c>
      <c r="J256" s="19">
        <f t="shared" si="140"/>
        <v>311.35549750308576</v>
      </c>
      <c r="K256" s="19">
        <f t="shared" si="141"/>
        <v>287.69591893724089</v>
      </c>
      <c r="L256" s="19"/>
      <c r="M256" s="19"/>
      <c r="N256" s="19"/>
      <c r="AH256">
        <v>27.884660714285701</v>
      </c>
      <c r="AI256">
        <v>-1.3797583744952834E-2</v>
      </c>
    </row>
    <row r="257" spans="2:48">
      <c r="C257">
        <v>8</v>
      </c>
      <c r="D257" s="19">
        <f t="shared" si="133"/>
        <v>101.91592266995679</v>
      </c>
      <c r="E257" s="19">
        <f t="shared" si="135"/>
        <v>126.42501757181778</v>
      </c>
      <c r="F257" s="19">
        <f t="shared" si="136"/>
        <v>168.16481337751154</v>
      </c>
      <c r="G257" s="19">
        <f t="shared" si="137"/>
        <v>200.05801680622181</v>
      </c>
      <c r="H257" s="19">
        <f t="shared" si="138"/>
        <v>247.31327767233549</v>
      </c>
      <c r="I257" s="19">
        <f t="shared" si="139"/>
        <v>295.78918518562671</v>
      </c>
      <c r="J257" s="19">
        <f t="shared" si="140"/>
        <v>309.17600902056415</v>
      </c>
      <c r="K257" s="19">
        <f t="shared" si="141"/>
        <v>294.31292507279738</v>
      </c>
      <c r="L257" s="19"/>
      <c r="M257" s="19"/>
      <c r="N257" s="19"/>
      <c r="AH257">
        <v>27.795558064516101</v>
      </c>
      <c r="AI257">
        <v>1.2046222823793022E-2</v>
      </c>
    </row>
    <row r="258" spans="2:48">
      <c r="C258">
        <v>9</v>
      </c>
      <c r="D258" s="19">
        <f t="shared" si="133"/>
        <v>102.11975451529671</v>
      </c>
      <c r="E258" s="19">
        <f t="shared" si="135"/>
        <v>129.45921799354142</v>
      </c>
      <c r="F258" s="19">
        <f t="shared" si="136"/>
        <v>171.52810964506176</v>
      </c>
      <c r="G258" s="19">
        <f t="shared" si="137"/>
        <v>205.25952524318359</v>
      </c>
      <c r="H258" s="19">
        <f t="shared" si="138"/>
        <v>251.27029011509285</v>
      </c>
      <c r="I258" s="19">
        <f t="shared" si="139"/>
        <v>299.33865540785422</v>
      </c>
      <c r="J258" s="19">
        <f t="shared" si="140"/>
        <v>304.53836888525569</v>
      </c>
      <c r="K258" s="19">
        <f t="shared" si="141"/>
        <v>299.31624479903496</v>
      </c>
      <c r="L258" s="19"/>
      <c r="M258" s="19"/>
      <c r="N258" s="19"/>
      <c r="AH258">
        <v>27.93</v>
      </c>
      <c r="AI258">
        <v>0.1290732489909665</v>
      </c>
      <c r="AJ258">
        <v>28.219770967741901</v>
      </c>
      <c r="AK258">
        <v>27.884660714285701</v>
      </c>
      <c r="AM258">
        <v>27.795558064516101</v>
      </c>
      <c r="AN258">
        <v>27.93</v>
      </c>
      <c r="AO258">
        <v>27.6</v>
      </c>
      <c r="AP258">
        <v>27.239873333333321</v>
      </c>
      <c r="AQ258">
        <v>27.214548387096801</v>
      </c>
      <c r="AR258">
        <v>26.76</v>
      </c>
      <c r="AS258">
        <v>26.73</v>
      </c>
      <c r="AT258">
        <v>26.37</v>
      </c>
      <c r="AU258">
        <v>26.241164916597512</v>
      </c>
      <c r="AV258">
        <v>26.165463687038255</v>
      </c>
    </row>
    <row r="259" spans="2:48">
      <c r="C259">
        <v>10</v>
      </c>
      <c r="D259" s="19">
        <f t="shared" si="133"/>
        <v>102.32399402432731</v>
      </c>
      <c r="E259" s="19">
        <f t="shared" si="135"/>
        <v>128.55300346758662</v>
      </c>
      <c r="F259" s="19">
        <f t="shared" si="136"/>
        <v>167.41143501358027</v>
      </c>
      <c r="G259" s="19">
        <f t="shared" si="137"/>
        <v>216.34353960631552</v>
      </c>
      <c r="H259" s="19">
        <f t="shared" si="138"/>
        <v>257.04950678773997</v>
      </c>
      <c r="I259" s="19">
        <f t="shared" si="139"/>
        <v>300.23667137407773</v>
      </c>
      <c r="J259" s="19">
        <f t="shared" si="140"/>
        <v>300.88390845863262</v>
      </c>
      <c r="K259" s="19">
        <f t="shared" si="141"/>
        <v>310.69026210139828</v>
      </c>
      <c r="L259" s="19"/>
      <c r="M259" s="19"/>
      <c r="N259" s="19"/>
      <c r="AH259">
        <v>27.6</v>
      </c>
      <c r="AI259">
        <v>5.7381904989615908E-2</v>
      </c>
    </row>
    <row r="260" spans="2:48">
      <c r="C260">
        <v>11</v>
      </c>
      <c r="D260" s="19">
        <f t="shared" si="133"/>
        <v>100.99378210201105</v>
      </c>
      <c r="E260" s="19">
        <f t="shared" si="135"/>
        <v>133.95222961322526</v>
      </c>
      <c r="F260" s="19">
        <f t="shared" si="136"/>
        <v>167.57884644859382</v>
      </c>
      <c r="G260" s="19">
        <f t="shared" si="137"/>
        <v>221.10309747765447</v>
      </c>
      <c r="H260" s="19">
        <f t="shared" si="138"/>
        <v>261.67639790991927</v>
      </c>
      <c r="I260" s="19">
        <f t="shared" si="139"/>
        <v>305.34069478743709</v>
      </c>
      <c r="J260" s="19">
        <f t="shared" si="140"/>
        <v>291.85739120487364</v>
      </c>
      <c r="K260" s="19">
        <f t="shared" si="141"/>
        <v>316.90406734342622</v>
      </c>
      <c r="L260" s="19"/>
      <c r="M260" s="19"/>
      <c r="N260" s="19"/>
      <c r="AH260">
        <v>27.239873333333321</v>
      </c>
      <c r="AI260">
        <v>2.2676195510342809E-2</v>
      </c>
      <c r="AJ260">
        <v>-1.7350080429817508E-2</v>
      </c>
      <c r="AK260">
        <v>-1.3797583744952834E-2</v>
      </c>
      <c r="AM260">
        <v>1.2046222823793022E-2</v>
      </c>
      <c r="AN260">
        <v>0.1290732489909665</v>
      </c>
      <c r="AO260">
        <v>5.7381904989615908E-2</v>
      </c>
      <c r="AP260">
        <v>2.2676195510342809E-2</v>
      </c>
      <c r="AQ260">
        <v>2.5421474220125244E-2</v>
      </c>
      <c r="AR260">
        <v>4.9165891630436151E-2</v>
      </c>
      <c r="AS260">
        <v>-8.1193461059016325E-3</v>
      </c>
    </row>
    <row r="261" spans="2:48">
      <c r="C261">
        <v>12</v>
      </c>
      <c r="D261" s="19">
        <f t="shared" si="133"/>
        <v>101.70073857672514</v>
      </c>
      <c r="E261" s="19">
        <f t="shared" si="135"/>
        <v>133.95222961322526</v>
      </c>
      <c r="F261" s="19">
        <f t="shared" si="136"/>
        <v>168.08158298793958</v>
      </c>
      <c r="G261" s="19">
        <f t="shared" si="137"/>
        <v>228.17839659693942</v>
      </c>
      <c r="H261" s="19">
        <f t="shared" si="138"/>
        <v>266.12489667438786</v>
      </c>
      <c r="I261" s="19">
        <f t="shared" si="139"/>
        <v>304.11933200828736</v>
      </c>
      <c r="J261" s="19">
        <f t="shared" si="140"/>
        <v>281.35052512149821</v>
      </c>
      <c r="K261" s="19">
        <f t="shared" si="141"/>
        <v>322.60834055560792</v>
      </c>
      <c r="L261" s="19"/>
      <c r="M261" s="19"/>
      <c r="N261" s="19"/>
      <c r="AH261">
        <v>27.214548387096801</v>
      </c>
      <c r="AI261">
        <v>2.5421474220125244E-2</v>
      </c>
    </row>
    <row r="262" spans="2:48">
      <c r="AH262">
        <v>26.76</v>
      </c>
      <c r="AI262">
        <v>4.9165891630436151E-2</v>
      </c>
    </row>
    <row r="263" spans="2:48">
      <c r="AH263">
        <v>26.73</v>
      </c>
      <c r="AI263">
        <v>-8.1193461059016325E-3</v>
      </c>
    </row>
    <row r="264" spans="2:48">
      <c r="AH264">
        <v>26.37</v>
      </c>
      <c r="AI264">
        <v>4.3897362458763182E-2</v>
      </c>
    </row>
    <row r="265" spans="2:48">
      <c r="AH265">
        <v>26.241164916597512</v>
      </c>
      <c r="AI265">
        <v>2.4203085293595314E-2</v>
      </c>
    </row>
    <row r="266" spans="2:48">
      <c r="AH266">
        <v>26.165463687038255</v>
      </c>
      <c r="AI266">
        <v>1.4432586182462672E-2</v>
      </c>
    </row>
    <row r="268" spans="2:48">
      <c r="I268" s="617" t="str">
        <f>'Чарти 5-7'!$B$1</f>
        <v>UKR</v>
      </c>
    </row>
    <row r="269" spans="2:48">
      <c r="D269" s="605" t="s">
        <v>273</v>
      </c>
      <c r="E269" s="605"/>
      <c r="F269" s="605" t="s">
        <v>1957</v>
      </c>
    </row>
    <row r="270" spans="2:48">
      <c r="D270" s="605" t="str">
        <f>K270</f>
        <v>ІЦВ</v>
      </c>
      <c r="E270" s="605" t="s">
        <v>1956</v>
      </c>
      <c r="F270" s="605" t="s">
        <v>1958</v>
      </c>
      <c r="G270" s="605" t="s">
        <v>1959</v>
      </c>
      <c r="J270" t="str">
        <f>INDEX($J$272:$J$274,MATCH($I$268,I272:I274,0))</f>
        <v>% р-р</v>
      </c>
      <c r="K270" t="str">
        <f>INDEX($K$272:$K$274,MATCH($I$268,I272:I274,0))</f>
        <v>ІЦВ</v>
      </c>
    </row>
    <row r="272" spans="2:48">
      <c r="B272">
        <v>2021</v>
      </c>
      <c r="C272">
        <v>1</v>
      </c>
      <c r="D272" s="29">
        <f>J134</f>
        <v>0.17599999999999999</v>
      </c>
      <c r="E272" s="158">
        <f>AE134</f>
        <v>107.3942318607757</v>
      </c>
      <c r="I272" s="6" t="s">
        <v>501</v>
      </c>
      <c r="J272" t="s">
        <v>1960</v>
      </c>
      <c r="K272" t="s">
        <v>256</v>
      </c>
    </row>
    <row r="273" spans="2:11">
      <c r="C273">
        <v>2</v>
      </c>
      <c r="D273" s="98">
        <f t="shared" ref="D273:D283" si="142">J135</f>
        <v>0.26600000000000001</v>
      </c>
      <c r="E273" s="158">
        <f t="shared" ref="E273:E283" si="143">AE135</f>
        <v>107.27689409677562</v>
      </c>
      <c r="I273" s="6" t="s">
        <v>502</v>
      </c>
      <c r="J273" t="s">
        <v>1961</v>
      </c>
      <c r="K273" s="605" t="s">
        <v>10</v>
      </c>
    </row>
    <row r="274" spans="2:11">
      <c r="C274">
        <v>3</v>
      </c>
      <c r="D274" s="98">
        <f t="shared" si="142"/>
        <v>0.26300000000000001</v>
      </c>
      <c r="E274" s="158">
        <f t="shared" si="143"/>
        <v>109.38117039790873</v>
      </c>
      <c r="I274" s="6" t="s">
        <v>500</v>
      </c>
      <c r="J274" t="s">
        <v>1962</v>
      </c>
      <c r="K274" t="s">
        <v>1963</v>
      </c>
    </row>
    <row r="275" spans="2:11">
      <c r="C275">
        <v>4</v>
      </c>
      <c r="D275" s="98">
        <f t="shared" si="142"/>
        <v>0.27800000000000002</v>
      </c>
      <c r="E275" s="158">
        <f t="shared" si="143"/>
        <v>114.88689547968715</v>
      </c>
    </row>
    <row r="276" spans="2:11">
      <c r="C276">
        <v>5</v>
      </c>
      <c r="D276" s="98">
        <f t="shared" si="142"/>
        <v>0.33100000000000002</v>
      </c>
      <c r="E276" s="158">
        <f t="shared" si="143"/>
        <v>127.36303446213165</v>
      </c>
    </row>
    <row r="277" spans="2:11">
      <c r="C277">
        <v>6</v>
      </c>
      <c r="D277" s="98">
        <f t="shared" si="142"/>
        <v>0.39100000000000001</v>
      </c>
      <c r="E277" s="158">
        <f t="shared" si="143"/>
        <v>130.64615081746115</v>
      </c>
    </row>
    <row r="278" spans="2:11">
      <c r="C278">
        <v>7</v>
      </c>
      <c r="D278" s="98">
        <f t="shared" si="142"/>
        <v>0.42199999999999988</v>
      </c>
      <c r="E278" s="158">
        <f t="shared" si="143"/>
        <v>130.68952299701678</v>
      </c>
    </row>
    <row r="279" spans="2:11">
      <c r="C279">
        <v>8</v>
      </c>
      <c r="D279" s="98">
        <f t="shared" si="142"/>
        <v>0.46500000000000002</v>
      </c>
      <c r="E279" s="158">
        <f t="shared" si="143"/>
        <v>121.37686063335032</v>
      </c>
    </row>
    <row r="280" spans="2:11">
      <c r="C280">
        <v>9</v>
      </c>
      <c r="D280" s="98">
        <f t="shared" si="142"/>
        <v>0.45100000000000001</v>
      </c>
      <c r="E280" s="158">
        <f t="shared" si="143"/>
        <v>117.4428654492054</v>
      </c>
    </row>
    <row r="281" spans="2:11">
      <c r="C281">
        <v>10</v>
      </c>
      <c r="D281" s="98">
        <f t="shared" si="142"/>
        <v>0.57199999999999995</v>
      </c>
      <c r="E281" s="158">
        <f t="shared" si="143"/>
        <v>129.9378643666553</v>
      </c>
    </row>
    <row r="282" spans="2:11">
      <c r="C282">
        <v>11</v>
      </c>
      <c r="D282" s="98">
        <f t="shared" si="142"/>
        <v>0.60699999999999998</v>
      </c>
      <c r="E282" s="158">
        <f t="shared" si="143"/>
        <v>123.5061720626106</v>
      </c>
    </row>
    <row r="283" spans="2:11">
      <c r="C283">
        <v>12</v>
      </c>
      <c r="D283" s="98">
        <f t="shared" si="142"/>
        <v>0.622</v>
      </c>
      <c r="E283" s="158">
        <f t="shared" si="143"/>
        <v>139.12591896129169</v>
      </c>
    </row>
    <row r="284" spans="2:11">
      <c r="B284">
        <v>2022</v>
      </c>
      <c r="C284">
        <v>1</v>
      </c>
      <c r="D284" s="98">
        <f>U148</f>
        <v>0.69099999999999995</v>
      </c>
      <c r="E284" s="158">
        <f>AE148</f>
        <v>155.10996500177873</v>
      </c>
    </row>
    <row r="285" spans="2:11">
      <c r="C285">
        <v>2</v>
      </c>
      <c r="D285" s="887">
        <f>F285</f>
        <v>0.53500000000000003</v>
      </c>
      <c r="E285" s="158">
        <f t="shared" ref="E285:E295" si="144">AE149</f>
        <v>160.75564639999533</v>
      </c>
      <c r="F285" s="887">
        <f t="shared" ref="F285:F295" si="145">U149</f>
        <v>0.53500000000000003</v>
      </c>
    </row>
    <row r="286" spans="2:11">
      <c r="C286">
        <v>3</v>
      </c>
      <c r="E286" s="158">
        <f t="shared" si="144"/>
        <v>209.5082557254367</v>
      </c>
      <c r="F286" s="98">
        <f t="shared" si="145"/>
        <v>0.57019138616037024</v>
      </c>
    </row>
    <row r="287" spans="2:11">
      <c r="C287">
        <v>4</v>
      </c>
      <c r="E287" s="158">
        <f t="shared" si="144"/>
        <v>190.610414582011</v>
      </c>
      <c r="F287" s="98">
        <f t="shared" si="145"/>
        <v>0.62967310526321851</v>
      </c>
    </row>
    <row r="288" spans="2:11">
      <c r="C288">
        <v>5</v>
      </c>
      <c r="E288" s="158">
        <f t="shared" si="144"/>
        <v>183.00936410355791</v>
      </c>
      <c r="F288" s="98">
        <f t="shared" si="145"/>
        <v>0.62426841470854244</v>
      </c>
    </row>
    <row r="289" spans="2:6">
      <c r="C289">
        <v>6</v>
      </c>
      <c r="E289" s="158">
        <f t="shared" si="144"/>
        <v>186.75808375886092</v>
      </c>
      <c r="F289" s="98">
        <f t="shared" si="145"/>
        <v>0.60520647012792284</v>
      </c>
    </row>
    <row r="290" spans="2:6">
      <c r="C290">
        <v>7</v>
      </c>
      <c r="E290" s="158">
        <f t="shared" si="144"/>
        <v>205.13848403225657</v>
      </c>
      <c r="F290" s="98">
        <f t="shared" si="145"/>
        <v>0.70414817775523686</v>
      </c>
    </row>
    <row r="291" spans="2:6">
      <c r="C291">
        <v>8</v>
      </c>
      <c r="E291" s="158">
        <f t="shared" si="144"/>
        <v>230.60665470544814</v>
      </c>
      <c r="F291" s="98">
        <f t="shared" si="145"/>
        <v>0.71958968373921817</v>
      </c>
    </row>
    <row r="292" spans="2:6">
      <c r="C292">
        <v>9</v>
      </c>
      <c r="E292" s="158">
        <f t="shared" si="144"/>
        <v>210.54868377955887</v>
      </c>
      <c r="F292" s="98">
        <f t="shared" si="145"/>
        <v>0.68047585317584036</v>
      </c>
    </row>
    <row r="293" spans="2:6">
      <c r="C293">
        <v>10</v>
      </c>
      <c r="E293" s="158">
        <f t="shared" si="144"/>
        <v>178.69019960961467</v>
      </c>
      <c r="F293" s="98">
        <f t="shared" si="145"/>
        <v>0.58804126527813017</v>
      </c>
    </row>
    <row r="294" spans="2:6">
      <c r="C294">
        <v>11</v>
      </c>
      <c r="E294" s="158">
        <f t="shared" si="144"/>
        <v>164.50445003631515</v>
      </c>
      <c r="F294" s="98">
        <f t="shared" si="145"/>
        <v>0.52742962154455708</v>
      </c>
    </row>
    <row r="295" spans="2:6">
      <c r="C295">
        <v>12</v>
      </c>
      <c r="E295" s="158">
        <f t="shared" si="144"/>
        <v>161.90078935475867</v>
      </c>
      <c r="F295" s="98">
        <f t="shared" si="145"/>
        <v>0.46338681153266803</v>
      </c>
    </row>
    <row r="296" spans="2:6">
      <c r="B296">
        <v>2023</v>
      </c>
      <c r="C296">
        <v>1</v>
      </c>
      <c r="E296" s="158">
        <f>AE165</f>
        <v>146.68577622635451</v>
      </c>
      <c r="F296" s="98">
        <f t="shared" ref="F296:F307" si="146">U165</f>
        <v>0.34363129235076406</v>
      </c>
    </row>
    <row r="297" spans="2:6">
      <c r="C297">
        <v>2</v>
      </c>
      <c r="E297" s="158">
        <f t="shared" ref="E297:E305" si="147">AE166</f>
        <v>138.74359824996117</v>
      </c>
      <c r="F297" s="98">
        <f t="shared" si="146"/>
        <v>0.39166470562554023</v>
      </c>
    </row>
    <row r="298" spans="2:6">
      <c r="C298">
        <v>3</v>
      </c>
      <c r="E298" s="158">
        <f t="shared" si="147"/>
        <v>126.90257301984613</v>
      </c>
      <c r="F298" s="98">
        <f t="shared" si="146"/>
        <v>0.36342039795414216</v>
      </c>
    </row>
    <row r="299" spans="2:6">
      <c r="C299">
        <v>4</v>
      </c>
      <c r="E299" s="158">
        <f t="shared" si="147"/>
        <v>126.90331385610364</v>
      </c>
      <c r="F299" s="98">
        <f t="shared" si="146"/>
        <v>0.31382975952882086</v>
      </c>
    </row>
    <row r="300" spans="2:6">
      <c r="C300">
        <v>5</v>
      </c>
      <c r="E300" s="158">
        <f t="shared" si="147"/>
        <v>111.52648750672626</v>
      </c>
      <c r="F300" s="98">
        <f t="shared" si="146"/>
        <v>0.28257441046457132</v>
      </c>
    </row>
    <row r="301" spans="2:6">
      <c r="C301">
        <v>6</v>
      </c>
      <c r="E301" s="158">
        <f t="shared" si="147"/>
        <v>111.55227321847254</v>
      </c>
      <c r="F301" s="98">
        <f t="shared" si="146"/>
        <v>0.26886638827348186</v>
      </c>
    </row>
    <row r="302" spans="2:6">
      <c r="C302">
        <v>7</v>
      </c>
      <c r="E302" s="158">
        <f t="shared" si="147"/>
        <v>109.38568070013625</v>
      </c>
      <c r="F302" s="29">
        <f t="shared" si="146"/>
        <v>0.1948085482192834</v>
      </c>
    </row>
    <row r="303" spans="2:6">
      <c r="C303">
        <v>8</v>
      </c>
      <c r="E303" s="158">
        <f t="shared" si="147"/>
        <v>109.34920390790697</v>
      </c>
      <c r="F303" s="29">
        <f t="shared" si="146"/>
        <v>0.13053000167144946</v>
      </c>
    </row>
    <row r="304" spans="2:6">
      <c r="C304">
        <v>9</v>
      </c>
      <c r="E304" s="158">
        <f t="shared" si="147"/>
        <v>114.50213310122605</v>
      </c>
      <c r="F304" s="29">
        <f t="shared" si="146"/>
        <v>0.16948041723356866</v>
      </c>
    </row>
    <row r="305" spans="2:7">
      <c r="C305">
        <v>10</v>
      </c>
      <c r="E305" s="158">
        <f t="shared" si="147"/>
        <v>121.49279304972606</v>
      </c>
      <c r="F305" s="29">
        <f t="shared" si="146"/>
        <v>0.13352640883677336</v>
      </c>
      <c r="G305" s="890"/>
    </row>
    <row r="306" spans="2:7">
      <c r="C306">
        <v>11</v>
      </c>
      <c r="E306" s="890">
        <f>G306</f>
        <v>110.31591659566976</v>
      </c>
      <c r="F306" s="29">
        <f t="shared" si="146"/>
        <v>0.15283281140564919</v>
      </c>
      <c r="G306" s="890">
        <f>AE175</f>
        <v>110.31591659566976</v>
      </c>
    </row>
    <row r="307" spans="2:7">
      <c r="C307">
        <v>12</v>
      </c>
      <c r="E307" s="158"/>
      <c r="F307" s="29">
        <f t="shared" si="146"/>
        <v>0.17265876144614034</v>
      </c>
      <c r="G307" s="158">
        <f>AE176</f>
        <v>102.74267749941828</v>
      </c>
    </row>
    <row r="308" spans="2:7">
      <c r="B308">
        <v>2024</v>
      </c>
      <c r="C308">
        <v>1</v>
      </c>
      <c r="F308" s="29">
        <f>U180</f>
        <v>0.155</v>
      </c>
      <c r="G308" s="158">
        <f>AE180</f>
        <v>101.93020878921494</v>
      </c>
    </row>
    <row r="309" spans="2:7">
      <c r="C309">
        <v>2</v>
      </c>
      <c r="F309" s="29">
        <f t="shared" ref="F309:F318" si="148">U181</f>
        <v>0.14299999999999999</v>
      </c>
      <c r="G309" s="158">
        <f t="shared" ref="G309:G318" si="149">AE181</f>
        <v>101.31443162196511</v>
      </c>
    </row>
    <row r="310" spans="2:7">
      <c r="C310">
        <v>3</v>
      </c>
      <c r="F310" s="29">
        <f t="shared" si="148"/>
        <v>0.13</v>
      </c>
      <c r="G310" s="158">
        <f t="shared" si="149"/>
        <v>100.53593474810968</v>
      </c>
    </row>
    <row r="311" spans="2:7">
      <c r="C311">
        <v>4</v>
      </c>
      <c r="F311" s="29">
        <f t="shared" si="148"/>
        <v>9.3001200095956651E-2</v>
      </c>
      <c r="G311" s="158">
        <f t="shared" si="149"/>
        <v>100.91179773295472</v>
      </c>
    </row>
    <row r="312" spans="2:7">
      <c r="C312">
        <v>5</v>
      </c>
      <c r="F312" s="29">
        <f t="shared" si="148"/>
        <v>9.4972270262713834E-2</v>
      </c>
      <c r="G312" s="158">
        <f t="shared" si="149"/>
        <v>101.17796298362366</v>
      </c>
    </row>
    <row r="313" spans="2:7">
      <c r="C313">
        <v>6</v>
      </c>
      <c r="F313" s="29">
        <f t="shared" si="148"/>
        <v>8.4970886117168187E-2</v>
      </c>
      <c r="G313" s="158">
        <f t="shared" si="149"/>
        <v>101.21153785639414</v>
      </c>
    </row>
    <row r="314" spans="2:7">
      <c r="C314">
        <v>7</v>
      </c>
      <c r="F314" s="29">
        <f t="shared" si="148"/>
        <v>8.4379717478597419E-2</v>
      </c>
      <c r="G314" s="158">
        <f t="shared" si="149"/>
        <v>101.82123928676134</v>
      </c>
    </row>
    <row r="315" spans="2:7">
      <c r="C315">
        <v>8</v>
      </c>
      <c r="F315" s="29">
        <f t="shared" si="148"/>
        <v>8.4379962065531805E-2</v>
      </c>
      <c r="G315" s="158">
        <f t="shared" si="149"/>
        <v>102.12258769870664</v>
      </c>
    </row>
    <row r="316" spans="2:7">
      <c r="C316">
        <v>9</v>
      </c>
      <c r="F316" s="29">
        <f t="shared" si="148"/>
        <v>9.2275929259656553E-2</v>
      </c>
      <c r="G316" s="158">
        <f t="shared" si="149"/>
        <v>102.5158661227303</v>
      </c>
    </row>
    <row r="317" spans="2:7">
      <c r="C317">
        <v>10</v>
      </c>
      <c r="F317" s="29">
        <f t="shared" si="148"/>
        <v>9.3232216386705771E-2</v>
      </c>
      <c r="G317" s="158">
        <f t="shared" si="149"/>
        <v>103.00714104124147</v>
      </c>
    </row>
    <row r="318" spans="2:7">
      <c r="C318">
        <v>11</v>
      </c>
      <c r="F318" s="29">
        <f t="shared" si="148"/>
        <v>0.10245008391754613</v>
      </c>
      <c r="G318" s="158">
        <f t="shared" si="149"/>
        <v>105.29329300463289</v>
      </c>
    </row>
    <row r="319" spans="2:7">
      <c r="C319">
        <v>12</v>
      </c>
      <c r="F319" s="29">
        <f>U191</f>
        <v>0.13125428063831976</v>
      </c>
      <c r="G319" s="158">
        <f>AE191</f>
        <v>105.88194455336817</v>
      </c>
    </row>
  </sheetData>
  <conditionalFormatting sqref="D236:N247">
    <cfRule type="colorScale" priority="17">
      <colorScale>
        <cfvo type="min"/>
        <cfvo type="percentile" val="50"/>
        <cfvo type="max"/>
        <color rgb="FFF8696B"/>
        <color rgb="FFFCFCFF"/>
        <color rgb="FF63BE7B"/>
      </colorScale>
    </cfRule>
  </conditionalFormatting>
  <conditionalFormatting sqref="D250:N261">
    <cfRule type="colorScale" priority="13">
      <colorScale>
        <cfvo type="min"/>
        <cfvo type="percentile" val="50"/>
        <cfvo type="max"/>
        <color rgb="FFF8696B"/>
        <color rgb="FFFCFCFF"/>
        <color rgb="FF63BE7B"/>
      </colorScale>
    </cfRule>
  </conditionalFormatting>
  <conditionalFormatting sqref="E180:E191">
    <cfRule type="colorScale" priority="1">
      <colorScale>
        <cfvo type="min"/>
        <cfvo type="percentile" val="50"/>
        <cfvo type="max"/>
        <color rgb="FFF8696B"/>
        <color rgb="FFFCFCFF"/>
        <color rgb="FF63BE7B"/>
      </colorScale>
    </cfRule>
  </conditionalFormatting>
  <conditionalFormatting sqref="G148:G159">
    <cfRule type="colorScale" priority="8">
      <colorScale>
        <cfvo type="min"/>
        <cfvo type="percentile" val="50"/>
        <cfvo type="max"/>
        <color rgb="FFF8696B"/>
        <color rgb="FFFCFCFF"/>
        <color rgb="FF63BE7B"/>
      </colorScale>
    </cfRule>
  </conditionalFormatting>
  <conditionalFormatting sqref="G165:G176">
    <cfRule type="colorScale" priority="5">
      <colorScale>
        <cfvo type="min"/>
        <cfvo type="percentile" val="50"/>
        <cfvo type="max"/>
        <color rgb="FFF8696B"/>
        <color rgb="FFFCFCFF"/>
        <color rgb="FF63BE7B"/>
      </colorScale>
    </cfRule>
  </conditionalFormatting>
  <conditionalFormatting sqref="H38:H145">
    <cfRule type="colorScale" priority="7">
      <colorScale>
        <cfvo type="min"/>
        <cfvo type="percentile" val="50"/>
        <cfvo type="max"/>
        <color rgb="FFF8696B"/>
        <color rgb="FFFCFCFF"/>
        <color rgb="FF63BE7B"/>
      </colorScale>
    </cfRule>
  </conditionalFormatting>
  <conditionalFormatting sqref="H148:H159">
    <cfRule type="colorScale" priority="9">
      <colorScale>
        <cfvo type="min"/>
        <cfvo type="percentile" val="50"/>
        <cfvo type="max"/>
        <color rgb="FFF8696B"/>
        <color rgb="FFFCFCFF"/>
        <color rgb="FF63BE7B"/>
      </colorScale>
    </cfRule>
  </conditionalFormatting>
  <conditionalFormatting sqref="H165:H176">
    <cfRule type="colorScale" priority="6">
      <colorScale>
        <cfvo type="min"/>
        <cfvo type="percentile" val="50"/>
        <cfvo type="max"/>
        <color rgb="FFF8696B"/>
        <color rgb="FFFCFCFF"/>
        <color rgb="FF63BE7B"/>
      </colorScale>
    </cfRule>
  </conditionalFormatting>
  <conditionalFormatting sqref="H180:H191">
    <cfRule type="colorScale" priority="2">
      <colorScale>
        <cfvo type="min"/>
        <cfvo type="percentile" val="50"/>
        <cfvo type="max"/>
        <color rgb="FFF8696B"/>
        <color rgb="FFFCFCFF"/>
        <color rgb="FF63BE7B"/>
      </colorScale>
    </cfRule>
  </conditionalFormatting>
  <conditionalFormatting sqref="I213:I224">
    <cfRule type="colorScale" priority="18">
      <colorScale>
        <cfvo type="min"/>
        <cfvo type="percentile" val="50"/>
        <cfvo type="max"/>
        <color rgb="FFF8696B"/>
        <color rgb="FFFCFCFF"/>
        <color rgb="FF63BE7B"/>
      </colorScale>
    </cfRule>
  </conditionalFormatting>
  <conditionalFormatting sqref="AY148:AY159">
    <cfRule type="colorScale" priority="10">
      <colorScale>
        <cfvo type="min"/>
        <cfvo type="percentile" val="50"/>
        <cfvo type="max"/>
        <color rgb="FFF8696B"/>
        <color rgb="FFFCFCFF"/>
        <color rgb="FF63BE7B"/>
      </colorScale>
    </cfRule>
  </conditionalFormatting>
  <conditionalFormatting sqref="BB149:BC159">
    <cfRule type="colorScale" priority="12">
      <colorScale>
        <cfvo type="min"/>
        <cfvo type="percentile" val="50"/>
        <cfvo type="max"/>
        <color rgb="FFF8696B"/>
        <color rgb="FFFCFCFF"/>
        <color rgb="FF63BE7B"/>
      </colorScale>
    </cfRule>
  </conditionalFormatting>
  <conditionalFormatting sqref="BD149:BD159">
    <cfRule type="colorScale" priority="11">
      <colorScale>
        <cfvo type="min"/>
        <cfvo type="percentile" val="50"/>
        <cfvo type="max"/>
        <color rgb="FFF8696B"/>
        <color rgb="FFFCFCFF"/>
        <color rgb="FF63BE7B"/>
      </colorScale>
    </cfRule>
  </conditionalFormatting>
  <conditionalFormatting sqref="BE125:BL136">
    <cfRule type="colorScale" priority="4">
      <colorScale>
        <cfvo type="min"/>
        <cfvo type="percentile" val="50"/>
        <cfvo type="max"/>
        <color rgb="FFF8696B"/>
        <color rgb="FFFCFCFF"/>
        <color rgb="FF63BE7B"/>
      </colorScale>
    </cfRule>
  </conditionalFormatting>
  <conditionalFormatting sqref="BN125:BN136">
    <cfRule type="colorScale" priority="3">
      <colorScale>
        <cfvo type="min"/>
        <cfvo type="percentile" val="50"/>
        <cfvo type="max"/>
        <color rgb="FFF8696B"/>
        <color rgb="FFFCFCFF"/>
        <color rgb="FF63BE7B"/>
      </colorScale>
    </cfRule>
  </conditionalFormatting>
  <pageMargins left="0.7" right="0.7" top="0.75" bottom="0.75" header="0.3" footer="0.3"/>
  <pageSetup paperSize="9" orientation="portrait" horizontalDpi="4294967295" verticalDpi="4294967295"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Аркуш6">
    <tabColor theme="4" tint="0.59999389629810485"/>
  </sheetPr>
  <dimension ref="A1:EX258"/>
  <sheetViews>
    <sheetView zoomScale="70" zoomScaleNormal="70" workbookViewId="0">
      <pane xSplit="4" ySplit="1" topLeftCell="I131" activePane="bottomRight" state="frozen"/>
      <selection pane="topRight" activeCell="E1" sqref="E1"/>
      <selection pane="bottomLeft" activeCell="A2" sqref="A2"/>
      <selection pane="bottomRight" activeCell="N172" sqref="N172"/>
    </sheetView>
  </sheetViews>
  <sheetFormatPr defaultColWidth="8.69921875" defaultRowHeight="18"/>
  <cols>
    <col min="1" max="1" width="5.8984375" customWidth="1"/>
    <col min="2" max="2" width="3.5" customWidth="1"/>
    <col min="3" max="3" width="4.69921875" customWidth="1"/>
    <col min="4" max="4" width="8.69921875" customWidth="1"/>
    <col min="5" max="5" width="16.09765625" customWidth="1"/>
    <col min="6" max="9" width="19.19921875" customWidth="1"/>
    <col min="10" max="10" width="12.59765625" customWidth="1"/>
    <col min="11" max="13" width="19.19921875" customWidth="1"/>
    <col min="14" max="14" width="14.69921875" bestFit="1" customWidth="1"/>
    <col min="15" max="18" width="10.3984375" customWidth="1"/>
    <col min="19" max="19" width="12.09765625" customWidth="1"/>
    <col min="20" max="21" width="10.3984375" customWidth="1"/>
    <col min="22" max="23" width="22.69921875" customWidth="1"/>
    <col min="24" max="24" width="21.69921875" customWidth="1"/>
    <col min="25" max="25" width="22.296875" customWidth="1"/>
    <col min="26" max="26" width="16.69921875" customWidth="1"/>
    <col min="27" max="27" width="16.09765625" customWidth="1"/>
    <col min="28" max="30" width="13.69921875" customWidth="1"/>
    <col min="31" max="31" width="17.09765625" customWidth="1"/>
    <col min="32" max="32" width="16.69921875" customWidth="1"/>
    <col min="33" max="33" width="19.59765625" customWidth="1"/>
    <col min="34" max="34" width="20.69921875" customWidth="1"/>
    <col min="35" max="35" width="21.19921875" customWidth="1"/>
    <col min="36" max="36" width="24.69921875" customWidth="1"/>
    <col min="37" max="37" width="20" customWidth="1"/>
    <col min="38" max="38" width="20.3984375" customWidth="1"/>
    <col min="40" max="40" width="13.09765625" customWidth="1"/>
    <col min="41" max="41" width="9.5" bestFit="1" customWidth="1"/>
    <col min="42" max="42" width="8.796875" bestFit="1" customWidth="1"/>
  </cols>
  <sheetData>
    <row r="1" spans="1:154" ht="40.5" customHeight="1">
      <c r="F1" s="262" t="s">
        <v>180</v>
      </c>
      <c r="G1" s="262"/>
      <c r="H1" s="516" t="s">
        <v>447</v>
      </c>
      <c r="I1" s="526" t="s">
        <v>345</v>
      </c>
      <c r="J1" s="121" t="s">
        <v>346</v>
      </c>
      <c r="K1" s="80" t="s">
        <v>267</v>
      </c>
      <c r="L1" s="34" t="s">
        <v>142</v>
      </c>
      <c r="M1" s="265" t="s">
        <v>269</v>
      </c>
      <c r="N1" s="80" t="s">
        <v>268</v>
      </c>
      <c r="O1" s="34" t="s">
        <v>142</v>
      </c>
      <c r="P1" s="34" t="s">
        <v>142</v>
      </c>
      <c r="Q1" s="491" t="s">
        <v>173</v>
      </c>
      <c r="R1" s="494"/>
      <c r="S1" s="492" t="s">
        <v>446</v>
      </c>
      <c r="T1" s="491"/>
      <c r="U1" s="491"/>
      <c r="V1" s="491"/>
      <c r="W1" s="491"/>
      <c r="X1" s="36" t="s">
        <v>1</v>
      </c>
      <c r="Y1" s="36"/>
      <c r="Z1" t="s">
        <v>2</v>
      </c>
      <c r="AA1" s="36" t="s">
        <v>3</v>
      </c>
      <c r="AB1" t="s">
        <v>4</v>
      </c>
      <c r="AC1" s="36" t="s">
        <v>5</v>
      </c>
      <c r="AD1" t="s">
        <v>6</v>
      </c>
      <c r="AE1" s="36" t="s">
        <v>174</v>
      </c>
      <c r="AF1" s="117" t="s">
        <v>178</v>
      </c>
      <c r="AG1" s="36" t="s">
        <v>175</v>
      </c>
      <c r="AH1" s="117" t="s">
        <v>13</v>
      </c>
      <c r="AI1" s="117" t="s">
        <v>176</v>
      </c>
      <c r="AJ1" s="118" t="s">
        <v>177</v>
      </c>
      <c r="AK1" s="117" t="s">
        <v>179</v>
      </c>
    </row>
    <row r="2" spans="1:154">
      <c r="A2">
        <v>2012</v>
      </c>
      <c r="B2" s="1">
        <v>1</v>
      </c>
      <c r="C2">
        <v>1</v>
      </c>
      <c r="D2" t="s">
        <v>30</v>
      </c>
      <c r="H2" s="507"/>
      <c r="I2" s="507"/>
      <c r="J2" s="10">
        <v>3.7000000000000026E-2</v>
      </c>
      <c r="N2" s="80"/>
      <c r="O2" s="34"/>
      <c r="X2" s="3">
        <v>234884.46835012001</v>
      </c>
      <c r="Y2" s="3"/>
      <c r="AA2">
        <v>2.5000000000000001E-2</v>
      </c>
      <c r="AC2">
        <v>7.9897935483870981</v>
      </c>
      <c r="AE2" s="99">
        <v>136.20381808723232</v>
      </c>
      <c r="AF2" s="119">
        <f>AC2*AE2</f>
        <v>1088.2403870190587</v>
      </c>
      <c r="AH2">
        <v>2722</v>
      </c>
      <c r="AN2">
        <v>0.20000000000000284</v>
      </c>
      <c r="AO2">
        <v>-9.9999999999994316E-2</v>
      </c>
      <c r="AP2">
        <v>0</v>
      </c>
      <c r="AQ2">
        <v>0</v>
      </c>
      <c r="AR2">
        <v>9.9999999999994316E-2</v>
      </c>
      <c r="AS2">
        <v>0</v>
      </c>
      <c r="AT2">
        <v>-9.9999999999994316E-2</v>
      </c>
      <c r="AU2">
        <v>-0.70000000000000284</v>
      </c>
      <c r="AV2">
        <v>0</v>
      </c>
      <c r="AW2">
        <v>0.40000000000000568</v>
      </c>
      <c r="AX2">
        <v>0.20000000000000284</v>
      </c>
      <c r="AY2">
        <v>0.5</v>
      </c>
      <c r="AZ2">
        <v>0.22742624098223985</v>
      </c>
      <c r="BA2">
        <v>0.57418967289784462</v>
      </c>
      <c r="BB2">
        <v>2.1717601079911333</v>
      </c>
      <c r="BC2">
        <v>3.3477781478453039</v>
      </c>
      <c r="BD2">
        <v>3.8311894109004356</v>
      </c>
      <c r="BE2">
        <v>0.9712730507046814</v>
      </c>
      <c r="BF2">
        <v>0.36296293535743018</v>
      </c>
      <c r="BG2">
        <v>0.81904496056313292</v>
      </c>
      <c r="BH2">
        <v>2.948640436056337</v>
      </c>
      <c r="BI2">
        <v>2.4347837210566325</v>
      </c>
      <c r="BJ2">
        <v>1.9331544870148747</v>
      </c>
      <c r="BK2">
        <v>3</v>
      </c>
      <c r="BL2">
        <v>3.1365861735452683</v>
      </c>
      <c r="BM2">
        <v>5.2585287076712461</v>
      </c>
      <c r="BN2">
        <v>10.835274745452665</v>
      </c>
      <c r="BO2">
        <v>13.965954227288051</v>
      </c>
      <c r="BP2">
        <v>2.2223897560082406</v>
      </c>
      <c r="BQ2">
        <v>0.40086137467079652</v>
      </c>
      <c r="BR2">
        <v>-1.0092080094883755</v>
      </c>
      <c r="BS2">
        <v>-0.76169643968493972</v>
      </c>
      <c r="BT2">
        <v>2.2999999999999972</v>
      </c>
      <c r="BU2">
        <v>-1.2999999999999972</v>
      </c>
      <c r="BV2">
        <v>2</v>
      </c>
      <c r="BW2">
        <v>0.70000000000000284</v>
      </c>
      <c r="BX2">
        <v>0.90000000000000568</v>
      </c>
      <c r="BY2">
        <v>-0.40000000000000568</v>
      </c>
      <c r="BZ2">
        <v>1</v>
      </c>
      <c r="CA2">
        <v>3.5</v>
      </c>
      <c r="CB2">
        <v>0.1</v>
      </c>
      <c r="CC2">
        <v>-0.20000000000000284</v>
      </c>
      <c r="CD2">
        <v>-0.1</v>
      </c>
      <c r="CE2">
        <v>-0.3</v>
      </c>
      <c r="CF2">
        <v>1.8</v>
      </c>
      <c r="CG2">
        <v>2.8</v>
      </c>
      <c r="CH2">
        <v>1.8</v>
      </c>
      <c r="CI2">
        <v>0.9</v>
      </c>
      <c r="CJ2">
        <v>1.1000000000000001</v>
      </c>
      <c r="CK2">
        <v>1</v>
      </c>
      <c r="CL2">
        <v>1.8</v>
      </c>
      <c r="CM2">
        <v>0.9</v>
      </c>
      <c r="CN2">
        <v>1.3</v>
      </c>
      <c r="CO2">
        <v>1.6</v>
      </c>
      <c r="CP2">
        <v>0.2</v>
      </c>
      <c r="CQ2">
        <v>-0.1</v>
      </c>
      <c r="CR2">
        <v>2</v>
      </c>
      <c r="CS2">
        <v>1.2</v>
      </c>
      <c r="CT2">
        <v>0.9</v>
      </c>
      <c r="CU2">
        <v>1</v>
      </c>
      <c r="CV2">
        <v>1.5</v>
      </c>
      <c r="CW2">
        <v>0.9</v>
      </c>
      <c r="CX2">
        <v>1.1000000000000001</v>
      </c>
      <c r="CY2">
        <v>0.8</v>
      </c>
      <c r="CZ2">
        <v>0</v>
      </c>
      <c r="DA2">
        <v>0</v>
      </c>
      <c r="DB2">
        <v>-0.7</v>
      </c>
      <c r="DC2">
        <v>0</v>
      </c>
      <c r="DD2">
        <v>1.9</v>
      </c>
      <c r="DE2">
        <v>1.7</v>
      </c>
      <c r="DF2">
        <v>1.4</v>
      </c>
      <c r="DG2">
        <v>0.8</v>
      </c>
      <c r="DH2">
        <v>1</v>
      </c>
      <c r="DI2">
        <v>0.5</v>
      </c>
      <c r="DJ2">
        <v>0.9</v>
      </c>
      <c r="DK2">
        <v>1</v>
      </c>
      <c r="DL2">
        <v>0.7</v>
      </c>
      <c r="DM2">
        <v>-0.5</v>
      </c>
      <c r="DN2">
        <v>-0.6</v>
      </c>
      <c r="DO2">
        <v>-0.3</v>
      </c>
      <c r="DP2">
        <v>0.7</v>
      </c>
      <c r="DQ2">
        <v>0.7</v>
      </c>
      <c r="DR2">
        <v>0.1</v>
      </c>
      <c r="DS2">
        <v>-0.2</v>
      </c>
      <c r="DT2">
        <v>0.2</v>
      </c>
      <c r="DU2">
        <v>-0.3</v>
      </c>
      <c r="DV2">
        <v>0.8</v>
      </c>
      <c r="DW2">
        <v>0.8</v>
      </c>
      <c r="DX2">
        <v>0.3</v>
      </c>
      <c r="DY2">
        <v>0.2</v>
      </c>
      <c r="DZ2">
        <v>-0.6</v>
      </c>
      <c r="EA2">
        <v>-0.2</v>
      </c>
      <c r="EB2">
        <v>0.5</v>
      </c>
      <c r="EC2">
        <v>1</v>
      </c>
      <c r="ED2">
        <v>1.3</v>
      </c>
      <c r="EE2">
        <v>0.9</v>
      </c>
      <c r="EF2">
        <v>1.3</v>
      </c>
      <c r="EG2">
        <v>1</v>
      </c>
      <c r="EH2">
        <v>1.7</v>
      </c>
      <c r="EI2">
        <v>0.7</v>
      </c>
      <c r="EJ2">
        <v>1.3</v>
      </c>
      <c r="EK2">
        <v>0.2</v>
      </c>
      <c r="EL2">
        <v>0.1</v>
      </c>
      <c r="EM2">
        <v>-0.2</v>
      </c>
      <c r="EN2">
        <v>1.2</v>
      </c>
      <c r="EO2">
        <v>0.9</v>
      </c>
      <c r="EP2">
        <v>0.8</v>
      </c>
      <c r="EQ2">
        <v>0.6</v>
      </c>
      <c r="ER2">
        <v>1.3</v>
      </c>
      <c r="ES2">
        <v>1.6</v>
      </c>
      <c r="ET2">
        <v>4.5</v>
      </c>
      <c r="EU2">
        <v>3.1</v>
      </c>
      <c r="EV2">
        <v>2.7</v>
      </c>
      <c r="EW2">
        <v>3.1</v>
      </c>
      <c r="EX2">
        <v>0.7</v>
      </c>
    </row>
    <row r="3" spans="1:154">
      <c r="A3">
        <v>2012</v>
      </c>
      <c r="B3" s="1">
        <v>1</v>
      </c>
      <c r="C3">
        <v>1</v>
      </c>
      <c r="D3" t="s">
        <v>31</v>
      </c>
      <c r="H3" s="507"/>
      <c r="I3" s="507"/>
      <c r="J3" s="10">
        <v>0.03</v>
      </c>
      <c r="N3" s="80"/>
      <c r="O3" s="34"/>
      <c r="X3" s="3">
        <v>229210.58093106499</v>
      </c>
      <c r="Y3" s="3"/>
      <c r="AA3">
        <v>2.5000000000000001E-2</v>
      </c>
      <c r="AC3">
        <v>7.9884482758620718</v>
      </c>
      <c r="AE3" s="99">
        <v>137.86352435043932</v>
      </c>
      <c r="AF3" s="119">
        <f t="shared" ref="AF3:AF66" si="0">AC3*AE3</f>
        <v>1101.3156334015357</v>
      </c>
      <c r="AH3">
        <v>2799</v>
      </c>
    </row>
    <row r="4" spans="1:154">
      <c r="A4">
        <v>2012</v>
      </c>
      <c r="B4" s="1">
        <v>1</v>
      </c>
      <c r="C4">
        <v>1</v>
      </c>
      <c r="D4" t="s">
        <v>32</v>
      </c>
      <c r="H4" s="507"/>
      <c r="I4" s="507"/>
      <c r="J4" s="10">
        <v>1.9000000000000059E-2</v>
      </c>
      <c r="N4" s="80"/>
      <c r="O4" s="34"/>
      <c r="X4" s="3">
        <v>230832.769845865</v>
      </c>
      <c r="Y4" s="3"/>
      <c r="AA4">
        <v>2.5000000000000001E-2</v>
      </c>
      <c r="AC4">
        <v>7.9862419354838741</v>
      </c>
      <c r="AE4" s="99">
        <v>145.4167851183542</v>
      </c>
      <c r="AF4" s="119">
        <f t="shared" si="0"/>
        <v>1161.3336274354476</v>
      </c>
      <c r="AH4">
        <v>2923</v>
      </c>
    </row>
    <row r="5" spans="1:154">
      <c r="A5">
        <v>2012</v>
      </c>
      <c r="B5" s="1">
        <v>2</v>
      </c>
      <c r="C5">
        <v>2</v>
      </c>
      <c r="D5" t="s">
        <v>33</v>
      </c>
      <c r="H5" s="507"/>
      <c r="I5" s="507"/>
      <c r="J5" s="10">
        <v>5.9999999999999429E-3</v>
      </c>
      <c r="N5" s="80"/>
      <c r="O5" s="34"/>
      <c r="X5" s="3">
        <v>234965.39075044999</v>
      </c>
      <c r="Y5" s="3"/>
      <c r="AA5">
        <v>3.1E-2</v>
      </c>
      <c r="AC5">
        <v>7.9867200000000009</v>
      </c>
      <c r="AE5" s="99">
        <v>139.63578916648299</v>
      </c>
      <c r="AF5" s="119">
        <f t="shared" si="0"/>
        <v>1115.2319500517333</v>
      </c>
      <c r="AH5">
        <v>2942</v>
      </c>
    </row>
    <row r="6" spans="1:154">
      <c r="A6">
        <v>2012</v>
      </c>
      <c r="B6" s="1">
        <v>2</v>
      </c>
      <c r="C6">
        <v>2</v>
      </c>
      <c r="D6" t="s">
        <v>34</v>
      </c>
      <c r="H6" s="507"/>
      <c r="I6" s="507"/>
      <c r="J6" s="10">
        <v>-5.0000000000000001E-3</v>
      </c>
      <c r="N6" s="80"/>
      <c r="O6" s="34"/>
      <c r="X6" s="3">
        <v>236920.87836192996</v>
      </c>
      <c r="Y6" s="3"/>
      <c r="AA6">
        <v>3.1E-2</v>
      </c>
      <c r="AC6">
        <v>7.9907774193548411</v>
      </c>
      <c r="AE6" s="99">
        <v>135.60784850512107</v>
      </c>
      <c r="AF6" s="119">
        <f t="shared" si="0"/>
        <v>1083.6121337220136</v>
      </c>
      <c r="AH6">
        <v>3015</v>
      </c>
    </row>
    <row r="7" spans="1:154">
      <c r="A7">
        <v>2012</v>
      </c>
      <c r="B7" s="1">
        <v>2</v>
      </c>
      <c r="C7">
        <v>2</v>
      </c>
      <c r="D7" t="s">
        <v>35</v>
      </c>
      <c r="H7" s="507"/>
      <c r="I7" s="507"/>
      <c r="J7" s="10">
        <v>-1.2000000000000028E-2</v>
      </c>
      <c r="N7" s="80"/>
      <c r="O7" s="34"/>
      <c r="X7" s="3">
        <v>240131.486245045</v>
      </c>
      <c r="Y7" s="3"/>
      <c r="AA7">
        <v>3.1E-2</v>
      </c>
      <c r="AC7">
        <v>7.992500000000005</v>
      </c>
      <c r="AE7" s="99">
        <v>126.85179927864903</v>
      </c>
      <c r="AF7" s="119">
        <f t="shared" si="0"/>
        <v>1013.863005734603</v>
      </c>
      <c r="AH7">
        <v>3109</v>
      </c>
    </row>
    <row r="8" spans="1:154">
      <c r="A8">
        <v>2012</v>
      </c>
      <c r="B8" s="1">
        <v>3</v>
      </c>
      <c r="C8">
        <v>3</v>
      </c>
      <c r="D8" t="s">
        <v>36</v>
      </c>
      <c r="H8" s="507"/>
      <c r="I8" s="507"/>
      <c r="J8" s="10">
        <v>-9.9999999999994321E-4</v>
      </c>
      <c r="N8" s="80"/>
      <c r="O8" s="34"/>
      <c r="X8" s="3">
        <v>244128.81661238999</v>
      </c>
      <c r="Y8" s="3"/>
      <c r="AA8">
        <v>-1.3000000000000001E-2</v>
      </c>
      <c r="AC8">
        <v>7.9928709677419318</v>
      </c>
      <c r="AE8" s="99">
        <v>128.23158147625546</v>
      </c>
      <c r="AF8" s="119">
        <f t="shared" si="0"/>
        <v>1024.9384847291963</v>
      </c>
      <c r="AH8">
        <v>3151</v>
      </c>
    </row>
    <row r="9" spans="1:154">
      <c r="A9">
        <v>2012</v>
      </c>
      <c r="B9" s="1">
        <v>3</v>
      </c>
      <c r="C9">
        <v>3</v>
      </c>
      <c r="D9" t="s">
        <v>37</v>
      </c>
      <c r="H9" s="507"/>
      <c r="I9" s="507"/>
      <c r="J9" s="10">
        <v>0</v>
      </c>
      <c r="N9" s="80"/>
      <c r="O9" s="34"/>
      <c r="X9" s="3">
        <v>247403.86389133497</v>
      </c>
      <c r="Y9" s="3"/>
      <c r="AA9">
        <v>-1.3000000000000001E-2</v>
      </c>
      <c r="AC9">
        <v>7.9929999999999968</v>
      </c>
      <c r="AE9" s="99">
        <v>133.3924323715982</v>
      </c>
      <c r="AF9" s="119">
        <f t="shared" si="0"/>
        <v>1066.205711946184</v>
      </c>
      <c r="AH9">
        <v>3073</v>
      </c>
    </row>
    <row r="10" spans="1:154">
      <c r="A10">
        <v>2012</v>
      </c>
      <c r="B10" s="1">
        <v>3</v>
      </c>
      <c r="C10">
        <v>3</v>
      </c>
      <c r="D10" t="s">
        <v>38</v>
      </c>
      <c r="H10" s="507"/>
      <c r="I10" s="507"/>
      <c r="J10" s="10">
        <v>0</v>
      </c>
      <c r="N10" s="80"/>
      <c r="O10" s="34"/>
      <c r="X10" s="3">
        <v>248849.02702901</v>
      </c>
      <c r="Y10" s="3"/>
      <c r="AA10">
        <v>-1.3000000000000001E-2</v>
      </c>
      <c r="AC10">
        <v>7.9929999999999968</v>
      </c>
      <c r="AE10" s="99">
        <v>132.37555934876767</v>
      </c>
      <c r="AF10" s="119">
        <f t="shared" si="0"/>
        <v>1058.0778458746995</v>
      </c>
      <c r="AH10">
        <v>3064</v>
      </c>
    </row>
    <row r="11" spans="1:154">
      <c r="A11">
        <v>2012</v>
      </c>
      <c r="B11" s="1">
        <v>4</v>
      </c>
      <c r="C11">
        <v>4</v>
      </c>
      <c r="D11" t="s">
        <v>39</v>
      </c>
      <c r="H11" s="507"/>
      <c r="I11" s="507"/>
      <c r="J11" s="10">
        <v>0</v>
      </c>
      <c r="N11" s="80"/>
      <c r="O11" s="34"/>
      <c r="X11" s="3">
        <v>246775.18956694502</v>
      </c>
      <c r="Y11" s="3"/>
      <c r="AA11">
        <v>-2.3E-2</v>
      </c>
      <c r="AC11">
        <v>7.9929999999999968</v>
      </c>
      <c r="AE11" s="99">
        <v>134.55174157378255</v>
      </c>
      <c r="AF11" s="119">
        <f t="shared" si="0"/>
        <v>1075.4720703992434</v>
      </c>
      <c r="AH11">
        <v>3110</v>
      </c>
    </row>
    <row r="12" spans="1:154">
      <c r="A12">
        <v>2012</v>
      </c>
      <c r="B12" s="1">
        <v>4</v>
      </c>
      <c r="C12">
        <v>4</v>
      </c>
      <c r="D12" t="s">
        <v>40</v>
      </c>
      <c r="H12" s="507"/>
      <c r="I12" s="507"/>
      <c r="J12" s="10">
        <v>-2.0000000000000282E-3</v>
      </c>
      <c r="N12" s="80"/>
      <c r="O12" s="34"/>
      <c r="X12" s="3">
        <v>242130.89166552501</v>
      </c>
      <c r="Y12" s="3"/>
      <c r="AA12">
        <v>-2.3E-2</v>
      </c>
      <c r="AC12">
        <v>7.9929999999999968</v>
      </c>
      <c r="AE12" s="99">
        <v>135.4741353359413</v>
      </c>
      <c r="AF12" s="119">
        <f t="shared" si="0"/>
        <v>1082.8447637401785</v>
      </c>
      <c r="AH12">
        <v>3098</v>
      </c>
    </row>
    <row r="13" spans="1:154">
      <c r="A13">
        <v>2012</v>
      </c>
      <c r="B13" s="1">
        <v>4</v>
      </c>
      <c r="C13">
        <v>4</v>
      </c>
      <c r="D13" t="s">
        <v>41</v>
      </c>
      <c r="H13" s="507"/>
      <c r="I13" s="507"/>
      <c r="J13" s="10">
        <v>-2.0000000000000282E-3</v>
      </c>
      <c r="N13" s="80"/>
      <c r="O13" s="34"/>
      <c r="X13" s="3">
        <v>246959.60933522001</v>
      </c>
      <c r="Y13" s="3"/>
      <c r="AA13">
        <v>-2.3E-2</v>
      </c>
      <c r="AC13">
        <v>7.9929999999999968</v>
      </c>
      <c r="AE13" s="99">
        <v>135.58015921395864</v>
      </c>
      <c r="AF13" s="119">
        <f t="shared" si="0"/>
        <v>1083.692212597171</v>
      </c>
      <c r="AH13">
        <v>3377</v>
      </c>
    </row>
    <row r="14" spans="1:154">
      <c r="A14">
        <v>2013</v>
      </c>
      <c r="B14" s="1">
        <v>1</v>
      </c>
      <c r="C14">
        <v>1</v>
      </c>
      <c r="D14" t="s">
        <v>42</v>
      </c>
      <c r="E14" s="33">
        <f>CH14/100</f>
        <v>2.0000000000000282E-3</v>
      </c>
      <c r="H14" s="507">
        <v>100</v>
      </c>
      <c r="I14" s="527">
        <f>AM14/100</f>
        <v>2.0000000000000282E-3</v>
      </c>
      <c r="J14" s="10">
        <v>-2.0000000000000282E-3</v>
      </c>
      <c r="N14" s="80"/>
      <c r="O14" s="34"/>
      <c r="X14" s="3">
        <v>253519.96098072501</v>
      </c>
      <c r="Y14" s="3"/>
      <c r="Z14" s="33">
        <f>X14/X2-1</f>
        <v>7.9338973587758987E-2</v>
      </c>
      <c r="AA14">
        <v>-1.2E-2</v>
      </c>
      <c r="AC14">
        <v>7.9929999999999968</v>
      </c>
      <c r="AE14" s="99">
        <v>137.77601073940048</v>
      </c>
      <c r="AF14" s="119">
        <f t="shared" si="0"/>
        <v>1101.2436538400275</v>
      </c>
      <c r="AG14" s="33">
        <f>AE14/AE2-1</f>
        <v>1.1542941117562711E-2</v>
      </c>
      <c r="AH14">
        <v>3000</v>
      </c>
      <c r="AI14" s="33">
        <f>AH14/AH2-1</f>
        <v>0.10213078618662741</v>
      </c>
      <c r="AJ14" s="29">
        <f t="shared" ref="AJ14:AJ77" si="1">AI14</f>
        <v>0.10213078618662741</v>
      </c>
      <c r="AK14" s="33">
        <f>AF14/AF2-1</f>
        <v>1.1948891969161046E-2</v>
      </c>
      <c r="AM14">
        <v>0.20000000000000284</v>
      </c>
      <c r="CH14" s="99">
        <v>0.20000000000000284</v>
      </c>
    </row>
    <row r="15" spans="1:154">
      <c r="A15">
        <v>2013</v>
      </c>
      <c r="B15" s="1">
        <v>1</v>
      </c>
      <c r="C15">
        <v>1</v>
      </c>
      <c r="D15" t="s">
        <v>43</v>
      </c>
      <c r="E15" s="33">
        <f t="shared" ref="E15:E78" si="2">CH15/100</f>
        <v>-9.9999999999994321E-4</v>
      </c>
      <c r="H15" s="507"/>
      <c r="I15" s="527">
        <f>AM15/100</f>
        <v>-9.9999999999994321E-4</v>
      </c>
      <c r="J15" s="10">
        <v>-5.0000000000000001E-3</v>
      </c>
      <c r="N15" s="80"/>
      <c r="O15" s="34"/>
      <c r="X15" s="3">
        <v>253365.73957723999</v>
      </c>
      <c r="Y15" s="3"/>
      <c r="Z15" s="33">
        <f>X15/X3-1</f>
        <v>0.10538413431027283</v>
      </c>
      <c r="AA15">
        <v>-1.2E-2</v>
      </c>
      <c r="AC15">
        <v>7.9929999999999968</v>
      </c>
      <c r="AE15" s="99">
        <v>138.47899916690656</v>
      </c>
      <c r="AF15" s="119">
        <f t="shared" si="0"/>
        <v>1106.8626403410838</v>
      </c>
      <c r="AG15" s="33">
        <f t="shared" ref="AG15:AG78" si="3">AE15/AE3-1</f>
        <v>4.4643775020776211E-3</v>
      </c>
      <c r="AH15">
        <v>3044</v>
      </c>
      <c r="AI15" s="33">
        <f t="shared" ref="AI15:AI78" si="4">AH15/AH3-1</f>
        <v>8.7531261164701668E-2</v>
      </c>
      <c r="AJ15" s="29">
        <f t="shared" si="1"/>
        <v>8.7531261164701668E-2</v>
      </c>
      <c r="AK15" s="33">
        <f t="shared" ref="AK15:AK78" si="5">AF15/AF3-1</f>
        <v>5.0367095238770254E-3</v>
      </c>
      <c r="AM15">
        <v>-9.9999999999994316E-2</v>
      </c>
      <c r="CH15" s="99">
        <v>-9.9999999999994316E-2</v>
      </c>
    </row>
    <row r="16" spans="1:154">
      <c r="A16">
        <v>2013</v>
      </c>
      <c r="B16" s="1">
        <v>1</v>
      </c>
      <c r="C16">
        <v>1</v>
      </c>
      <c r="D16" t="s">
        <v>44</v>
      </c>
      <c r="E16" s="33">
        <f t="shared" si="2"/>
        <v>0</v>
      </c>
      <c r="H16" s="507"/>
      <c r="I16" s="527">
        <f t="shared" ref="I16:I79" si="6">AM16/100</f>
        <v>0</v>
      </c>
      <c r="J16" s="10">
        <v>-7.9999999999999724E-3</v>
      </c>
      <c r="N16" s="80"/>
      <c r="O16" s="34"/>
      <c r="X16" s="3">
        <v>255560.8297231</v>
      </c>
      <c r="Y16" s="3"/>
      <c r="Z16" s="33">
        <f>X16/X4-1</f>
        <v>0.10712543064724644</v>
      </c>
      <c r="AA16">
        <v>-1.2E-2</v>
      </c>
      <c r="AB16">
        <f t="shared" ref="AB16:AB25" si="7">(1+Z13)/(1+AA16)-1</f>
        <v>1.2145748987854255E-2</v>
      </c>
      <c r="AC16">
        <v>7.9929999999999968</v>
      </c>
      <c r="AD16">
        <f t="shared" ref="AD16:AD79" si="8">AC16/AC4-1</f>
        <v>8.4621334674261917E-4</v>
      </c>
      <c r="AE16" s="99">
        <v>135.83159286139508</v>
      </c>
      <c r="AF16" s="119">
        <f t="shared" si="0"/>
        <v>1085.7019217411305</v>
      </c>
      <c r="AG16" s="33">
        <f t="shared" si="3"/>
        <v>-6.5915308533040173E-2</v>
      </c>
      <c r="AH16">
        <v>3212</v>
      </c>
      <c r="AI16" s="33">
        <f t="shared" si="4"/>
        <v>9.8871022921655838E-2</v>
      </c>
      <c r="AJ16" s="29">
        <f t="shared" si="1"/>
        <v>9.8871022921655838E-2</v>
      </c>
      <c r="AK16" s="33">
        <f t="shared" si="5"/>
        <v>-6.5124873600132749E-2</v>
      </c>
      <c r="AM16">
        <v>0</v>
      </c>
      <c r="CH16" s="99">
        <v>0</v>
      </c>
    </row>
    <row r="17" spans="1:86">
      <c r="A17">
        <v>2013</v>
      </c>
      <c r="B17" s="1">
        <v>2</v>
      </c>
      <c r="C17">
        <v>2</v>
      </c>
      <c r="D17" t="s">
        <v>45</v>
      </c>
      <c r="E17" s="33">
        <f t="shared" si="2"/>
        <v>0</v>
      </c>
      <c r="H17" s="507"/>
      <c r="I17" s="527">
        <f t="shared" si="6"/>
        <v>0</v>
      </c>
      <c r="J17" s="10">
        <v>-7.9999999999999724E-3</v>
      </c>
      <c r="N17" s="80"/>
      <c r="O17" s="34"/>
      <c r="X17" s="3">
        <v>261665.96983488501</v>
      </c>
      <c r="Y17" s="3"/>
      <c r="Z17" s="33">
        <f t="shared" ref="Z17:Z80" si="9">X17/X5-1</f>
        <v>0.11363622105858528</v>
      </c>
      <c r="AA17">
        <v>-1.3000000000000001E-2</v>
      </c>
      <c r="AB17">
        <f t="shared" si="7"/>
        <v>9.3555191071690968E-2</v>
      </c>
      <c r="AC17">
        <v>7.9929999999999968</v>
      </c>
      <c r="AD17">
        <f t="shared" si="8"/>
        <v>7.8630526674228207E-4</v>
      </c>
      <c r="AE17" s="99">
        <v>139.93162903417814</v>
      </c>
      <c r="AF17" s="119">
        <f t="shared" si="0"/>
        <v>1118.4735108701855</v>
      </c>
      <c r="AG17" s="33">
        <f t="shared" si="3"/>
        <v>2.1186536020678659E-3</v>
      </c>
      <c r="AH17">
        <v>3233</v>
      </c>
      <c r="AI17" s="33">
        <f t="shared" si="4"/>
        <v>9.8912304554724662E-2</v>
      </c>
      <c r="AJ17" s="29">
        <f t="shared" si="1"/>
        <v>9.8912304554724662E-2</v>
      </c>
      <c r="AK17" s="33">
        <f t="shared" si="5"/>
        <v>2.9066247772957521E-3</v>
      </c>
      <c r="AM17">
        <v>0</v>
      </c>
      <c r="CH17" s="99">
        <v>0</v>
      </c>
    </row>
    <row r="18" spans="1:86">
      <c r="A18">
        <v>2013</v>
      </c>
      <c r="B18" s="1">
        <v>2</v>
      </c>
      <c r="C18">
        <v>2</v>
      </c>
      <c r="D18" t="s">
        <v>46</v>
      </c>
      <c r="E18" s="33">
        <f t="shared" si="2"/>
        <v>9.9999999999994321E-4</v>
      </c>
      <c r="H18" s="507"/>
      <c r="I18" s="527">
        <f t="shared" si="6"/>
        <v>9.9999999999994321E-4</v>
      </c>
      <c r="J18" s="10">
        <v>-4.0000000000000565E-3</v>
      </c>
      <c r="N18" s="80"/>
      <c r="O18" s="34"/>
      <c r="X18" s="3">
        <v>268980.006681845</v>
      </c>
      <c r="Y18" s="3"/>
      <c r="Z18" s="33">
        <f t="shared" si="9"/>
        <v>0.13531575833067877</v>
      </c>
      <c r="AA18">
        <v>-1.3000000000000001E-2</v>
      </c>
      <c r="AB18">
        <f t="shared" si="7"/>
        <v>0.11994339849065128</v>
      </c>
      <c r="AC18">
        <v>7.9929999999999968</v>
      </c>
      <c r="AD18">
        <f t="shared" si="8"/>
        <v>2.7814323044106359E-4</v>
      </c>
      <c r="AE18" s="99">
        <v>135.96065691723464</v>
      </c>
      <c r="AF18" s="119">
        <f t="shared" si="0"/>
        <v>1086.733530739456</v>
      </c>
      <c r="AG18" s="33">
        <f t="shared" si="3"/>
        <v>2.601681362861985E-3</v>
      </c>
      <c r="AH18">
        <v>3253</v>
      </c>
      <c r="AI18" s="33">
        <f t="shared" si="4"/>
        <v>7.8938640132669935E-2</v>
      </c>
      <c r="AJ18" s="29">
        <f t="shared" si="1"/>
        <v>7.8938640132669935E-2</v>
      </c>
      <c r="AK18" s="33">
        <f t="shared" si="5"/>
        <v>2.8805482333618126E-3</v>
      </c>
      <c r="AM18">
        <v>9.9999999999994316E-2</v>
      </c>
      <c r="CH18" s="99">
        <v>9.9999999999994316E-2</v>
      </c>
    </row>
    <row r="19" spans="1:86">
      <c r="A19">
        <v>2013</v>
      </c>
      <c r="B19" s="1">
        <v>2</v>
      </c>
      <c r="C19">
        <v>2</v>
      </c>
      <c r="D19" t="s">
        <v>47</v>
      </c>
      <c r="E19" s="33">
        <f t="shared" si="2"/>
        <v>0</v>
      </c>
      <c r="H19" s="507"/>
      <c r="I19" s="527">
        <f t="shared" si="6"/>
        <v>0</v>
      </c>
      <c r="J19" s="10">
        <v>-9.9999999999994321E-4</v>
      </c>
      <c r="N19" s="80"/>
      <c r="O19" s="34"/>
      <c r="X19" s="3">
        <v>273259.66609833</v>
      </c>
      <c r="Y19" s="3"/>
      <c r="Z19" s="33">
        <f t="shared" si="9"/>
        <v>0.13795850086680828</v>
      </c>
      <c r="AA19">
        <v>-1.3000000000000001E-2</v>
      </c>
      <c r="AB19">
        <f t="shared" si="7"/>
        <v>0.12170762983510275</v>
      </c>
      <c r="AC19">
        <v>7.9929999999999968</v>
      </c>
      <c r="AD19">
        <f t="shared" si="8"/>
        <v>6.2558648732169431E-5</v>
      </c>
      <c r="AE19" s="99">
        <v>132.98294298996433</v>
      </c>
      <c r="AF19" s="119">
        <f t="shared" si="0"/>
        <v>1062.9326633187845</v>
      </c>
      <c r="AG19" s="33">
        <f t="shared" si="3"/>
        <v>4.8333123741093553E-2</v>
      </c>
      <c r="AH19">
        <v>3380</v>
      </c>
      <c r="AI19" s="33">
        <f t="shared" si="4"/>
        <v>8.7166291412029695E-2</v>
      </c>
      <c r="AJ19" s="29">
        <f t="shared" si="1"/>
        <v>8.7166291412029695E-2</v>
      </c>
      <c r="AK19" s="33">
        <f t="shared" si="5"/>
        <v>4.8398706044735951E-2</v>
      </c>
      <c r="AM19">
        <v>0</v>
      </c>
      <c r="CH19" s="99">
        <v>0</v>
      </c>
    </row>
    <row r="20" spans="1:86">
      <c r="A20">
        <v>2013</v>
      </c>
      <c r="B20" s="1">
        <v>3</v>
      </c>
      <c r="C20">
        <v>3</v>
      </c>
      <c r="D20" t="s">
        <v>48</v>
      </c>
      <c r="E20" s="33">
        <f t="shared" si="2"/>
        <v>-9.9999999999994321E-4</v>
      </c>
      <c r="H20" s="507"/>
      <c r="I20" s="527">
        <f t="shared" si="6"/>
        <v>-9.9999999999994321E-4</v>
      </c>
      <c r="J20" s="10">
        <v>0</v>
      </c>
      <c r="N20" s="80"/>
      <c r="O20" s="34"/>
      <c r="X20" s="3">
        <v>277316.82655808004</v>
      </c>
      <c r="Y20" s="3"/>
      <c r="Z20" s="33">
        <f t="shared" si="9"/>
        <v>0.13594466399426963</v>
      </c>
      <c r="AA20">
        <v>-1.2E-2</v>
      </c>
      <c r="AB20">
        <f t="shared" si="7"/>
        <v>0.12716216706334538</v>
      </c>
      <c r="AC20">
        <v>7.9929999999999968</v>
      </c>
      <c r="AD20">
        <f t="shared" si="8"/>
        <v>1.614341812672393E-5</v>
      </c>
      <c r="AE20" s="99">
        <v>132.23366827571823</v>
      </c>
      <c r="AF20" s="119">
        <f t="shared" si="0"/>
        <v>1056.9437105278155</v>
      </c>
      <c r="AG20" s="33">
        <f t="shared" si="3"/>
        <v>3.1209837337955904E-2</v>
      </c>
      <c r="AH20">
        <v>3429</v>
      </c>
      <c r="AI20" s="33">
        <f t="shared" si="4"/>
        <v>8.8225960012694449E-2</v>
      </c>
      <c r="AJ20" s="29">
        <f t="shared" si="1"/>
        <v>8.8225960012694449E-2</v>
      </c>
      <c r="AK20" s="33">
        <f t="shared" si="5"/>
        <v>3.1226484589536474E-2</v>
      </c>
      <c r="AM20">
        <v>-9.9999999999994316E-2</v>
      </c>
      <c r="CH20" s="99">
        <v>-9.9999999999994316E-2</v>
      </c>
    </row>
    <row r="21" spans="1:86">
      <c r="A21">
        <v>2013</v>
      </c>
      <c r="B21" s="1">
        <v>3</v>
      </c>
      <c r="C21">
        <v>3</v>
      </c>
      <c r="D21" t="s">
        <v>49</v>
      </c>
      <c r="E21" s="33">
        <f t="shared" si="2"/>
        <v>-7.0000000000000288E-3</v>
      </c>
      <c r="H21" s="507"/>
      <c r="I21" s="527">
        <f t="shared" si="6"/>
        <v>-7.0000000000000288E-3</v>
      </c>
      <c r="J21" s="10">
        <v>-4.0000000000000565E-3</v>
      </c>
      <c r="N21" s="80"/>
      <c r="O21" s="34"/>
      <c r="X21" s="3">
        <v>281281.81099551998</v>
      </c>
      <c r="Y21" s="3"/>
      <c r="Z21" s="33">
        <f t="shared" si="9"/>
        <v>0.13693378337480167</v>
      </c>
      <c r="AA21">
        <v>-1.2E-2</v>
      </c>
      <c r="AB21">
        <f t="shared" si="7"/>
        <v>0.1491050185533187</v>
      </c>
      <c r="AC21">
        <v>7.9929999999999968</v>
      </c>
      <c r="AD21">
        <f t="shared" si="8"/>
        <v>0</v>
      </c>
      <c r="AE21" s="99">
        <v>133.90326348516098</v>
      </c>
      <c r="AF21" s="119">
        <f t="shared" si="0"/>
        <v>1070.2887850368913</v>
      </c>
      <c r="AG21" s="33">
        <f t="shared" si="3"/>
        <v>3.8295359375388749E-3</v>
      </c>
      <c r="AH21">
        <v>3304</v>
      </c>
      <c r="AI21" s="33">
        <f t="shared" si="4"/>
        <v>7.5170842824601403E-2</v>
      </c>
      <c r="AJ21" s="29">
        <f t="shared" si="1"/>
        <v>7.5170842824601403E-2</v>
      </c>
      <c r="AK21" s="33">
        <f t="shared" si="5"/>
        <v>3.8295359375390969E-3</v>
      </c>
      <c r="AM21">
        <v>-0.70000000000000284</v>
      </c>
      <c r="CH21" s="99">
        <v>-0.70000000000000284</v>
      </c>
    </row>
    <row r="22" spans="1:86">
      <c r="A22">
        <v>2013</v>
      </c>
      <c r="B22" s="1">
        <v>3</v>
      </c>
      <c r="C22">
        <v>3</v>
      </c>
      <c r="D22" t="s">
        <v>50</v>
      </c>
      <c r="E22" s="33">
        <f t="shared" si="2"/>
        <v>0</v>
      </c>
      <c r="H22" s="507"/>
      <c r="I22" s="527">
        <f t="shared" si="6"/>
        <v>0</v>
      </c>
      <c r="J22" s="10">
        <v>-5.0000000000000001E-3</v>
      </c>
      <c r="N22" s="80"/>
      <c r="O22" s="34"/>
      <c r="X22" s="3">
        <v>284119.22944967996</v>
      </c>
      <c r="Y22" s="3"/>
      <c r="Z22" s="33">
        <f t="shared" si="9"/>
        <v>0.14173333463167714</v>
      </c>
      <c r="AA22">
        <v>-1.2E-2</v>
      </c>
      <c r="AB22">
        <f t="shared" si="7"/>
        <v>0.15177985917693149</v>
      </c>
      <c r="AC22">
        <v>7.9929999999999968</v>
      </c>
      <c r="AD22">
        <f t="shared" si="8"/>
        <v>0</v>
      </c>
      <c r="AE22" s="99">
        <v>131.55021950180338</v>
      </c>
      <c r="AF22" s="119">
        <f t="shared" si="0"/>
        <v>1051.480904477914</v>
      </c>
      <c r="AG22" s="33">
        <f t="shared" si="3"/>
        <v>-6.2348355770854846E-3</v>
      </c>
      <c r="AH22">
        <v>3261</v>
      </c>
      <c r="AI22" s="33">
        <f t="shared" si="4"/>
        <v>6.4295039164490753E-2</v>
      </c>
      <c r="AJ22" s="29">
        <f t="shared" si="1"/>
        <v>6.4295039164490753E-2</v>
      </c>
      <c r="AK22" s="33">
        <f t="shared" si="5"/>
        <v>-6.2348355770854846E-3</v>
      </c>
      <c r="AM22">
        <v>0</v>
      </c>
      <c r="CH22" s="99">
        <v>0</v>
      </c>
    </row>
    <row r="23" spans="1:86">
      <c r="A23">
        <v>2013</v>
      </c>
      <c r="B23" s="1">
        <v>4</v>
      </c>
      <c r="C23">
        <v>4</v>
      </c>
      <c r="D23" t="s">
        <v>51</v>
      </c>
      <c r="E23" s="33">
        <f t="shared" si="2"/>
        <v>4.0000000000000565E-3</v>
      </c>
      <c r="H23" s="507"/>
      <c r="I23" s="527">
        <f t="shared" si="6"/>
        <v>4.0000000000000565E-3</v>
      </c>
      <c r="J23" s="10">
        <v>-9.9999999999994321E-4</v>
      </c>
      <c r="N23" s="80"/>
      <c r="O23" s="34"/>
      <c r="X23" s="3">
        <v>286351.75427067</v>
      </c>
      <c r="Y23" s="3"/>
      <c r="Z23" s="33">
        <f t="shared" si="9"/>
        <v>0.16037497437718984</v>
      </c>
      <c r="AA23">
        <v>3.3000000000000002E-2</v>
      </c>
      <c r="AB23">
        <f t="shared" si="7"/>
        <v>9.9656015483320148E-2</v>
      </c>
      <c r="AC23">
        <v>7.9929999999999968</v>
      </c>
      <c r="AD23">
        <f t="shared" si="8"/>
        <v>0</v>
      </c>
      <c r="AE23" s="99">
        <v>132.29936125907909</v>
      </c>
      <c r="AF23" s="119">
        <f t="shared" si="0"/>
        <v>1057.4687945438188</v>
      </c>
      <c r="AG23" s="33">
        <f t="shared" si="3"/>
        <v>-1.6739882281407326E-2</v>
      </c>
      <c r="AH23">
        <v>3283</v>
      </c>
      <c r="AI23" s="33">
        <f t="shared" si="4"/>
        <v>5.5627009646302294E-2</v>
      </c>
      <c r="AJ23" s="29">
        <f t="shared" si="1"/>
        <v>5.5627009646302294E-2</v>
      </c>
      <c r="AK23" s="33">
        <f t="shared" si="5"/>
        <v>-1.6739882281407215E-2</v>
      </c>
      <c r="AM23">
        <v>0.40000000000000568</v>
      </c>
      <c r="CH23" s="99">
        <v>0.40000000000000568</v>
      </c>
    </row>
    <row r="24" spans="1:86">
      <c r="A24">
        <v>2013</v>
      </c>
      <c r="B24" s="1">
        <v>4</v>
      </c>
      <c r="C24">
        <v>4</v>
      </c>
      <c r="D24" t="s">
        <v>52</v>
      </c>
      <c r="E24" s="33">
        <f t="shared" si="2"/>
        <v>2.0000000000000282E-3</v>
      </c>
      <c r="H24" s="507"/>
      <c r="I24" s="527">
        <f t="shared" si="6"/>
        <v>2.0000000000000282E-3</v>
      </c>
      <c r="J24" s="10">
        <v>2.0000000000000282E-3</v>
      </c>
      <c r="N24" s="80"/>
      <c r="O24" s="34"/>
      <c r="X24" s="3">
        <v>288363.33373174502</v>
      </c>
      <c r="Y24" s="3"/>
      <c r="Z24" s="33">
        <f t="shared" si="9"/>
        <v>0.19093987449600047</v>
      </c>
      <c r="AA24">
        <v>3.3000000000000002E-2</v>
      </c>
      <c r="AB24">
        <f t="shared" si="7"/>
        <v>0.10061353666486128</v>
      </c>
      <c r="AC24">
        <v>7.9929999999999968</v>
      </c>
      <c r="AD24">
        <f t="shared" si="8"/>
        <v>0</v>
      </c>
      <c r="AE24" s="99">
        <v>132.39958553353219</v>
      </c>
      <c r="AF24" s="119">
        <f t="shared" si="0"/>
        <v>1058.2698871695225</v>
      </c>
      <c r="AG24" s="33">
        <f t="shared" si="3"/>
        <v>-2.269473648814968E-2</v>
      </c>
      <c r="AH24">
        <v>3268</v>
      </c>
      <c r="AI24" s="33">
        <f t="shared" si="4"/>
        <v>5.4874112330535851E-2</v>
      </c>
      <c r="AJ24" s="29">
        <f t="shared" si="1"/>
        <v>5.4874112330535851E-2</v>
      </c>
      <c r="AK24" s="33">
        <f t="shared" si="5"/>
        <v>-2.269473648814968E-2</v>
      </c>
      <c r="AM24">
        <v>0.20000000000000284</v>
      </c>
      <c r="CH24" s="99">
        <v>0.20000000000000284</v>
      </c>
    </row>
    <row r="25" spans="1:86" s="13" customFormat="1">
      <c r="A25" s="13">
        <v>2013</v>
      </c>
      <c r="B25" s="280">
        <v>4</v>
      </c>
      <c r="C25" s="13">
        <v>4</v>
      </c>
      <c r="D25" s="13" t="s">
        <v>53</v>
      </c>
      <c r="E25" s="30">
        <f t="shared" si="2"/>
        <v>5.0000000000000001E-3</v>
      </c>
      <c r="H25" s="509"/>
      <c r="I25" s="528">
        <f t="shared" si="6"/>
        <v>5.0000000000000001E-3</v>
      </c>
      <c r="J25" s="283">
        <v>5.0000000000000001E-3</v>
      </c>
      <c r="N25" s="487"/>
      <c r="O25" s="488"/>
      <c r="X25" s="489">
        <v>297862.94055798498</v>
      </c>
      <c r="Y25" s="489"/>
      <c r="Z25" s="30">
        <f t="shared" si="9"/>
        <v>0.20612006700119689</v>
      </c>
      <c r="AA25" s="13">
        <v>3.3000000000000002E-2</v>
      </c>
      <c r="AB25" s="13">
        <f t="shared" si="7"/>
        <v>0.10525976247016189</v>
      </c>
      <c r="AC25" s="13">
        <v>7.9929999999999968</v>
      </c>
      <c r="AD25" s="13">
        <f t="shared" si="8"/>
        <v>0</v>
      </c>
      <c r="AE25" s="382">
        <v>134.4652625933694</v>
      </c>
      <c r="AF25" s="389">
        <f t="shared" si="0"/>
        <v>1074.7808439088012</v>
      </c>
      <c r="AG25" s="30">
        <f t="shared" si="3"/>
        <v>-8.2231546787743248E-3</v>
      </c>
      <c r="AH25" s="13">
        <v>3619</v>
      </c>
      <c r="AI25" s="30">
        <f t="shared" si="4"/>
        <v>7.1661237785016318E-2</v>
      </c>
      <c r="AJ25" s="31">
        <f t="shared" si="1"/>
        <v>7.1661237785016318E-2</v>
      </c>
      <c r="AK25" s="30">
        <f t="shared" si="5"/>
        <v>-8.2231546787743248E-3</v>
      </c>
      <c r="AM25">
        <v>0.5</v>
      </c>
      <c r="CH25" s="99">
        <v>0.5</v>
      </c>
    </row>
    <row r="26" spans="1:86">
      <c r="A26" s="1">
        <v>2014</v>
      </c>
      <c r="B26" s="1">
        <v>1</v>
      </c>
      <c r="C26" s="1">
        <v>1</v>
      </c>
      <c r="D26" t="str">
        <f t="shared" ref="D26:D89" si="10">A26&amp;"M"&amp;C26</f>
        <v>2014M1</v>
      </c>
      <c r="E26" s="33">
        <f t="shared" si="2"/>
        <v>2.2742624098223987E-3</v>
      </c>
      <c r="G26" s="126">
        <f>AVERAGE(I26:I37)</f>
        <v>1.8851835976141703E-2</v>
      </c>
      <c r="H26" s="507">
        <v>100</v>
      </c>
      <c r="I26" s="527">
        <f t="shared" si="6"/>
        <v>2.2742624098223987E-3</v>
      </c>
      <c r="J26" s="2">
        <v>5.0000000000000001E-3</v>
      </c>
      <c r="N26" s="2"/>
      <c r="O26" s="2"/>
      <c r="P26" s="2"/>
      <c r="Q26" s="2"/>
      <c r="R26" s="2"/>
      <c r="S26" s="2"/>
      <c r="T26" s="2"/>
      <c r="U26" s="2"/>
      <c r="V26" s="2"/>
      <c r="W26" s="2"/>
      <c r="X26" s="3">
        <v>300798.40161085001</v>
      </c>
      <c r="Y26" s="3"/>
      <c r="Z26" s="33">
        <f t="shared" si="9"/>
        <v>0.18648804002348185</v>
      </c>
      <c r="AA26" s="5">
        <v>-0.01</v>
      </c>
      <c r="AB26">
        <f>(1+Z23)/(1+AA26)-1</f>
        <v>0.17209593371433307</v>
      </c>
      <c r="AC26">
        <v>7.9929999999999968</v>
      </c>
      <c r="AD26">
        <f t="shared" si="8"/>
        <v>0</v>
      </c>
      <c r="AE26" s="99">
        <v>129.39997534019375</v>
      </c>
      <c r="AF26" s="119">
        <f t="shared" si="0"/>
        <v>1034.2940028941682</v>
      </c>
      <c r="AG26" s="33">
        <f t="shared" si="3"/>
        <v>-6.0794585024310011E-2</v>
      </c>
      <c r="AH26">
        <v>3167</v>
      </c>
      <c r="AI26" s="33">
        <f t="shared" si="4"/>
        <v>5.5666666666666753E-2</v>
      </c>
      <c r="AJ26" s="29">
        <f t="shared" si="1"/>
        <v>5.5666666666666753E-2</v>
      </c>
      <c r="AK26" s="33">
        <f t="shared" si="5"/>
        <v>-6.07945850243099E-2</v>
      </c>
      <c r="AM26">
        <v>0.22742624098223985</v>
      </c>
      <c r="CH26" s="99">
        <v>0.22742624098223985</v>
      </c>
    </row>
    <row r="27" spans="1:86">
      <c r="A27" s="1">
        <v>2014</v>
      </c>
      <c r="B27" s="1">
        <v>1</v>
      </c>
      <c r="C27" s="1">
        <v>2</v>
      </c>
      <c r="D27" t="str">
        <f t="shared" si="10"/>
        <v>2014M2</v>
      </c>
      <c r="E27" s="33">
        <f t="shared" si="2"/>
        <v>5.741896728978446E-3</v>
      </c>
      <c r="H27" s="507"/>
      <c r="I27" s="527">
        <f t="shared" si="6"/>
        <v>5.741896728978446E-3</v>
      </c>
      <c r="J27" s="2">
        <v>1.2000000000000028E-2</v>
      </c>
      <c r="N27" s="2"/>
      <c r="O27" s="2"/>
      <c r="P27" s="2"/>
      <c r="Q27" s="2"/>
      <c r="R27" s="2"/>
      <c r="S27" s="2"/>
      <c r="T27" s="2"/>
      <c r="U27" s="2"/>
      <c r="V27" s="2"/>
      <c r="W27" s="2"/>
      <c r="X27" s="3">
        <v>301442.06663184497</v>
      </c>
      <c r="Y27" s="3"/>
      <c r="Z27" s="33">
        <f t="shared" si="9"/>
        <v>0.18975070242260839</v>
      </c>
      <c r="AA27" s="5">
        <v>-0.01</v>
      </c>
      <c r="AB27">
        <f t="shared" ref="AB27:AB89" si="11">(1+Z27)/(1+AA27)-1</f>
        <v>0.20176838628546312</v>
      </c>
      <c r="AC27">
        <v>8.6548821428571419</v>
      </c>
      <c r="AD27">
        <f t="shared" si="8"/>
        <v>8.2807724616182243E-2</v>
      </c>
      <c r="AE27" s="99">
        <v>128.251941093749</v>
      </c>
      <c r="AF27" s="119">
        <f t="shared" si="0"/>
        <v>1110.0054347590542</v>
      </c>
      <c r="AG27" s="33">
        <f t="shared" si="3"/>
        <v>-7.3852772873026384E-2</v>
      </c>
      <c r="AH27">
        <v>3209</v>
      </c>
      <c r="AI27" s="33">
        <f t="shared" si="4"/>
        <v>5.4204993429697756E-2</v>
      </c>
      <c r="AJ27" s="29">
        <f t="shared" si="1"/>
        <v>5.4204993429697756E-2</v>
      </c>
      <c r="AK27" s="33">
        <f t="shared" si="5"/>
        <v>2.8393716649448564E-3</v>
      </c>
      <c r="AM27">
        <v>0.57418967289784462</v>
      </c>
      <c r="CH27" s="99">
        <v>0.57418967289784462</v>
      </c>
    </row>
    <row r="28" spans="1:86">
      <c r="A28" s="1">
        <v>2014</v>
      </c>
      <c r="B28" s="1">
        <v>1</v>
      </c>
      <c r="C28" s="1">
        <v>3</v>
      </c>
      <c r="D28" t="str">
        <f t="shared" si="10"/>
        <v>2014M3</v>
      </c>
      <c r="E28" s="33">
        <f t="shared" si="2"/>
        <v>2.1717601079911334E-2</v>
      </c>
      <c r="H28" s="507"/>
      <c r="I28" s="527">
        <f t="shared" si="6"/>
        <v>2.1717601079911334E-2</v>
      </c>
      <c r="J28" s="2">
        <v>3.4000000000000058E-2</v>
      </c>
      <c r="N28" s="2"/>
      <c r="O28" s="2"/>
      <c r="P28" s="2"/>
      <c r="Q28" s="2"/>
      <c r="R28" s="2"/>
      <c r="S28" s="2"/>
      <c r="T28" s="2"/>
      <c r="U28" s="2"/>
      <c r="V28" s="2"/>
      <c r="W28" s="2"/>
      <c r="X28" s="3">
        <v>318743.77602432499</v>
      </c>
      <c r="Y28" s="3"/>
      <c r="Z28" s="33">
        <f t="shared" si="9"/>
        <v>0.2472325135651019</v>
      </c>
      <c r="AA28" s="5">
        <v>-0.01</v>
      </c>
      <c r="AB28">
        <f t="shared" si="11"/>
        <v>0.25983082178293126</v>
      </c>
      <c r="AC28">
        <v>9.9200290322580607</v>
      </c>
      <c r="AD28">
        <f t="shared" si="8"/>
        <v>0.24108958241687284</v>
      </c>
      <c r="AE28" s="99">
        <v>125.17791468915895</v>
      </c>
      <c r="AF28" s="119">
        <f t="shared" si="0"/>
        <v>1241.7685479139795</v>
      </c>
      <c r="AG28" s="33">
        <f t="shared" si="3"/>
        <v>-7.8432991528762597E-2</v>
      </c>
      <c r="AH28">
        <v>3415</v>
      </c>
      <c r="AI28" s="33">
        <f t="shared" si="4"/>
        <v>6.3200498132004901E-2</v>
      </c>
      <c r="AJ28" s="29">
        <f t="shared" si="1"/>
        <v>6.3200498132004901E-2</v>
      </c>
      <c r="AK28" s="33">
        <f t="shared" si="5"/>
        <v>0.14374721371273469</v>
      </c>
      <c r="AM28">
        <v>2.1717601079911333</v>
      </c>
      <c r="CH28" s="99">
        <v>2.1717601079911333</v>
      </c>
    </row>
    <row r="29" spans="1:86">
      <c r="A29" s="1">
        <v>2014</v>
      </c>
      <c r="B29" s="1">
        <v>2</v>
      </c>
      <c r="C29" s="1">
        <v>4</v>
      </c>
      <c r="D29" t="str">
        <f t="shared" si="10"/>
        <v>2014M4</v>
      </c>
      <c r="E29" s="33">
        <f t="shared" si="2"/>
        <v>3.3477781478453039E-2</v>
      </c>
      <c r="H29" s="507"/>
      <c r="I29" s="527">
        <f t="shared" si="6"/>
        <v>3.3477781478453039E-2</v>
      </c>
      <c r="J29" s="2">
        <v>6.9000000000000061E-2</v>
      </c>
      <c r="N29" s="2"/>
      <c r="O29" s="2"/>
      <c r="P29" s="2"/>
      <c r="Q29" s="2"/>
      <c r="R29" s="2"/>
      <c r="S29" s="2"/>
      <c r="T29" s="2"/>
      <c r="U29" s="2"/>
      <c r="V29" s="2"/>
      <c r="W29" s="2"/>
      <c r="X29" s="3">
        <v>333966.73129959498</v>
      </c>
      <c r="Y29" s="3"/>
      <c r="Z29" s="33">
        <f t="shared" si="9"/>
        <v>0.27630937836636837</v>
      </c>
      <c r="AA29" s="5">
        <v>-4.2999999999999997E-2</v>
      </c>
      <c r="AB29">
        <f t="shared" si="11"/>
        <v>0.33365661271302871</v>
      </c>
      <c r="AC29">
        <v>12.759447166666666</v>
      </c>
      <c r="AD29">
        <f t="shared" si="8"/>
        <v>0.59632768255557012</v>
      </c>
      <c r="AE29" s="99">
        <v>124.92793478909064</v>
      </c>
      <c r="AF29" s="119">
        <f t="shared" si="0"/>
        <v>1594.0113835821805</v>
      </c>
      <c r="AG29" s="33">
        <f t="shared" si="3"/>
        <v>-0.10722160778549117</v>
      </c>
      <c r="AH29">
        <v>3432</v>
      </c>
      <c r="AI29" s="33">
        <f t="shared" si="4"/>
        <v>6.1552737395607737E-2</v>
      </c>
      <c r="AJ29" s="29">
        <f t="shared" si="1"/>
        <v>6.1552737395607737E-2</v>
      </c>
      <c r="AK29" s="33">
        <f t="shared" si="5"/>
        <v>0.42516686187947461</v>
      </c>
      <c r="AM29">
        <v>3.3477781478453039</v>
      </c>
      <c r="CH29" s="99">
        <v>3.3477781478453039</v>
      </c>
    </row>
    <row r="30" spans="1:86">
      <c r="A30" s="1">
        <v>2014</v>
      </c>
      <c r="B30" s="1">
        <v>2</v>
      </c>
      <c r="C30" s="1">
        <v>5</v>
      </c>
      <c r="D30" t="str">
        <f t="shared" si="10"/>
        <v>2014M5</v>
      </c>
      <c r="E30" s="33">
        <f t="shared" si="2"/>
        <v>3.8311894109004353E-2</v>
      </c>
      <c r="H30" s="507"/>
      <c r="I30" s="527">
        <f t="shared" si="6"/>
        <v>3.8311894109004353E-2</v>
      </c>
      <c r="J30" s="2">
        <v>0.10900000000000006</v>
      </c>
      <c r="N30" s="2"/>
      <c r="O30" s="2"/>
      <c r="P30" s="2"/>
      <c r="Q30" s="2"/>
      <c r="R30" s="2"/>
      <c r="S30" s="2"/>
      <c r="T30" s="2"/>
      <c r="U30" s="2"/>
      <c r="V30" s="2"/>
      <c r="W30" s="2"/>
      <c r="X30" s="3">
        <v>340922.54735220497</v>
      </c>
      <c r="Y30" s="3"/>
      <c r="Z30" s="33">
        <f t="shared" si="9"/>
        <v>0.2674642682846502</v>
      </c>
      <c r="AA30" s="5">
        <v>-4.2999999999999997E-2</v>
      </c>
      <c r="AB30">
        <f t="shared" si="11"/>
        <v>0.32441407344268569</v>
      </c>
      <c r="AC30">
        <v>11.643625741935482</v>
      </c>
      <c r="AD30">
        <f t="shared" si="8"/>
        <v>0.45672785461472376</v>
      </c>
      <c r="AE30" s="99">
        <v>124.21988948502181</v>
      </c>
      <c r="AF30" s="119">
        <f t="shared" si="0"/>
        <v>1446.3699028681806</v>
      </c>
      <c r="AG30" s="33">
        <f t="shared" si="3"/>
        <v>-8.6354153461909E-2</v>
      </c>
      <c r="AH30">
        <v>3430</v>
      </c>
      <c r="AI30" s="33">
        <f t="shared" si="4"/>
        <v>5.4411312634491171E-2</v>
      </c>
      <c r="AJ30" s="29">
        <f t="shared" si="1"/>
        <v>5.4411312634491171E-2</v>
      </c>
      <c r="AK30" s="33">
        <f t="shared" si="5"/>
        <v>0.33093335390508649</v>
      </c>
      <c r="AM30">
        <v>3.8311894109004356</v>
      </c>
      <c r="CH30" s="99">
        <v>3.8311894109004356</v>
      </c>
    </row>
    <row r="31" spans="1:86">
      <c r="A31" s="1">
        <v>2014</v>
      </c>
      <c r="B31" s="1">
        <v>2</v>
      </c>
      <c r="C31" s="1">
        <v>6</v>
      </c>
      <c r="D31" t="str">
        <f t="shared" si="10"/>
        <v>2014M6</v>
      </c>
      <c r="E31" s="33">
        <f t="shared" si="2"/>
        <v>9.7127305070468135E-3</v>
      </c>
      <c r="H31" s="507"/>
      <c r="I31" s="527">
        <f t="shared" si="6"/>
        <v>9.7127305070468135E-3</v>
      </c>
      <c r="J31" s="2">
        <v>0.12</v>
      </c>
      <c r="N31" s="2"/>
      <c r="O31" s="2"/>
      <c r="P31" s="2"/>
      <c r="Q31" s="2"/>
      <c r="R31" s="2"/>
      <c r="S31" s="2"/>
      <c r="T31" s="2"/>
      <c r="U31" s="2"/>
      <c r="V31" s="2"/>
      <c r="W31" s="2"/>
      <c r="X31" s="3">
        <v>346942.54146475496</v>
      </c>
      <c r="Y31" s="3"/>
      <c r="Z31" s="33">
        <f t="shared" si="9"/>
        <v>0.2696441681953563</v>
      </c>
      <c r="AA31" s="5">
        <v>-4.2999999999999997E-2</v>
      </c>
      <c r="AB31">
        <f t="shared" si="11"/>
        <v>0.32669192078929599</v>
      </c>
      <c r="AC31">
        <v>11.809525100000002</v>
      </c>
      <c r="AD31">
        <f t="shared" si="8"/>
        <v>0.47748343550606864</v>
      </c>
      <c r="AE31" s="99">
        <v>123.67620950844133</v>
      </c>
      <c r="AF31" s="119">
        <f t="shared" si="0"/>
        <v>1460.5573004627968</v>
      </c>
      <c r="AG31" s="33">
        <f t="shared" si="3"/>
        <v>-6.9984415085665108E-2</v>
      </c>
      <c r="AH31">
        <v>3601</v>
      </c>
      <c r="AI31" s="33">
        <f t="shared" si="4"/>
        <v>6.5384615384615374E-2</v>
      </c>
      <c r="AJ31" s="29">
        <f t="shared" si="1"/>
        <v>6.5384615384615374E-2</v>
      </c>
      <c r="AK31" s="33">
        <f t="shared" si="5"/>
        <v>0.37408262147341742</v>
      </c>
      <c r="AM31">
        <v>0.9712730507046814</v>
      </c>
      <c r="CH31" s="99">
        <v>0.9712730507046814</v>
      </c>
    </row>
    <row r="32" spans="1:86">
      <c r="A32" s="1">
        <v>2014</v>
      </c>
      <c r="B32" s="1">
        <v>3</v>
      </c>
      <c r="C32" s="1">
        <v>7</v>
      </c>
      <c r="D32" t="str">
        <f t="shared" si="10"/>
        <v>2014M7</v>
      </c>
      <c r="E32" s="33">
        <f t="shared" si="2"/>
        <v>3.6296293535743019E-3</v>
      </c>
      <c r="H32" s="507"/>
      <c r="I32" s="527">
        <f t="shared" si="6"/>
        <v>3.6296293535743019E-3</v>
      </c>
      <c r="J32" s="2">
        <v>0.12599999999999995</v>
      </c>
      <c r="N32" s="2"/>
      <c r="O32" s="2"/>
      <c r="P32" s="2"/>
      <c r="Q32" s="2"/>
      <c r="R32" s="2"/>
      <c r="S32" s="2"/>
      <c r="T32" s="2"/>
      <c r="U32" s="2"/>
      <c r="V32" s="2"/>
      <c r="W32" s="2"/>
      <c r="X32" s="3">
        <v>349859.80596984003</v>
      </c>
      <c r="Y32" s="3"/>
      <c r="Z32" s="33">
        <f t="shared" si="9"/>
        <v>0.26158881273858414</v>
      </c>
      <c r="AA32" s="5">
        <v>-5.2999999999999999E-2</v>
      </c>
      <c r="AB32">
        <f t="shared" si="11"/>
        <v>0.33219515600695271</v>
      </c>
      <c r="AC32">
        <v>11.758699838709674</v>
      </c>
      <c r="AD32">
        <f t="shared" si="8"/>
        <v>0.47112471396342781</v>
      </c>
      <c r="AE32" s="99">
        <v>118.08884019936436</v>
      </c>
      <c r="AF32" s="119">
        <f t="shared" si="0"/>
        <v>1388.5712262056782</v>
      </c>
      <c r="AG32" s="33">
        <f t="shared" si="3"/>
        <v>-0.10696843141990686</v>
      </c>
      <c r="AH32">
        <v>3537</v>
      </c>
      <c r="AI32" s="33">
        <f t="shared" si="4"/>
        <v>3.1496062992125928E-2</v>
      </c>
      <c r="AJ32" s="29">
        <f t="shared" si="1"/>
        <v>3.1496062992125928E-2</v>
      </c>
      <c r="AK32" s="33">
        <f t="shared" si="5"/>
        <v>0.3137608108877008</v>
      </c>
      <c r="AM32">
        <v>0.36296293535743018</v>
      </c>
      <c r="CH32" s="99">
        <v>0.36296293535743018</v>
      </c>
    </row>
    <row r="33" spans="1:86">
      <c r="A33" s="1">
        <v>2014</v>
      </c>
      <c r="B33" s="1">
        <v>3</v>
      </c>
      <c r="C33" s="1">
        <v>8</v>
      </c>
      <c r="D33" t="str">
        <f t="shared" si="10"/>
        <v>2014M8</v>
      </c>
      <c r="E33" s="33">
        <f t="shared" si="2"/>
        <v>8.1904496056313288E-3</v>
      </c>
      <c r="H33" s="507"/>
      <c r="I33" s="527">
        <f t="shared" si="6"/>
        <v>8.1904496056313288E-3</v>
      </c>
      <c r="J33" s="2">
        <v>0.14200000000000002</v>
      </c>
      <c r="N33" s="2"/>
      <c r="O33" s="2"/>
      <c r="P33" s="2"/>
      <c r="Q33" s="2"/>
      <c r="R33" s="2"/>
      <c r="S33" s="2"/>
      <c r="T33" s="2"/>
      <c r="U33" s="2"/>
      <c r="V33" s="2"/>
      <c r="W33" s="2"/>
      <c r="X33" s="3">
        <v>345111.83392211999</v>
      </c>
      <c r="Y33" s="3"/>
      <c r="Z33" s="33">
        <f t="shared" si="9"/>
        <v>0.2269255260434051</v>
      </c>
      <c r="AA33" s="5">
        <v>-5.2999999999999999E-2</v>
      </c>
      <c r="AB33">
        <f t="shared" si="11"/>
        <v>0.29559189656114593</v>
      </c>
      <c r="AC33">
        <v>12.974419322580642</v>
      </c>
      <c r="AD33">
        <f t="shared" si="8"/>
        <v>0.62322273521589477</v>
      </c>
      <c r="AE33" s="99">
        <v>114.24893351996502</v>
      </c>
      <c r="AF33" s="119">
        <f t="shared" si="0"/>
        <v>1482.3135706456653</v>
      </c>
      <c r="AG33" s="33">
        <f t="shared" si="3"/>
        <v>-0.1467800668456003</v>
      </c>
      <c r="AH33">
        <v>3370</v>
      </c>
      <c r="AI33" s="33">
        <f t="shared" si="4"/>
        <v>1.9975786924939509E-2</v>
      </c>
      <c r="AJ33" s="29">
        <f t="shared" si="1"/>
        <v>1.9975786924939509E-2</v>
      </c>
      <c r="AK33" s="33">
        <f t="shared" si="5"/>
        <v>0.38496599363560757</v>
      </c>
      <c r="AM33">
        <v>0.81904496056313292</v>
      </c>
      <c r="CH33" s="99">
        <v>0.81904496056313292</v>
      </c>
    </row>
    <row r="34" spans="1:86">
      <c r="A34" s="1">
        <v>2014</v>
      </c>
      <c r="B34" s="1">
        <v>3</v>
      </c>
      <c r="C34" s="1">
        <v>9</v>
      </c>
      <c r="D34" t="str">
        <f t="shared" si="10"/>
        <v>2014M9</v>
      </c>
      <c r="E34" s="33">
        <f t="shared" si="2"/>
        <v>2.9486404360563368E-2</v>
      </c>
      <c r="H34" s="507"/>
      <c r="I34" s="527">
        <f t="shared" si="6"/>
        <v>2.9486404360563368E-2</v>
      </c>
      <c r="J34" s="2">
        <v>0.17499999999999999</v>
      </c>
      <c r="N34" s="2"/>
      <c r="O34" s="2"/>
      <c r="P34" s="2"/>
      <c r="Q34" s="2"/>
      <c r="R34" s="2"/>
      <c r="S34" s="2"/>
      <c r="T34" s="2"/>
      <c r="U34" s="2"/>
      <c r="V34" s="2"/>
      <c r="W34" s="2"/>
      <c r="X34" s="3">
        <v>346423.85484130995</v>
      </c>
      <c r="Y34" s="3"/>
      <c r="Z34" s="33">
        <f t="shared" si="9"/>
        <v>0.21929042082899453</v>
      </c>
      <c r="AA34" s="5">
        <v>-5.2999999999999999E-2</v>
      </c>
      <c r="AB34">
        <f t="shared" si="11"/>
        <v>0.28752948345194773</v>
      </c>
      <c r="AC34">
        <v>13.012378400000001</v>
      </c>
      <c r="AD34">
        <f t="shared" si="8"/>
        <v>0.62797177530339132</v>
      </c>
      <c r="AE34" s="99">
        <v>111.07961727671469</v>
      </c>
      <c r="AF34" s="119">
        <f t="shared" si="0"/>
        <v>1445.4100125317891</v>
      </c>
      <c r="AG34" s="33">
        <f t="shared" si="3"/>
        <v>-0.15561055164037996</v>
      </c>
      <c r="AH34">
        <v>3481</v>
      </c>
      <c r="AI34" s="33">
        <f t="shared" si="4"/>
        <v>6.7463968107942307E-2</v>
      </c>
      <c r="AJ34" s="29">
        <f t="shared" si="1"/>
        <v>6.7463968107942307E-2</v>
      </c>
      <c r="AK34" s="33">
        <f t="shared" si="5"/>
        <v>0.37464218929346171</v>
      </c>
      <c r="AM34">
        <v>2.948640436056337</v>
      </c>
      <c r="CH34" s="99">
        <v>2.948640436056337</v>
      </c>
    </row>
    <row r="35" spans="1:86">
      <c r="A35" s="1">
        <v>2014</v>
      </c>
      <c r="B35" s="1">
        <v>4</v>
      </c>
      <c r="C35" s="1">
        <v>10</v>
      </c>
      <c r="D35" t="str">
        <f t="shared" si="10"/>
        <v>2014M10</v>
      </c>
      <c r="E35" s="33">
        <f t="shared" si="2"/>
        <v>2.4347837210566325E-2</v>
      </c>
      <c r="H35" s="507"/>
      <c r="I35" s="527">
        <f t="shared" si="6"/>
        <v>2.4347837210566325E-2</v>
      </c>
      <c r="J35" s="2">
        <v>0.19799999999999998</v>
      </c>
      <c r="N35" s="2"/>
      <c r="O35" s="2"/>
      <c r="P35" s="2"/>
      <c r="Q35" s="2"/>
      <c r="R35" s="2"/>
      <c r="S35" s="2"/>
      <c r="T35" s="2"/>
      <c r="U35" s="2"/>
      <c r="V35" s="2"/>
      <c r="W35" s="2"/>
      <c r="X35" s="3">
        <v>341972.79756451002</v>
      </c>
      <c r="Y35" s="3"/>
      <c r="Z35" s="33">
        <f t="shared" si="9"/>
        <v>0.19424027429308155</v>
      </c>
      <c r="AA35" s="5">
        <v>-0.14400000000000002</v>
      </c>
      <c r="AB35">
        <f t="shared" si="11"/>
        <v>0.3951405073517309</v>
      </c>
      <c r="AC35">
        <v>12.949849741935488</v>
      </c>
      <c r="AD35">
        <f t="shared" si="8"/>
        <v>0.62014884798392256</v>
      </c>
      <c r="AE35" s="99">
        <v>106.22440962054507</v>
      </c>
      <c r="AF35" s="119">
        <f t="shared" si="0"/>
        <v>1375.5901435118651</v>
      </c>
      <c r="AG35" s="33">
        <f t="shared" si="3"/>
        <v>-0.19709053309389746</v>
      </c>
      <c r="AH35">
        <v>3509</v>
      </c>
      <c r="AI35" s="33">
        <f t="shared" si="4"/>
        <v>6.883947608894303E-2</v>
      </c>
      <c r="AJ35" s="29">
        <f t="shared" si="1"/>
        <v>6.883947608894303E-2</v>
      </c>
      <c r="AK35" s="33">
        <f t="shared" si="5"/>
        <v>0.30083284784330733</v>
      </c>
      <c r="AM35">
        <v>2.4347837210566325</v>
      </c>
      <c r="CH35" s="99">
        <v>2.4347837210566325</v>
      </c>
    </row>
    <row r="36" spans="1:86">
      <c r="A36" s="1">
        <v>2014</v>
      </c>
      <c r="B36" s="1">
        <v>4</v>
      </c>
      <c r="C36" s="1">
        <v>11</v>
      </c>
      <c r="D36" t="str">
        <f t="shared" si="10"/>
        <v>2014M11</v>
      </c>
      <c r="E36" s="33">
        <f t="shared" si="2"/>
        <v>1.9331544870148747E-2</v>
      </c>
      <c r="H36" s="507"/>
      <c r="I36" s="527">
        <f t="shared" si="6"/>
        <v>1.9331544870148747E-2</v>
      </c>
      <c r="J36" s="2">
        <v>0.21799999999999997</v>
      </c>
      <c r="N36" s="2"/>
      <c r="O36" s="2"/>
      <c r="P36" s="2"/>
      <c r="Q36" s="2"/>
      <c r="R36" s="2"/>
      <c r="S36" s="2"/>
      <c r="T36" s="2"/>
      <c r="U36" s="2"/>
      <c r="V36" s="2"/>
      <c r="W36" s="2"/>
      <c r="X36" s="3">
        <v>330450.83183212997</v>
      </c>
      <c r="Y36" s="3"/>
      <c r="Z36" s="33">
        <f t="shared" si="9"/>
        <v>0.14595301543967287</v>
      </c>
      <c r="AA36" s="5">
        <v>-0.14400000000000002</v>
      </c>
      <c r="AB36">
        <f t="shared" si="11"/>
        <v>0.33873015822391683</v>
      </c>
      <c r="AC36">
        <v>14.731345500000002</v>
      </c>
      <c r="AD36">
        <f t="shared" si="8"/>
        <v>0.84303083948454982</v>
      </c>
      <c r="AE36" s="99">
        <v>97.082787679038418</v>
      </c>
      <c r="AF36" s="119">
        <f t="shared" si="0"/>
        <v>1430.1600874030582</v>
      </c>
      <c r="AG36" s="33">
        <f t="shared" si="3"/>
        <v>-0.26674402123071039</v>
      </c>
      <c r="AH36">
        <v>3534</v>
      </c>
      <c r="AI36" s="33">
        <f t="shared" si="4"/>
        <v>8.1395348837209225E-2</v>
      </c>
      <c r="AJ36" s="29">
        <f t="shared" si="1"/>
        <v>8.1395348837209225E-2</v>
      </c>
      <c r="AK36" s="33">
        <f t="shared" si="5"/>
        <v>0.35141338210822903</v>
      </c>
      <c r="AM36">
        <v>1.9331544870148747</v>
      </c>
      <c r="CH36" s="99">
        <v>1.9331544870148747</v>
      </c>
    </row>
    <row r="37" spans="1:86">
      <c r="A37" s="1">
        <v>2014</v>
      </c>
      <c r="B37" s="1">
        <v>4</v>
      </c>
      <c r="C37" s="1">
        <v>12</v>
      </c>
      <c r="D37" t="str">
        <f t="shared" si="10"/>
        <v>2014M12</v>
      </c>
      <c r="E37" s="33">
        <f t="shared" si="2"/>
        <v>0.03</v>
      </c>
      <c r="H37" s="507"/>
      <c r="I37" s="527">
        <f t="shared" si="6"/>
        <v>0.03</v>
      </c>
      <c r="J37" s="2">
        <v>0.24900000000000005</v>
      </c>
      <c r="N37" s="2"/>
      <c r="O37" s="2"/>
      <c r="P37" s="2"/>
      <c r="Q37" s="2"/>
      <c r="R37" s="2"/>
      <c r="S37" s="2"/>
      <c r="T37" s="2"/>
      <c r="U37" s="2"/>
      <c r="V37" s="2"/>
      <c r="W37" s="2"/>
      <c r="X37" s="3">
        <v>330790.97813041497</v>
      </c>
      <c r="Y37" s="3"/>
      <c r="Z37" s="33">
        <f t="shared" si="9"/>
        <v>0.11054761465372653</v>
      </c>
      <c r="AA37" s="5">
        <v>-0.14400000000000002</v>
      </c>
      <c r="AB37">
        <f t="shared" si="11"/>
        <v>0.29736870870762444</v>
      </c>
      <c r="AC37">
        <v>15.629198419354838</v>
      </c>
      <c r="AD37">
        <f t="shared" si="8"/>
        <v>0.95536074306954144</v>
      </c>
      <c r="AE37" s="99">
        <v>90.309453830286756</v>
      </c>
      <c r="AF37" s="119">
        <f t="shared" si="0"/>
        <v>1411.4643730571165</v>
      </c>
      <c r="AG37" s="33">
        <f t="shared" si="3"/>
        <v>-0.32838078706329021</v>
      </c>
      <c r="AH37">
        <v>4012</v>
      </c>
      <c r="AI37" s="33">
        <f t="shared" si="4"/>
        <v>0.10859353412544892</v>
      </c>
      <c r="AJ37" s="29">
        <f t="shared" si="1"/>
        <v>0.10859353412544892</v>
      </c>
      <c r="AK37" s="33">
        <f t="shared" si="5"/>
        <v>0.31325784326770534</v>
      </c>
      <c r="AM37">
        <v>3</v>
      </c>
      <c r="CH37" s="99">
        <v>3</v>
      </c>
    </row>
    <row r="38" spans="1:86">
      <c r="A38" s="1">
        <v>2015</v>
      </c>
      <c r="B38" s="1">
        <v>1</v>
      </c>
      <c r="C38" s="1">
        <v>1</v>
      </c>
      <c r="D38" t="str">
        <f t="shared" si="10"/>
        <v>2015M1</v>
      </c>
      <c r="E38" s="33">
        <f t="shared" si="2"/>
        <v>3.136586173545268E-2</v>
      </c>
      <c r="G38" s="126">
        <f>AVERAGE(I38:I49)</f>
        <v>3.1457242112885801E-2</v>
      </c>
      <c r="H38" s="507"/>
      <c r="I38" s="527">
        <f t="shared" si="6"/>
        <v>3.136586173545268E-2</v>
      </c>
      <c r="J38" s="2">
        <v>0.28499999999999998</v>
      </c>
      <c r="N38" s="2"/>
      <c r="O38" s="2"/>
      <c r="P38" s="2"/>
      <c r="Q38" s="2"/>
      <c r="R38" s="2"/>
      <c r="S38" s="2"/>
      <c r="T38" s="2"/>
      <c r="U38" s="2"/>
      <c r="V38" s="2"/>
      <c r="W38" s="2"/>
      <c r="X38" s="3">
        <v>329963.04891961999</v>
      </c>
      <c r="Y38" s="3"/>
      <c r="Z38" s="33">
        <f t="shared" si="9"/>
        <v>9.6957454403301613E-2</v>
      </c>
      <c r="AA38" s="5">
        <v>-0.16</v>
      </c>
      <c r="AB38">
        <f t="shared" si="11"/>
        <v>0.30590173143250188</v>
      </c>
      <c r="AC38">
        <v>15.818962580645165</v>
      </c>
      <c r="AD38">
        <f t="shared" si="8"/>
        <v>0.97910203686290154</v>
      </c>
      <c r="AE38" s="99">
        <v>81.129787004963418</v>
      </c>
      <c r="AF38" s="119">
        <f t="shared" si="0"/>
        <v>1283.3890648072286</v>
      </c>
      <c r="AG38" s="33">
        <f t="shared" si="3"/>
        <v>-0.37303089284466673</v>
      </c>
      <c r="AH38">
        <v>3455</v>
      </c>
      <c r="AI38" s="33">
        <f t="shared" si="4"/>
        <v>9.0937796021471451E-2</v>
      </c>
      <c r="AJ38" s="29">
        <f t="shared" si="1"/>
        <v>9.0937796021471451E-2</v>
      </c>
      <c r="AK38" s="33">
        <f t="shared" si="5"/>
        <v>0.24083583702123468</v>
      </c>
      <c r="AM38">
        <v>3.1365861735452683</v>
      </c>
      <c r="CH38" s="99">
        <v>3.1365861735452683</v>
      </c>
    </row>
    <row r="39" spans="1:86">
      <c r="A39" s="1">
        <v>2015</v>
      </c>
      <c r="B39" s="1">
        <v>1</v>
      </c>
      <c r="C39" s="1">
        <v>2</v>
      </c>
      <c r="D39" t="str">
        <f t="shared" si="10"/>
        <v>2015M2</v>
      </c>
      <c r="E39" s="33">
        <f t="shared" si="2"/>
        <v>5.2585287076712464E-2</v>
      </c>
      <c r="H39" s="507"/>
      <c r="I39" s="527">
        <f t="shared" si="6"/>
        <v>5.2585287076712464E-2</v>
      </c>
      <c r="J39" s="2">
        <v>0.34499999999999997</v>
      </c>
      <c r="N39" s="2"/>
      <c r="O39" s="2"/>
      <c r="P39" s="2"/>
      <c r="Q39" s="2"/>
      <c r="R39" s="2"/>
      <c r="S39" s="2"/>
      <c r="T39" s="2"/>
      <c r="U39" s="2"/>
      <c r="V39" s="2"/>
      <c r="W39" s="2"/>
      <c r="X39" s="3">
        <v>329169.85037036997</v>
      </c>
      <c r="Y39" s="3"/>
      <c r="Z39" s="33">
        <f t="shared" si="9"/>
        <v>9.1983789947901684E-2</v>
      </c>
      <c r="AA39" s="5">
        <v>-0.16</v>
      </c>
      <c r="AB39">
        <f t="shared" si="11"/>
        <v>0.2999807023189307</v>
      </c>
      <c r="AC39">
        <v>24.687130357142852</v>
      </c>
      <c r="AD39">
        <f t="shared" si="8"/>
        <v>1.852393591230713</v>
      </c>
      <c r="AE39" s="99">
        <v>82.513853808485834</v>
      </c>
      <c r="AF39" s="119">
        <f t="shared" si="0"/>
        <v>2037.0302652403179</v>
      </c>
      <c r="AG39" s="33">
        <f t="shared" si="3"/>
        <v>-0.35662686190324211</v>
      </c>
      <c r="AH39">
        <v>3633</v>
      </c>
      <c r="AI39" s="33">
        <f t="shared" si="4"/>
        <v>0.13212838890620127</v>
      </c>
      <c r="AJ39" s="29">
        <f t="shared" si="1"/>
        <v>0.13212838890620127</v>
      </c>
      <c r="AK39" s="33">
        <f t="shared" si="5"/>
        <v>0.83515341587718472</v>
      </c>
      <c r="AM39">
        <v>5.2585287076712461</v>
      </c>
      <c r="CH39" s="99">
        <v>5.2585287076712461</v>
      </c>
    </row>
    <row r="40" spans="1:86">
      <c r="A40" s="1">
        <v>2015</v>
      </c>
      <c r="B40" s="1">
        <v>1</v>
      </c>
      <c r="C40" s="1">
        <v>3</v>
      </c>
      <c r="D40" t="str">
        <f t="shared" si="10"/>
        <v>2015M3</v>
      </c>
      <c r="E40" s="33">
        <f t="shared" si="2"/>
        <v>0.10835274745452665</v>
      </c>
      <c r="H40" s="507"/>
      <c r="I40" s="527">
        <f t="shared" si="6"/>
        <v>0.10835274745452665</v>
      </c>
      <c r="J40" s="2">
        <v>0.45800000000000013</v>
      </c>
      <c r="N40" s="2"/>
      <c r="O40" s="2"/>
      <c r="P40" s="2"/>
      <c r="Q40" s="2"/>
      <c r="R40" s="2"/>
      <c r="S40" s="2"/>
      <c r="T40" s="2"/>
      <c r="U40" s="2"/>
      <c r="V40" s="2"/>
      <c r="W40" s="2"/>
      <c r="X40" s="3">
        <v>331799.58214036003</v>
      </c>
      <c r="Y40" s="3"/>
      <c r="Z40" s="33">
        <f t="shared" si="9"/>
        <v>4.0960191533398582E-2</v>
      </c>
      <c r="AA40" s="5">
        <v>-0.16</v>
      </c>
      <c r="AB40">
        <f t="shared" si="11"/>
        <v>0.23923832325404604</v>
      </c>
      <c r="AC40">
        <v>23.186529741935477</v>
      </c>
      <c r="AD40">
        <f t="shared" si="8"/>
        <v>1.337344947936872</v>
      </c>
      <c r="AE40" s="99">
        <v>80.62085835343855</v>
      </c>
      <c r="AF40" s="119">
        <f t="shared" si="0"/>
        <v>1869.3179300323702</v>
      </c>
      <c r="AG40" s="33">
        <f t="shared" si="3"/>
        <v>-0.35594982107158613</v>
      </c>
      <c r="AH40">
        <v>3863</v>
      </c>
      <c r="AI40" s="33">
        <f t="shared" si="4"/>
        <v>0.13118594436310405</v>
      </c>
      <c r="AJ40" s="29">
        <f t="shared" si="1"/>
        <v>0.13118594436310405</v>
      </c>
      <c r="AK40" s="33">
        <f t="shared" si="5"/>
        <v>0.50536743193616673</v>
      </c>
      <c r="AM40">
        <v>10.835274745452665</v>
      </c>
      <c r="CH40" s="99">
        <v>10.835274745452665</v>
      </c>
    </row>
    <row r="41" spans="1:86">
      <c r="A41" s="1">
        <v>2015</v>
      </c>
      <c r="B41" s="1">
        <v>2</v>
      </c>
      <c r="C41" s="1">
        <v>4</v>
      </c>
      <c r="D41" t="str">
        <f t="shared" si="10"/>
        <v>2015M4</v>
      </c>
      <c r="E41" s="33">
        <f t="shared" si="2"/>
        <v>0.13965954227288052</v>
      </c>
      <c r="H41" s="507"/>
      <c r="I41" s="527">
        <f t="shared" si="6"/>
        <v>0.13965954227288052</v>
      </c>
      <c r="J41" s="2">
        <v>0.6090000000000001</v>
      </c>
      <c r="N41" s="2"/>
      <c r="O41" s="2"/>
      <c r="P41" s="2"/>
      <c r="Q41" s="2"/>
      <c r="R41" s="2"/>
      <c r="S41" s="2"/>
      <c r="T41" s="2"/>
      <c r="U41" s="2"/>
      <c r="V41" s="2"/>
      <c r="W41" s="2"/>
      <c r="X41" s="3">
        <v>331175.20960626996</v>
      </c>
      <c r="Y41" s="3"/>
      <c r="Z41" s="33">
        <f t="shared" si="9"/>
        <v>-8.3586819635060872E-3</v>
      </c>
      <c r="AA41" s="5">
        <v>-0.14499999999999999</v>
      </c>
      <c r="AB41">
        <f t="shared" si="11"/>
        <v>0.15981440706022676</v>
      </c>
      <c r="AC41">
        <v>22.709472500000004</v>
      </c>
      <c r="AD41">
        <f t="shared" si="8"/>
        <v>0.7798163355640686</v>
      </c>
      <c r="AE41" s="99">
        <v>75.240359242048555</v>
      </c>
      <c r="AF41" s="119">
        <f t="shared" si="0"/>
        <v>1708.6688690974229</v>
      </c>
      <c r="AG41" s="33">
        <f t="shared" si="3"/>
        <v>-0.39772990429183874</v>
      </c>
      <c r="AH41">
        <v>3998</v>
      </c>
      <c r="AI41" s="33">
        <f t="shared" si="4"/>
        <v>0.16491841491841486</v>
      </c>
      <c r="AJ41" s="29">
        <f t="shared" si="1"/>
        <v>0.16491841491841486</v>
      </c>
      <c r="AK41" s="33">
        <f t="shared" si="5"/>
        <v>7.1930154763120591E-2</v>
      </c>
      <c r="AM41">
        <v>13.965954227288051</v>
      </c>
      <c r="CH41" s="99">
        <v>13.965954227288051</v>
      </c>
    </row>
    <row r="42" spans="1:86">
      <c r="A42" s="1">
        <v>2015</v>
      </c>
      <c r="B42" s="1">
        <v>2</v>
      </c>
      <c r="C42" s="1">
        <v>5</v>
      </c>
      <c r="D42" t="str">
        <f t="shared" si="10"/>
        <v>2015M5</v>
      </c>
      <c r="E42" s="33">
        <f t="shared" si="2"/>
        <v>2.2223897560082407E-2</v>
      </c>
      <c r="H42" s="507"/>
      <c r="I42" s="527">
        <f t="shared" si="6"/>
        <v>2.2223897560082407E-2</v>
      </c>
      <c r="J42" s="2">
        <v>0.58400000000000007</v>
      </c>
      <c r="N42" s="2"/>
      <c r="O42" s="2"/>
      <c r="P42" s="2"/>
      <c r="Q42" s="2"/>
      <c r="R42" s="2"/>
      <c r="S42" s="2"/>
      <c r="T42" s="2"/>
      <c r="U42" s="2"/>
      <c r="V42" s="2"/>
      <c r="W42" s="2"/>
      <c r="X42" s="3">
        <v>329989.44214850001</v>
      </c>
      <c r="Y42" s="3"/>
      <c r="Z42" s="33">
        <f t="shared" si="9"/>
        <v>-3.2069176088872942E-2</v>
      </c>
      <c r="AA42" s="5">
        <v>-0.14499999999999999</v>
      </c>
      <c r="AB42">
        <f t="shared" si="11"/>
        <v>0.13208283498377438</v>
      </c>
      <c r="AC42">
        <v>20.91525567741936</v>
      </c>
      <c r="AD42">
        <f t="shared" si="8"/>
        <v>0.79628374708844651</v>
      </c>
      <c r="AE42" s="99">
        <v>78.055616289718472</v>
      </c>
      <c r="AF42" s="119">
        <f t="shared" si="0"/>
        <v>1632.5531717580013</v>
      </c>
      <c r="AG42" s="33">
        <f t="shared" si="3"/>
        <v>-0.37163350721600619</v>
      </c>
      <c r="AH42">
        <v>4042</v>
      </c>
      <c r="AI42" s="33">
        <f t="shared" si="4"/>
        <v>0.17842565597667637</v>
      </c>
      <c r="AJ42" s="29">
        <f t="shared" si="1"/>
        <v>0.17842565597667637</v>
      </c>
      <c r="AK42" s="33">
        <f t="shared" si="5"/>
        <v>0.1287245182028578</v>
      </c>
      <c r="AM42">
        <v>2.2223897560082406</v>
      </c>
      <c r="CH42" s="99">
        <v>2.2223897560082406</v>
      </c>
    </row>
    <row r="43" spans="1:86">
      <c r="A43" s="1">
        <v>2015</v>
      </c>
      <c r="B43" s="1">
        <v>2</v>
      </c>
      <c r="C43" s="1">
        <v>6</v>
      </c>
      <c r="D43" t="str">
        <f t="shared" si="10"/>
        <v>2015M6</v>
      </c>
      <c r="E43" s="33">
        <f t="shared" si="2"/>
        <v>4.0086137467079648E-3</v>
      </c>
      <c r="H43" s="507"/>
      <c r="I43" s="527">
        <f t="shared" si="6"/>
        <v>4.0086137467079648E-3</v>
      </c>
      <c r="J43" s="2">
        <v>0.57499999999999996</v>
      </c>
      <c r="N43" s="2"/>
      <c r="O43" s="2"/>
      <c r="P43" s="2"/>
      <c r="Q43" s="2"/>
      <c r="R43" s="2"/>
      <c r="S43" s="2"/>
      <c r="T43" s="2"/>
      <c r="U43" s="2"/>
      <c r="V43" s="2"/>
      <c r="W43" s="2"/>
      <c r="X43" s="3">
        <v>329999.43896086002</v>
      </c>
      <c r="Y43" s="3"/>
      <c r="Z43" s="33">
        <f t="shared" si="9"/>
        <v>-4.8835471234985883E-2</v>
      </c>
      <c r="AA43" s="5">
        <v>-0.14499999999999999</v>
      </c>
      <c r="AB43">
        <f t="shared" si="11"/>
        <v>0.11247313305849604</v>
      </c>
      <c r="AC43">
        <v>21.232832466666661</v>
      </c>
      <c r="AD43">
        <f t="shared" si="8"/>
        <v>0.79794126240238539</v>
      </c>
      <c r="AE43" s="99">
        <v>76.636306340616414</v>
      </c>
      <c r="AF43" s="119">
        <f t="shared" si="0"/>
        <v>1627.2058533944523</v>
      </c>
      <c r="AG43" s="33">
        <f t="shared" si="3"/>
        <v>-0.38034722566925272</v>
      </c>
      <c r="AH43">
        <v>4299</v>
      </c>
      <c r="AI43" s="33">
        <f t="shared" si="4"/>
        <v>0.19383504582060529</v>
      </c>
      <c r="AJ43" s="29">
        <f t="shared" si="1"/>
        <v>0.19383504582060529</v>
      </c>
      <c r="AK43" s="33">
        <f t="shared" si="5"/>
        <v>0.11409929133136432</v>
      </c>
      <c r="AM43">
        <v>0.40086137467079652</v>
      </c>
      <c r="CH43" s="99">
        <v>0.40086137467079652</v>
      </c>
    </row>
    <row r="44" spans="1:86">
      <c r="A44" s="1">
        <v>2015</v>
      </c>
      <c r="B44" s="1">
        <v>3</v>
      </c>
      <c r="C44" s="1">
        <v>7</v>
      </c>
      <c r="D44" t="str">
        <f t="shared" si="10"/>
        <v>2015M7</v>
      </c>
      <c r="E44" s="33">
        <f t="shared" si="2"/>
        <v>-1.0092080094883755E-2</v>
      </c>
      <c r="H44" s="507"/>
      <c r="I44" s="527">
        <f t="shared" si="6"/>
        <v>-1.0092080094883755E-2</v>
      </c>
      <c r="J44" s="2">
        <v>0.55300000000000016</v>
      </c>
      <c r="N44" s="2"/>
      <c r="O44" s="2"/>
      <c r="P44" s="2"/>
      <c r="Q44" s="2"/>
      <c r="R44" s="2"/>
      <c r="S44" s="2"/>
      <c r="T44" s="2"/>
      <c r="U44" s="2"/>
      <c r="V44" s="2"/>
      <c r="W44" s="2"/>
      <c r="X44" s="3">
        <v>331353.08380455</v>
      </c>
      <c r="Y44" s="3"/>
      <c r="Z44" s="33">
        <f t="shared" si="9"/>
        <v>-5.2897537383546744E-2</v>
      </c>
      <c r="AA44" s="5">
        <v>-7.0000000000000007E-2</v>
      </c>
      <c r="AB44">
        <f t="shared" si="11"/>
        <v>1.8389744748874559E-2</v>
      </c>
      <c r="AC44">
        <v>21.757373225806454</v>
      </c>
      <c r="AD44">
        <f t="shared" si="8"/>
        <v>0.85032133860421522</v>
      </c>
      <c r="AE44" s="99">
        <v>72.834044572271949</v>
      </c>
      <c r="AF44" s="119">
        <f t="shared" si="0"/>
        <v>1584.6774913039435</v>
      </c>
      <c r="AG44" s="33">
        <f t="shared" si="3"/>
        <v>-0.38322669229954887</v>
      </c>
      <c r="AH44">
        <v>4390</v>
      </c>
      <c r="AI44" s="33">
        <f t="shared" si="4"/>
        <v>0.24116482895108859</v>
      </c>
      <c r="AJ44" s="29">
        <f t="shared" si="1"/>
        <v>0.24116482895108859</v>
      </c>
      <c r="AK44" s="33">
        <f t="shared" si="5"/>
        <v>0.14122881231964812</v>
      </c>
      <c r="AM44">
        <v>-1.0092080094883755</v>
      </c>
      <c r="CH44" s="99">
        <v>-1.0092080094883755</v>
      </c>
    </row>
    <row r="45" spans="1:86">
      <c r="A45" s="1">
        <v>2015</v>
      </c>
      <c r="B45" s="1">
        <v>3</v>
      </c>
      <c r="C45" s="1">
        <v>8</v>
      </c>
      <c r="D45" t="str">
        <f t="shared" si="10"/>
        <v>2015M8</v>
      </c>
      <c r="E45" s="33">
        <f t="shared" si="2"/>
        <v>-7.6169643968493975E-3</v>
      </c>
      <c r="H45" s="507"/>
      <c r="I45" s="527">
        <f t="shared" si="6"/>
        <v>-7.6169643968493975E-3</v>
      </c>
      <c r="J45" s="2">
        <v>0.52800000000000014</v>
      </c>
      <c r="N45" s="2"/>
      <c r="O45" s="2"/>
      <c r="P45" s="2"/>
      <c r="Q45" s="2"/>
      <c r="R45" s="2"/>
      <c r="S45" s="2"/>
      <c r="T45" s="2"/>
      <c r="U45" s="2"/>
      <c r="V45" s="2"/>
      <c r="W45" s="2"/>
      <c r="X45" s="3">
        <v>330551.32936924999</v>
      </c>
      <c r="Y45" s="3"/>
      <c r="Z45" s="33">
        <f t="shared" si="9"/>
        <v>-4.2190684646750798E-2</v>
      </c>
      <c r="AA45" s="5">
        <v>-7.0000000000000007E-2</v>
      </c>
      <c r="AB45">
        <f t="shared" si="11"/>
        <v>2.9902489627149809E-2</v>
      </c>
      <c r="AC45">
        <v>21.626867290322579</v>
      </c>
      <c r="AD45">
        <f t="shared" si="8"/>
        <v>0.66688518018553955</v>
      </c>
      <c r="AE45" s="99">
        <v>66.031057257738681</v>
      </c>
      <c r="AF45" s="119">
        <f t="shared" si="0"/>
        <v>1428.044912352806</v>
      </c>
      <c r="AG45" s="33">
        <f t="shared" si="3"/>
        <v>-0.42204224386742528</v>
      </c>
      <c r="AH45">
        <v>4205</v>
      </c>
      <c r="AI45" s="33">
        <f t="shared" si="4"/>
        <v>0.24777448071216623</v>
      </c>
      <c r="AJ45" s="29">
        <f t="shared" si="1"/>
        <v>0.24777448071216623</v>
      </c>
      <c r="AK45" s="33">
        <f t="shared" si="5"/>
        <v>-3.6610781529323067E-2</v>
      </c>
      <c r="AM45">
        <v>-0.76169643968493972</v>
      </c>
      <c r="CH45" s="99">
        <v>-0.76169643968493972</v>
      </c>
    </row>
    <row r="46" spans="1:86">
      <c r="A46" s="1">
        <v>2015</v>
      </c>
      <c r="B46" s="1">
        <v>3</v>
      </c>
      <c r="C46" s="1">
        <v>9</v>
      </c>
      <c r="D46" t="str">
        <f t="shared" si="10"/>
        <v>2015M9</v>
      </c>
      <c r="E46" s="33">
        <f t="shared" si="2"/>
        <v>2.2999999999999972E-2</v>
      </c>
      <c r="H46" s="507"/>
      <c r="I46" s="527">
        <f t="shared" si="6"/>
        <v>2.2999999999999972E-2</v>
      </c>
      <c r="J46" s="2">
        <v>0.51900000000000002</v>
      </c>
      <c r="N46" s="2"/>
      <c r="O46" s="2"/>
      <c r="P46" s="2"/>
      <c r="Q46" s="2"/>
      <c r="R46" s="2"/>
      <c r="S46" s="2"/>
      <c r="T46" s="2"/>
      <c r="U46" s="2"/>
      <c r="V46" s="2"/>
      <c r="W46" s="2"/>
      <c r="X46" s="3">
        <v>324991.11653649999</v>
      </c>
      <c r="Y46" s="3"/>
      <c r="Z46" s="33">
        <f t="shared" si="9"/>
        <v>-6.1868540532891036E-2</v>
      </c>
      <c r="AA46" s="5">
        <v>-7.0000000000000007E-2</v>
      </c>
      <c r="AB46">
        <f>(1+Z46)/(1+AA46)-1</f>
        <v>8.7435048033430718E-3</v>
      </c>
      <c r="AC46">
        <v>21.783419200000001</v>
      </c>
      <c r="AD46">
        <f t="shared" si="8"/>
        <v>0.67405362266440072</v>
      </c>
      <c r="AE46" s="99">
        <v>65.024125925561179</v>
      </c>
      <c r="AF46" s="119">
        <f t="shared" si="0"/>
        <v>1416.4477931500871</v>
      </c>
      <c r="AG46" s="33">
        <f t="shared" si="3"/>
        <v>-0.41461694305646468</v>
      </c>
      <c r="AH46">
        <v>4343</v>
      </c>
      <c r="AI46" s="33">
        <f t="shared" si="4"/>
        <v>0.24762999138178676</v>
      </c>
      <c r="AJ46" s="29">
        <f t="shared" si="1"/>
        <v>0.24762999138178676</v>
      </c>
      <c r="AK46" s="33">
        <f t="shared" si="5"/>
        <v>-2.0037372877313553E-2</v>
      </c>
      <c r="AM46">
        <v>2.2999999999999972</v>
      </c>
      <c r="CH46" s="99">
        <v>2.2999999999999972</v>
      </c>
    </row>
    <row r="47" spans="1:86">
      <c r="A47" s="1">
        <v>2015</v>
      </c>
      <c r="B47" s="1">
        <v>4</v>
      </c>
      <c r="C47" s="1">
        <v>10</v>
      </c>
      <c r="D47" t="str">
        <f t="shared" si="10"/>
        <v>2015M10</v>
      </c>
      <c r="E47" s="33">
        <f t="shared" si="2"/>
        <v>-1.2999999999999972E-2</v>
      </c>
      <c r="H47" s="507"/>
      <c r="I47" s="527">
        <f t="shared" si="6"/>
        <v>-1.2999999999999972E-2</v>
      </c>
      <c r="J47" s="2">
        <v>0.46400000000000008</v>
      </c>
      <c r="N47" s="2"/>
      <c r="O47" s="2"/>
      <c r="P47" s="2"/>
      <c r="Q47" s="2"/>
      <c r="R47" s="2"/>
      <c r="S47" s="2"/>
      <c r="T47" s="2"/>
      <c r="U47" s="2"/>
      <c r="V47" s="2"/>
      <c r="W47" s="2"/>
      <c r="X47" s="6">
        <v>319782.74367385497</v>
      </c>
      <c r="Y47" s="6"/>
      <c r="Z47" s="33">
        <f t="shared" si="9"/>
        <v>-6.488835968442519E-2</v>
      </c>
      <c r="AA47" s="5">
        <v>-2.4E-2</v>
      </c>
      <c r="AB47">
        <f t="shared" si="11"/>
        <v>-4.1893811152075022E-2</v>
      </c>
      <c r="AC47">
        <v>21.841307419354834</v>
      </c>
      <c r="AD47">
        <f t="shared" si="8"/>
        <v>0.6866070151089203</v>
      </c>
      <c r="AE47" s="99">
        <v>64.008531170670352</v>
      </c>
      <c r="AF47" s="119">
        <f t="shared" si="0"/>
        <v>1398.0300067599676</v>
      </c>
      <c r="AG47" s="33">
        <f t="shared" si="3"/>
        <v>-0.39742163407335773</v>
      </c>
      <c r="AH47">
        <v>4532</v>
      </c>
      <c r="AI47" s="33">
        <f t="shared" si="4"/>
        <v>0.29153605015673989</v>
      </c>
      <c r="AJ47" s="29">
        <f t="shared" si="1"/>
        <v>0.29153605015673989</v>
      </c>
      <c r="AK47" s="33">
        <f t="shared" si="5"/>
        <v>1.6312899124744984E-2</v>
      </c>
      <c r="AM47">
        <v>-1.2999999999999972</v>
      </c>
      <c r="CH47" s="99">
        <v>-1.2999999999999972</v>
      </c>
    </row>
    <row r="48" spans="1:86">
      <c r="A48" s="1">
        <v>2015</v>
      </c>
      <c r="B48" s="1">
        <v>4</v>
      </c>
      <c r="C48" s="1">
        <v>11</v>
      </c>
      <c r="D48" t="str">
        <f t="shared" si="10"/>
        <v>2015M11</v>
      </c>
      <c r="E48" s="33">
        <f t="shared" si="2"/>
        <v>0.02</v>
      </c>
      <c r="H48" s="507"/>
      <c r="I48" s="527">
        <f t="shared" si="6"/>
        <v>0.02</v>
      </c>
      <c r="J48" s="2">
        <v>0.46599999999999997</v>
      </c>
      <c r="N48" s="2"/>
      <c r="O48" s="2"/>
      <c r="P48" s="2"/>
      <c r="Q48" s="2"/>
      <c r="R48" s="2"/>
      <c r="S48" s="2"/>
      <c r="T48" s="2"/>
      <c r="U48" s="2"/>
      <c r="V48" s="2"/>
      <c r="W48" s="2"/>
      <c r="X48" s="6">
        <v>319793.17031257</v>
      </c>
      <c r="Y48" s="6"/>
      <c r="Z48" s="33">
        <f t="shared" si="9"/>
        <v>-3.2251882860970027E-2</v>
      </c>
      <c r="AA48" s="5">
        <v>-2.4E-2</v>
      </c>
      <c r="AB48">
        <f t="shared" si="11"/>
        <v>-8.4547980132889666E-3</v>
      </c>
      <c r="AC48">
        <v>23.312625100000002</v>
      </c>
      <c r="AD48">
        <f t="shared" si="8"/>
        <v>0.58251838571025294</v>
      </c>
      <c r="AE48" s="99">
        <v>60.390522247148461</v>
      </c>
      <c r="AF48" s="119">
        <f t="shared" si="0"/>
        <v>1407.8616047409816</v>
      </c>
      <c r="AG48" s="33">
        <f t="shared" si="3"/>
        <v>-0.37794820594971801</v>
      </c>
      <c r="AH48">
        <v>4498</v>
      </c>
      <c r="AI48" s="33">
        <f t="shared" si="4"/>
        <v>0.27277872099603839</v>
      </c>
      <c r="AJ48" s="29">
        <f t="shared" si="1"/>
        <v>0.27277872099603839</v>
      </c>
      <c r="AK48" s="33">
        <f t="shared" si="5"/>
        <v>-1.5591599051381078E-2</v>
      </c>
      <c r="AM48">
        <v>2</v>
      </c>
      <c r="CH48" s="99">
        <v>2</v>
      </c>
    </row>
    <row r="49" spans="1:86" s="13" customFormat="1">
      <c r="A49" s="280">
        <v>2015</v>
      </c>
      <c r="B49" s="280">
        <v>4</v>
      </c>
      <c r="C49" s="280">
        <v>12</v>
      </c>
      <c r="D49" s="13" t="str">
        <f t="shared" si="10"/>
        <v>2015M12</v>
      </c>
      <c r="E49" s="30">
        <f t="shared" si="2"/>
        <v>7.0000000000000288E-3</v>
      </c>
      <c r="H49" s="509"/>
      <c r="I49" s="528">
        <f t="shared" si="6"/>
        <v>7.0000000000000288E-3</v>
      </c>
      <c r="J49" s="11">
        <v>0.43300000000000011</v>
      </c>
      <c r="N49" s="11"/>
      <c r="O49" s="11"/>
      <c r="P49" s="11"/>
      <c r="Q49" s="11"/>
      <c r="R49" s="11"/>
      <c r="S49" s="11"/>
      <c r="T49" s="11"/>
      <c r="U49" s="11"/>
      <c r="V49" s="11"/>
      <c r="W49" s="11"/>
      <c r="X49" s="49">
        <v>328613.57709758001</v>
      </c>
      <c r="Y49" s="49"/>
      <c r="Z49" s="30">
        <f t="shared" si="9"/>
        <v>-6.582407552773395E-3</v>
      </c>
      <c r="AA49" s="490">
        <v>-2.4E-2</v>
      </c>
      <c r="AB49" s="13">
        <f t="shared" si="11"/>
        <v>1.784589390084701E-2</v>
      </c>
      <c r="AC49" s="13">
        <v>23.408386193548385</v>
      </c>
      <c r="AD49" s="13">
        <f t="shared" si="8"/>
        <v>0.49773427692619099</v>
      </c>
      <c r="AE49" s="382">
        <v>54.037596087183609</v>
      </c>
      <c r="AF49" s="389">
        <f t="shared" si="0"/>
        <v>1264.932918179773</v>
      </c>
      <c r="AG49" s="30">
        <f t="shared" si="3"/>
        <v>-0.40163965348817987</v>
      </c>
      <c r="AH49" s="13">
        <v>5230</v>
      </c>
      <c r="AI49" s="30">
        <f t="shared" si="4"/>
        <v>0.30358923230309065</v>
      </c>
      <c r="AJ49" s="31">
        <f t="shared" si="1"/>
        <v>0.30358923230309065</v>
      </c>
      <c r="AK49" s="30">
        <f t="shared" si="5"/>
        <v>-0.10381519907581405</v>
      </c>
      <c r="AM49">
        <v>0.70000000000000284</v>
      </c>
      <c r="CH49" s="99">
        <v>0.70000000000000284</v>
      </c>
    </row>
    <row r="50" spans="1:86">
      <c r="A50" s="1">
        <v>2016</v>
      </c>
      <c r="B50" s="1">
        <v>1</v>
      </c>
      <c r="C50" s="1">
        <v>1</v>
      </c>
      <c r="D50" t="str">
        <f t="shared" si="10"/>
        <v>2016M1</v>
      </c>
      <c r="E50" s="33">
        <f t="shared" si="2"/>
        <v>9.0000000000000566E-3</v>
      </c>
      <c r="G50" s="126">
        <f>AVERAGE(I50:I61)</f>
        <v>9.8333333333333311E-3</v>
      </c>
      <c r="H50" s="507"/>
      <c r="I50" s="527">
        <f t="shared" si="6"/>
        <v>9.0000000000000566E-3</v>
      </c>
      <c r="J50" s="2">
        <v>0.40300000000000014</v>
      </c>
      <c r="N50" s="2"/>
      <c r="O50" s="2"/>
      <c r="P50" s="2"/>
      <c r="Q50" s="2"/>
      <c r="R50" s="2"/>
      <c r="S50" s="2"/>
      <c r="T50" s="2"/>
      <c r="U50" s="2"/>
      <c r="V50" s="2"/>
      <c r="W50" s="2"/>
      <c r="X50" s="6">
        <v>335539.56912101503</v>
      </c>
      <c r="Y50" s="6"/>
      <c r="Z50" s="33">
        <f t="shared" si="9"/>
        <v>1.6900438457136069E-2</v>
      </c>
      <c r="AA50" s="5">
        <v>1E-3</v>
      </c>
      <c r="AB50">
        <f t="shared" si="11"/>
        <v>1.5884553903232845E-2</v>
      </c>
      <c r="AC50">
        <v>24.259692548387093</v>
      </c>
      <c r="AD50">
        <f t="shared" si="8"/>
        <v>0.53358302889402753</v>
      </c>
      <c r="AE50" s="99">
        <v>46.484003798612576</v>
      </c>
      <c r="AF50" s="119">
        <f t="shared" si="0"/>
        <v>1127.6876405723988</v>
      </c>
      <c r="AG50" s="33">
        <f t="shared" si="3"/>
        <v>-0.42704146633875983</v>
      </c>
      <c r="AH50">
        <v>4362</v>
      </c>
      <c r="AI50" s="33">
        <f t="shared" si="4"/>
        <v>0.2625180897250361</v>
      </c>
      <c r="AJ50" s="29">
        <f t="shared" si="1"/>
        <v>0.2625180897250361</v>
      </c>
      <c r="AK50" s="33">
        <f t="shared" si="5"/>
        <v>-0.12132051651711473</v>
      </c>
      <c r="AM50">
        <v>0.90000000000000568</v>
      </c>
      <c r="CH50" s="99">
        <v>0.90000000000000568</v>
      </c>
    </row>
    <row r="51" spans="1:86">
      <c r="A51" s="1">
        <v>2016</v>
      </c>
      <c r="B51" s="1">
        <v>1</v>
      </c>
      <c r="C51" s="1">
        <v>2</v>
      </c>
      <c r="D51" t="str">
        <f t="shared" si="10"/>
        <v>2016M2</v>
      </c>
      <c r="E51" s="33">
        <f t="shared" si="2"/>
        <v>-4.0000000000000565E-3</v>
      </c>
      <c r="H51" s="507"/>
      <c r="I51" s="527">
        <f t="shared" si="6"/>
        <v>-4.0000000000000565E-3</v>
      </c>
      <c r="J51" s="2">
        <v>0.3269999999999999</v>
      </c>
      <c r="N51" s="2"/>
      <c r="O51" s="2"/>
      <c r="P51" s="2"/>
      <c r="Q51" s="2"/>
      <c r="R51" s="2"/>
      <c r="S51" s="2"/>
      <c r="T51" s="2"/>
      <c r="U51" s="2"/>
      <c r="V51" s="2"/>
      <c r="W51" s="2"/>
      <c r="X51" s="6">
        <v>331794.49933681497</v>
      </c>
      <c r="Y51" s="6"/>
      <c r="Z51" s="33">
        <f t="shared" si="9"/>
        <v>7.973539993082035E-3</v>
      </c>
      <c r="AA51" s="5">
        <v>1E-3</v>
      </c>
      <c r="AB51">
        <f t="shared" si="11"/>
        <v>6.9665734196624474E-3</v>
      </c>
      <c r="AC51">
        <v>26.393052206896552</v>
      </c>
      <c r="AD51">
        <f t="shared" si="8"/>
        <v>6.9101666539388429E-2</v>
      </c>
      <c r="AE51" s="99">
        <v>46.633055638559647</v>
      </c>
      <c r="AF51" s="119">
        <f t="shared" si="0"/>
        <v>1230.7886720356164</v>
      </c>
      <c r="AG51" s="33">
        <f t="shared" si="3"/>
        <v>-0.43484574424563061</v>
      </c>
      <c r="AH51">
        <v>4585</v>
      </c>
      <c r="AI51" s="33">
        <f t="shared" si="4"/>
        <v>0.26204238921001921</v>
      </c>
      <c r="AJ51" s="29">
        <f t="shared" si="1"/>
        <v>0.26204238921001921</v>
      </c>
      <c r="AK51" s="33">
        <f t="shared" si="5"/>
        <v>-0.39579264332117592</v>
      </c>
      <c r="AM51">
        <v>-0.40000000000000568</v>
      </c>
      <c r="CH51" s="99">
        <v>-0.40000000000000568</v>
      </c>
    </row>
    <row r="52" spans="1:86">
      <c r="A52" s="1">
        <v>2016</v>
      </c>
      <c r="B52" s="1">
        <v>1</v>
      </c>
      <c r="C52" s="1">
        <v>3</v>
      </c>
      <c r="D52" t="str">
        <f t="shared" si="10"/>
        <v>2016M3</v>
      </c>
      <c r="E52" s="33">
        <f t="shared" si="2"/>
        <v>0.01</v>
      </c>
      <c r="H52" s="507"/>
      <c r="I52" s="527">
        <f t="shared" si="6"/>
        <v>0.01</v>
      </c>
      <c r="J52" s="2">
        <v>0.20900000000000005</v>
      </c>
      <c r="N52" s="2"/>
      <c r="O52" s="2"/>
      <c r="P52" s="2"/>
      <c r="Q52" s="2"/>
      <c r="R52" s="2"/>
      <c r="S52" s="2"/>
      <c r="T52" s="2"/>
      <c r="U52" s="2"/>
      <c r="V52" s="2"/>
      <c r="W52" s="2"/>
      <c r="X52" s="6">
        <v>327864.68493654998</v>
      </c>
      <c r="Y52" s="6"/>
      <c r="Z52" s="33">
        <f t="shared" si="9"/>
        <v>-1.1859259069667782E-2</v>
      </c>
      <c r="AA52" s="5">
        <v>1E-3</v>
      </c>
      <c r="AB52">
        <f t="shared" si="11"/>
        <v>-1.2846412657010697E-2</v>
      </c>
      <c r="AC52">
        <v>26.356162161290321</v>
      </c>
      <c r="AD52">
        <f t="shared" si="8"/>
        <v>0.13670145789959265</v>
      </c>
      <c r="AE52" s="99">
        <v>50.420567111173824</v>
      </c>
      <c r="AF52" s="119">
        <f t="shared" si="0"/>
        <v>1328.8926430463189</v>
      </c>
      <c r="AG52" s="33">
        <f t="shared" si="3"/>
        <v>-0.37459649846281573</v>
      </c>
      <c r="AH52">
        <v>4920</v>
      </c>
      <c r="AI52" s="33">
        <f t="shared" si="4"/>
        <v>0.27362153766502728</v>
      </c>
      <c r="AJ52" s="29">
        <f t="shared" si="1"/>
        <v>0.27362153766502728</v>
      </c>
      <c r="AK52" s="33">
        <f t="shared" si="5"/>
        <v>-0.28910292802717241</v>
      </c>
      <c r="AM52">
        <v>1</v>
      </c>
      <c r="CH52" s="99">
        <v>1</v>
      </c>
    </row>
    <row r="53" spans="1:86">
      <c r="A53" s="1">
        <v>2016</v>
      </c>
      <c r="B53" s="1">
        <v>2</v>
      </c>
      <c r="C53" s="1">
        <v>4</v>
      </c>
      <c r="D53" t="str">
        <f t="shared" si="10"/>
        <v>2016M4</v>
      </c>
      <c r="E53" s="33">
        <f t="shared" si="2"/>
        <v>3.5000000000000003E-2</v>
      </c>
      <c r="H53" s="507"/>
      <c r="I53" s="527">
        <f t="shared" si="6"/>
        <v>3.5000000000000003E-2</v>
      </c>
      <c r="J53" s="2">
        <v>9.7999999999999976E-2</v>
      </c>
      <c r="N53" s="2"/>
      <c r="O53" s="2"/>
      <c r="P53" s="2"/>
      <c r="Q53" s="2"/>
      <c r="R53" s="2"/>
      <c r="S53" s="2"/>
      <c r="T53" s="2"/>
      <c r="U53" s="2"/>
      <c r="V53" s="2"/>
      <c r="W53" s="2"/>
      <c r="X53" s="6">
        <v>331545.25451689999</v>
      </c>
      <c r="Y53" s="6"/>
      <c r="Z53" s="33">
        <f t="shared" si="9"/>
        <v>1.117368993500456E-3</v>
      </c>
      <c r="AA53" s="5">
        <v>1.7000000000000001E-2</v>
      </c>
      <c r="AB53">
        <f t="shared" si="11"/>
        <v>-1.5617139632742805E-2</v>
      </c>
      <c r="AC53">
        <v>25.629497566666668</v>
      </c>
      <c r="AD53">
        <f t="shared" si="8"/>
        <v>0.12858180949234566</v>
      </c>
      <c r="AE53" s="99">
        <v>52.443272457626271</v>
      </c>
      <c r="AF53" s="119">
        <f t="shared" si="0"/>
        <v>1344.0947238407696</v>
      </c>
      <c r="AG53" s="33">
        <f t="shared" si="3"/>
        <v>-0.30299013739533009</v>
      </c>
      <c r="AH53">
        <v>4895</v>
      </c>
      <c r="AI53" s="33">
        <f t="shared" si="4"/>
        <v>0.22436218109054518</v>
      </c>
      <c r="AJ53" s="29">
        <f t="shared" si="1"/>
        <v>0.22436218109054518</v>
      </c>
      <c r="AK53" s="33">
        <f t="shared" si="5"/>
        <v>-0.21336734802761037</v>
      </c>
      <c r="AM53">
        <v>3.5</v>
      </c>
      <c r="CH53" s="99">
        <v>3.5</v>
      </c>
    </row>
    <row r="54" spans="1:86">
      <c r="A54" s="1">
        <v>2016</v>
      </c>
      <c r="B54" s="1">
        <v>2</v>
      </c>
      <c r="C54" s="1">
        <v>5</v>
      </c>
      <c r="D54" t="str">
        <f t="shared" si="10"/>
        <v>2016M5</v>
      </c>
      <c r="E54" s="33">
        <f t="shared" si="2"/>
        <v>1E-3</v>
      </c>
      <c r="H54" s="507"/>
      <c r="I54" s="527">
        <f t="shared" si="6"/>
        <v>1E-3</v>
      </c>
      <c r="J54" s="2">
        <v>7.4999999999999997E-2</v>
      </c>
      <c r="N54" s="2"/>
      <c r="O54" s="2"/>
      <c r="P54" s="2"/>
      <c r="Q54" s="2"/>
      <c r="R54" s="2"/>
      <c r="S54" s="2"/>
      <c r="T54" s="2"/>
      <c r="U54" s="2"/>
      <c r="V54" s="2"/>
      <c r="W54" s="2"/>
      <c r="X54" s="6">
        <v>336636.35832628503</v>
      </c>
      <c r="Y54" s="6"/>
      <c r="Z54" s="33">
        <f t="shared" si="9"/>
        <v>2.0142814674639853E-2</v>
      </c>
      <c r="AA54" s="5">
        <v>1.7000000000000001E-2</v>
      </c>
      <c r="AB54">
        <f t="shared" si="11"/>
        <v>3.0902799160668071E-3</v>
      </c>
      <c r="AC54">
        <v>25.206477483870973</v>
      </c>
      <c r="AD54">
        <f t="shared" si="8"/>
        <v>0.20517185506293023</v>
      </c>
      <c r="AE54" s="99">
        <v>57.085990750602903</v>
      </c>
      <c r="AF54" s="119">
        <f t="shared" si="0"/>
        <v>1438.9367404995387</v>
      </c>
      <c r="AG54" s="33">
        <f t="shared" si="3"/>
        <v>-0.26864979787338761</v>
      </c>
      <c r="AH54">
        <v>4984</v>
      </c>
      <c r="AI54" s="33">
        <f t="shared" si="4"/>
        <v>0.23305294408708566</v>
      </c>
      <c r="AJ54" s="29">
        <f t="shared" si="1"/>
        <v>0.23305294408708566</v>
      </c>
      <c r="AK54" s="33">
        <f t="shared" si="5"/>
        <v>-0.11859732020242153</v>
      </c>
      <c r="AM54">
        <v>0.1</v>
      </c>
      <c r="CH54" s="99">
        <v>0.1</v>
      </c>
    </row>
    <row r="55" spans="1:86">
      <c r="A55" s="1">
        <v>2016</v>
      </c>
      <c r="B55" s="1">
        <v>2</v>
      </c>
      <c r="C55" s="1">
        <v>6</v>
      </c>
      <c r="D55" t="str">
        <f t="shared" si="10"/>
        <v>2016M6</v>
      </c>
      <c r="E55" s="33">
        <f t="shared" si="2"/>
        <v>-2.0000000000000282E-3</v>
      </c>
      <c r="H55" s="507"/>
      <c r="I55" s="527">
        <f t="shared" si="6"/>
        <v>-2.0000000000000282E-3</v>
      </c>
      <c r="J55" s="2">
        <v>6.9000000000000061E-2</v>
      </c>
      <c r="N55" s="2"/>
      <c r="O55" s="2"/>
      <c r="P55" s="2"/>
      <c r="Q55" s="2"/>
      <c r="R55" s="2"/>
      <c r="S55" s="2"/>
      <c r="T55" s="2"/>
      <c r="U55" s="2"/>
      <c r="V55" s="2"/>
      <c r="W55" s="2"/>
      <c r="X55" s="6">
        <v>345025.60658296</v>
      </c>
      <c r="Y55" s="6"/>
      <c r="Z55" s="33">
        <f t="shared" si="9"/>
        <v>4.5533918692153286E-2</v>
      </c>
      <c r="AA55" s="5">
        <v>1.7000000000000001E-2</v>
      </c>
      <c r="AB55">
        <f t="shared" si="11"/>
        <v>2.8056950533090763E-2</v>
      </c>
      <c r="AC55">
        <v>24.951341333333339</v>
      </c>
      <c r="AD55">
        <f t="shared" si="8"/>
        <v>0.17513013737118444</v>
      </c>
      <c r="AE55" s="99">
        <v>60.532657449668406</v>
      </c>
      <c r="AF55" s="119">
        <f t="shared" si="0"/>
        <v>1510.3709978404195</v>
      </c>
      <c r="AG55" s="33">
        <f t="shared" si="3"/>
        <v>-0.21013080692294861</v>
      </c>
      <c r="AH55">
        <v>5337</v>
      </c>
      <c r="AI55" s="33">
        <f t="shared" si="4"/>
        <v>0.24145150034891838</v>
      </c>
      <c r="AJ55" s="29">
        <f t="shared" si="1"/>
        <v>0.24145150034891838</v>
      </c>
      <c r="AK55" s="33">
        <f t="shared" si="5"/>
        <v>-7.1800906634097994E-2</v>
      </c>
      <c r="AM55">
        <v>-0.20000000000000284</v>
      </c>
      <c r="CH55" s="99">
        <v>-0.20000000000000284</v>
      </c>
    </row>
    <row r="56" spans="1:86">
      <c r="A56" s="1">
        <v>2016</v>
      </c>
      <c r="B56" s="1">
        <v>3</v>
      </c>
      <c r="C56" s="1">
        <v>7</v>
      </c>
      <c r="D56" t="str">
        <f t="shared" si="10"/>
        <v>2016M7</v>
      </c>
      <c r="E56" s="33">
        <f t="shared" si="2"/>
        <v>-1E-3</v>
      </c>
      <c r="H56" s="507"/>
      <c r="I56" s="527">
        <f t="shared" si="6"/>
        <v>-1E-3</v>
      </c>
      <c r="J56" s="2">
        <v>7.9000000000000056E-2</v>
      </c>
      <c r="N56" s="2"/>
      <c r="O56" s="2"/>
      <c r="P56" s="2"/>
      <c r="Q56" s="2"/>
      <c r="R56" s="2"/>
      <c r="S56" s="2"/>
      <c r="T56" s="2"/>
      <c r="U56" s="2"/>
      <c r="V56" s="2"/>
      <c r="W56" s="2"/>
      <c r="X56" s="6">
        <v>353657.42956511001</v>
      </c>
      <c r="Y56" s="6"/>
      <c r="Z56" s="33">
        <f t="shared" si="9"/>
        <v>6.7312926454356825E-2</v>
      </c>
      <c r="AA56" s="5">
        <v>2.7000000000000003E-2</v>
      </c>
      <c r="AB56">
        <f t="shared" si="11"/>
        <v>3.9253092944846024E-2</v>
      </c>
      <c r="AC56">
        <v>24.816780999999999</v>
      </c>
      <c r="AD56">
        <f t="shared" si="8"/>
        <v>0.14061475815310165</v>
      </c>
      <c r="AE56" s="99">
        <v>59.204374983035194</v>
      </c>
      <c r="AF56" s="119">
        <f t="shared" si="0"/>
        <v>1469.262008195863</v>
      </c>
      <c r="AG56" s="33">
        <f t="shared" si="3"/>
        <v>-0.18713322415745115</v>
      </c>
      <c r="AH56">
        <v>5374</v>
      </c>
      <c r="AI56" s="33">
        <f t="shared" si="4"/>
        <v>0.22414578587699308</v>
      </c>
      <c r="AJ56" s="29">
        <f t="shared" si="1"/>
        <v>0.22414578587699308</v>
      </c>
      <c r="AK56" s="33">
        <f t="shared" si="5"/>
        <v>-7.2832159061659629E-2</v>
      </c>
      <c r="AM56">
        <v>-0.1</v>
      </c>
      <c r="CH56" s="99">
        <v>-0.1</v>
      </c>
    </row>
    <row r="57" spans="1:86">
      <c r="A57" s="1">
        <v>2016</v>
      </c>
      <c r="B57" s="1">
        <v>3</v>
      </c>
      <c r="C57" s="1">
        <v>8</v>
      </c>
      <c r="D57" t="str">
        <f t="shared" si="10"/>
        <v>2016M8</v>
      </c>
      <c r="E57" s="33">
        <f t="shared" si="2"/>
        <v>-3.0000000000000001E-3</v>
      </c>
      <c r="H57" s="507"/>
      <c r="I57" s="527">
        <f t="shared" si="6"/>
        <v>-3.0000000000000001E-3</v>
      </c>
      <c r="J57" s="2">
        <v>8.4000000000000061E-2</v>
      </c>
      <c r="N57" s="2"/>
      <c r="O57" s="2"/>
      <c r="P57" s="2"/>
      <c r="Q57" s="2"/>
      <c r="R57" s="2"/>
      <c r="S57" s="2"/>
      <c r="T57" s="2"/>
      <c r="U57" s="2"/>
      <c r="V57" s="2"/>
      <c r="W57" s="2"/>
      <c r="X57" s="6">
        <v>356155.76920440001</v>
      </c>
      <c r="Y57" s="6"/>
      <c r="Z57" s="33">
        <f t="shared" si="9"/>
        <v>7.7459799916726357E-2</v>
      </c>
      <c r="AA57" s="5">
        <v>2.7000000000000003E-2</v>
      </c>
      <c r="AB57">
        <f t="shared" si="11"/>
        <v>4.9133203424271077E-2</v>
      </c>
      <c r="AC57">
        <v>25.064809193548385</v>
      </c>
      <c r="AD57">
        <f t="shared" si="8"/>
        <v>0.15896624587714503</v>
      </c>
      <c r="AE57" s="99">
        <v>58.540865749427141</v>
      </c>
      <c r="AF57" s="119">
        <f t="shared" si="0"/>
        <v>1467.3156300345231</v>
      </c>
      <c r="AG57" s="33">
        <f t="shared" si="3"/>
        <v>-0.11343437193614991</v>
      </c>
      <c r="AH57">
        <v>5202</v>
      </c>
      <c r="AI57" s="33">
        <f t="shared" si="4"/>
        <v>0.23709869203329359</v>
      </c>
      <c r="AJ57" s="29">
        <f t="shared" si="1"/>
        <v>0.23709869203329359</v>
      </c>
      <c r="AK57" s="33">
        <f t="shared" si="5"/>
        <v>2.7499637680873601E-2</v>
      </c>
      <c r="AM57">
        <v>-0.3</v>
      </c>
      <c r="CH57" s="99">
        <v>-0.3</v>
      </c>
    </row>
    <row r="58" spans="1:86">
      <c r="A58" s="1">
        <v>2016</v>
      </c>
      <c r="B58" s="1">
        <v>3</v>
      </c>
      <c r="C58" s="1">
        <v>9</v>
      </c>
      <c r="D58" t="str">
        <f t="shared" si="10"/>
        <v>2016M9</v>
      </c>
      <c r="E58" s="33">
        <f t="shared" si="2"/>
        <v>1.8000000000000002E-2</v>
      </c>
      <c r="H58" s="507"/>
      <c r="I58" s="527">
        <f t="shared" si="6"/>
        <v>1.8000000000000002E-2</v>
      </c>
      <c r="J58" s="2">
        <v>7.9000000000000056E-2</v>
      </c>
      <c r="N58" s="2"/>
      <c r="O58" s="2"/>
      <c r="P58" s="2"/>
      <c r="Q58" s="2"/>
      <c r="R58" s="2"/>
      <c r="S58" s="2"/>
      <c r="T58" s="2"/>
      <c r="U58" s="2"/>
      <c r="V58" s="2"/>
      <c r="W58" s="2"/>
      <c r="X58" s="6">
        <v>356418.74982934003</v>
      </c>
      <c r="Y58" s="6"/>
      <c r="Z58" s="33">
        <f t="shared" si="9"/>
        <v>9.6703053387338977E-2</v>
      </c>
      <c r="AA58" s="5">
        <v>2.7000000000000003E-2</v>
      </c>
      <c r="AB58">
        <f t="shared" si="11"/>
        <v>6.7870548575792666E-2</v>
      </c>
      <c r="AC58">
        <v>26.2754622</v>
      </c>
      <c r="AD58">
        <f t="shared" si="8"/>
        <v>0.20621386196341485</v>
      </c>
      <c r="AE58" s="99">
        <v>59.825801984106207</v>
      </c>
      <c r="AF58" s="119">
        <f t="shared" si="0"/>
        <v>1571.9505986180677</v>
      </c>
      <c r="AG58" s="33">
        <f t="shared" si="3"/>
        <v>-7.9944541621458365E-2</v>
      </c>
      <c r="AH58">
        <v>5358</v>
      </c>
      <c r="AI58" s="33">
        <f t="shared" si="4"/>
        <v>0.23370941745337315</v>
      </c>
      <c r="AJ58" s="29">
        <f t="shared" si="1"/>
        <v>0.23370941745337315</v>
      </c>
      <c r="AK58" s="33">
        <f t="shared" si="5"/>
        <v>0.10978364767130078</v>
      </c>
      <c r="AM58">
        <v>1.8</v>
      </c>
      <c r="CH58" s="99">
        <v>1.8</v>
      </c>
    </row>
    <row r="59" spans="1:86">
      <c r="A59" s="1">
        <v>2016</v>
      </c>
      <c r="B59" s="1">
        <v>4</v>
      </c>
      <c r="C59" s="1">
        <v>10</v>
      </c>
      <c r="D59" t="str">
        <f t="shared" si="10"/>
        <v>2016M10</v>
      </c>
      <c r="E59" s="33">
        <f t="shared" si="2"/>
        <v>2.7999999999999997E-2</v>
      </c>
      <c r="H59" s="507"/>
      <c r="I59" s="527">
        <f t="shared" si="6"/>
        <v>2.7999999999999997E-2</v>
      </c>
      <c r="J59" s="2">
        <v>0.12400000000000005</v>
      </c>
      <c r="N59" s="2"/>
      <c r="O59" s="2"/>
      <c r="P59" s="2"/>
      <c r="Q59" s="2"/>
      <c r="R59" s="2"/>
      <c r="S59" s="2"/>
      <c r="T59" s="2"/>
      <c r="U59" s="2"/>
      <c r="V59" s="2"/>
      <c r="W59" s="2"/>
      <c r="X59" s="6">
        <v>354918.02336845</v>
      </c>
      <c r="Y59" s="6"/>
      <c r="Z59" s="33">
        <f t="shared" si="9"/>
        <v>0.10987234423890402</v>
      </c>
      <c r="AA59" s="5">
        <v>4.5999999999999999E-2</v>
      </c>
      <c r="AB59">
        <f t="shared" si="11"/>
        <v>6.1063426614631044E-2</v>
      </c>
      <c r="AC59">
        <v>25.757272387096773</v>
      </c>
      <c r="AD59">
        <f t="shared" si="8"/>
        <v>0.17929169223046504</v>
      </c>
      <c r="AE59" s="99">
        <v>69.760769006476821</v>
      </c>
      <c r="AF59" s="119">
        <f t="shared" si="0"/>
        <v>1796.8471292331617</v>
      </c>
      <c r="AG59" s="33">
        <f t="shared" si="3"/>
        <v>8.9866736989619111E-2</v>
      </c>
      <c r="AH59">
        <v>5350</v>
      </c>
      <c r="AI59" s="33">
        <f t="shared" si="4"/>
        <v>0.18049426301853488</v>
      </c>
      <c r="AJ59" s="29">
        <f t="shared" si="1"/>
        <v>0.18049426301853488</v>
      </c>
      <c r="AK59" s="33">
        <f t="shared" si="5"/>
        <v>0.28527078857018284</v>
      </c>
      <c r="AM59">
        <v>2.8</v>
      </c>
      <c r="CH59" s="99">
        <v>2.8</v>
      </c>
    </row>
    <row r="60" spans="1:86">
      <c r="A60" s="1">
        <v>2016</v>
      </c>
      <c r="B60" s="1">
        <v>4</v>
      </c>
      <c r="C60" s="1">
        <v>11</v>
      </c>
      <c r="D60" t="str">
        <f t="shared" si="10"/>
        <v>2016M11</v>
      </c>
      <c r="E60" s="33">
        <f t="shared" si="2"/>
        <v>1.8000000000000002E-2</v>
      </c>
      <c r="H60" s="507"/>
      <c r="I60" s="527">
        <f t="shared" si="6"/>
        <v>1.8000000000000002E-2</v>
      </c>
      <c r="J60" s="2">
        <v>0.12099999999999994</v>
      </c>
      <c r="N60" s="2"/>
      <c r="O60" s="2"/>
      <c r="P60" s="2"/>
      <c r="Q60" s="2"/>
      <c r="R60" s="2"/>
      <c r="S60" s="2"/>
      <c r="T60" s="2"/>
      <c r="U60" s="2"/>
      <c r="V60" s="2"/>
      <c r="W60" s="2"/>
      <c r="X60" s="6">
        <v>356116.18136723002</v>
      </c>
      <c r="Y60" s="6"/>
      <c r="Z60" s="33">
        <f t="shared" si="9"/>
        <v>0.11358282298260924</v>
      </c>
      <c r="AA60" s="5">
        <v>4.5999999999999999E-2</v>
      </c>
      <c r="AB60">
        <f t="shared" si="11"/>
        <v>6.4610729428880687E-2</v>
      </c>
      <c r="AC60">
        <v>25.700937800000002</v>
      </c>
      <c r="AD60">
        <f t="shared" si="8"/>
        <v>0.10244718000462338</v>
      </c>
      <c r="AE60" s="99">
        <v>70.493266997760585</v>
      </c>
      <c r="AF60" s="119">
        <f t="shared" si="0"/>
        <v>1811.7430704282376</v>
      </c>
      <c r="AG60" s="33">
        <f t="shared" si="3"/>
        <v>0.16729023652530439</v>
      </c>
      <c r="AH60">
        <v>5406</v>
      </c>
      <c r="AI60" s="33">
        <f t="shared" si="4"/>
        <v>0.20186749666518455</v>
      </c>
      <c r="AJ60" s="29">
        <f t="shared" si="1"/>
        <v>0.20186749666518455</v>
      </c>
      <c r="AK60" s="33">
        <f t="shared" si="5"/>
        <v>0.28687582950425172</v>
      </c>
      <c r="AM60">
        <v>1.8</v>
      </c>
      <c r="CH60" s="99">
        <v>1.8</v>
      </c>
    </row>
    <row r="61" spans="1:86">
      <c r="A61" s="1">
        <v>2016</v>
      </c>
      <c r="B61" s="1">
        <v>4</v>
      </c>
      <c r="C61" s="1">
        <v>12</v>
      </c>
      <c r="D61" t="str">
        <f t="shared" si="10"/>
        <v>2016M12</v>
      </c>
      <c r="E61" s="33">
        <f t="shared" si="2"/>
        <v>9.0000000000000011E-3</v>
      </c>
      <c r="H61" s="507"/>
      <c r="I61" s="527">
        <f t="shared" si="6"/>
        <v>9.0000000000000011E-3</v>
      </c>
      <c r="J61" s="2">
        <v>0.12400000000000005</v>
      </c>
      <c r="N61" s="2"/>
      <c r="O61" s="2"/>
      <c r="P61" s="2"/>
      <c r="Q61" s="2"/>
      <c r="R61" s="2"/>
      <c r="S61" s="2"/>
      <c r="T61" s="2"/>
      <c r="U61" s="2"/>
      <c r="V61" s="2"/>
      <c r="W61" s="2"/>
      <c r="X61" s="6">
        <v>369581.74383797997</v>
      </c>
      <c r="Y61" s="6"/>
      <c r="Z61" s="33">
        <f t="shared" si="9"/>
        <v>0.124669732462803</v>
      </c>
      <c r="AA61" s="5">
        <v>4.5999999999999999E-2</v>
      </c>
      <c r="AB61">
        <f t="shared" si="11"/>
        <v>7.5210069276102187E-2</v>
      </c>
      <c r="AC61">
        <v>26.204524935483875</v>
      </c>
      <c r="AD61">
        <f t="shared" si="8"/>
        <v>0.1194502995130069</v>
      </c>
      <c r="AE61" s="99">
        <v>71.704367532448543</v>
      </c>
      <c r="AF61" s="119">
        <f t="shared" si="0"/>
        <v>1878.9788869871481</v>
      </c>
      <c r="AG61" s="33">
        <f t="shared" si="3"/>
        <v>0.32693481436075689</v>
      </c>
      <c r="AH61">
        <v>6475</v>
      </c>
      <c r="AI61" s="33">
        <f t="shared" si="4"/>
        <v>0.23804971319311674</v>
      </c>
      <c r="AJ61" s="29">
        <f t="shared" si="1"/>
        <v>0.23804971319311674</v>
      </c>
      <c r="AK61" s="33">
        <f t="shared" si="5"/>
        <v>0.48543757537038545</v>
      </c>
      <c r="AM61">
        <v>0.9</v>
      </c>
      <c r="CH61" s="99">
        <v>0.9</v>
      </c>
    </row>
    <row r="62" spans="1:86">
      <c r="A62" s="1">
        <v>2017</v>
      </c>
      <c r="B62" s="1">
        <v>1</v>
      </c>
      <c r="C62" s="1">
        <v>1</v>
      </c>
      <c r="D62" t="str">
        <f t="shared" si="10"/>
        <v>2017M1</v>
      </c>
      <c r="E62" s="33">
        <f t="shared" si="2"/>
        <v>1.1000000000000001E-2</v>
      </c>
      <c r="G62" s="126">
        <f>AVERAGE(I62:I73)</f>
        <v>1.0750000000000003E-2</v>
      </c>
      <c r="H62" s="507"/>
      <c r="I62" s="527">
        <f t="shared" si="6"/>
        <v>1.1000000000000001E-2</v>
      </c>
      <c r="J62" s="2">
        <v>0.12599999999999995</v>
      </c>
      <c r="K62" s="33">
        <f t="shared" ref="K62:K96" si="12">-0.0958005*AB62+0.0733532*AD62+0.3412766*AI62+0.0222426</f>
        <v>0.15230615903509254</v>
      </c>
      <c r="L62" s="29">
        <f t="shared" ref="L62:L109" si="13">J62/K62</f>
        <v>0.82728105546256048</v>
      </c>
      <c r="M62" s="33"/>
      <c r="N62" s="10">
        <f t="shared" ref="N62:N121" si="14">0.1540186+-0.8162613*AB62+0.4122748*AD62</f>
        <v>0.13959976686395309</v>
      </c>
      <c r="O62" s="2"/>
      <c r="P62" s="2"/>
      <c r="Q62" s="2"/>
      <c r="R62" s="2"/>
      <c r="S62" s="2"/>
      <c r="T62" s="2"/>
      <c r="U62" s="2"/>
      <c r="V62" s="2"/>
      <c r="W62" s="2"/>
      <c r="X62" s="6">
        <v>371788.61919610004</v>
      </c>
      <c r="Y62" s="6"/>
      <c r="Z62" s="33">
        <f t="shared" si="9"/>
        <v>0.10803211725533179</v>
      </c>
      <c r="AA62" s="5">
        <v>2.7999999999999997E-2</v>
      </c>
      <c r="AB62">
        <f t="shared" si="11"/>
        <v>7.7852254139427757E-2</v>
      </c>
      <c r="AC62">
        <v>27.150611903225798</v>
      </c>
      <c r="AD62">
        <f t="shared" si="8"/>
        <v>0.11916553967337506</v>
      </c>
      <c r="AE62" s="99">
        <v>77.512350540647304</v>
      </c>
      <c r="AF62" s="119">
        <f t="shared" si="0"/>
        <v>2104.5077472359094</v>
      </c>
      <c r="AG62" s="33">
        <f t="shared" si="3"/>
        <v>0.66750589894239787</v>
      </c>
      <c r="AH62">
        <v>6008</v>
      </c>
      <c r="AI62" s="33">
        <f t="shared" si="4"/>
        <v>0.37734983952315448</v>
      </c>
      <c r="AJ62" s="29">
        <f t="shared" si="1"/>
        <v>0.37734983952315448</v>
      </c>
      <c r="AK62" s="33">
        <f t="shared" si="5"/>
        <v>0.86621513929840543</v>
      </c>
      <c r="AM62">
        <v>1.1000000000000001</v>
      </c>
      <c r="CH62" s="99">
        <v>1.1000000000000001</v>
      </c>
    </row>
    <row r="63" spans="1:86">
      <c r="A63" s="1">
        <v>2017</v>
      </c>
      <c r="B63" s="1">
        <v>1</v>
      </c>
      <c r="C63" s="1">
        <v>2</v>
      </c>
      <c r="D63" t="str">
        <f t="shared" si="10"/>
        <v>2017M2</v>
      </c>
      <c r="E63" s="33">
        <f t="shared" si="2"/>
        <v>0.01</v>
      </c>
      <c r="H63" s="507"/>
      <c r="I63" s="527">
        <f t="shared" si="6"/>
        <v>0.01</v>
      </c>
      <c r="J63" s="2">
        <v>0.14200000000000002</v>
      </c>
      <c r="K63" s="33">
        <f t="shared" si="12"/>
        <v>0.13908415595697088</v>
      </c>
      <c r="L63" s="29">
        <f t="shared" si="13"/>
        <v>1.0209646024952779</v>
      </c>
      <c r="M63" s="33"/>
      <c r="N63" s="10">
        <f t="shared" si="14"/>
        <v>0.11449651978615634</v>
      </c>
      <c r="O63" s="2"/>
      <c r="P63" s="2"/>
      <c r="Q63" s="2"/>
      <c r="R63" s="2"/>
      <c r="S63" s="2"/>
      <c r="T63" s="2"/>
      <c r="U63" s="2"/>
      <c r="V63" s="2"/>
      <c r="W63" s="2"/>
      <c r="X63" s="6">
        <v>361742.49769675999</v>
      </c>
      <c r="Y63" s="6"/>
      <c r="Z63" s="33">
        <f t="shared" si="9"/>
        <v>9.026068370574114E-2</v>
      </c>
      <c r="AA63" s="5">
        <v>2.7999999999999997E-2</v>
      </c>
      <c r="AB63">
        <f t="shared" si="11"/>
        <v>6.0564867418036128E-2</v>
      </c>
      <c r="AC63">
        <v>27.027771071428578</v>
      </c>
      <c r="AD63">
        <f t="shared" si="8"/>
        <v>2.4048710227086767E-2</v>
      </c>
      <c r="AE63" s="99">
        <v>76.601965909017878</v>
      </c>
      <c r="AF63" s="119">
        <f t="shared" si="0"/>
        <v>2070.3803982103113</v>
      </c>
      <c r="AG63" s="33">
        <f t="shared" si="3"/>
        <v>0.64265379697052771</v>
      </c>
      <c r="AH63">
        <v>6209</v>
      </c>
      <c r="AI63" s="33">
        <f t="shared" si="4"/>
        <v>0.35419847328244281</v>
      </c>
      <c r="AJ63" s="29">
        <f t="shared" si="1"/>
        <v>0.35419847328244281</v>
      </c>
      <c r="AK63" s="33">
        <f t="shared" si="5"/>
        <v>0.68215750213729542</v>
      </c>
      <c r="AM63">
        <v>1</v>
      </c>
      <c r="CH63" s="99">
        <v>1</v>
      </c>
    </row>
    <row r="64" spans="1:86">
      <c r="A64" s="1">
        <v>2017</v>
      </c>
      <c r="B64" s="1">
        <v>1</v>
      </c>
      <c r="C64" s="1">
        <v>3</v>
      </c>
      <c r="D64" t="str">
        <f t="shared" si="10"/>
        <v>2017M3</v>
      </c>
      <c r="E64" s="33">
        <f t="shared" si="2"/>
        <v>1.8000000000000002E-2</v>
      </c>
      <c r="H64" s="507"/>
      <c r="I64" s="527">
        <f t="shared" si="6"/>
        <v>1.8000000000000002E-2</v>
      </c>
      <c r="J64" s="2">
        <v>0.15099999999999994</v>
      </c>
      <c r="K64" s="33">
        <f t="shared" si="12"/>
        <v>0.14481893979350746</v>
      </c>
      <c r="L64" s="29">
        <f t="shared" si="13"/>
        <v>1.0426812971791248</v>
      </c>
      <c r="M64" s="33"/>
      <c r="N64" s="10">
        <f t="shared" si="14"/>
        <v>0.11046208008036676</v>
      </c>
      <c r="O64" s="2"/>
      <c r="P64" s="2"/>
      <c r="Q64" s="2"/>
      <c r="R64" s="2"/>
      <c r="S64" s="2"/>
      <c r="T64" s="2"/>
      <c r="U64" s="2"/>
      <c r="V64" s="2"/>
      <c r="W64" s="2"/>
      <c r="X64" s="6">
        <v>359198.56904437498</v>
      </c>
      <c r="Y64" s="6"/>
      <c r="Z64" s="33">
        <f t="shared" si="9"/>
        <v>9.556956130816241E-2</v>
      </c>
      <c r="AA64" s="5">
        <v>2.7999999999999997E-2</v>
      </c>
      <c r="AB64">
        <f t="shared" si="11"/>
        <v>6.5729145241403053E-2</v>
      </c>
      <c r="AC64">
        <v>27.001562419354837</v>
      </c>
      <c r="AD64">
        <f t="shared" si="8"/>
        <v>2.4487641793782267E-2</v>
      </c>
      <c r="AE64" s="99">
        <v>69.384106887103982</v>
      </c>
      <c r="AF64" s="119">
        <f t="shared" si="0"/>
        <v>1873.4792930233259</v>
      </c>
      <c r="AG64" s="33">
        <f t="shared" si="3"/>
        <v>0.37610722890357184</v>
      </c>
      <c r="AH64">
        <v>6752</v>
      </c>
      <c r="AI64" s="33">
        <f t="shared" si="4"/>
        <v>0.37235772357723573</v>
      </c>
      <c r="AJ64" s="29">
        <f t="shared" si="1"/>
        <v>0.37235772357723573</v>
      </c>
      <c r="AK64" s="33">
        <f t="shared" si="5"/>
        <v>0.40980484979479659</v>
      </c>
      <c r="AM64">
        <v>1.8</v>
      </c>
      <c r="CH64" s="99">
        <v>1.8</v>
      </c>
    </row>
    <row r="65" spans="1:86">
      <c r="A65" s="1">
        <v>2017</v>
      </c>
      <c r="B65" s="1">
        <v>2</v>
      </c>
      <c r="C65" s="1">
        <v>4</v>
      </c>
      <c r="D65" t="str">
        <f t="shared" si="10"/>
        <v>2017M4</v>
      </c>
      <c r="E65" s="33">
        <f t="shared" si="2"/>
        <v>9.0000000000000011E-3</v>
      </c>
      <c r="H65" s="507"/>
      <c r="I65" s="527">
        <f t="shared" si="6"/>
        <v>9.0000000000000011E-3</v>
      </c>
      <c r="J65" s="2">
        <v>0.12200000000000003</v>
      </c>
      <c r="K65" s="33">
        <f t="shared" si="12"/>
        <v>0.14241209488446657</v>
      </c>
      <c r="L65" s="29">
        <f t="shared" si="13"/>
        <v>0.85666881102320636</v>
      </c>
      <c r="M65" s="33"/>
      <c r="N65" s="10">
        <f t="shared" si="14"/>
        <v>0.11984179979155074</v>
      </c>
      <c r="O65" s="2"/>
      <c r="P65" s="2"/>
      <c r="Q65" s="2"/>
      <c r="R65" s="2"/>
      <c r="S65" s="2"/>
      <c r="T65" s="2"/>
      <c r="U65" s="2"/>
      <c r="V65" s="2"/>
      <c r="W65" s="2"/>
      <c r="X65" s="6">
        <v>362635.65076933999</v>
      </c>
      <c r="Y65" s="6"/>
      <c r="Z65" s="33">
        <f t="shared" si="9"/>
        <v>9.3774215823846818E-2</v>
      </c>
      <c r="AA65" s="5">
        <v>2.6000000000000002E-2</v>
      </c>
      <c r="AB65">
        <f t="shared" si="11"/>
        <v>6.6056740569051531E-2</v>
      </c>
      <c r="AC65">
        <v>26.856827100000014</v>
      </c>
      <c r="AD65">
        <f t="shared" si="8"/>
        <v>4.7887381722597322E-2</v>
      </c>
      <c r="AE65" s="99">
        <v>69.872811564950169</v>
      </c>
      <c r="AF65" s="119">
        <f t="shared" si="0"/>
        <v>1876.5620191907481</v>
      </c>
      <c r="AG65" s="33">
        <f t="shared" si="3"/>
        <v>0.33235033380891355</v>
      </c>
      <c r="AH65">
        <v>6659</v>
      </c>
      <c r="AI65" s="33">
        <f t="shared" si="4"/>
        <v>0.36036772216547508</v>
      </c>
      <c r="AJ65" s="29">
        <f t="shared" si="1"/>
        <v>0.36036772216547508</v>
      </c>
      <c r="AK65" s="33">
        <f t="shared" si="5"/>
        <v>0.39615310283225114</v>
      </c>
      <c r="AM65">
        <v>0.9</v>
      </c>
      <c r="CH65" s="99">
        <v>0.9</v>
      </c>
    </row>
    <row r="66" spans="1:86">
      <c r="A66" s="1">
        <v>2017</v>
      </c>
      <c r="B66" s="1">
        <v>2</v>
      </c>
      <c r="C66" s="1">
        <v>5</v>
      </c>
      <c r="D66" t="str">
        <f t="shared" si="10"/>
        <v>2017M5</v>
      </c>
      <c r="E66" s="33">
        <f t="shared" si="2"/>
        <v>1.3000000000000001E-2</v>
      </c>
      <c r="H66" s="507"/>
      <c r="I66" s="527">
        <f t="shared" si="6"/>
        <v>1.3000000000000001E-2</v>
      </c>
      <c r="J66" s="2">
        <v>0.13500000000000001</v>
      </c>
      <c r="K66" s="33">
        <f t="shared" si="12"/>
        <v>0.14651699709473912</v>
      </c>
      <c r="L66" s="29">
        <f t="shared" si="13"/>
        <v>0.92139480522323214</v>
      </c>
      <c r="M66" s="33"/>
      <c r="N66" s="10">
        <f t="shared" si="14"/>
        <v>0.11976826091492918</v>
      </c>
      <c r="O66" s="2"/>
      <c r="P66" s="2"/>
      <c r="Q66" s="2"/>
      <c r="R66" s="2"/>
      <c r="S66" s="2"/>
      <c r="T66" s="2"/>
      <c r="U66" s="2"/>
      <c r="V66" s="2"/>
      <c r="W66" s="2"/>
      <c r="X66" s="6">
        <v>368305.48513058503</v>
      </c>
      <c r="Y66" s="6"/>
      <c r="Z66" s="33">
        <f t="shared" si="9"/>
        <v>9.4075182377076016E-2</v>
      </c>
      <c r="AA66" s="5">
        <v>2.6000000000000002E-2</v>
      </c>
      <c r="AB66">
        <f t="shared" si="11"/>
        <v>6.6350080289547808E-2</v>
      </c>
      <c r="AC66">
        <v>26.423692999999993</v>
      </c>
      <c r="AD66">
        <f t="shared" si="8"/>
        <v>4.8289790467862304E-2</v>
      </c>
      <c r="AE66" s="99">
        <v>67.657497165909064</v>
      </c>
      <c r="AF66" s="119">
        <f t="shared" si="0"/>
        <v>1787.7609342603507</v>
      </c>
      <c r="AG66" s="33">
        <f t="shared" si="3"/>
        <v>0.18518565196653802</v>
      </c>
      <c r="AH66">
        <v>6840</v>
      </c>
      <c r="AI66" s="33">
        <f t="shared" si="4"/>
        <v>0.37239165329052959</v>
      </c>
      <c r="AJ66" s="29">
        <f t="shared" si="1"/>
        <v>0.37239165329052959</v>
      </c>
      <c r="AK66" s="33">
        <f t="shared" si="5"/>
        <v>0.24241801876551916</v>
      </c>
      <c r="AM66">
        <v>1.3</v>
      </c>
      <c r="CH66" s="99">
        <v>1.3</v>
      </c>
    </row>
    <row r="67" spans="1:86">
      <c r="A67" s="1">
        <v>2017</v>
      </c>
      <c r="B67" s="1">
        <v>2</v>
      </c>
      <c r="C67" s="1">
        <v>6</v>
      </c>
      <c r="D67" t="str">
        <f t="shared" si="10"/>
        <v>2017M6</v>
      </c>
      <c r="E67" s="33">
        <f t="shared" si="2"/>
        <v>1.6E-2</v>
      </c>
      <c r="H67" s="507"/>
      <c r="I67" s="527">
        <f t="shared" si="6"/>
        <v>1.6E-2</v>
      </c>
      <c r="J67" s="2">
        <v>0.15599999999999994</v>
      </c>
      <c r="K67" s="33">
        <f t="shared" si="12"/>
        <v>0.14932148326647038</v>
      </c>
      <c r="L67" s="29">
        <f t="shared" si="13"/>
        <v>1.0447257593980062</v>
      </c>
      <c r="M67" s="33"/>
      <c r="N67" s="10">
        <f t="shared" si="14"/>
        <v>0.12470079085249484</v>
      </c>
      <c r="O67" s="2"/>
      <c r="P67" s="2"/>
      <c r="Q67" s="2"/>
      <c r="R67" s="2"/>
      <c r="S67" s="2"/>
      <c r="T67" s="2"/>
      <c r="U67" s="2"/>
      <c r="V67" s="2"/>
      <c r="W67" s="2"/>
      <c r="X67" s="6">
        <v>375005.31244599004</v>
      </c>
      <c r="Y67" s="6"/>
      <c r="Z67" s="33">
        <f t="shared" si="9"/>
        <v>8.6891248913206542E-2</v>
      </c>
      <c r="AA67" s="5">
        <v>2.6000000000000002E-2</v>
      </c>
      <c r="AB67">
        <f t="shared" si="11"/>
        <v>5.9348195821838701E-2</v>
      </c>
      <c r="AC67">
        <v>26.108858166666668</v>
      </c>
      <c r="AD67">
        <f t="shared" si="8"/>
        <v>4.6390966235829723E-2</v>
      </c>
      <c r="AE67" s="99">
        <v>66.375820838822406</v>
      </c>
      <c r="AF67" s="119">
        <f t="shared" ref="AF67:AF121" si="15">AC67*AE67</f>
        <v>1732.9968919768919</v>
      </c>
      <c r="AG67" s="33">
        <f t="shared" si="3"/>
        <v>9.6529107350234344E-2</v>
      </c>
      <c r="AH67">
        <v>7360</v>
      </c>
      <c r="AI67" s="33">
        <f t="shared" si="4"/>
        <v>0.37905190181750048</v>
      </c>
      <c r="AJ67" s="29">
        <f t="shared" si="1"/>
        <v>0.37905190181750048</v>
      </c>
      <c r="AK67" s="33">
        <f t="shared" si="5"/>
        <v>0.14739815214592356</v>
      </c>
      <c r="AM67">
        <v>1.6</v>
      </c>
      <c r="CH67" s="99">
        <v>1.6</v>
      </c>
    </row>
    <row r="68" spans="1:86">
      <c r="A68" s="1">
        <v>2017</v>
      </c>
      <c r="B68" s="1">
        <v>3</v>
      </c>
      <c r="C68" s="1">
        <v>7</v>
      </c>
      <c r="D68" t="str">
        <f t="shared" si="10"/>
        <v>2017M7</v>
      </c>
      <c r="E68" s="33">
        <f t="shared" si="2"/>
        <v>2E-3</v>
      </c>
      <c r="H68" s="507"/>
      <c r="I68" s="527">
        <f t="shared" si="6"/>
        <v>2E-3</v>
      </c>
      <c r="J68" s="2">
        <v>0.15900000000000006</v>
      </c>
      <c r="K68" s="33">
        <f t="shared" si="12"/>
        <v>0.14554023109602834</v>
      </c>
      <c r="L68" s="29">
        <f t="shared" si="13"/>
        <v>1.092481431440705</v>
      </c>
      <c r="M68" s="33"/>
      <c r="N68" s="10">
        <f t="shared" si="14"/>
        <v>0.13144413735986904</v>
      </c>
      <c r="O68" s="2"/>
      <c r="P68" s="2"/>
      <c r="Q68" s="2"/>
      <c r="R68" s="2"/>
      <c r="S68" s="2"/>
      <c r="T68" s="2"/>
      <c r="U68" s="2"/>
      <c r="V68" s="2"/>
      <c r="W68" s="2"/>
      <c r="X68" s="6">
        <v>380655.38214676001</v>
      </c>
      <c r="Y68" s="6"/>
      <c r="Z68" s="33">
        <f t="shared" si="9"/>
        <v>7.6339277291160412E-2</v>
      </c>
      <c r="AA68" s="5">
        <v>2.4E-2</v>
      </c>
      <c r="AB68">
        <f t="shared" si="11"/>
        <v>5.111257547964887E-2</v>
      </c>
      <c r="AC68">
        <v>25.969315225806444</v>
      </c>
      <c r="AD68">
        <f t="shared" si="8"/>
        <v>4.6441729320432223E-2</v>
      </c>
      <c r="AE68" s="99">
        <v>68.486520349079683</v>
      </c>
      <c r="AF68" s="119">
        <f t="shared" si="15"/>
        <v>1778.5480356638579</v>
      </c>
      <c r="AG68" s="33">
        <f t="shared" si="3"/>
        <v>0.15678140962900544</v>
      </c>
      <c r="AH68">
        <v>7339</v>
      </c>
      <c r="AI68" s="33">
        <f t="shared" si="4"/>
        <v>0.3656494231484928</v>
      </c>
      <c r="AJ68" s="29">
        <f t="shared" si="1"/>
        <v>0.3656494231484928</v>
      </c>
      <c r="AK68" s="33">
        <f t="shared" si="5"/>
        <v>0.21050433873790397</v>
      </c>
      <c r="AM68">
        <v>0.2</v>
      </c>
      <c r="CH68" s="99">
        <v>0.2</v>
      </c>
    </row>
    <row r="69" spans="1:86">
      <c r="A69" s="1">
        <v>2017</v>
      </c>
      <c r="B69" s="1">
        <v>3</v>
      </c>
      <c r="C69" s="1">
        <v>8</v>
      </c>
      <c r="D69" t="str">
        <f t="shared" si="10"/>
        <v>2017M8</v>
      </c>
      <c r="E69" s="33">
        <f t="shared" si="2"/>
        <v>-1E-3</v>
      </c>
      <c r="H69" s="507"/>
      <c r="I69" s="527">
        <f t="shared" si="6"/>
        <v>-1E-3</v>
      </c>
      <c r="J69" s="2">
        <v>0.16200000000000003</v>
      </c>
      <c r="K69" s="33">
        <f t="shared" si="12"/>
        <v>0.14551932659928563</v>
      </c>
      <c r="L69" s="29">
        <f t="shared" si="13"/>
        <v>1.1132541895695889</v>
      </c>
      <c r="M69" s="33"/>
      <c r="N69" s="10">
        <f t="shared" si="14"/>
        <v>0.13077456811510044</v>
      </c>
      <c r="O69" s="2"/>
      <c r="P69" s="2"/>
      <c r="Q69" s="2"/>
      <c r="R69" s="2"/>
      <c r="S69" s="2"/>
      <c r="T69" s="2"/>
      <c r="U69" s="2"/>
      <c r="V69" s="2"/>
      <c r="W69" s="2"/>
      <c r="X69" s="6">
        <v>379281.25692618499</v>
      </c>
      <c r="Y69" s="6"/>
      <c r="Z69" s="33">
        <f t="shared" si="9"/>
        <v>6.4930824435173173E-2</v>
      </c>
      <c r="AA69" s="5">
        <v>2.4E-2</v>
      </c>
      <c r="AB69">
        <f t="shared" si="11"/>
        <v>3.9971508237473863E-2</v>
      </c>
      <c r="AC69">
        <v>25.635271419354826</v>
      </c>
      <c r="AD69">
        <f t="shared" si="8"/>
        <v>2.2759488069563183E-2</v>
      </c>
      <c r="AE69" s="99">
        <v>73.514102967898481</v>
      </c>
      <c r="AF69" s="119">
        <f t="shared" si="15"/>
        <v>1884.5539827324758</v>
      </c>
      <c r="AG69" s="33">
        <f t="shared" si="3"/>
        <v>0.25577409945663243</v>
      </c>
      <c r="AH69">
        <v>7114</v>
      </c>
      <c r="AI69" s="33">
        <f t="shared" si="4"/>
        <v>0.36755094194540572</v>
      </c>
      <c r="AJ69" s="29">
        <f t="shared" si="1"/>
        <v>0.36755094194540572</v>
      </c>
      <c r="AK69" s="33">
        <f t="shared" si="5"/>
        <v>0.2843548750912821</v>
      </c>
      <c r="AM69">
        <v>-0.1</v>
      </c>
      <c r="CH69" s="99">
        <v>-0.1</v>
      </c>
    </row>
    <row r="70" spans="1:86">
      <c r="A70" s="1">
        <v>2017</v>
      </c>
      <c r="B70" s="1">
        <v>3</v>
      </c>
      <c r="C70" s="1">
        <v>9</v>
      </c>
      <c r="D70" t="str">
        <f t="shared" si="10"/>
        <v>2017M9</v>
      </c>
      <c r="E70" s="33">
        <f t="shared" si="2"/>
        <v>0.02</v>
      </c>
      <c r="H70" s="507"/>
      <c r="I70" s="527">
        <f t="shared" si="6"/>
        <v>0.02</v>
      </c>
      <c r="J70" s="2">
        <v>0.16400000000000006</v>
      </c>
      <c r="K70" s="33">
        <f t="shared" si="12"/>
        <v>0.14577226763320128</v>
      </c>
      <c r="L70" s="29">
        <f t="shared" si="13"/>
        <v>1.1250425246361964</v>
      </c>
      <c r="M70" s="33"/>
      <c r="N70" s="10">
        <f t="shared" si="14"/>
        <v>0.12628056746245134</v>
      </c>
      <c r="O70" s="2"/>
      <c r="P70" s="2"/>
      <c r="Q70" s="2"/>
      <c r="R70" s="2"/>
      <c r="S70" s="2"/>
      <c r="T70" s="2"/>
      <c r="U70" s="2"/>
      <c r="V70" s="2"/>
      <c r="W70" s="2"/>
      <c r="X70" s="6">
        <v>376204.63798137999</v>
      </c>
      <c r="Y70" s="6"/>
      <c r="Z70" s="33">
        <f t="shared" si="9"/>
        <v>5.551303953990594E-2</v>
      </c>
      <c r="AA70" s="5">
        <v>2.4E-2</v>
      </c>
      <c r="AB70">
        <f t="shared" si="11"/>
        <v>3.0774452675689457E-2</v>
      </c>
      <c r="AC70">
        <v>26.10860709999999</v>
      </c>
      <c r="AD70">
        <f t="shared" si="8"/>
        <v>-6.3502251161164924E-3</v>
      </c>
      <c r="AE70" s="99">
        <v>78.642224546826228</v>
      </c>
      <c r="AF70" s="119">
        <f t="shared" si="15"/>
        <v>2053.2389421630605</v>
      </c>
      <c r="AG70" s="33">
        <f t="shared" si="3"/>
        <v>0.3145201892607965</v>
      </c>
      <c r="AH70">
        <v>7351</v>
      </c>
      <c r="AI70" s="33">
        <f t="shared" si="4"/>
        <v>0.37196715192235907</v>
      </c>
      <c r="AJ70" s="29">
        <f t="shared" si="1"/>
        <v>0.37196715192235907</v>
      </c>
      <c r="AK70" s="33">
        <f t="shared" si="5"/>
        <v>0.30617269013931026</v>
      </c>
      <c r="AM70">
        <v>2</v>
      </c>
      <c r="CH70" s="99">
        <v>2</v>
      </c>
    </row>
    <row r="71" spans="1:86">
      <c r="A71" s="1">
        <v>2017</v>
      </c>
      <c r="B71" s="1">
        <v>4</v>
      </c>
      <c r="C71" s="1">
        <v>10</v>
      </c>
      <c r="D71" t="str">
        <f t="shared" si="10"/>
        <v>2017M10</v>
      </c>
      <c r="E71" s="33">
        <f t="shared" si="2"/>
        <v>1.2E-2</v>
      </c>
      <c r="H71" s="507"/>
      <c r="I71" s="527">
        <f t="shared" si="6"/>
        <v>1.2E-2</v>
      </c>
      <c r="J71" s="2">
        <v>0.14599999999999994</v>
      </c>
      <c r="K71" s="33">
        <f t="shared" si="12"/>
        <v>0.15085756680728429</v>
      </c>
      <c r="L71" s="29">
        <f t="shared" si="13"/>
        <v>0.96780031051747151</v>
      </c>
      <c r="M71" s="33"/>
      <c r="N71" s="10">
        <f t="shared" si="14"/>
        <v>0.14074762448491274</v>
      </c>
      <c r="O71" s="2"/>
      <c r="P71" s="2"/>
      <c r="Q71" s="2"/>
      <c r="R71" s="2"/>
      <c r="S71" s="2"/>
      <c r="T71" s="2"/>
      <c r="U71" s="2"/>
      <c r="V71" s="2"/>
      <c r="W71" s="2"/>
      <c r="X71" s="6">
        <v>375008.647536395</v>
      </c>
      <c r="Y71" s="6"/>
      <c r="Z71" s="33">
        <f t="shared" si="9"/>
        <v>5.6606379065422541E-2</v>
      </c>
      <c r="AA71" s="5">
        <v>2.2000000000000002E-2</v>
      </c>
      <c r="AB71">
        <f t="shared" si="11"/>
        <v>3.386142765696909E-2</v>
      </c>
      <c r="AC71">
        <v>26.654977096774203</v>
      </c>
      <c r="AD71">
        <f t="shared" si="8"/>
        <v>3.4852475688657902E-2</v>
      </c>
      <c r="AE71" s="99">
        <v>80.489654633214499</v>
      </c>
      <c r="AF71" s="119">
        <f t="shared" si="15"/>
        <v>2145.4499007755981</v>
      </c>
      <c r="AG71" s="33">
        <f t="shared" si="3"/>
        <v>0.15379540362781219</v>
      </c>
      <c r="AH71">
        <v>7377</v>
      </c>
      <c r="AI71" s="33">
        <f t="shared" si="4"/>
        <v>0.3788785046728973</v>
      </c>
      <c r="AJ71" s="29">
        <f t="shared" si="1"/>
        <v>0.3788785046728973</v>
      </c>
      <c r="AK71" s="33">
        <f t="shared" si="5"/>
        <v>0.19400802988243582</v>
      </c>
      <c r="AM71">
        <v>1.2</v>
      </c>
      <c r="CH71" s="99">
        <v>1.2</v>
      </c>
    </row>
    <row r="72" spans="1:86">
      <c r="A72" s="1">
        <v>2017</v>
      </c>
      <c r="B72" s="1">
        <v>4</v>
      </c>
      <c r="C72" s="1">
        <v>11</v>
      </c>
      <c r="D72" t="str">
        <f t="shared" si="10"/>
        <v>2017M11</v>
      </c>
      <c r="E72" s="33">
        <f t="shared" si="2"/>
        <v>9.0000000000000011E-3</v>
      </c>
      <c r="H72" s="507"/>
      <c r="I72" s="527">
        <f t="shared" si="6"/>
        <v>9.0000000000000011E-3</v>
      </c>
      <c r="J72" s="2">
        <v>0.13599999999999995</v>
      </c>
      <c r="K72" s="33">
        <f t="shared" si="12"/>
        <v>0.15236168520318666</v>
      </c>
      <c r="L72" s="29">
        <f t="shared" si="13"/>
        <v>0.89261286273273321</v>
      </c>
      <c r="M72" s="33"/>
      <c r="N72" s="10">
        <f t="shared" si="14"/>
        <v>0.13933414156294732</v>
      </c>
      <c r="O72" s="2"/>
      <c r="P72" s="2"/>
      <c r="Q72" s="2"/>
      <c r="R72" s="2"/>
      <c r="S72" s="2"/>
      <c r="T72" s="2"/>
      <c r="U72" s="2"/>
      <c r="V72" s="2"/>
      <c r="W72" s="2"/>
      <c r="X72" s="6">
        <v>377681.583605355</v>
      </c>
      <c r="Y72" s="6"/>
      <c r="Z72" s="33">
        <f t="shared" si="9"/>
        <v>6.0557209603139484E-2</v>
      </c>
      <c r="AA72" s="5">
        <v>2.2000000000000002E-2</v>
      </c>
      <c r="AB72">
        <f t="shared" si="11"/>
        <v>3.7727210961975954E-2</v>
      </c>
      <c r="AC72">
        <v>26.705274633333335</v>
      </c>
      <c r="AD72">
        <f t="shared" si="8"/>
        <v>3.9077828254707958E-2</v>
      </c>
      <c r="AE72" s="99">
        <v>85.021682965864315</v>
      </c>
      <c r="AF72" s="119">
        <f t="shared" si="15"/>
        <v>2270.5273933916051</v>
      </c>
      <c r="AG72" s="33">
        <f t="shared" si="3"/>
        <v>0.20609650519623757</v>
      </c>
      <c r="AH72">
        <v>7479</v>
      </c>
      <c r="AI72" s="33">
        <f t="shared" si="4"/>
        <v>0.3834628190899001</v>
      </c>
      <c r="AJ72" s="29">
        <f t="shared" si="1"/>
        <v>0.3834628190899001</v>
      </c>
      <c r="AK72" s="33">
        <f t="shared" si="5"/>
        <v>0.25322813728489968</v>
      </c>
      <c r="AM72">
        <v>0.9</v>
      </c>
      <c r="CH72" s="99">
        <v>0.9</v>
      </c>
    </row>
    <row r="73" spans="1:86">
      <c r="A73" s="1">
        <v>2017</v>
      </c>
      <c r="B73" s="1">
        <v>4</v>
      </c>
      <c r="C73" s="1">
        <v>12</v>
      </c>
      <c r="D73" t="str">
        <f t="shared" si="10"/>
        <v>2017M12</v>
      </c>
      <c r="E73" s="33">
        <f t="shared" si="2"/>
        <v>0.01</v>
      </c>
      <c r="H73" s="507"/>
      <c r="I73" s="527">
        <f t="shared" si="6"/>
        <v>0.01</v>
      </c>
      <c r="J73" s="2">
        <v>0.13700000000000004</v>
      </c>
      <c r="K73" s="33">
        <f t="shared" si="12"/>
        <v>0.14440835548265918</v>
      </c>
      <c r="L73" s="29">
        <f t="shared" si="13"/>
        <v>0.94869856762859717</v>
      </c>
      <c r="M73" s="33"/>
      <c r="N73" s="10">
        <f t="shared" si="14"/>
        <v>0.15047985002636619</v>
      </c>
      <c r="O73" s="2"/>
      <c r="P73" s="2"/>
      <c r="Q73" s="2"/>
      <c r="R73" s="2"/>
      <c r="S73" s="2"/>
      <c r="T73" s="2"/>
      <c r="U73" s="2"/>
      <c r="V73" s="2"/>
      <c r="W73" s="2"/>
      <c r="X73" s="6">
        <v>388901.53028718499</v>
      </c>
      <c r="Y73" s="6"/>
      <c r="Z73" s="33">
        <f t="shared" si="9"/>
        <v>5.2274731561617882E-2</v>
      </c>
      <c r="AA73" s="5">
        <v>2.2000000000000002E-2</v>
      </c>
      <c r="AB73">
        <f t="shared" si="11"/>
        <v>2.9623025011367821E-2</v>
      </c>
      <c r="AC73">
        <v>27.516507935483883</v>
      </c>
      <c r="AD73">
        <f t="shared" si="8"/>
        <v>5.0067040071519742E-2</v>
      </c>
      <c r="AE73" s="99">
        <v>88.799368336620205</v>
      </c>
      <c r="AF73" s="119">
        <f t="shared" si="15"/>
        <v>2443.4485235005664</v>
      </c>
      <c r="AG73" s="33">
        <f t="shared" si="3"/>
        <v>0.2384094775877581</v>
      </c>
      <c r="AH73">
        <v>8777</v>
      </c>
      <c r="AI73" s="33">
        <f t="shared" si="4"/>
        <v>0.3555212355212356</v>
      </c>
      <c r="AJ73" s="29">
        <f t="shared" si="1"/>
        <v>0.3555212355212356</v>
      </c>
      <c r="AK73" s="33">
        <f t="shared" si="5"/>
        <v>0.30041297452709426</v>
      </c>
      <c r="AM73">
        <v>1</v>
      </c>
      <c r="CH73" s="99">
        <v>1</v>
      </c>
    </row>
    <row r="74" spans="1:86">
      <c r="A74" s="1">
        <v>2018</v>
      </c>
      <c r="B74" s="1">
        <v>1</v>
      </c>
      <c r="C74" s="1">
        <v>1</v>
      </c>
      <c r="D74" t="str">
        <f t="shared" si="10"/>
        <v>2018M1</v>
      </c>
      <c r="E74" s="33">
        <f t="shared" si="2"/>
        <v>1.4999999999999999E-2</v>
      </c>
      <c r="G74" s="126">
        <f>AVERAGE(I74:I85)</f>
        <v>7.8333333333333328E-3</v>
      </c>
      <c r="H74" s="507"/>
      <c r="I74" s="527">
        <f t="shared" si="6"/>
        <v>1.4999999999999999E-2</v>
      </c>
      <c r="J74" s="2">
        <v>0.14099999999999993</v>
      </c>
      <c r="K74" s="33">
        <f t="shared" si="12"/>
        <v>0.11938071485334339</v>
      </c>
      <c r="L74" s="29">
        <f t="shared" si="13"/>
        <v>1.1810952897477232</v>
      </c>
      <c r="M74" s="33"/>
      <c r="N74" s="10">
        <f t="shared" si="14"/>
        <v>0.14715345217168646</v>
      </c>
      <c r="O74" s="2"/>
      <c r="P74" s="2"/>
      <c r="Q74" s="2"/>
      <c r="R74" s="2"/>
      <c r="S74" s="2"/>
      <c r="T74" s="2"/>
      <c r="U74" s="2"/>
      <c r="V74" s="2"/>
      <c r="W74" s="2"/>
      <c r="X74" s="6">
        <v>395691.731361265</v>
      </c>
      <c r="Y74" s="6"/>
      <c r="Z74" s="33">
        <f t="shared" si="9"/>
        <v>6.4292210495440871E-2</v>
      </c>
      <c r="AA74" s="5">
        <v>3.1E-2</v>
      </c>
      <c r="AB74">
        <f t="shared" si="11"/>
        <v>3.2291183797711787E-2</v>
      </c>
      <c r="AC74">
        <v>28.434328612903219</v>
      </c>
      <c r="AD74">
        <f t="shared" si="8"/>
        <v>4.7281317793242739E-2</v>
      </c>
      <c r="AE74" s="99">
        <v>89.641661435302382</v>
      </c>
      <c r="AF74" s="119">
        <f t="shared" si="15"/>
        <v>2548.9004586580013</v>
      </c>
      <c r="AG74" s="33">
        <f t="shared" si="3"/>
        <v>0.15648230004706787</v>
      </c>
      <c r="AH74">
        <v>7711.47</v>
      </c>
      <c r="AI74" s="33">
        <f t="shared" si="4"/>
        <v>0.28353362183754993</v>
      </c>
      <c r="AJ74" s="29">
        <f t="shared" si="1"/>
        <v>0.28353362183754993</v>
      </c>
      <c r="AK74" s="33">
        <f t="shared" si="5"/>
        <v>0.21116230719785367</v>
      </c>
      <c r="AM74">
        <v>1.5</v>
      </c>
      <c r="CH74" s="99">
        <v>1.5</v>
      </c>
    </row>
    <row r="75" spans="1:86">
      <c r="A75" s="1">
        <v>2018</v>
      </c>
      <c r="B75" s="1">
        <v>1</v>
      </c>
      <c r="C75" s="1">
        <v>2</v>
      </c>
      <c r="D75" t="str">
        <f t="shared" si="10"/>
        <v>2018M2</v>
      </c>
      <c r="E75" s="33">
        <f t="shared" si="2"/>
        <v>9.0000000000000011E-3</v>
      </c>
      <c r="H75" s="507"/>
      <c r="I75" s="527">
        <f t="shared" si="6"/>
        <v>9.0000000000000011E-3</v>
      </c>
      <c r="J75" s="2">
        <v>0.14000000000000001</v>
      </c>
      <c r="K75" s="33">
        <f t="shared" si="12"/>
        <v>0.10504744851125125</v>
      </c>
      <c r="L75" s="29">
        <f t="shared" si="13"/>
        <v>1.3327310847060234</v>
      </c>
      <c r="M75" s="33"/>
      <c r="N75" s="10">
        <f t="shared" si="14"/>
        <v>0.10013243264876281</v>
      </c>
      <c r="O75" s="2"/>
      <c r="P75" s="2"/>
      <c r="Q75" s="2"/>
      <c r="R75" s="2"/>
      <c r="S75" s="2"/>
      <c r="T75" s="2"/>
      <c r="U75" s="2"/>
      <c r="V75" s="2"/>
      <c r="W75" s="2"/>
      <c r="X75" s="6">
        <v>398576.13637790002</v>
      </c>
      <c r="Y75" s="6"/>
      <c r="Z75" s="33">
        <f t="shared" si="9"/>
        <v>0.10182281295579698</v>
      </c>
      <c r="AA75" s="5">
        <v>3.1E-2</v>
      </c>
      <c r="AB75">
        <f t="shared" si="11"/>
        <v>6.8693320034720839E-2</v>
      </c>
      <c r="AC75">
        <v>27.171049392857139</v>
      </c>
      <c r="AD75">
        <f t="shared" si="8"/>
        <v>5.3011519540366869E-3</v>
      </c>
      <c r="AE75" s="99">
        <v>86.47548087515618</v>
      </c>
      <c r="AF75" s="119">
        <f t="shared" si="15"/>
        <v>2349.6295621299414</v>
      </c>
      <c r="AG75" s="33">
        <f t="shared" si="3"/>
        <v>0.12889375421337523</v>
      </c>
      <c r="AH75">
        <v>7828.16</v>
      </c>
      <c r="AI75" s="33">
        <f t="shared" si="4"/>
        <v>0.26077629247866008</v>
      </c>
      <c r="AJ75" s="29">
        <f t="shared" si="1"/>
        <v>0.26077629247866008</v>
      </c>
      <c r="AK75" s="33">
        <f t="shared" si="5"/>
        <v>0.13487819154442349</v>
      </c>
      <c r="AM75">
        <v>0.9</v>
      </c>
      <c r="CH75" s="99">
        <v>0.9</v>
      </c>
    </row>
    <row r="76" spans="1:86">
      <c r="A76" s="1">
        <v>2018</v>
      </c>
      <c r="B76" s="1">
        <v>1</v>
      </c>
      <c r="C76" s="1">
        <v>3</v>
      </c>
      <c r="D76" t="str">
        <f t="shared" si="10"/>
        <v>2018M3</v>
      </c>
      <c r="E76" s="33">
        <f t="shared" si="2"/>
        <v>1.1000000000000001E-2</v>
      </c>
      <c r="H76" s="507"/>
      <c r="I76" s="527">
        <f t="shared" si="6"/>
        <v>1.1000000000000001E-2</v>
      </c>
      <c r="J76" s="2">
        <v>0.13200000000000003</v>
      </c>
      <c r="K76" s="33">
        <f t="shared" si="12"/>
        <v>9.5410127602288813E-2</v>
      </c>
      <c r="L76" s="29">
        <f t="shared" si="13"/>
        <v>1.3835009271786516</v>
      </c>
      <c r="M76" s="33"/>
      <c r="N76" s="10">
        <f t="shared" si="14"/>
        <v>8.0688230265695479E-2</v>
      </c>
      <c r="O76" s="2"/>
      <c r="P76" s="2"/>
      <c r="Q76" s="2"/>
      <c r="R76" s="2"/>
      <c r="S76" s="2"/>
      <c r="T76" s="2"/>
      <c r="U76" s="2"/>
      <c r="V76" s="2"/>
      <c r="W76" s="2"/>
      <c r="X76" s="6">
        <v>399028.87744614005</v>
      </c>
      <c r="Y76" s="6"/>
      <c r="Z76" s="33">
        <f t="shared" si="9"/>
        <v>0.11088660098989567</v>
      </c>
      <c r="AA76" s="5">
        <v>3.1E-2</v>
      </c>
      <c r="AB76">
        <f t="shared" si="11"/>
        <v>7.7484579039666102E-2</v>
      </c>
      <c r="AC76">
        <v>26.341204741935485</v>
      </c>
      <c r="AD76">
        <f t="shared" si="8"/>
        <v>-2.4456276535538723E-2</v>
      </c>
      <c r="AE76" s="99">
        <v>86.154866743385099</v>
      </c>
      <c r="AF76" s="119">
        <f t="shared" si="15"/>
        <v>2269.4229844016754</v>
      </c>
      <c r="AG76" s="33">
        <f t="shared" si="3"/>
        <v>0.24170895337125398</v>
      </c>
      <c r="AH76">
        <v>8381.94</v>
      </c>
      <c r="AI76" s="33">
        <f t="shared" si="4"/>
        <v>0.2414010663507109</v>
      </c>
      <c r="AJ76" s="29">
        <f t="shared" si="1"/>
        <v>0.2414010663507109</v>
      </c>
      <c r="AK76" s="33">
        <f t="shared" si="5"/>
        <v>0.21134137583095236</v>
      </c>
      <c r="AM76">
        <v>1.1000000000000001</v>
      </c>
      <c r="CH76" s="99">
        <v>1.1000000000000001</v>
      </c>
    </row>
    <row r="77" spans="1:86">
      <c r="A77" s="1">
        <v>2018</v>
      </c>
      <c r="B77" s="1">
        <v>2</v>
      </c>
      <c r="C77" s="1">
        <v>4</v>
      </c>
      <c r="D77" t="str">
        <f t="shared" si="10"/>
        <v>2018M4</v>
      </c>
      <c r="E77" s="33">
        <f t="shared" si="2"/>
        <v>8.0000000000000002E-3</v>
      </c>
      <c r="H77" s="507"/>
      <c r="I77" s="527">
        <f t="shared" si="6"/>
        <v>8.0000000000000002E-3</v>
      </c>
      <c r="J77" s="2">
        <v>0.13099999999999995</v>
      </c>
      <c r="K77" s="33">
        <f t="shared" si="12"/>
        <v>0.10695733910538292</v>
      </c>
      <c r="L77" s="29">
        <f t="shared" si="13"/>
        <v>1.2247873880905757</v>
      </c>
      <c r="M77" s="33"/>
      <c r="N77" s="10">
        <f t="shared" si="14"/>
        <v>8.6118137596295913E-2</v>
      </c>
      <c r="O77" s="2"/>
      <c r="P77" s="2"/>
      <c r="Q77" s="2"/>
      <c r="R77" s="2"/>
      <c r="S77" s="2"/>
      <c r="T77" s="2"/>
      <c r="U77" s="2"/>
      <c r="V77" s="2"/>
      <c r="W77" s="2"/>
      <c r="X77" s="6">
        <v>402736.60908731003</v>
      </c>
      <c r="Y77" s="6"/>
      <c r="Z77" s="33">
        <f t="shared" si="9"/>
        <v>0.11058195252699221</v>
      </c>
      <c r="AA77" s="5">
        <v>3.7999999999999999E-2</v>
      </c>
      <c r="AB77">
        <f t="shared" si="11"/>
        <v>6.9924809756254591E-2</v>
      </c>
      <c r="AC77">
        <v>26.151748566666662</v>
      </c>
      <c r="AD77">
        <f t="shared" si="8"/>
        <v>-2.6253232770499291E-2</v>
      </c>
      <c r="AE77" s="99">
        <v>90.740455130918136</v>
      </c>
      <c r="AF77" s="119">
        <f t="shared" si="15"/>
        <v>2373.0215674086689</v>
      </c>
      <c r="AG77" s="33">
        <f t="shared" si="3"/>
        <v>0.2986518375115117</v>
      </c>
      <c r="AH77">
        <v>8480.24</v>
      </c>
      <c r="AI77" s="33">
        <f t="shared" si="4"/>
        <v>0.27350052560444515</v>
      </c>
      <c r="AJ77" s="29">
        <f t="shared" si="1"/>
        <v>0.27350052560444515</v>
      </c>
      <c r="AK77" s="33">
        <f t="shared" si="5"/>
        <v>0.26455802853348542</v>
      </c>
      <c r="AM77">
        <v>0.8</v>
      </c>
      <c r="CH77" s="99">
        <v>0.8</v>
      </c>
    </row>
    <row r="78" spans="1:86">
      <c r="A78" s="1">
        <v>2018</v>
      </c>
      <c r="B78" s="1">
        <v>2</v>
      </c>
      <c r="C78" s="1">
        <v>5</v>
      </c>
      <c r="D78" t="str">
        <f t="shared" si="10"/>
        <v>2018M5</v>
      </c>
      <c r="E78" s="33">
        <f t="shared" si="2"/>
        <v>0</v>
      </c>
      <c r="H78" s="507"/>
      <c r="I78" s="527">
        <f>AM78/100</f>
        <v>0</v>
      </c>
      <c r="J78" s="2">
        <v>0.11700000000000003</v>
      </c>
      <c r="K78" s="33">
        <f t="shared" si="12"/>
        <v>0.10873253940308931</v>
      </c>
      <c r="L78" s="29">
        <f t="shared" si="13"/>
        <v>1.0760348341195445</v>
      </c>
      <c r="M78" s="33"/>
      <c r="N78" s="10">
        <f t="shared" si="14"/>
        <v>9.1656465244871907E-2</v>
      </c>
      <c r="O78" s="2"/>
      <c r="P78" s="2"/>
      <c r="Q78" s="2"/>
      <c r="R78" s="2"/>
      <c r="S78" s="2"/>
      <c r="T78" s="2"/>
      <c r="U78" s="2"/>
      <c r="V78" s="2"/>
      <c r="W78" s="2"/>
      <c r="X78" s="6">
        <v>409736.94888907997</v>
      </c>
      <c r="Y78" s="6"/>
      <c r="Z78" s="33">
        <f t="shared" si="9"/>
        <v>0.11249211709080353</v>
      </c>
      <c r="AA78" s="5">
        <v>3.7999999999999999E-2</v>
      </c>
      <c r="AB78">
        <f t="shared" si="11"/>
        <v>7.176504536686279E-2</v>
      </c>
      <c r="AC78">
        <v>26.181224580645161</v>
      </c>
      <c r="AD78">
        <f t="shared" si="8"/>
        <v>-9.176174554965999E-3</v>
      </c>
      <c r="AE78" s="99">
        <v>98.185253276709858</v>
      </c>
      <c r="AF78" s="119">
        <f t="shared" si="15"/>
        <v>2570.6101665450669</v>
      </c>
      <c r="AG78" s="33">
        <f t="shared" si="3"/>
        <v>0.45121024852487412</v>
      </c>
      <c r="AH78">
        <v>8724.75</v>
      </c>
      <c r="AI78" s="33">
        <f t="shared" si="4"/>
        <v>0.27554824561403501</v>
      </c>
      <c r="AJ78" s="29">
        <f t="shared" ref="AJ78:AJ98" si="16">AI78</f>
        <v>0.27554824561403501</v>
      </c>
      <c r="AK78" s="33">
        <f t="shared" si="5"/>
        <v>0.43789368996845424</v>
      </c>
      <c r="AM78">
        <v>0</v>
      </c>
      <c r="CH78" s="99">
        <v>0</v>
      </c>
    </row>
    <row r="79" spans="1:86">
      <c r="A79" s="1">
        <v>2018</v>
      </c>
      <c r="B79" s="1">
        <v>2</v>
      </c>
      <c r="C79" s="1">
        <v>6</v>
      </c>
      <c r="D79" t="str">
        <f t="shared" si="10"/>
        <v>2018M6</v>
      </c>
      <c r="E79" s="33">
        <f t="shared" ref="E79:E121" si="17">CH79/100</f>
        <v>0</v>
      </c>
      <c r="H79" s="507"/>
      <c r="I79" s="527">
        <f t="shared" si="6"/>
        <v>0</v>
      </c>
      <c r="J79" s="2">
        <v>9.900000000000006E-2</v>
      </c>
      <c r="K79" s="33">
        <f t="shared" si="12"/>
        <v>9.9106116164833322E-2</v>
      </c>
      <c r="L79" s="29">
        <f t="shared" si="13"/>
        <v>0.99892926724464948</v>
      </c>
      <c r="M79" s="33"/>
      <c r="N79" s="10">
        <f t="shared" si="14"/>
        <v>0.10445552969644802</v>
      </c>
      <c r="O79" s="2"/>
      <c r="P79" s="2"/>
      <c r="Q79" s="2"/>
      <c r="R79" s="2"/>
      <c r="S79" s="2"/>
      <c r="T79" s="2"/>
      <c r="U79" s="2"/>
      <c r="V79" s="2"/>
      <c r="W79" s="2"/>
      <c r="X79" s="6">
        <v>413593.61552715499</v>
      </c>
      <c r="Y79" s="6"/>
      <c r="Z79" s="33">
        <f t="shared" si="9"/>
        <v>0.10290068380490647</v>
      </c>
      <c r="AA79" s="5">
        <v>3.7999999999999999E-2</v>
      </c>
      <c r="AB79">
        <f t="shared" si="11"/>
        <v>6.2524743550006256E-2</v>
      </c>
      <c r="AC79">
        <v>26.202170466666676</v>
      </c>
      <c r="AD79">
        <f t="shared" si="8"/>
        <v>3.5739709260491637E-3</v>
      </c>
      <c r="AE79" s="99">
        <v>97.727948001731448</v>
      </c>
      <c r="AF79" s="119">
        <f t="shared" si="15"/>
        <v>2560.6843528989043</v>
      </c>
      <c r="AG79" s="33">
        <f t="shared" ref="AG79:AG109" si="18">AE79/AE67-1</f>
        <v>0.47234259052012462</v>
      </c>
      <c r="AH79">
        <v>9141.17</v>
      </c>
      <c r="AI79" s="33">
        <f t="shared" ref="AI79:AI107" si="19">AH79/AH67-1</f>
        <v>0.24200679347826082</v>
      </c>
      <c r="AJ79" s="29">
        <f t="shared" si="16"/>
        <v>0.24200679347826082</v>
      </c>
      <c r="AK79" s="33">
        <f t="shared" ref="AK79:AK121" si="20">AF79/AF67-1</f>
        <v>0.47760470013182754</v>
      </c>
      <c r="AM79">
        <v>0</v>
      </c>
      <c r="CH79" s="99">
        <v>0</v>
      </c>
    </row>
    <row r="80" spans="1:86">
      <c r="A80" s="1">
        <v>2018</v>
      </c>
      <c r="B80" s="1">
        <v>3</v>
      </c>
      <c r="C80" s="1">
        <v>7</v>
      </c>
      <c r="D80" t="str">
        <f t="shared" si="10"/>
        <v>2018M7</v>
      </c>
      <c r="E80" s="33">
        <f t="shared" si="17"/>
        <v>-6.9999999999999993E-3</v>
      </c>
      <c r="H80" s="507"/>
      <c r="I80" s="527">
        <f t="shared" ref="I80:I100" si="21">AM80/100</f>
        <v>-6.9999999999999993E-3</v>
      </c>
      <c r="J80" s="2">
        <v>8.9000000000000051E-2</v>
      </c>
      <c r="K80" s="33">
        <f t="shared" si="12"/>
        <v>0.10152825853536607</v>
      </c>
      <c r="L80" s="29">
        <f t="shared" si="13"/>
        <v>0.87660323622115555</v>
      </c>
      <c r="M80" s="33"/>
      <c r="N80" s="10">
        <f t="shared" si="14"/>
        <v>0.10045198659775488</v>
      </c>
      <c r="O80" s="2"/>
      <c r="P80" s="2"/>
      <c r="Q80" s="2"/>
      <c r="R80" s="2"/>
      <c r="S80" s="2"/>
      <c r="T80" s="2"/>
      <c r="U80" s="2"/>
      <c r="V80" s="2"/>
      <c r="W80" s="2"/>
      <c r="X80" s="6">
        <v>420276.45875314501</v>
      </c>
      <c r="Y80" s="6"/>
      <c r="Z80" s="33">
        <f t="shared" si="9"/>
        <v>0.10408647418285888</v>
      </c>
      <c r="AA80" s="5">
        <v>2.8000000000000001E-2</v>
      </c>
      <c r="AB80">
        <f t="shared" si="11"/>
        <v>7.4014079944415334E-2</v>
      </c>
      <c r="AC80">
        <v>26.400686419354855</v>
      </c>
      <c r="AD80">
        <f t="shared" ref="AD80:AD108" si="22">AC80/AC68-1</f>
        <v>1.6610803550173969E-2</v>
      </c>
      <c r="AE80" s="99">
        <v>98.385843190687083</v>
      </c>
      <c r="AF80" s="119">
        <f t="shared" si="15"/>
        <v>2597.4537941811486</v>
      </c>
      <c r="AG80" s="33">
        <f t="shared" si="18"/>
        <v>0.43657237496092449</v>
      </c>
      <c r="AH80">
        <v>9170.2800000000007</v>
      </c>
      <c r="AI80" s="33">
        <f t="shared" si="19"/>
        <v>0.24952718353999193</v>
      </c>
      <c r="AJ80" s="29">
        <f t="shared" si="16"/>
        <v>0.24952718353999193</v>
      </c>
      <c r="AK80" s="33">
        <f t="shared" si="20"/>
        <v>0.46043499646700692</v>
      </c>
      <c r="AM80">
        <v>-0.7</v>
      </c>
      <c r="CH80" s="99">
        <v>-0.7</v>
      </c>
    </row>
    <row r="81" spans="1:86">
      <c r="A81" s="1">
        <v>2018</v>
      </c>
      <c r="B81" s="1">
        <v>3</v>
      </c>
      <c r="C81" s="1">
        <v>8</v>
      </c>
      <c r="D81" t="str">
        <f t="shared" si="10"/>
        <v>2018M8</v>
      </c>
      <c r="E81" s="33">
        <f t="shared" si="17"/>
        <v>0</v>
      </c>
      <c r="H81" s="507"/>
      <c r="I81" s="527">
        <f t="shared" si="21"/>
        <v>0</v>
      </c>
      <c r="J81" s="2">
        <v>0.09</v>
      </c>
      <c r="K81" s="33">
        <f t="shared" si="12"/>
        <v>0.10921302838968648</v>
      </c>
      <c r="L81" s="29">
        <f t="shared" si="13"/>
        <v>0.82407750546819503</v>
      </c>
      <c r="M81" s="33"/>
      <c r="N81" s="10">
        <f t="shared" si="14"/>
        <v>0.11810846253601041</v>
      </c>
      <c r="O81" s="2"/>
      <c r="P81" s="2"/>
      <c r="Q81" s="2"/>
      <c r="R81" s="2"/>
      <c r="S81" s="2"/>
      <c r="T81" s="2"/>
      <c r="U81" s="2"/>
      <c r="V81" s="2"/>
      <c r="W81" s="2"/>
      <c r="X81" s="6">
        <v>421242.39181953506</v>
      </c>
      <c r="Y81" s="6"/>
      <c r="Z81" s="33">
        <f t="shared" ref="Z81:Z108" si="23">X81/X69-1</f>
        <v>0.11063329422976587</v>
      </c>
      <c r="AA81" s="5">
        <v>2.8000000000000001E-2</v>
      </c>
      <c r="AB81">
        <f t="shared" si="11"/>
        <v>8.0382581935569908E-2</v>
      </c>
      <c r="AC81">
        <v>27.482209032258066</v>
      </c>
      <c r="AD81">
        <f t="shared" si="22"/>
        <v>7.204673524575167E-2</v>
      </c>
      <c r="AE81" s="99">
        <v>97.316461206278575</v>
      </c>
      <c r="AF81" s="119">
        <f t="shared" si="15"/>
        <v>2674.4713291505809</v>
      </c>
      <c r="AG81" s="33">
        <f t="shared" si="18"/>
        <v>0.32377948281262325</v>
      </c>
      <c r="AH81">
        <v>8977.2800000000007</v>
      </c>
      <c r="AI81" s="33">
        <f t="shared" si="19"/>
        <v>0.26191734607815587</v>
      </c>
      <c r="AJ81" s="29">
        <f t="shared" si="16"/>
        <v>0.26191734607815587</v>
      </c>
      <c r="AK81" s="33">
        <f t="shared" si="20"/>
        <v>0.41915347273458226</v>
      </c>
      <c r="AM81">
        <v>0</v>
      </c>
      <c r="CH81" s="99">
        <v>0</v>
      </c>
    </row>
    <row r="82" spans="1:86">
      <c r="A82" s="1">
        <v>2018</v>
      </c>
      <c r="B82" s="1">
        <v>3</v>
      </c>
      <c r="C82" s="1">
        <v>9</v>
      </c>
      <c r="D82" t="str">
        <f t="shared" si="10"/>
        <v>2018M9</v>
      </c>
      <c r="E82" s="33">
        <f t="shared" si="17"/>
        <v>1.9E-2</v>
      </c>
      <c r="H82" s="507"/>
      <c r="I82" s="527">
        <f t="shared" si="21"/>
        <v>1.9E-2</v>
      </c>
      <c r="J82" s="2">
        <v>8.9000000000000051E-2</v>
      </c>
      <c r="K82" s="33">
        <f t="shared" si="12"/>
        <v>9.7587461555855348E-2</v>
      </c>
      <c r="L82" s="29">
        <f t="shared" si="13"/>
        <v>0.9120024087219426</v>
      </c>
      <c r="M82" s="33"/>
      <c r="N82" s="10">
        <f t="shared" si="14"/>
        <v>0.11011408815513397</v>
      </c>
      <c r="O82" s="2"/>
      <c r="P82" s="2"/>
      <c r="Q82" s="2"/>
      <c r="R82" s="2"/>
      <c r="S82" s="2"/>
      <c r="T82" s="2"/>
      <c r="U82" s="2"/>
      <c r="V82" s="2"/>
      <c r="W82" s="2"/>
      <c r="X82" s="6">
        <v>423121.501683485</v>
      </c>
      <c r="Y82" s="6"/>
      <c r="Z82" s="33">
        <f t="shared" si="23"/>
        <v>0.12471101885890934</v>
      </c>
      <c r="AA82" s="5">
        <v>2.8000000000000001E-2</v>
      </c>
      <c r="AB82">
        <f t="shared" si="11"/>
        <v>9.4076866594269726E-2</v>
      </c>
      <c r="AC82">
        <v>28.191267433333341</v>
      </c>
      <c r="AD82">
        <f t="shared" si="22"/>
        <v>7.9769109296273122E-2</v>
      </c>
      <c r="AE82" s="99">
        <v>106.67795328557538</v>
      </c>
      <c r="AF82" s="119">
        <f t="shared" si="15"/>
        <v>3007.3867103142966</v>
      </c>
      <c r="AG82" s="33">
        <f t="shared" si="18"/>
        <v>0.35649714768757268</v>
      </c>
      <c r="AH82">
        <v>9042</v>
      </c>
      <c r="AI82" s="33">
        <f t="shared" si="19"/>
        <v>0.23003672969663991</v>
      </c>
      <c r="AJ82" s="29">
        <f t="shared" si="16"/>
        <v>0.23003672969663991</v>
      </c>
      <c r="AK82" s="33">
        <f t="shared" si="20"/>
        <v>0.46470371692154533</v>
      </c>
      <c r="AM82">
        <v>1.9</v>
      </c>
      <c r="CH82" s="99">
        <v>1.9</v>
      </c>
    </row>
    <row r="83" spans="1:86">
      <c r="A83" s="1">
        <v>2018</v>
      </c>
      <c r="B83" s="1">
        <v>4</v>
      </c>
      <c r="C83" s="1">
        <v>10</v>
      </c>
      <c r="D83" t="str">
        <f t="shared" si="10"/>
        <v>2018M10</v>
      </c>
      <c r="E83" s="33">
        <f t="shared" si="17"/>
        <v>1.7000000000000001E-2</v>
      </c>
      <c r="H83" s="507"/>
      <c r="I83" s="527">
        <f t="shared" si="21"/>
        <v>1.7000000000000001E-2</v>
      </c>
      <c r="J83" s="7">
        <v>9.5000000000000001E-2</v>
      </c>
      <c r="K83" s="33">
        <f t="shared" si="12"/>
        <v>0.10223816142533639</v>
      </c>
      <c r="L83" s="29">
        <f t="shared" si="13"/>
        <v>0.92920293827249278</v>
      </c>
      <c r="M83" s="33"/>
      <c r="N83" s="10">
        <f t="shared" si="14"/>
        <v>9.8189557369009639E-2</v>
      </c>
      <c r="O83" s="7"/>
      <c r="P83" s="7"/>
      <c r="Q83" s="7"/>
      <c r="R83" s="7"/>
      <c r="S83" s="7"/>
      <c r="T83" s="7"/>
      <c r="U83" s="7"/>
      <c r="V83" s="7"/>
      <c r="W83" s="7"/>
      <c r="X83" s="6">
        <v>424687.53344728501</v>
      </c>
      <c r="Y83" s="6"/>
      <c r="Z83" s="33">
        <f t="shared" si="23"/>
        <v>0.13247397423300389</v>
      </c>
      <c r="AA83" s="5">
        <v>3.3000000000000002E-2</v>
      </c>
      <c r="AB83">
        <f t="shared" si="11"/>
        <v>9.629619964472802E-2</v>
      </c>
      <c r="AC83">
        <v>28.127382419354841</v>
      </c>
      <c r="AD83">
        <f t="shared" si="22"/>
        <v>5.5239414284052435E-2</v>
      </c>
      <c r="AE83" s="99">
        <v>104.57609401954434</v>
      </c>
      <c r="AF83" s="119">
        <f t="shared" si="15"/>
        <v>2941.4517884101306</v>
      </c>
      <c r="AG83" s="33">
        <f t="shared" si="18"/>
        <v>0.29924888479258605</v>
      </c>
      <c r="AH83">
        <v>9218</v>
      </c>
      <c r="AI83" s="33">
        <f t="shared" si="19"/>
        <v>0.24955944150738785</v>
      </c>
      <c r="AJ83" s="29">
        <f t="shared" si="16"/>
        <v>0.24955944150738785</v>
      </c>
      <c r="AK83" s="33">
        <f t="shared" si="20"/>
        <v>0.3710186321977369</v>
      </c>
      <c r="AM83">
        <v>1.7</v>
      </c>
      <c r="CH83" s="99">
        <v>1.7</v>
      </c>
    </row>
    <row r="84" spans="1:86">
      <c r="A84" s="1">
        <v>2018</v>
      </c>
      <c r="B84" s="1">
        <v>4</v>
      </c>
      <c r="C84" s="1">
        <v>11</v>
      </c>
      <c r="D84" t="str">
        <f t="shared" si="10"/>
        <v>2018M11</v>
      </c>
      <c r="E84" s="33">
        <f t="shared" si="17"/>
        <v>1.3999999999999999E-2</v>
      </c>
      <c r="H84" s="507"/>
      <c r="I84" s="527">
        <f t="shared" si="21"/>
        <v>1.3999999999999999E-2</v>
      </c>
      <c r="J84" s="7">
        <v>0.1</v>
      </c>
      <c r="K84" s="33">
        <f t="shared" si="12"/>
        <v>9.2883045322199653E-2</v>
      </c>
      <c r="L84" s="29">
        <f t="shared" si="13"/>
        <v>1.0766227534111583</v>
      </c>
      <c r="M84" s="33"/>
      <c r="N84" s="10">
        <f t="shared" si="14"/>
        <v>9.2162992146314862E-2</v>
      </c>
      <c r="O84" s="7"/>
      <c r="P84" s="7"/>
      <c r="Q84" s="7"/>
      <c r="R84" s="7"/>
      <c r="S84" s="7"/>
      <c r="T84" s="7"/>
      <c r="U84" s="7"/>
      <c r="V84" s="7"/>
      <c r="W84" s="7"/>
      <c r="X84" s="6">
        <v>428772.78269590996</v>
      </c>
      <c r="Y84" s="6"/>
      <c r="Z84" s="33">
        <f t="shared" si="23"/>
        <v>0.13527585486916638</v>
      </c>
      <c r="AA84" s="5">
        <v>3.3000000000000002E-2</v>
      </c>
      <c r="AB84">
        <f t="shared" si="11"/>
        <v>9.9008571993384864E-2</v>
      </c>
      <c r="AC84">
        <v>27.933498133333334</v>
      </c>
      <c r="AD84">
        <f t="shared" si="22"/>
        <v>4.5991794387575391E-2</v>
      </c>
      <c r="AE84" s="99">
        <v>91.460188676505638</v>
      </c>
      <c r="AF84" s="119">
        <f t="shared" si="15"/>
        <v>2554.8030096694847</v>
      </c>
      <c r="AG84" s="33">
        <f t="shared" si="18"/>
        <v>7.5727808319512313E-2</v>
      </c>
      <c r="AH84">
        <v>9161</v>
      </c>
      <c r="AI84" s="33">
        <f t="shared" si="19"/>
        <v>0.22489637652092531</v>
      </c>
      <c r="AJ84" s="29">
        <f t="shared" si="16"/>
        <v>0.22489637652092531</v>
      </c>
      <c r="AK84" s="33">
        <f t="shared" si="20"/>
        <v>0.12520246049674055</v>
      </c>
      <c r="AM84">
        <v>1.4</v>
      </c>
      <c r="CH84" s="99">
        <v>1.4</v>
      </c>
    </row>
    <row r="85" spans="1:86">
      <c r="A85" s="1">
        <v>2018</v>
      </c>
      <c r="B85" s="1">
        <v>4</v>
      </c>
      <c r="C85" s="1">
        <v>12</v>
      </c>
      <c r="D85" t="str">
        <f t="shared" si="10"/>
        <v>2018M12</v>
      </c>
      <c r="E85" s="33">
        <f t="shared" si="17"/>
        <v>8.0000000000000002E-3</v>
      </c>
      <c r="H85" s="507"/>
      <c r="I85" s="527">
        <f t="shared" si="21"/>
        <v>8.0000000000000002E-3</v>
      </c>
      <c r="J85" s="7">
        <v>9.8000000000000004E-2</v>
      </c>
      <c r="K85" s="33">
        <f t="shared" si="12"/>
        <v>8.507053468024503E-2</v>
      </c>
      <c r="L85" s="29">
        <f t="shared" si="13"/>
        <v>1.1519852363494953</v>
      </c>
      <c r="M85" s="33"/>
      <c r="N85" s="10">
        <f t="shared" si="14"/>
        <v>9.2216492846450726E-2</v>
      </c>
      <c r="O85" s="7"/>
      <c r="P85" s="7"/>
      <c r="Q85" s="7"/>
      <c r="R85" s="7"/>
      <c r="S85" s="7"/>
      <c r="T85" s="7"/>
      <c r="U85" s="7"/>
      <c r="V85" s="7"/>
      <c r="W85" s="7"/>
      <c r="X85" s="6">
        <v>434162.50218434003</v>
      </c>
      <c r="Y85" s="6"/>
      <c r="Z85" s="33">
        <f t="shared" si="23"/>
        <v>0.11638157315486009</v>
      </c>
      <c r="AA85" s="5">
        <v>3.3000000000000002E-2</v>
      </c>
      <c r="AB85">
        <f t="shared" si="11"/>
        <v>8.0717883015353431E-2</v>
      </c>
      <c r="AC85">
        <v>27.789138709677424</v>
      </c>
      <c r="AD85">
        <f t="shared" si="22"/>
        <v>9.9078987360154969E-3</v>
      </c>
      <c r="AE85" s="99">
        <v>86.379851948152307</v>
      </c>
      <c r="AF85" s="119">
        <f t="shared" si="15"/>
        <v>2400.421687508604</v>
      </c>
      <c r="AG85" s="33">
        <f t="shared" si="18"/>
        <v>-2.7246999993243315E-2</v>
      </c>
      <c r="AH85">
        <v>10573</v>
      </c>
      <c r="AI85" s="33">
        <f t="shared" si="19"/>
        <v>0.20462572633018117</v>
      </c>
      <c r="AJ85" s="29">
        <f t="shared" si="16"/>
        <v>0.20462572633018117</v>
      </c>
      <c r="AK85" s="33">
        <f t="shared" si="20"/>
        <v>-1.7609061774021217E-2</v>
      </c>
      <c r="AM85">
        <v>0.8</v>
      </c>
      <c r="CH85" s="99">
        <v>0.8</v>
      </c>
    </row>
    <row r="86" spans="1:86">
      <c r="A86" s="66">
        <v>2019</v>
      </c>
      <c r="B86" s="66">
        <v>1</v>
      </c>
      <c r="C86" s="66">
        <v>1</v>
      </c>
      <c r="D86" s="67" t="str">
        <f t="shared" si="10"/>
        <v>2019M1</v>
      </c>
      <c r="E86" s="761">
        <f t="shared" si="17"/>
        <v>0.01</v>
      </c>
      <c r="F86" s="67"/>
      <c r="G86" s="67"/>
      <c r="H86" s="517"/>
      <c r="I86" s="603">
        <f t="shared" si="21"/>
        <v>0.01</v>
      </c>
      <c r="J86" s="68">
        <v>9.1999999999999998E-2</v>
      </c>
      <c r="K86" s="33">
        <f t="shared" si="12"/>
        <v>8.1380424506379861E-2</v>
      </c>
      <c r="L86" s="29">
        <f t="shared" si="13"/>
        <v>1.1304929970325679</v>
      </c>
      <c r="M86" s="33"/>
      <c r="N86" s="10">
        <f t="shared" si="14"/>
        <v>9.2087322316131079E-2</v>
      </c>
      <c r="O86" s="10">
        <f t="shared" ref="O86:O110" si="24">J86/N86</f>
        <v>0.99905174443197176</v>
      </c>
      <c r="P86" s="103">
        <f t="shared" ref="P86:P110" si="25">(1+J86)/(1+N86)</f>
        <v>0.9999200409030059</v>
      </c>
      <c r="X86" s="69">
        <v>432356.91939646</v>
      </c>
      <c r="Y86" s="6"/>
      <c r="Z86" s="33">
        <f t="shared" si="23"/>
        <v>9.2660991193975306E-2</v>
      </c>
      <c r="AA86" s="70">
        <v>2.5000000000000001E-2</v>
      </c>
      <c r="AB86" s="67">
        <f t="shared" si="11"/>
        <v>6.6010723116073589E-2</v>
      </c>
      <c r="AC86" s="67">
        <v>27.879174999999993</v>
      </c>
      <c r="AD86">
        <f t="shared" si="22"/>
        <v>-1.9524062637839235E-2</v>
      </c>
      <c r="AE86" s="99">
        <v>84.192802594714394</v>
      </c>
      <c r="AF86" s="119">
        <f t="shared" si="15"/>
        <v>2347.2258772784962</v>
      </c>
      <c r="AG86" s="33">
        <f t="shared" si="18"/>
        <v>-6.0784893467426659E-2</v>
      </c>
      <c r="AH86">
        <f>'ІЦВ (Стрим Інфл)+'!AS110</f>
        <v>9223</v>
      </c>
      <c r="AI86" s="33">
        <f t="shared" si="19"/>
        <v>0.19601061794962571</v>
      </c>
      <c r="AJ86" s="29">
        <f t="shared" si="16"/>
        <v>0.19601061794962571</v>
      </c>
      <c r="AK86" s="33">
        <f t="shared" si="20"/>
        <v>-7.9122188037773378E-2</v>
      </c>
      <c r="AM86">
        <v>1</v>
      </c>
      <c r="CH86" s="99">
        <v>1</v>
      </c>
    </row>
    <row r="87" spans="1:86">
      <c r="A87" s="1">
        <v>2019</v>
      </c>
      <c r="B87" s="1">
        <v>1</v>
      </c>
      <c r="C87" s="1">
        <v>2</v>
      </c>
      <c r="D87" t="str">
        <f t="shared" si="10"/>
        <v>2019M2</v>
      </c>
      <c r="E87" s="33">
        <f t="shared" si="17"/>
        <v>5.0000000000000001E-3</v>
      </c>
      <c r="H87" s="507"/>
      <c r="I87" s="527">
        <f t="shared" si="21"/>
        <v>5.0000000000000001E-3</v>
      </c>
      <c r="J87" s="2">
        <v>8.7999999999999995E-2</v>
      </c>
      <c r="K87" s="33">
        <f t="shared" si="12"/>
        <v>9.0494285520816856E-2</v>
      </c>
      <c r="L87" s="29">
        <f t="shared" si="13"/>
        <v>0.97243709360804786</v>
      </c>
      <c r="M87" s="33"/>
      <c r="N87" s="10">
        <f t="shared" si="14"/>
        <v>0.13344590520300431</v>
      </c>
      <c r="O87" s="10">
        <f t="shared" si="24"/>
        <v>0.65944323931206561</v>
      </c>
      <c r="P87" s="103">
        <f t="shared" si="25"/>
        <v>0.95990465447500584</v>
      </c>
      <c r="X87" s="6">
        <v>426076.80296577001</v>
      </c>
      <c r="Y87" s="6"/>
      <c r="Z87" s="33">
        <f t="shared" si="23"/>
        <v>6.8997273238144752E-2</v>
      </c>
      <c r="AA87" s="5">
        <v>2.5000000000000001E-2</v>
      </c>
      <c r="AB87">
        <f t="shared" si="11"/>
        <v>4.2924169012824143E-2</v>
      </c>
      <c r="AC87" s="48">
        <v>28.124344464285709</v>
      </c>
      <c r="AD87">
        <f t="shared" si="22"/>
        <v>3.5084955963429865E-2</v>
      </c>
      <c r="AE87" s="99">
        <v>81.430764385691305</v>
      </c>
      <c r="AF87" s="119">
        <f>AC87*AE87</f>
        <v>2290.1868675732712</v>
      </c>
      <c r="AG87" s="33">
        <f t="shared" si="18"/>
        <v>-5.833695792623439E-2</v>
      </c>
      <c r="AH87">
        <f>'ІЦВ (Стрим Інфл)+'!AS111</f>
        <v>9429</v>
      </c>
      <c r="AI87" s="33">
        <f t="shared" si="19"/>
        <v>0.20449760863344646</v>
      </c>
      <c r="AJ87" s="29">
        <f t="shared" si="16"/>
        <v>0.20449760863344646</v>
      </c>
      <c r="AK87" s="33">
        <f t="shared" si="20"/>
        <v>-2.5298751562686905E-2</v>
      </c>
      <c r="AM87">
        <v>0.5</v>
      </c>
      <c r="CH87" s="99">
        <v>0.5</v>
      </c>
    </row>
    <row r="88" spans="1:86">
      <c r="A88" s="1">
        <v>2019</v>
      </c>
      <c r="B88" s="1">
        <v>1</v>
      </c>
      <c r="C88" s="1">
        <v>3</v>
      </c>
      <c r="D88" t="str">
        <f t="shared" si="10"/>
        <v>2019M3</v>
      </c>
      <c r="E88" s="33">
        <f t="shared" si="17"/>
        <v>9.0000000000000011E-3</v>
      </c>
      <c r="H88" s="507"/>
      <c r="I88" s="527">
        <f t="shared" si="21"/>
        <v>9.0000000000000011E-3</v>
      </c>
      <c r="J88" s="2">
        <v>8.5999999999999993E-2</v>
      </c>
      <c r="K88" s="33">
        <f t="shared" si="12"/>
        <v>9.5837549827115093E-2</v>
      </c>
      <c r="L88" s="29">
        <f t="shared" si="13"/>
        <v>0.89735182248647405</v>
      </c>
      <c r="M88" s="33"/>
      <c r="N88" s="10">
        <f t="shared" si="14"/>
        <v>0.13331226846429278</v>
      </c>
      <c r="O88" s="10">
        <f t="shared" si="24"/>
        <v>0.64510191740555967</v>
      </c>
      <c r="P88" s="103">
        <f t="shared" si="25"/>
        <v>0.95825310483190695</v>
      </c>
      <c r="X88" s="6">
        <v>423476.26525835495</v>
      </c>
      <c r="Y88" s="6"/>
      <c r="Z88" s="33">
        <f t="shared" si="23"/>
        <v>6.1267214464985065E-2</v>
      </c>
      <c r="AA88" s="5">
        <v>2.5000000000000001E-2</v>
      </c>
      <c r="AB88">
        <f t="shared" si="11"/>
        <v>3.5382648258521998E-2</v>
      </c>
      <c r="AC88" s="48">
        <v>26.863534580645165</v>
      </c>
      <c r="AD88">
        <f t="shared" si="22"/>
        <v>1.9829383045572246E-2</v>
      </c>
      <c r="AE88" s="99">
        <v>78.858609013849886</v>
      </c>
      <c r="AF88" s="119">
        <f t="shared" si="15"/>
        <v>2118.4209702251328</v>
      </c>
      <c r="AG88" s="33">
        <f t="shared" si="18"/>
        <v>-8.4687702567834533E-2</v>
      </c>
      <c r="AH88" s="140">
        <f>'ІЦВ (Стрим Інфл)+'!AS112</f>
        <v>10237</v>
      </c>
      <c r="AI88" s="33">
        <f t="shared" si="19"/>
        <v>0.22131630624891119</v>
      </c>
      <c r="AJ88" s="29">
        <f t="shared" si="16"/>
        <v>0.22131630624891119</v>
      </c>
      <c r="AK88" s="33">
        <f t="shared" si="20"/>
        <v>-6.6537624415729524E-2</v>
      </c>
      <c r="AM88">
        <v>0.9</v>
      </c>
      <c r="CH88" s="99">
        <v>0.9</v>
      </c>
    </row>
    <row r="89" spans="1:86">
      <c r="A89" s="1">
        <v>2019</v>
      </c>
      <c r="B89" s="1">
        <v>2</v>
      </c>
      <c r="C89" s="1">
        <v>4</v>
      </c>
      <c r="D89" t="str">
        <f t="shared" si="10"/>
        <v>2019M4</v>
      </c>
      <c r="E89" s="33">
        <f t="shared" si="17"/>
        <v>0.01</v>
      </c>
      <c r="H89" s="507"/>
      <c r="I89" s="527">
        <f t="shared" si="21"/>
        <v>0.01</v>
      </c>
      <c r="J89" s="2">
        <v>8.7999999999999995E-2</v>
      </c>
      <c r="K89" s="33">
        <f t="shared" si="12"/>
        <v>9.4011176583461975E-2</v>
      </c>
      <c r="L89" s="29">
        <f t="shared" si="13"/>
        <v>0.93605891552558829</v>
      </c>
      <c r="M89" s="33"/>
      <c r="N89" s="10">
        <f t="shared" si="14"/>
        <v>0.14679609820681505</v>
      </c>
      <c r="O89" s="10">
        <f t="shared" si="24"/>
        <v>0.59947097419456186</v>
      </c>
      <c r="P89" s="103">
        <f t="shared" si="25"/>
        <v>0.94873012011572821</v>
      </c>
      <c r="X89" s="6">
        <v>430357.62153219001</v>
      </c>
      <c r="Y89" s="6"/>
      <c r="Z89" s="33">
        <f t="shared" si="23"/>
        <v>6.8583316792270921E-2</v>
      </c>
      <c r="AA89" s="5">
        <v>4.5999999999999999E-2</v>
      </c>
      <c r="AB89">
        <f t="shared" si="11"/>
        <v>2.1590169017467353E-2</v>
      </c>
      <c r="AC89" s="48">
        <v>26.811495299999994</v>
      </c>
      <c r="AD89">
        <f t="shared" si="22"/>
        <v>2.5227633695371843E-2</v>
      </c>
      <c r="AE89" s="99">
        <v>79.286322698186922</v>
      </c>
      <c r="AF89" s="119">
        <f t="shared" si="15"/>
        <v>2125.7848683767215</v>
      </c>
      <c r="AG89" s="33">
        <f t="shared" si="18"/>
        <v>-0.12622961187714421</v>
      </c>
      <c r="AH89" s="140">
        <f>'ІЦВ (Стрим Інфл)+'!AS113</f>
        <v>10269</v>
      </c>
      <c r="AI89" s="33">
        <f t="shared" si="19"/>
        <v>0.21093270945161935</v>
      </c>
      <c r="AJ89" s="29">
        <f t="shared" si="16"/>
        <v>0.21093270945161935</v>
      </c>
      <c r="AK89" s="33">
        <f t="shared" si="20"/>
        <v>-0.10418645259171788</v>
      </c>
      <c r="AM89">
        <v>1</v>
      </c>
      <c r="CH89" s="99">
        <v>1</v>
      </c>
    </row>
    <row r="90" spans="1:86">
      <c r="A90" s="1">
        <v>2019</v>
      </c>
      <c r="B90" s="1">
        <v>2</v>
      </c>
      <c r="C90" s="1">
        <v>5</v>
      </c>
      <c r="D90" t="str">
        <f t="shared" ref="D90:D121" si="26">A90&amp;"M"&amp;C90</f>
        <v>2019M5</v>
      </c>
      <c r="E90" s="33">
        <f t="shared" si="17"/>
        <v>6.9999999999999993E-3</v>
      </c>
      <c r="H90" s="507"/>
      <c r="I90" s="527">
        <f t="shared" si="21"/>
        <v>6.9999999999999993E-3</v>
      </c>
      <c r="J90" s="2">
        <v>9.6000000000000002E-2</v>
      </c>
      <c r="K90" s="33">
        <f t="shared" si="12"/>
        <v>8.1075073314534424E-2</v>
      </c>
      <c r="L90" s="29">
        <f t="shared" si="13"/>
        <v>1.1840877359131536</v>
      </c>
      <c r="M90" s="33"/>
      <c r="N90" s="10">
        <f t="shared" si="14"/>
        <v>0.14901490051369931</v>
      </c>
      <c r="O90" s="10">
        <f t="shared" si="24"/>
        <v>0.64423087670467216</v>
      </c>
      <c r="P90" s="103">
        <f t="shared" si="25"/>
        <v>0.95386056308756528</v>
      </c>
      <c r="X90" s="6">
        <v>432846.04593996506</v>
      </c>
      <c r="Y90" s="6"/>
      <c r="Z90" s="33">
        <f t="shared" si="23"/>
        <v>5.6399836806372505E-2</v>
      </c>
      <c r="AA90" s="5">
        <v>4.5999999999999999E-2</v>
      </c>
      <c r="AB90">
        <f>(1+Z90)/(1+AA90)-1</f>
        <v>9.9424826064746785E-3</v>
      </c>
      <c r="AC90" s="48">
        <v>26.378847709677427</v>
      </c>
      <c r="AD90">
        <f t="shared" si="22"/>
        <v>7.5482767593064715E-3</v>
      </c>
      <c r="AE90" s="99">
        <v>76.12559379242478</v>
      </c>
      <c r="AF90" s="119">
        <f t="shared" si="15"/>
        <v>2008.1054454591385</v>
      </c>
      <c r="AG90" s="33">
        <f t="shared" si="18"/>
        <v>-0.22467385628792547</v>
      </c>
      <c r="AH90" s="140">
        <f>'ІЦВ (Стрим Інфл)+'!AS114</f>
        <v>10239</v>
      </c>
      <c r="AI90" s="33">
        <f t="shared" si="19"/>
        <v>0.17355798160405733</v>
      </c>
      <c r="AJ90" s="29">
        <f t="shared" si="16"/>
        <v>0.17355798160405733</v>
      </c>
      <c r="AK90" s="33">
        <f t="shared" si="20"/>
        <v>-0.21882147997646095</v>
      </c>
      <c r="AM90">
        <v>0.7</v>
      </c>
      <c r="CH90" s="99">
        <v>0.7</v>
      </c>
    </row>
    <row r="91" spans="1:86">
      <c r="A91" s="1">
        <v>2019</v>
      </c>
      <c r="B91" s="1">
        <v>2</v>
      </c>
      <c r="C91" s="1">
        <v>6</v>
      </c>
      <c r="D91" t="str">
        <f t="shared" si="26"/>
        <v>2019M6</v>
      </c>
      <c r="E91" s="33">
        <f t="shared" si="17"/>
        <v>-5.0000000000000001E-3</v>
      </c>
      <c r="H91" s="507"/>
      <c r="I91" s="527">
        <f t="shared" si="21"/>
        <v>-5.0000000000000001E-3</v>
      </c>
      <c r="J91" s="2">
        <v>0.09</v>
      </c>
      <c r="K91" s="33">
        <f t="shared" si="12"/>
        <v>8.3427373169041238E-2</v>
      </c>
      <c r="L91" s="29">
        <f t="shared" si="13"/>
        <v>1.0787826175186079</v>
      </c>
      <c r="M91" s="33"/>
      <c r="N91" s="10">
        <f t="shared" si="14"/>
        <v>0.15065109626063922</v>
      </c>
      <c r="O91" s="10">
        <f t="shared" si="24"/>
        <v>0.59740687080226973</v>
      </c>
      <c r="P91" s="103">
        <f t="shared" si="25"/>
        <v>0.9472897592869447</v>
      </c>
      <c r="X91" s="6">
        <v>436888.291464095</v>
      </c>
      <c r="Y91" s="6"/>
      <c r="Z91" s="33">
        <f t="shared" si="23"/>
        <v>5.6322619746557834E-2</v>
      </c>
      <c r="AA91" s="5">
        <v>4.5999999999999999E-2</v>
      </c>
      <c r="AB91">
        <f>(1+Z91)/(1+AA91)-1</f>
        <v>9.8686613255811739E-3</v>
      </c>
      <c r="AC91" s="48">
        <v>26.500110633333332</v>
      </c>
      <c r="AD91">
        <f t="shared" si="22"/>
        <v>1.1370820102314827E-2</v>
      </c>
      <c r="AE91" s="99">
        <v>67.697687412338013</v>
      </c>
      <c r="AF91" s="119">
        <f t="shared" si="15"/>
        <v>1793.9962060477746</v>
      </c>
      <c r="AG91" s="33">
        <f t="shared" si="18"/>
        <v>-0.30728426415810339</v>
      </c>
      <c r="AH91" s="140">
        <f>'ІЦВ (Стрим Інфл)+'!AS115</f>
        <v>10783</v>
      </c>
      <c r="AI91" s="33">
        <f t="shared" si="19"/>
        <v>0.17960829959403446</v>
      </c>
      <c r="AJ91" s="29">
        <f t="shared" si="16"/>
        <v>0.17960829959403446</v>
      </c>
      <c r="AK91" s="33">
        <f t="shared" si="20"/>
        <v>-0.2994075181438024</v>
      </c>
      <c r="AM91">
        <v>-0.5</v>
      </c>
      <c r="CH91" s="99">
        <v>-0.5</v>
      </c>
    </row>
    <row r="92" spans="1:86">
      <c r="A92" s="1">
        <v>2019</v>
      </c>
      <c r="B92" s="1">
        <v>3</v>
      </c>
      <c r="C92" s="1">
        <v>7</v>
      </c>
      <c r="D92" t="str">
        <f t="shared" si="26"/>
        <v>2019M7</v>
      </c>
      <c r="E92" s="33">
        <f t="shared" si="17"/>
        <v>-6.0000000000000001E-3</v>
      </c>
      <c r="H92" s="507"/>
      <c r="I92" s="527">
        <f t="shared" si="21"/>
        <v>-6.0000000000000001E-3</v>
      </c>
      <c r="J92" s="2">
        <v>9.0999999999999998E-2</v>
      </c>
      <c r="K92" s="33">
        <f t="shared" si="12"/>
        <v>8.6843259927011529E-2</v>
      </c>
      <c r="L92" s="29">
        <f t="shared" si="13"/>
        <v>1.0478648553322625</v>
      </c>
      <c r="M92" s="33"/>
      <c r="N92" s="10">
        <f t="shared" si="14"/>
        <v>0.13868195370728756</v>
      </c>
      <c r="O92" s="10">
        <f t="shared" si="24"/>
        <v>0.65617766095271024</v>
      </c>
      <c r="P92" s="103">
        <f t="shared" si="25"/>
        <v>0.95812531009906132</v>
      </c>
      <c r="X92">
        <v>440716.09829615499</v>
      </c>
      <c r="Z92" s="33">
        <f t="shared" si="23"/>
        <v>4.8633795962898407E-2</v>
      </c>
      <c r="AA92" s="5">
        <v>4.2000000000000003E-2</v>
      </c>
      <c r="AB92">
        <f>(1+Z92)/(1+AA92)-1</f>
        <v>6.3664068741826618E-3</v>
      </c>
      <c r="AC92" s="48">
        <v>25.751355387096769</v>
      </c>
      <c r="AD92">
        <f t="shared" si="22"/>
        <v>-2.4595232939930267E-2</v>
      </c>
      <c r="AE92" s="99">
        <v>69.028324351340643</v>
      </c>
      <c r="AF92" s="119">
        <f t="shared" si="15"/>
        <v>1777.5729121471591</v>
      </c>
      <c r="AG92" s="33">
        <f t="shared" si="18"/>
        <v>-0.29839169831016232</v>
      </c>
      <c r="AH92" s="140">
        <f>'ІЦВ (Стрим Інфл)+'!AS116</f>
        <v>10971</v>
      </c>
      <c r="AI92" s="33">
        <f t="shared" si="19"/>
        <v>0.19636477839280797</v>
      </c>
      <c r="AJ92" s="29">
        <f t="shared" si="16"/>
        <v>0.19636477839280797</v>
      </c>
      <c r="AK92" s="33">
        <f t="shared" si="20"/>
        <v>-0.31564791792281266</v>
      </c>
      <c r="AM92">
        <v>-0.6</v>
      </c>
      <c r="CH92" s="99">
        <v>-0.6</v>
      </c>
    </row>
    <row r="93" spans="1:86">
      <c r="A93" s="1">
        <v>2019</v>
      </c>
      <c r="B93" s="1">
        <v>3</v>
      </c>
      <c r="C93" s="1">
        <v>8</v>
      </c>
      <c r="D93" t="str">
        <f t="shared" si="26"/>
        <v>2019M8</v>
      </c>
      <c r="E93" s="33">
        <f t="shared" si="17"/>
        <v>-3.0000000000000001E-3</v>
      </c>
      <c r="H93" s="507"/>
      <c r="I93" s="527">
        <f t="shared" si="21"/>
        <v>-3.0000000000000001E-3</v>
      </c>
      <c r="J93" s="2">
        <v>8.7999999999999995E-2</v>
      </c>
      <c r="K93" s="33">
        <f t="shared" si="12"/>
        <v>7.5111000871384448E-2</v>
      </c>
      <c r="L93" s="29">
        <f t="shared" si="13"/>
        <v>1.1715993526791886</v>
      </c>
      <c r="M93" s="33"/>
      <c r="N93" s="10">
        <f t="shared" si="14"/>
        <v>0.11657420047431907</v>
      </c>
      <c r="O93" s="10">
        <f t="shared" si="24"/>
        <v>0.75488401071544231</v>
      </c>
      <c r="P93" s="103">
        <f t="shared" si="25"/>
        <v>0.97440904468132905</v>
      </c>
      <c r="X93">
        <v>441038.58954311995</v>
      </c>
      <c r="Z93" s="33">
        <f>X93/X81-1</f>
        <v>4.6994789954724725E-2</v>
      </c>
      <c r="AA93" s="5">
        <v>4.2000000000000003E-2</v>
      </c>
      <c r="AB93">
        <f t="shared" ref="AB93:AB107" si="27">(1+Z93)/(1+AA93)-1</f>
        <v>4.7934644479123989E-3</v>
      </c>
      <c r="AC93" s="48">
        <v>25.246989612903228</v>
      </c>
      <c r="AD93">
        <f t="shared" si="22"/>
        <v>-8.1333324287402919E-2</v>
      </c>
      <c r="AE93" s="99">
        <v>64.748615798844725</v>
      </c>
      <c r="AF93" s="119">
        <f t="shared" si="15"/>
        <v>1634.7076305232947</v>
      </c>
      <c r="AG93" s="33">
        <f t="shared" si="18"/>
        <v>-0.33465916252750738</v>
      </c>
      <c r="AH93" s="140">
        <f>'ІЦВ (Стрим Інфл)+'!AS117</f>
        <v>10537</v>
      </c>
      <c r="AI93" s="33">
        <f t="shared" si="19"/>
        <v>0.17374082127325874</v>
      </c>
      <c r="AJ93" s="29">
        <f t="shared" si="16"/>
        <v>0.17374082127325874</v>
      </c>
      <c r="AK93" s="33">
        <f t="shared" si="20"/>
        <v>-0.38877354462330982</v>
      </c>
      <c r="AM93">
        <v>-0.3</v>
      </c>
      <c r="CH93" s="99">
        <v>-0.3</v>
      </c>
    </row>
    <row r="94" spans="1:86">
      <c r="A94" s="1">
        <v>2019</v>
      </c>
      <c r="B94" s="1">
        <v>3</v>
      </c>
      <c r="C94" s="1">
        <v>9</v>
      </c>
      <c r="D94" t="str">
        <f t="shared" si="26"/>
        <v>2019M9</v>
      </c>
      <c r="E94" s="33">
        <f t="shared" si="17"/>
        <v>6.9999999999999993E-3</v>
      </c>
      <c r="H94" s="507"/>
      <c r="I94" s="527">
        <f t="shared" si="21"/>
        <v>6.9999999999999993E-3</v>
      </c>
      <c r="J94" s="2">
        <v>7.4999999999999997E-2</v>
      </c>
      <c r="K94" s="33">
        <f t="shared" si="12"/>
        <v>7.4891831598566744E-2</v>
      </c>
      <c r="L94" s="29">
        <f t="shared" si="13"/>
        <v>1.0014443284284067</v>
      </c>
      <c r="M94" s="33"/>
      <c r="N94" s="10">
        <f t="shared" si="14"/>
        <v>9.9394969367932906E-2</v>
      </c>
      <c r="O94" s="10">
        <f t="shared" si="24"/>
        <v>0.75456535151563431</v>
      </c>
      <c r="P94" s="103">
        <f t="shared" si="25"/>
        <v>0.97781055030481168</v>
      </c>
      <c r="X94">
        <v>443369.82757093501</v>
      </c>
      <c r="Z94" s="33">
        <f t="shared" si="23"/>
        <v>4.7854637041340187E-2</v>
      </c>
      <c r="AA94" s="5">
        <v>4.2000000000000003E-2</v>
      </c>
      <c r="AB94">
        <f t="shared" si="27"/>
        <v>5.6186535905375923E-3</v>
      </c>
      <c r="AC94" s="48">
        <v>24.769724166666666</v>
      </c>
      <c r="AD94">
        <f t="shared" si="22"/>
        <v>-0.12136890527387367</v>
      </c>
      <c r="AE94" s="99">
        <v>68.511280915940574</v>
      </c>
      <c r="AF94" s="119">
        <f t="shared" si="15"/>
        <v>1697.005530592862</v>
      </c>
      <c r="AG94" s="33">
        <f t="shared" si="18"/>
        <v>-0.35777469659043015</v>
      </c>
      <c r="AH94" s="140">
        <f>'ІЦВ (Стрим Інфл)+'!AS118</f>
        <v>10687.06</v>
      </c>
      <c r="AI94" s="33">
        <f t="shared" si="19"/>
        <v>0.18193541251935397</v>
      </c>
      <c r="AJ94" s="29">
        <f t="shared" si="16"/>
        <v>0.18193541251935397</v>
      </c>
      <c r="AK94" s="33">
        <f t="shared" si="20"/>
        <v>-0.43572087860443098</v>
      </c>
      <c r="AM94">
        <v>0.7</v>
      </c>
      <c r="CH94" s="99">
        <v>0.7</v>
      </c>
    </row>
    <row r="95" spans="1:86">
      <c r="A95" s="1">
        <v>2019</v>
      </c>
      <c r="B95" s="1">
        <v>4</v>
      </c>
      <c r="C95" s="1">
        <v>10</v>
      </c>
      <c r="D95" t="str">
        <f t="shared" si="26"/>
        <v>2019M10</v>
      </c>
      <c r="E95" s="33">
        <f t="shared" si="17"/>
        <v>6.9999999999999993E-3</v>
      </c>
      <c r="H95" s="507"/>
      <c r="I95" s="527">
        <f t="shared" si="21"/>
        <v>6.9999999999999993E-3</v>
      </c>
      <c r="J95" s="11">
        <v>6.5000000000000002E-2</v>
      </c>
      <c r="K95" s="33">
        <f t="shared" si="12"/>
        <v>6.7161720113390652E-2</v>
      </c>
      <c r="L95" s="29">
        <f t="shared" si="13"/>
        <v>0.96781321101155582</v>
      </c>
      <c r="M95" s="33"/>
      <c r="N95" s="10">
        <f t="shared" si="14"/>
        <v>8.5729418246312028E-2</v>
      </c>
      <c r="O95" s="10">
        <f t="shared" si="24"/>
        <v>0.75819947609169991</v>
      </c>
      <c r="P95" s="103">
        <f t="shared" si="25"/>
        <v>0.98090738088335627</v>
      </c>
      <c r="X95" s="12">
        <v>441428.77420384996</v>
      </c>
      <c r="Y95" s="19"/>
      <c r="Z95" s="33">
        <f t="shared" si="23"/>
        <v>3.9420137013847611E-2</v>
      </c>
      <c r="AA95" s="296">
        <v>1.4999999999999999E-2</v>
      </c>
      <c r="AB95" s="13">
        <f>(1+Z95)/(1+AA95)-1</f>
        <v>2.4059248289505231E-2</v>
      </c>
      <c r="AC95" s="32">
        <v>24.808206516129029</v>
      </c>
      <c r="AD95">
        <f t="shared" si="22"/>
        <v>-0.11800514721703503</v>
      </c>
      <c r="AE95" s="99">
        <v>70.938397253426501</v>
      </c>
      <c r="AF95" s="119">
        <f t="shared" si="15"/>
        <v>1759.854408986205</v>
      </c>
      <c r="AG95" s="33">
        <f t="shared" si="18"/>
        <v>-0.32165761287499661</v>
      </c>
      <c r="AH95" s="140">
        <f>'ІЦВ (Стрим Інфл)+'!AS119</f>
        <v>10727.34</v>
      </c>
      <c r="AI95" s="33">
        <f t="shared" si="19"/>
        <v>0.16373833803428073</v>
      </c>
      <c r="AJ95" s="29">
        <f>AI95</f>
        <v>0.16373833803428073</v>
      </c>
      <c r="AK95" s="33">
        <f t="shared" si="20"/>
        <v>-0.40170550613123757</v>
      </c>
      <c r="AM95">
        <v>0.7</v>
      </c>
      <c r="CH95" s="99">
        <v>0.7</v>
      </c>
    </row>
    <row r="96" spans="1:86">
      <c r="A96" s="1">
        <v>2019</v>
      </c>
      <c r="B96" s="1">
        <v>4</v>
      </c>
      <c r="C96" s="1">
        <v>11</v>
      </c>
      <c r="D96" t="str">
        <f t="shared" si="26"/>
        <v>2019M11</v>
      </c>
      <c r="E96" s="33">
        <f t="shared" si="17"/>
        <v>1E-3</v>
      </c>
      <c r="H96" s="507"/>
      <c r="I96" s="527">
        <f t="shared" si="21"/>
        <v>1E-3</v>
      </c>
      <c r="J96" s="15">
        <v>5.0999999999999997E-2</v>
      </c>
      <c r="K96" s="33">
        <f t="shared" si="12"/>
        <v>6.743578227996995E-2</v>
      </c>
      <c r="L96" s="29">
        <f t="shared" si="13"/>
        <v>0.75627505570063247</v>
      </c>
      <c r="M96" s="33"/>
      <c r="N96" s="10">
        <f t="shared" si="14"/>
        <v>8.4362618025059649E-2</v>
      </c>
      <c r="O96" s="10">
        <f t="shared" si="24"/>
        <v>0.60453315928211959</v>
      </c>
      <c r="P96" s="103">
        <f t="shared" si="25"/>
        <v>0.96923296923881175</v>
      </c>
      <c r="X96">
        <v>444281.63442717993</v>
      </c>
      <c r="Z96" s="33">
        <f t="shared" si="23"/>
        <v>3.6170326935767827E-2</v>
      </c>
      <c r="AA96" s="296">
        <v>1.4999999999999999E-2</v>
      </c>
      <c r="AB96" s="9">
        <f>(1+Z96)/(1+AA96)-1</f>
        <v>2.0857464961347771E-2</v>
      </c>
      <c r="AC96" s="8">
        <v>24.367518633333326</v>
      </c>
      <c r="AD96">
        <f t="shared" si="22"/>
        <v>-0.12765961080057808</v>
      </c>
      <c r="AE96" s="99">
        <v>75.040539965662433</v>
      </c>
      <c r="AF96" s="119">
        <f t="shared" si="15"/>
        <v>1828.5517558686734</v>
      </c>
      <c r="AG96" s="33">
        <f t="shared" si="18"/>
        <v>-0.17952782460267436</v>
      </c>
      <c r="AH96" s="140">
        <f>'ІЦВ (Стрим Інфл)+'!AS120</f>
        <v>10679.14</v>
      </c>
      <c r="AI96" s="33">
        <f t="shared" si="19"/>
        <v>0.16571771640650579</v>
      </c>
      <c r="AJ96" s="29">
        <f>AI96</f>
        <v>0.16571771640650579</v>
      </c>
      <c r="AK96" s="33">
        <f t="shared" si="20"/>
        <v>-0.28426898318660054</v>
      </c>
      <c r="AM96">
        <v>0.1</v>
      </c>
      <c r="CH96" s="99">
        <v>0.1</v>
      </c>
    </row>
    <row r="97" spans="1:86">
      <c r="A97" s="1">
        <v>2019</v>
      </c>
      <c r="B97" s="1">
        <v>4</v>
      </c>
      <c r="C97" s="1">
        <v>12</v>
      </c>
      <c r="D97" t="str">
        <f t="shared" si="26"/>
        <v>2019M12</v>
      </c>
      <c r="E97" s="33">
        <f t="shared" si="17"/>
        <v>-2E-3</v>
      </c>
      <c r="H97" s="513">
        <v>100</v>
      </c>
      <c r="I97" s="527">
        <f t="shared" si="21"/>
        <v>-2E-3</v>
      </c>
      <c r="J97" s="15">
        <v>4.0999999999999995E-2</v>
      </c>
      <c r="K97" s="33">
        <f>-0.0958005*AB97+0.0733532*AD97+0.3412766*AI97+0.0222426</f>
        <v>6.1121042215019003E-2</v>
      </c>
      <c r="L97" s="29">
        <f t="shared" si="13"/>
        <v>0.67080007987699608</v>
      </c>
      <c r="M97" s="33"/>
      <c r="N97" s="10">
        <f>0.1540186+-0.8162613*AB97+0.4122748*AD97</f>
        <v>5.2317840415951347E-2</v>
      </c>
      <c r="O97" s="10">
        <f t="shared" si="24"/>
        <v>0.7836714909107636</v>
      </c>
      <c r="P97" s="103">
        <f t="shared" si="25"/>
        <v>0.98924484601394014</v>
      </c>
      <c r="X97" s="13">
        <v>462103.13809027494</v>
      </c>
      <c r="Z97" s="33">
        <f t="shared" si="23"/>
        <v>6.4355248934123033E-2</v>
      </c>
      <c r="AA97" s="333">
        <v>1.4999999999999999E-2</v>
      </c>
      <c r="AB97" s="44">
        <f>(1+Z97)/(1+AA97)-1</f>
        <v>4.8625861018840588E-2</v>
      </c>
      <c r="AC97" s="14">
        <v>23.609435129032253</v>
      </c>
      <c r="AD97">
        <f t="shared" si="22"/>
        <v>-0.15040781307805018</v>
      </c>
      <c r="AE97" s="99">
        <v>76.053551258676862</v>
      </c>
      <c r="AF97" s="119">
        <f t="shared" si="15"/>
        <v>1795.5813847742606</v>
      </c>
      <c r="AG97" s="33">
        <f t="shared" si="18"/>
        <v>-0.11954524645022069</v>
      </c>
      <c r="AH97" s="140">
        <f>'ІЦВ (Стрим Інфл)+'!AS121</f>
        <v>12263.61</v>
      </c>
      <c r="AI97" s="33">
        <f t="shared" si="19"/>
        <v>0.15989879882720137</v>
      </c>
      <c r="AJ97" s="29">
        <f>AI97</f>
        <v>0.15989879882720137</v>
      </c>
      <c r="AK97" s="33">
        <f t="shared" si="20"/>
        <v>-0.25197252044581664</v>
      </c>
      <c r="AM97">
        <v>-0.2</v>
      </c>
      <c r="CH97" s="99">
        <v>-0.2</v>
      </c>
    </row>
    <row r="98" spans="1:86">
      <c r="A98" s="1">
        <v>2020</v>
      </c>
      <c r="B98" s="1">
        <v>1</v>
      </c>
      <c r="C98" s="1">
        <v>1</v>
      </c>
      <c r="D98" t="str">
        <f t="shared" si="26"/>
        <v>2020M1</v>
      </c>
      <c r="E98" s="33">
        <f t="shared" si="17"/>
        <v>2E-3</v>
      </c>
      <c r="F98" s="123">
        <v>3.2000000000000001E-2</v>
      </c>
      <c r="G98" s="123"/>
      <c r="H98" s="513">
        <f>H97*(1+I98)</f>
        <v>100.2</v>
      </c>
      <c r="I98" s="527">
        <f t="shared" si="21"/>
        <v>2E-3</v>
      </c>
      <c r="J98" s="103">
        <v>3.2000000000000001E-2</v>
      </c>
      <c r="K98" s="33">
        <f t="shared" ref="K98:K121" si="28">-0.0958005*AB98+0.0733532*AD98+0.3412766*AI98+0.0222426</f>
        <v>5.9191994132464676E-2</v>
      </c>
      <c r="L98" s="29">
        <f t="shared" si="13"/>
        <v>0.54061365002145034</v>
      </c>
      <c r="N98" s="10">
        <f>0.1540186+-0.8162613*AB98+0.4122748*AD98</f>
        <v>2.3351400276727365E-2</v>
      </c>
      <c r="O98" s="10">
        <f t="shared" si="24"/>
        <v>1.3703674991984127</v>
      </c>
      <c r="P98" s="103">
        <f t="shared" si="25"/>
        <v>1.0084512511742632</v>
      </c>
      <c r="Q98" s="112">
        <v>2.3E-2</v>
      </c>
      <c r="R98" s="112"/>
      <c r="S98" s="112"/>
      <c r="T98" s="112"/>
      <c r="U98" s="112"/>
      <c r="V98" s="112"/>
      <c r="W98" s="112"/>
      <c r="X98" s="248">
        <v>469757.91973092995</v>
      </c>
      <c r="Y98" s="251">
        <f>X98/X86-1</f>
        <v>8.6504919099430921E-2</v>
      </c>
      <c r="Z98" s="4">
        <f>X98/X86-1</f>
        <v>8.6504919099430921E-2</v>
      </c>
      <c r="AA98" s="334">
        <v>-5.0000000000000001E-3</v>
      </c>
      <c r="AB98" s="9">
        <f t="shared" si="27"/>
        <v>9.1964742813498424E-2</v>
      </c>
      <c r="AC98" s="107">
        <v>24.119351612903227</v>
      </c>
      <c r="AD98">
        <f t="shared" si="22"/>
        <v>-0.13486135752212058</v>
      </c>
      <c r="AE98" s="99">
        <v>73.389945487840421</v>
      </c>
      <c r="AF98" s="119">
        <f t="shared" si="15"/>
        <v>1770.1179000730237</v>
      </c>
      <c r="AG98" s="33">
        <f t="shared" si="18"/>
        <v>-0.12831093364211366</v>
      </c>
      <c r="AH98" s="140">
        <f>'ІЦВ (Стрим Інфл)+'!AS122</f>
        <v>10727</v>
      </c>
      <c r="AI98" s="33">
        <f t="shared" si="19"/>
        <v>0.16307058440854383</v>
      </c>
      <c r="AJ98" s="29">
        <f t="shared" si="16"/>
        <v>0.16307058440854383</v>
      </c>
      <c r="AK98" s="33">
        <f t="shared" si="20"/>
        <v>-0.24586810446832819</v>
      </c>
      <c r="AM98">
        <v>0.2</v>
      </c>
      <c r="CH98" s="99">
        <v>0.2</v>
      </c>
    </row>
    <row r="99" spans="1:86">
      <c r="A99" s="1">
        <v>2020</v>
      </c>
      <c r="B99" s="1">
        <v>1</v>
      </c>
      <c r="C99" s="1">
        <v>2</v>
      </c>
      <c r="D99" t="str">
        <f t="shared" si="26"/>
        <v>2020M2</v>
      </c>
      <c r="E99" s="33">
        <f t="shared" si="17"/>
        <v>-3.0000000000000001E-3</v>
      </c>
      <c r="F99" s="123">
        <v>2.4E-2</v>
      </c>
      <c r="G99" s="123"/>
      <c r="H99" s="513">
        <f>H98*(1+I99)</f>
        <v>99.8994</v>
      </c>
      <c r="I99" s="527">
        <f t="shared" si="21"/>
        <v>-3.0000000000000001E-3</v>
      </c>
      <c r="J99" s="103">
        <v>2.4E-2</v>
      </c>
      <c r="K99" s="33">
        <f t="shared" si="28"/>
        <v>5.6086289973213715E-2</v>
      </c>
      <c r="L99" s="29">
        <f t="shared" si="13"/>
        <v>0.42791206213607952</v>
      </c>
      <c r="N99" s="10">
        <f t="shared" si="14"/>
        <v>3.1765881736591554E-2</v>
      </c>
      <c r="O99" s="10">
        <f t="shared" si="24"/>
        <v>0.75552758771226147</v>
      </c>
      <c r="P99" s="103">
        <f t="shared" si="25"/>
        <v>0.99247321328020599</v>
      </c>
      <c r="Q99" s="112">
        <v>2.3E-2</v>
      </c>
      <c r="R99" s="112"/>
      <c r="S99" s="112"/>
      <c r="T99" s="112"/>
      <c r="U99" s="112"/>
      <c r="V99" s="112"/>
      <c r="W99" s="112"/>
      <c r="X99" s="249">
        <v>463359.74034885998</v>
      </c>
      <c r="Y99" s="252">
        <v>9.026068370574114E-2</v>
      </c>
      <c r="Z99" s="4">
        <f t="shared" si="23"/>
        <v>8.7502856582608146E-2</v>
      </c>
      <c r="AA99" s="334">
        <v>1E-3</v>
      </c>
      <c r="AB99" s="9">
        <f t="shared" si="27"/>
        <v>8.6416440142465856E-2</v>
      </c>
      <c r="AC99" s="107">
        <v>24.596524137931045</v>
      </c>
      <c r="AD99">
        <f t="shared" si="22"/>
        <v>-0.12543653527052123</v>
      </c>
      <c r="AE99" s="99">
        <v>65.28552628876659</v>
      </c>
      <c r="AF99" s="119">
        <f t="shared" si="15"/>
        <v>1605.7970232191792</v>
      </c>
      <c r="AG99" s="33">
        <f t="shared" si="18"/>
        <v>-0.19826951421521588</v>
      </c>
      <c r="AH99" s="140">
        <f>'ІЦВ (Стрим Інфл)+'!AS123</f>
        <v>10847</v>
      </c>
      <c r="AI99" s="33">
        <f t="shared" si="19"/>
        <v>0.15038710361650232</v>
      </c>
      <c r="AJ99" s="29">
        <f>AI99</f>
        <v>0.15038710361650232</v>
      </c>
      <c r="AK99" s="33">
        <f t="shared" si="20"/>
        <v>-0.29883580857281111</v>
      </c>
      <c r="AM99">
        <v>-0.3</v>
      </c>
      <c r="CH99" s="99">
        <v>-0.3</v>
      </c>
    </row>
    <row r="100" spans="1:86">
      <c r="A100" s="1">
        <v>2020</v>
      </c>
      <c r="B100" s="1">
        <v>1</v>
      </c>
      <c r="C100" s="1">
        <v>3</v>
      </c>
      <c r="D100" t="str">
        <f t="shared" si="26"/>
        <v>2020M3</v>
      </c>
      <c r="E100" s="33">
        <f t="shared" si="17"/>
        <v>8.0000000000000002E-3</v>
      </c>
      <c r="F100" s="123">
        <v>2.3E-2</v>
      </c>
      <c r="G100" s="123"/>
      <c r="H100" s="513">
        <f t="shared" ref="H100:H119" si="29">H99*(1+I100)</f>
        <v>100.6985952</v>
      </c>
      <c r="I100" s="527">
        <f t="shared" si="21"/>
        <v>8.0000000000000002E-3</v>
      </c>
      <c r="J100" s="103">
        <v>2.3E-2</v>
      </c>
      <c r="K100" s="33">
        <f t="shared" si="28"/>
        <v>4.3804924077727389E-2</v>
      </c>
      <c r="L100" s="29">
        <f t="shared" si="13"/>
        <v>0.52505512757398765</v>
      </c>
      <c r="N100" s="10">
        <f>0.1540186+-0.8162613*AB100+0.4122748*AD100</f>
        <v>-2.1046943789640084E-3</v>
      </c>
      <c r="O100" s="10">
        <f t="shared" si="24"/>
        <v>-10.927952404814834</v>
      </c>
      <c r="P100" s="103">
        <f t="shared" si="25"/>
        <v>1.0251576435298893</v>
      </c>
      <c r="Q100" s="112">
        <v>2.3E-2</v>
      </c>
      <c r="R100" s="112"/>
      <c r="S100" s="112"/>
      <c r="T100" s="112"/>
      <c r="U100" s="112"/>
      <c r="V100" s="112"/>
      <c r="W100" s="112"/>
      <c r="X100" s="249">
        <v>481846.77134785004</v>
      </c>
      <c r="Y100" s="252">
        <v>8.2000000000000003E-2</v>
      </c>
      <c r="Z100" s="4">
        <f t="shared" si="23"/>
        <v>0.13783654688152192</v>
      </c>
      <c r="AA100" s="334">
        <v>-3.8000000000000006E-2</v>
      </c>
      <c r="AB100" s="9">
        <f t="shared" si="27"/>
        <v>0.18278227326561525</v>
      </c>
      <c r="AC100" s="107">
        <v>26.412293548387101</v>
      </c>
      <c r="AD100">
        <f t="shared" si="22"/>
        <v>-1.6797530157597995E-2</v>
      </c>
      <c r="AE100" s="99">
        <v>47.666385441363957</v>
      </c>
      <c r="AF100" s="119">
        <f t="shared" si="15"/>
        <v>1258.9785646678702</v>
      </c>
      <c r="AG100" s="33">
        <f t="shared" si="18"/>
        <v>-0.39554620557671338</v>
      </c>
      <c r="AH100" s="140">
        <f>'ІЦВ (Стрим Інфл)+'!AS124</f>
        <v>11446</v>
      </c>
      <c r="AI100" s="33">
        <f t="shared" si="19"/>
        <v>0.11810100615414676</v>
      </c>
      <c r="AJ100" s="29">
        <f t="shared" ref="AJ100:AJ121" si="30">AI100</f>
        <v>0.11810100615414676</v>
      </c>
      <c r="AK100" s="33">
        <f t="shared" si="20"/>
        <v>-0.40569953641741296</v>
      </c>
      <c r="AM100">
        <v>0.8</v>
      </c>
      <c r="CH100" s="99">
        <v>0.8</v>
      </c>
    </row>
    <row r="101" spans="1:86">
      <c r="A101" s="1">
        <v>2020</v>
      </c>
      <c r="B101" s="1">
        <v>2</v>
      </c>
      <c r="C101" s="1">
        <v>4</v>
      </c>
      <c r="D101" t="str">
        <f t="shared" si="26"/>
        <v>2020M4</v>
      </c>
      <c r="E101" s="33">
        <f t="shared" si="17"/>
        <v>8.0000000000000002E-3</v>
      </c>
      <c r="F101" s="123">
        <v>2.1000000000000001E-2</v>
      </c>
      <c r="G101" s="123"/>
      <c r="H101" s="513">
        <f t="shared" si="29"/>
        <v>101.50418396160001</v>
      </c>
      <c r="I101" s="527">
        <v>8.0000000000000002E-3</v>
      </c>
      <c r="J101" s="103">
        <v>2.1000000000000001E-2</v>
      </c>
      <c r="K101" s="33">
        <f t="shared" si="28"/>
        <v>-1.0333548411083658E-2</v>
      </c>
      <c r="L101" s="29">
        <f t="shared" si="13"/>
        <v>-2.0322157660262778</v>
      </c>
      <c r="N101" s="10">
        <f>0.1540186+-0.8162613*AB101+0.4122748*AD101</f>
        <v>-0.17241177697169752</v>
      </c>
      <c r="O101" s="10">
        <f t="shared" si="24"/>
        <v>-0.12180142429276908</v>
      </c>
      <c r="P101" s="103">
        <f t="shared" si="25"/>
        <v>1.2337053278307502</v>
      </c>
      <c r="Q101" s="113">
        <v>4.8000000000000001E-2</v>
      </c>
      <c r="R101" s="113"/>
      <c r="S101" s="113"/>
      <c r="T101" s="113"/>
      <c r="U101" s="113"/>
      <c r="V101" s="113"/>
      <c r="W101" s="113"/>
      <c r="X101" s="249">
        <v>512013.24899625999</v>
      </c>
      <c r="Y101" s="252">
        <v>7.5999999999999998E-2</v>
      </c>
      <c r="Z101" s="4">
        <f t="shared" si="23"/>
        <v>0.18973900630213958</v>
      </c>
      <c r="AA101" s="123">
        <v>-0.15483019148108079</v>
      </c>
      <c r="AB101" s="9">
        <f>(1+Z101)/(1+AA101)-1</f>
        <v>0.40769227001499919</v>
      </c>
      <c r="AC101" s="107">
        <v>27.224653333333325</v>
      </c>
      <c r="AD101">
        <f t="shared" si="22"/>
        <v>1.5409734843596423E-2</v>
      </c>
      <c r="AE101" s="99">
        <v>36.716302443477453</v>
      </c>
      <c r="AF101" s="119">
        <f t="shared" si="15"/>
        <v>999.58860570549291</v>
      </c>
      <c r="AG101" s="33">
        <f t="shared" si="18"/>
        <v>-0.53691505427433506</v>
      </c>
      <c r="AH101" s="140">
        <f>'ІЦВ (Стрим Інфл)+'!AS125</f>
        <v>10430</v>
      </c>
      <c r="AI101" s="33">
        <f t="shared" si="19"/>
        <v>1.5678254942058656E-2</v>
      </c>
      <c r="AJ101" s="29">
        <f t="shared" si="30"/>
        <v>1.5678254942058656E-2</v>
      </c>
      <c r="AK101" s="33">
        <f t="shared" si="20"/>
        <v>-0.5297790380506413</v>
      </c>
      <c r="AM101">
        <v>0.8</v>
      </c>
      <c r="CH101" s="99">
        <v>0.8</v>
      </c>
    </row>
    <row r="102" spans="1:86">
      <c r="A102" s="1">
        <v>2020</v>
      </c>
      <c r="B102" s="1">
        <v>2</v>
      </c>
      <c r="C102" s="1">
        <v>5</v>
      </c>
      <c r="D102" t="str">
        <f t="shared" si="26"/>
        <v>2020M5</v>
      </c>
      <c r="E102" s="33">
        <f t="shared" si="17"/>
        <v>3.0000000000000001E-3</v>
      </c>
      <c r="F102" s="123">
        <v>1.7000000000000001E-2</v>
      </c>
      <c r="G102" s="123"/>
      <c r="H102" s="513">
        <f>H101*(1+I102)</f>
        <v>101.80869651348479</v>
      </c>
      <c r="I102" s="527">
        <v>3.0000000000000001E-3</v>
      </c>
      <c r="J102" s="103">
        <v>1.7000000000000001E-2</v>
      </c>
      <c r="K102" s="33">
        <f t="shared" si="28"/>
        <v>2.2003880347048477E-3</v>
      </c>
      <c r="L102" s="29">
        <f t="shared" si="13"/>
        <v>7.7259100358088988</v>
      </c>
      <c r="N102" s="10">
        <f>0.1540186+-0.8162613*AB102+0.4122748*AD102</f>
        <v>-0.10631189306617284</v>
      </c>
      <c r="O102" s="10">
        <f t="shared" si="24"/>
        <v>-0.15990685058555501</v>
      </c>
      <c r="P102" s="103">
        <f t="shared" si="25"/>
        <v>1.1379809041984972</v>
      </c>
      <c r="Q102" s="113">
        <v>4.8000000000000001E-2</v>
      </c>
      <c r="R102" s="113"/>
      <c r="S102" s="113"/>
      <c r="T102" s="113"/>
      <c r="U102" s="113"/>
      <c r="V102" s="113"/>
      <c r="W102" s="113"/>
      <c r="X102" s="249">
        <v>519652.13026646001</v>
      </c>
      <c r="Y102" s="252">
        <v>7.0000000000000007E-2</v>
      </c>
      <c r="Z102" s="4">
        <f>X102/X90-1</f>
        <v>0.20054725032312026</v>
      </c>
      <c r="AA102" s="123">
        <v>-9.547523151101614E-2</v>
      </c>
      <c r="AB102" s="9">
        <f>(1+Z102)/(1+AA102)-1</f>
        <v>0.32726851949963121</v>
      </c>
      <c r="AC102" s="107">
        <v>26.814329032258055</v>
      </c>
      <c r="AD102">
        <f t="shared" si="22"/>
        <v>1.6508731820793932E-2</v>
      </c>
      <c r="AE102" s="99">
        <v>40.076756156125917</v>
      </c>
      <c r="AF102" s="119">
        <f t="shared" si="15"/>
        <v>1074.6313261159339</v>
      </c>
      <c r="AG102" s="33">
        <f t="shared" si="18"/>
        <v>-0.47354425549171963</v>
      </c>
      <c r="AH102" s="140">
        <f>'ІЦВ (Стрим Інфл)+'!AS126</f>
        <v>10542</v>
      </c>
      <c r="AI102" s="33">
        <f t="shared" si="19"/>
        <v>2.9592733665396942E-2</v>
      </c>
      <c r="AJ102" s="29">
        <f t="shared" si="30"/>
        <v>2.9592733665396942E-2</v>
      </c>
      <c r="AK102" s="33">
        <f t="shared" si="20"/>
        <v>-0.46485313879011603</v>
      </c>
      <c r="AM102">
        <v>0.3</v>
      </c>
      <c r="CH102" s="99">
        <v>0.3</v>
      </c>
    </row>
    <row r="103" spans="1:86">
      <c r="A103" s="1">
        <v>2020</v>
      </c>
      <c r="B103" s="1">
        <v>2</v>
      </c>
      <c r="C103" s="1">
        <v>6</v>
      </c>
      <c r="D103" t="str">
        <f t="shared" si="26"/>
        <v>2020M6</v>
      </c>
      <c r="E103" s="33">
        <f t="shared" si="17"/>
        <v>2E-3</v>
      </c>
      <c r="F103" s="123">
        <v>2.4E-2</v>
      </c>
      <c r="G103" s="123"/>
      <c r="H103" s="513">
        <f t="shared" si="29"/>
        <v>102.01231390651176</v>
      </c>
      <c r="I103" s="527">
        <v>2E-3</v>
      </c>
      <c r="J103" s="326">
        <v>2.4E-2</v>
      </c>
      <c r="K103" s="33">
        <f t="shared" si="28"/>
        <v>1.5322724705243752E-2</v>
      </c>
      <c r="L103" s="29">
        <f t="shared" si="13"/>
        <v>1.5663010633994296</v>
      </c>
      <c r="N103" s="10">
        <f>0.1540186+-0.8162613*AB103+0.4122748*AD103</f>
        <v>-0.12126042866889865</v>
      </c>
      <c r="O103" s="10">
        <f t="shared" si="24"/>
        <v>-0.19792112120543423</v>
      </c>
      <c r="P103" s="103">
        <f t="shared" si="25"/>
        <v>1.1653054367960924</v>
      </c>
      <c r="Q103" s="113">
        <v>4.8000000000000001E-2</v>
      </c>
      <c r="R103" s="113"/>
      <c r="S103" s="113"/>
      <c r="T103" s="113"/>
      <c r="U103" s="113"/>
      <c r="V103" s="113"/>
      <c r="W103" s="113"/>
      <c r="X103" s="250">
        <v>532652.29741945001</v>
      </c>
      <c r="Y103" s="252">
        <v>6.7000000000000004E-2</v>
      </c>
      <c r="Z103" s="4">
        <f t="shared" si="23"/>
        <v>0.2191956338185026</v>
      </c>
      <c r="AA103" s="123">
        <v>-9.0962163214060171E-2</v>
      </c>
      <c r="AB103" s="9">
        <f t="shared" si="27"/>
        <v>0.34119349545358757</v>
      </c>
      <c r="AC103" s="107">
        <v>26.707343333333327</v>
      </c>
      <c r="AD103">
        <f t="shared" si="22"/>
        <v>7.8200692392327298E-3</v>
      </c>
      <c r="AE103" s="99">
        <v>42.583189604491473</v>
      </c>
      <c r="AF103" s="119">
        <f t="shared" si="15"/>
        <v>1137.2838649955843</v>
      </c>
      <c r="AG103" s="33">
        <f t="shared" si="18"/>
        <v>-0.37098014375110522</v>
      </c>
      <c r="AH103" s="140">
        <f>'ІЦВ (Стрим Інфл)+'!AS127</f>
        <v>11579</v>
      </c>
      <c r="AI103" s="33">
        <f t="shared" si="19"/>
        <v>7.381990169711572E-2</v>
      </c>
      <c r="AJ103" s="29">
        <f t="shared" si="30"/>
        <v>7.381990169711572E-2</v>
      </c>
      <c r="AK103" s="33">
        <f t="shared" si="20"/>
        <v>-0.36606116492238661</v>
      </c>
      <c r="AM103">
        <v>0.2</v>
      </c>
      <c r="CH103" s="99">
        <v>0.2</v>
      </c>
    </row>
    <row r="104" spans="1:86">
      <c r="A104" s="1">
        <v>2020</v>
      </c>
      <c r="B104" s="1">
        <v>3</v>
      </c>
      <c r="C104" s="1">
        <v>7</v>
      </c>
      <c r="D104" t="str">
        <f t="shared" si="26"/>
        <v>2020M7</v>
      </c>
      <c r="E104" s="33">
        <f t="shared" si="17"/>
        <v>-6.0000000000000001E-3</v>
      </c>
      <c r="F104" s="123">
        <v>2.4E-2</v>
      </c>
      <c r="G104" s="123"/>
      <c r="H104" s="513">
        <f t="shared" si="29"/>
        <v>101.4002400230727</v>
      </c>
      <c r="I104" s="527">
        <v>-6.0000000000000001E-3</v>
      </c>
      <c r="J104" s="326">
        <v>2.4E-2</v>
      </c>
      <c r="K104" s="33">
        <f t="shared" si="28"/>
        <v>2.4770102734210129E-2</v>
      </c>
      <c r="L104" s="29">
        <f t="shared" si="13"/>
        <v>0.9689099903026831</v>
      </c>
      <c r="N104" s="10">
        <f t="shared" si="14"/>
        <v>-5.8128598625621405E-2</v>
      </c>
      <c r="O104" s="10">
        <f t="shared" si="24"/>
        <v>-0.41287766379114971</v>
      </c>
      <c r="P104" s="103">
        <f t="shared" si="25"/>
        <v>1.0871972527308711</v>
      </c>
      <c r="Q104" s="113">
        <v>5.2999999999999999E-2</v>
      </c>
      <c r="R104" s="113"/>
      <c r="S104" s="113"/>
      <c r="T104" s="113"/>
      <c r="U104" s="113"/>
      <c r="V104" s="113"/>
      <c r="W104" s="113"/>
      <c r="X104" s="250">
        <v>548906.36791107</v>
      </c>
      <c r="Y104" s="252">
        <v>6.5000000000000002E-2</v>
      </c>
      <c r="Z104" s="4">
        <f>X104/X92-1</f>
        <v>0.24548744652892784</v>
      </c>
      <c r="AA104" s="123">
        <v>-3.4900430089345638E-2</v>
      </c>
      <c r="AB104" s="9">
        <f t="shared" si="27"/>
        <v>0.29052740811420197</v>
      </c>
      <c r="AC104" s="107">
        <v>27.312838709677415</v>
      </c>
      <c r="AD104">
        <f t="shared" si="22"/>
        <v>6.0636937322648965E-2</v>
      </c>
      <c r="AE104" s="99">
        <v>43.928905275267631</v>
      </c>
      <c r="AF104" s="119">
        <f t="shared" si="15"/>
        <v>1199.8231044760821</v>
      </c>
      <c r="AG104" s="33">
        <f t="shared" si="18"/>
        <v>-0.36361043545432004</v>
      </c>
      <c r="AH104" s="140">
        <f>'ІЦВ (Стрим Інфл)+'!AS128</f>
        <v>11804</v>
      </c>
      <c r="AI104" s="33">
        <f t="shared" si="19"/>
        <v>7.5927445082490275E-2</v>
      </c>
      <c r="AJ104" s="29">
        <f t="shared" si="30"/>
        <v>7.5927445082490275E-2</v>
      </c>
      <c r="AK104" s="33">
        <f t="shared" si="20"/>
        <v>-0.32502172131617579</v>
      </c>
      <c r="AM104">
        <v>-0.6</v>
      </c>
      <c r="CH104" s="99">
        <v>-0.6</v>
      </c>
    </row>
    <row r="105" spans="1:86">
      <c r="A105" s="1">
        <v>2020</v>
      </c>
      <c r="B105" s="1">
        <v>3</v>
      </c>
      <c r="C105" s="1">
        <v>8</v>
      </c>
      <c r="D105" t="str">
        <f t="shared" si="26"/>
        <v>2020M8</v>
      </c>
      <c r="E105" s="33">
        <f t="shared" si="17"/>
        <v>-2E-3</v>
      </c>
      <c r="F105" s="123">
        <v>2.5000000000000001E-2</v>
      </c>
      <c r="G105" s="123"/>
      <c r="H105" s="513">
        <f t="shared" si="29"/>
        <v>101.19743954302655</v>
      </c>
      <c r="I105" s="527">
        <v>-2E-3</v>
      </c>
      <c r="J105" s="326">
        <v>2.5000000000000001E-2</v>
      </c>
      <c r="K105" s="33">
        <f t="shared" si="28"/>
        <v>2.8125418261584219E-2</v>
      </c>
      <c r="L105" s="29">
        <f t="shared" si="13"/>
        <v>0.88887566995392397</v>
      </c>
      <c r="M105" s="29">
        <f t="shared" ref="M105:M110" si="31">K105*L105</f>
        <v>2.5000000000000001E-2</v>
      </c>
      <c r="N105" s="10">
        <f t="shared" si="14"/>
        <v>-6.5871568052256385E-2</v>
      </c>
      <c r="O105" s="10">
        <f t="shared" si="24"/>
        <v>-0.37952641388720737</v>
      </c>
      <c r="P105" s="103">
        <f t="shared" si="25"/>
        <v>1.0972795227555387</v>
      </c>
      <c r="Q105" s="113">
        <v>5.2999999999999999E-2</v>
      </c>
      <c r="R105" s="113"/>
      <c r="S105" s="113"/>
      <c r="T105" s="113"/>
      <c r="U105" s="113"/>
      <c r="V105" s="113"/>
      <c r="W105" s="113"/>
      <c r="X105" s="250">
        <v>562323.00620272011</v>
      </c>
      <c r="Y105" s="252">
        <v>0.06</v>
      </c>
      <c r="Z105" s="4">
        <f t="shared" si="23"/>
        <v>0.2749972894327477</v>
      </c>
      <c r="AA105" s="123">
        <v>-3.0337678147108183E-2</v>
      </c>
      <c r="AB105" s="9">
        <f t="shared" si="27"/>
        <v>0.31488793644822932</v>
      </c>
      <c r="AC105" s="107">
        <v>27.521419354838709</v>
      </c>
      <c r="AD105" s="100">
        <f>AC105/AC93-1</f>
        <v>9.0087165908012468E-2</v>
      </c>
      <c r="AE105" s="99">
        <v>45.245384641143417</v>
      </c>
      <c r="AF105" s="119">
        <f t="shared" si="15"/>
        <v>1245.2172045798866</v>
      </c>
      <c r="AG105" s="33">
        <f t="shared" si="18"/>
        <v>-0.30121464246111795</v>
      </c>
      <c r="AH105" s="140">
        <f>'ІЦВ (Стрим Інфл)+'!AS129</f>
        <v>11446</v>
      </c>
      <c r="AI105" s="33">
        <f t="shared" si="19"/>
        <v>8.6267438549871844E-2</v>
      </c>
      <c r="AJ105" s="29">
        <f t="shared" si="30"/>
        <v>8.6267438549871844E-2</v>
      </c>
      <c r="AK105" s="33">
        <f t="shared" si="20"/>
        <v>-0.23826305002242287</v>
      </c>
      <c r="AM105">
        <v>-0.2</v>
      </c>
      <c r="CH105" s="99">
        <v>-0.2</v>
      </c>
    </row>
    <row r="106" spans="1:86">
      <c r="A106" s="1">
        <v>2020</v>
      </c>
      <c r="B106" s="1">
        <v>3</v>
      </c>
      <c r="C106" s="1">
        <v>9</v>
      </c>
      <c r="D106" t="str">
        <f t="shared" si="26"/>
        <v>2020M9</v>
      </c>
      <c r="E106" s="33">
        <f t="shared" si="17"/>
        <v>5.0000000000000001E-3</v>
      </c>
      <c r="F106" s="123">
        <v>2.3E-2</v>
      </c>
      <c r="G106" s="123"/>
      <c r="H106" s="513">
        <f t="shared" si="29"/>
        <v>101.70342674074168</v>
      </c>
      <c r="I106" s="527">
        <v>5.0000000000000001E-3</v>
      </c>
      <c r="J106" s="326">
        <v>2.3E-2</v>
      </c>
      <c r="K106" s="33">
        <f t="shared" si="28"/>
        <v>4.2255212160422689E-2</v>
      </c>
      <c r="L106" s="29">
        <f t="shared" si="13"/>
        <v>0.54431154937005355</v>
      </c>
      <c r="M106" s="29">
        <f t="shared" si="31"/>
        <v>2.3000000000000003E-2</v>
      </c>
      <c r="N106" s="10">
        <f>0.1540186+-0.8162613*AB106+0.4122748*AD106</f>
        <v>-5.6977887797114969E-2</v>
      </c>
      <c r="O106" s="10">
        <f t="shared" si="24"/>
        <v>-0.4036653672017057</v>
      </c>
      <c r="P106" s="103">
        <f t="shared" si="25"/>
        <v>1.0848101934855883</v>
      </c>
      <c r="Q106" s="113">
        <v>5.2999999999999999E-2</v>
      </c>
      <c r="R106" s="113"/>
      <c r="S106" s="113"/>
      <c r="T106" s="113"/>
      <c r="U106" s="113"/>
      <c r="V106" s="113"/>
      <c r="W106" s="113"/>
      <c r="X106" s="250">
        <v>567879.80887951003</v>
      </c>
      <c r="Y106" s="252">
        <v>5.551303953990594E-2</v>
      </c>
      <c r="Z106" s="4">
        <f t="shared" si="23"/>
        <v>0.2808264648740777</v>
      </c>
      <c r="AA106" s="123">
        <v>-3.2524244960255855E-2</v>
      </c>
      <c r="AB106" s="9">
        <f t="shared" si="27"/>
        <v>0.32388481902728516</v>
      </c>
      <c r="AC106" s="107">
        <v>27.976716666666668</v>
      </c>
      <c r="AD106">
        <f t="shared" si="22"/>
        <v>0.12947227342627188</v>
      </c>
      <c r="AE106" s="99">
        <v>45.799805196649295</v>
      </c>
      <c r="AF106" s="119">
        <f t="shared" si="15"/>
        <v>1281.3281733751851</v>
      </c>
      <c r="AG106" s="33">
        <f t="shared" si="18"/>
        <v>-0.33149979705031296</v>
      </c>
      <c r="AH106" s="140">
        <f>'ІЦВ (Стрим Інфл)+'!AS130</f>
        <v>11988</v>
      </c>
      <c r="AI106" s="33">
        <f t="shared" si="19"/>
        <v>0.12173039170735445</v>
      </c>
      <c r="AJ106" s="29">
        <f t="shared" si="30"/>
        <v>0.12173039170735445</v>
      </c>
      <c r="AK106" s="33">
        <f t="shared" si="20"/>
        <v>-0.24494755598849272</v>
      </c>
      <c r="AM106">
        <v>0.5</v>
      </c>
      <c r="CH106" s="99">
        <v>0.5</v>
      </c>
    </row>
    <row r="107" spans="1:86">
      <c r="A107" s="1">
        <v>2020</v>
      </c>
      <c r="B107" s="1">
        <v>4</v>
      </c>
      <c r="C107" s="1">
        <v>10</v>
      </c>
      <c r="D107" t="str">
        <f t="shared" si="26"/>
        <v>2020M10</v>
      </c>
      <c r="E107" s="33">
        <f t="shared" si="17"/>
        <v>0.01</v>
      </c>
      <c r="F107" s="123">
        <v>2.5999999999999999E-2</v>
      </c>
      <c r="G107" s="123"/>
      <c r="H107" s="513">
        <f t="shared" si="29"/>
        <v>102.72046100814909</v>
      </c>
      <c r="I107" s="527">
        <v>0.01</v>
      </c>
      <c r="J107" s="326">
        <v>2.5999999999999999E-2</v>
      </c>
      <c r="K107" s="33">
        <f t="shared" si="28"/>
        <v>4.3677199288690564E-2</v>
      </c>
      <c r="L107" s="29">
        <f t="shared" si="13"/>
        <v>0.59527626366675568</v>
      </c>
      <c r="M107" s="29">
        <f t="shared" si="31"/>
        <v>2.5999999999999999E-2</v>
      </c>
      <c r="N107" s="10">
        <f t="shared" si="14"/>
        <v>-8.5645991892998527E-2</v>
      </c>
      <c r="O107" s="10">
        <f t="shared" si="24"/>
        <v>-0.30357521029685769</v>
      </c>
      <c r="P107" s="103">
        <f t="shared" si="25"/>
        <v>1.1221036829314508</v>
      </c>
      <c r="Q107" s="113">
        <v>0.06</v>
      </c>
      <c r="R107" s="113"/>
      <c r="S107" s="113"/>
      <c r="T107" s="113"/>
      <c r="U107" s="113"/>
      <c r="V107" s="113"/>
      <c r="W107" s="113"/>
      <c r="X107" s="250">
        <v>581722.47843255999</v>
      </c>
      <c r="Y107" s="252">
        <v>5.0999999999999997E-2</v>
      </c>
      <c r="Z107" s="4">
        <f t="shared" si="23"/>
        <v>0.31781730695227184</v>
      </c>
      <c r="AA107" s="123">
        <v>-3.4715254031296022E-2</v>
      </c>
      <c r="AB107" s="9">
        <f t="shared" si="27"/>
        <v>0.36521095195572228</v>
      </c>
      <c r="AC107" s="107">
        <v>28.324951612903224</v>
      </c>
      <c r="AD107">
        <f t="shared" si="22"/>
        <v>0.14175732915185901</v>
      </c>
      <c r="AE107" s="99">
        <v>46.37453884114494</v>
      </c>
      <c r="AF107" s="119">
        <f t="shared" si="15"/>
        <v>1313.5565687461315</v>
      </c>
      <c r="AG107" s="33">
        <f t="shared" si="18"/>
        <v>-0.34627027623033968</v>
      </c>
      <c r="AH107" s="140">
        <f>'ІЦВ (Стрим Інфл)+'!AS131</f>
        <v>12174</v>
      </c>
      <c r="AI107" s="33">
        <f t="shared" si="19"/>
        <v>0.13485728987801271</v>
      </c>
      <c r="AJ107" s="29">
        <f t="shared" si="30"/>
        <v>0.13485728987801271</v>
      </c>
      <c r="AK107" s="33">
        <f t="shared" si="20"/>
        <v>-0.25359929660157021</v>
      </c>
      <c r="AM107">
        <v>1</v>
      </c>
      <c r="CH107" s="99">
        <v>1</v>
      </c>
    </row>
    <row r="108" spans="1:86">
      <c r="A108" s="1">
        <v>2020</v>
      </c>
      <c r="B108" s="1">
        <v>4</v>
      </c>
      <c r="C108" s="1">
        <v>11</v>
      </c>
      <c r="D108" t="str">
        <f t="shared" si="26"/>
        <v>2020M11</v>
      </c>
      <c r="E108" s="33">
        <f t="shared" si="17"/>
        <v>1.3000000000000001E-2</v>
      </c>
      <c r="F108" s="123">
        <v>3.7999999999999999E-2</v>
      </c>
      <c r="G108" s="123"/>
      <c r="H108" s="513">
        <f t="shared" si="29"/>
        <v>104.05582700125501</v>
      </c>
      <c r="I108" s="527">
        <v>1.3000000000000001E-2</v>
      </c>
      <c r="J108" s="326">
        <v>3.7999999999999999E-2</v>
      </c>
      <c r="K108" s="33">
        <f t="shared" si="28"/>
        <v>4.5709615594864993E-2</v>
      </c>
      <c r="L108" s="29">
        <f t="shared" si="13"/>
        <v>0.83133492823048172</v>
      </c>
      <c r="M108" s="29">
        <f t="shared" si="31"/>
        <v>3.7999999999999999E-2</v>
      </c>
      <c r="N108" s="10">
        <f t="shared" si="14"/>
        <v>-3.6680003601817682E-2</v>
      </c>
      <c r="O108" s="10">
        <f t="shared" si="24"/>
        <v>-1.0359868121200759</v>
      </c>
      <c r="P108" s="103">
        <f t="shared" si="25"/>
        <v>1.0775235683688114</v>
      </c>
      <c r="Q108" s="113">
        <v>0.06</v>
      </c>
      <c r="R108" s="113"/>
      <c r="S108" s="113"/>
      <c r="T108" s="113"/>
      <c r="U108" s="113"/>
      <c r="V108" s="113"/>
      <c r="W108" s="113"/>
      <c r="X108" s="250">
        <v>586269.83144441003</v>
      </c>
      <c r="Y108" s="252">
        <v>4.7E-2</v>
      </c>
      <c r="Z108" s="4">
        <f t="shared" si="23"/>
        <v>0.31959051649816206</v>
      </c>
      <c r="AA108" s="123">
        <v>3.2274565818540273E-3</v>
      </c>
      <c r="AB108" s="9">
        <f>(1+Z108)/(1+AA108)-1</f>
        <v>0.31534529666303635</v>
      </c>
      <c r="AC108" s="107">
        <v>28.310153333333343</v>
      </c>
      <c r="AD108">
        <f t="shared" si="22"/>
        <v>0.16179877645016871</v>
      </c>
      <c r="AE108" s="99">
        <v>47.714579463070976</v>
      </c>
      <c r="AF108" s="119">
        <f t="shared" si="15"/>
        <v>1350.8070608350574</v>
      </c>
      <c r="AG108" s="33">
        <f t="shared" si="18"/>
        <v>-0.36414930536341372</v>
      </c>
      <c r="AH108" s="140">
        <f>'ІЦВ (Стрим Інфл)+'!AS132</f>
        <v>11987.410099999999</v>
      </c>
      <c r="AI108" s="33">
        <f>AH108/AH96-1</f>
        <v>0.12250706517566012</v>
      </c>
      <c r="AJ108" s="29">
        <f t="shared" si="30"/>
        <v>0.12250706517566012</v>
      </c>
      <c r="AK108" s="33">
        <f t="shared" si="20"/>
        <v>-0.26126944096622418</v>
      </c>
      <c r="AM108">
        <v>1.3</v>
      </c>
      <c r="CH108" s="99">
        <v>1.3</v>
      </c>
    </row>
    <row r="109" spans="1:86" s="13" customFormat="1">
      <c r="A109" s="280">
        <v>2020</v>
      </c>
      <c r="B109" s="280">
        <v>4</v>
      </c>
      <c r="C109" s="280">
        <v>12</v>
      </c>
      <c r="D109" s="13" t="str">
        <f t="shared" si="26"/>
        <v>2020M12</v>
      </c>
      <c r="E109" s="30">
        <f t="shared" si="17"/>
        <v>9.0000000000000011E-3</v>
      </c>
      <c r="F109" s="281">
        <v>0.05</v>
      </c>
      <c r="G109" s="281"/>
      <c r="H109" s="518">
        <f t="shared" si="29"/>
        <v>104.99232944426629</v>
      </c>
      <c r="I109" s="528">
        <v>9.0000000000000011E-3</v>
      </c>
      <c r="J109" s="327">
        <v>0.05</v>
      </c>
      <c r="K109" s="30">
        <f t="shared" si="28"/>
        <v>6.1335260046116613E-2</v>
      </c>
      <c r="L109" s="31">
        <f t="shared" si="13"/>
        <v>0.81519178303648043</v>
      </c>
      <c r="M109" s="31">
        <f t="shared" si="31"/>
        <v>0.05</v>
      </c>
      <c r="N109" s="283">
        <f t="shared" si="14"/>
        <v>-8.1421442757551032E-3</v>
      </c>
      <c r="O109" s="283">
        <f t="shared" si="24"/>
        <v>-6.1408884817830129</v>
      </c>
      <c r="P109" s="282">
        <f t="shared" si="25"/>
        <v>1.0586194321496807</v>
      </c>
      <c r="Q109" s="383">
        <v>0.06</v>
      </c>
      <c r="R109" s="383"/>
      <c r="S109" s="383"/>
      <c r="T109" s="383"/>
      <c r="U109" s="383"/>
      <c r="V109" s="383"/>
      <c r="W109" s="383"/>
      <c r="X109" s="384">
        <v>595992.85887780006</v>
      </c>
      <c r="Y109" s="385">
        <v>4.2999999999999997E-2</v>
      </c>
      <c r="Z109" s="386">
        <f>X109/X97-1</f>
        <v>0.28973990815307737</v>
      </c>
      <c r="AA109" s="281">
        <v>-5.0000000000000001E-3</v>
      </c>
      <c r="AB109" s="44">
        <f>(1+Z109)/(1+AA109)-1</f>
        <v>0.29622101321917316</v>
      </c>
      <c r="AC109" s="387">
        <v>28.169719354838708</v>
      </c>
      <c r="AD109" s="388">
        <f>AC109/AC97-1</f>
        <v>0.193155160251959</v>
      </c>
      <c r="AE109" s="382">
        <v>49.345176454322342</v>
      </c>
      <c r="AF109" s="389">
        <f t="shared" si="15"/>
        <v>1390.0397722332555</v>
      </c>
      <c r="AG109" s="30">
        <f t="shared" si="18"/>
        <v>-0.35117853620684669</v>
      </c>
      <c r="AH109" s="390">
        <f>'ІЦВ (Стрим Інфл)+'!AS133</f>
        <v>14179</v>
      </c>
      <c r="AI109" s="30">
        <f>AH109/AH97-1</f>
        <v>0.15618484279914302</v>
      </c>
      <c r="AJ109" s="31">
        <f t="shared" si="30"/>
        <v>0.15618484279914302</v>
      </c>
      <c r="AK109" s="30">
        <f t="shared" si="20"/>
        <v>-0.22585532239296946</v>
      </c>
      <c r="AM109">
        <v>0.9</v>
      </c>
      <c r="CH109" s="99">
        <v>0.9</v>
      </c>
    </row>
    <row r="110" spans="1:86">
      <c r="A110" s="1">
        <v>2021</v>
      </c>
      <c r="B110" s="1">
        <v>1</v>
      </c>
      <c r="C110" s="1">
        <v>1</v>
      </c>
      <c r="D110" t="str">
        <f t="shared" si="26"/>
        <v>2021M1</v>
      </c>
      <c r="E110" s="33">
        <f t="shared" si="17"/>
        <v>1.3000000000000001E-2</v>
      </c>
      <c r="F110" s="123">
        <v>6.0999999999999999E-2</v>
      </c>
      <c r="G110" s="123"/>
      <c r="H110" s="513">
        <f>H109*(1+I110)</f>
        <v>106.35722972704174</v>
      </c>
      <c r="I110" s="529">
        <v>1.2999999999999901E-2</v>
      </c>
      <c r="J110" s="103">
        <v>6.0999999999999999E-2</v>
      </c>
      <c r="K110" s="33">
        <f t="shared" si="28"/>
        <v>5.45782555812949E-2</v>
      </c>
      <c r="L110" s="29">
        <f>J110/K110</f>
        <v>1.1176612251584304</v>
      </c>
      <c r="M110" s="29">
        <f t="shared" si="31"/>
        <v>6.0999999999999999E-2</v>
      </c>
      <c r="N110" s="10">
        <f t="shared" si="14"/>
        <v>-4.3063252058711587E-2</v>
      </c>
      <c r="O110" s="10">
        <f t="shared" si="24"/>
        <v>-1.4165209798097413</v>
      </c>
      <c r="P110" s="103">
        <f t="shared" si="25"/>
        <v>1.1087462178483463</v>
      </c>
      <c r="R110" s="29">
        <f t="shared" ref="R110:R120" si="32">J110</f>
        <v>6.0999999999999999E-2</v>
      </c>
      <c r="X110" s="254">
        <f>'ІЦВ (Стрим Інфл)+'!AK134</f>
        <v>612696.52761580993</v>
      </c>
      <c r="Z110" s="4">
        <f t="shared" ref="Z110:Z121" si="33">X110/X98-1</f>
        <v>0.30428142215623111</v>
      </c>
      <c r="AA110" s="123">
        <f>'ІЦВ (Стрим Інфл)+'!$AO134</f>
        <v>-1.7350080429817508E-2</v>
      </c>
      <c r="AB110">
        <f t="shared" ref="AB110:AB121" si="34">(1+Z110)/(1+AA110)-1</f>
        <v>0.32731036372214062</v>
      </c>
      <c r="AC110">
        <f>'ІЦВ (Стрим Інфл)+'!$AH134</f>
        <v>28.219770967741901</v>
      </c>
      <c r="AD110" s="263">
        <f t="shared" ref="AD110:AD121" si="35">AC110/AC98-1</f>
        <v>0.17000537247630887</v>
      </c>
      <c r="AF110" s="119">
        <f t="shared" si="15"/>
        <v>0</v>
      </c>
      <c r="AH110" s="140">
        <f>'ІЦВ (Стрим Інфл)+'!AS134</f>
        <v>12337</v>
      </c>
      <c r="AI110" s="33">
        <f t="shared" ref="AI110:AI121" si="36">AH110/AH98-1</f>
        <v>0.1500885615735994</v>
      </c>
      <c r="AJ110" s="29">
        <f t="shared" si="30"/>
        <v>0.1500885615735994</v>
      </c>
      <c r="AK110" s="33">
        <f t="shared" si="20"/>
        <v>-1</v>
      </c>
      <c r="AM110">
        <v>1.3</v>
      </c>
      <c r="CH110" s="99">
        <v>1.3</v>
      </c>
    </row>
    <row r="111" spans="1:86">
      <c r="A111" s="1">
        <v>2021</v>
      </c>
      <c r="B111" s="1">
        <v>1</v>
      </c>
      <c r="C111" s="1">
        <v>2</v>
      </c>
      <c r="D111" t="str">
        <f t="shared" si="26"/>
        <v>2021M2</v>
      </c>
      <c r="E111" s="33">
        <f t="shared" si="17"/>
        <v>0.01</v>
      </c>
      <c r="F111" s="123">
        <v>7.4999999999999997E-2</v>
      </c>
      <c r="G111" s="123"/>
      <c r="H111" s="513">
        <f t="shared" si="29"/>
        <v>107.42080202431215</v>
      </c>
      <c r="I111" s="529">
        <v>1.0000000000000009E-2</v>
      </c>
      <c r="J111" s="103">
        <v>7.4999999999999997E-2</v>
      </c>
      <c r="K111" s="33">
        <f t="shared" si="28"/>
        <v>5.2250061478918718E-2</v>
      </c>
      <c r="L111" s="29">
        <f t="shared" ref="L111:L120" si="37">J111/K111</f>
        <v>1.4354050096239632</v>
      </c>
      <c r="M111" s="29">
        <f>K111*L111</f>
        <v>7.4999999999999997E-2</v>
      </c>
      <c r="N111" s="10">
        <f t="shared" si="14"/>
        <v>-7.500854124099296E-2</v>
      </c>
      <c r="O111" s="257">
        <v>-1.2</v>
      </c>
      <c r="R111" s="29">
        <f t="shared" si="32"/>
        <v>7.4999999999999997E-2</v>
      </c>
      <c r="X111" s="254">
        <f>'ІЦВ (Стрим Інфл)+'!AK135</f>
        <v>616036.92753105995</v>
      </c>
      <c r="Y111" s="29">
        <f>AVERAGE(Y98:Y109)</f>
        <v>6.6106553528756523E-2</v>
      </c>
      <c r="Z111" s="4">
        <f t="shared" si="33"/>
        <v>0.32950032962995546</v>
      </c>
      <c r="AA111" s="123">
        <f>'ІЦВ (Стрим Інфл)+'!$AO135</f>
        <v>-1.3797583744952834E-2</v>
      </c>
      <c r="AB111">
        <f t="shared" si="34"/>
        <v>0.34810086420040398</v>
      </c>
      <c r="AC111">
        <f>'ІЦВ (Стрим Інфл)+'!$AH135</f>
        <v>27.884660714285701</v>
      </c>
      <c r="AD111" s="101">
        <f t="shared" si="35"/>
        <v>0.13368297723351574</v>
      </c>
      <c r="AF111" s="119">
        <f t="shared" si="15"/>
        <v>0</v>
      </c>
      <c r="AH111" s="140">
        <f>'ІЦВ (Стрим Інфл)+'!AS135</f>
        <v>12549</v>
      </c>
      <c r="AI111" s="33">
        <f t="shared" si="36"/>
        <v>0.15690974462985152</v>
      </c>
      <c r="AJ111" s="29">
        <f t="shared" si="30"/>
        <v>0.15690974462985152</v>
      </c>
      <c r="AK111" s="33">
        <f t="shared" si="20"/>
        <v>-1</v>
      </c>
      <c r="AM111">
        <v>1</v>
      </c>
      <c r="CH111" s="99">
        <v>1</v>
      </c>
    </row>
    <row r="112" spans="1:86">
      <c r="A112" s="1">
        <v>2021</v>
      </c>
      <c r="B112" s="1">
        <v>1</v>
      </c>
      <c r="C112" s="1">
        <v>3</v>
      </c>
      <c r="D112" t="str">
        <f t="shared" si="26"/>
        <v>2021M3</v>
      </c>
      <c r="E112" s="33">
        <f t="shared" si="17"/>
        <v>1.7000000000000001E-2</v>
      </c>
      <c r="F112" s="123">
        <v>7.4456249999999988E-2</v>
      </c>
      <c r="G112" s="123"/>
      <c r="H112" s="513">
        <f t="shared" si="29"/>
        <v>109.24695565872547</v>
      </c>
      <c r="I112" s="529">
        <v>1.7000000000000126E-2</v>
      </c>
      <c r="J112" s="103">
        <v>8.5000000000000006E-2</v>
      </c>
      <c r="K112" s="33">
        <f t="shared" si="28"/>
        <v>6.6890107778131175E-2</v>
      </c>
      <c r="L112" s="29">
        <f t="shared" si="37"/>
        <v>1.270740963401312</v>
      </c>
      <c r="M112" s="29">
        <f>K112*L112</f>
        <v>8.5000000000000006E-2</v>
      </c>
      <c r="N112" s="10">
        <f t="shared" si="14"/>
        <v>-2.6972352943563611E-2</v>
      </c>
      <c r="O112" s="257">
        <v>-2</v>
      </c>
      <c r="R112" s="29">
        <f t="shared" si="32"/>
        <v>8.5000000000000006E-2</v>
      </c>
      <c r="X112" s="120">
        <f>'ІЦВ (Стрим Інфл)+'!AK136</f>
        <v>608678.19999999995</v>
      </c>
      <c r="Z112" s="4">
        <f t="shared" si="33"/>
        <v>0.26321942201121251</v>
      </c>
      <c r="AA112" s="123">
        <f>'ІЦВ (Стрим Інфл)+'!$AO136</f>
        <v>1.2046222823793022E-2</v>
      </c>
      <c r="AB112">
        <f t="shared" si="34"/>
        <v>0.24818352514236031</v>
      </c>
      <c r="AC112">
        <f>'ІЦВ (Стрим Інфл)+'!$AH136</f>
        <v>27.795558064516101</v>
      </c>
      <c r="AD112" s="101">
        <f t="shared" si="35"/>
        <v>5.237199539657067E-2</v>
      </c>
      <c r="AE112" s="98"/>
      <c r="AF112" s="119">
        <f t="shared" si="15"/>
        <v>0</v>
      </c>
      <c r="AH112" s="140">
        <f>'ІЦВ (Стрим Інфл)+'!AS136</f>
        <v>13612</v>
      </c>
      <c r="AI112" s="33">
        <f t="shared" si="36"/>
        <v>0.18923641446793638</v>
      </c>
      <c r="AJ112" s="29">
        <f t="shared" si="30"/>
        <v>0.18923641446793638</v>
      </c>
      <c r="AK112" s="33">
        <f t="shared" si="20"/>
        <v>-1</v>
      </c>
      <c r="AM112">
        <v>1.7</v>
      </c>
      <c r="CH112" s="99">
        <v>1.7</v>
      </c>
    </row>
    <row r="113" spans="1:86">
      <c r="A113" s="1">
        <v>2021</v>
      </c>
      <c r="B113" s="1">
        <v>2</v>
      </c>
      <c r="C113" s="1">
        <v>4</v>
      </c>
      <c r="D113" t="str">
        <f t="shared" si="26"/>
        <v>2021M4</v>
      </c>
      <c r="E113" s="33">
        <f t="shared" si="17"/>
        <v>6.9999999999999993E-3</v>
      </c>
      <c r="F113" s="123">
        <v>7.6712499999999989E-2</v>
      </c>
      <c r="G113" s="123"/>
      <c r="H113" s="513">
        <f t="shared" si="29"/>
        <v>110.01168434833656</v>
      </c>
      <c r="I113" s="529">
        <v>7.0000000000001172E-3</v>
      </c>
      <c r="J113" s="103">
        <v>8.4000000000000005E-2</v>
      </c>
      <c r="K113" s="33">
        <f t="shared" si="28"/>
        <v>0.11878008419201436</v>
      </c>
      <c r="L113" s="29">
        <f t="shared" si="37"/>
        <v>0.70718926132607818</v>
      </c>
      <c r="M113" s="29">
        <f t="shared" ref="M113:M121" si="38">K113*L113</f>
        <v>8.4000000000000005E-2</v>
      </c>
      <c r="N113" s="10">
        <f t="shared" si="14"/>
        <v>0.10316179456971442</v>
      </c>
      <c r="O113">
        <v>1</v>
      </c>
      <c r="R113" s="29">
        <f t="shared" si="32"/>
        <v>8.4000000000000005E-2</v>
      </c>
      <c r="X113" s="120">
        <f>'ІЦВ (Стрим Інфл)+'!AK137</f>
        <v>621683.62517782894</v>
      </c>
      <c r="Z113" s="4">
        <f t="shared" si="33"/>
        <v>0.21419441078246404</v>
      </c>
      <c r="AA113" s="123">
        <f>'ІЦВ (Стрим Інфл)+'!$AO137</f>
        <v>0.1290732489909665</v>
      </c>
      <c r="AB113">
        <f t="shared" si="34"/>
        <v>7.539029187660673E-2</v>
      </c>
      <c r="AC113">
        <f>'ІЦВ (Стрим Інфл)+'!$AH137</f>
        <v>27.93</v>
      </c>
      <c r="AD113" s="101">
        <f t="shared" si="35"/>
        <v>2.5908380100585493E-2</v>
      </c>
      <c r="AF113" s="119">
        <f t="shared" si="15"/>
        <v>0</v>
      </c>
      <c r="AH113" s="140">
        <f>'ІЦВ (Стрим Інфл)+'!AS137</f>
        <v>13543</v>
      </c>
      <c r="AI113" s="33">
        <f t="shared" si="36"/>
        <v>0.29846596356663468</v>
      </c>
      <c r="AJ113" s="29">
        <f t="shared" si="30"/>
        <v>0.29846596356663468</v>
      </c>
      <c r="AK113" s="33">
        <f t="shared" si="20"/>
        <v>-1</v>
      </c>
      <c r="AM113">
        <v>0.7</v>
      </c>
      <c r="CH113" s="99">
        <v>0.7</v>
      </c>
    </row>
    <row r="114" spans="1:86">
      <c r="A114" s="1">
        <v>2021</v>
      </c>
      <c r="B114" s="1">
        <v>2</v>
      </c>
      <c r="C114" s="1">
        <v>5</v>
      </c>
      <c r="D114" t="str">
        <f t="shared" si="26"/>
        <v>2021M5</v>
      </c>
      <c r="E114" s="33">
        <f t="shared" si="17"/>
        <v>1.3000000000000001E-2</v>
      </c>
      <c r="F114" s="123">
        <v>7.896874999999999E-2</v>
      </c>
      <c r="G114" s="123"/>
      <c r="H114" s="513">
        <f t="shared" si="29"/>
        <v>111.44183624486492</v>
      </c>
      <c r="I114" s="529">
        <v>1.2999999999999901E-2</v>
      </c>
      <c r="J114" s="103">
        <v>9.5000000000000001E-2</v>
      </c>
      <c r="K114" s="33">
        <f t="shared" si="28"/>
        <v>0.10361300692315753</v>
      </c>
      <c r="L114" s="29">
        <f t="shared" si="37"/>
        <v>0.91687330404815692</v>
      </c>
      <c r="M114" s="29">
        <f t="shared" si="38"/>
        <v>9.5000000000000001E-2</v>
      </c>
      <c r="N114" s="10">
        <f>0.1540186+-0.8162613*AB114+0.4122748*AD114</f>
        <v>2.546061503010473E-2</v>
      </c>
      <c r="O114">
        <v>0.8</v>
      </c>
      <c r="R114" s="29">
        <f t="shared" si="32"/>
        <v>9.5000000000000001E-2</v>
      </c>
      <c r="X114" s="120">
        <f>'ІЦВ (Стрим Інфл)+'!AK138</f>
        <v>644141.86903595994</v>
      </c>
      <c r="Z114" s="4">
        <f t="shared" si="33"/>
        <v>0.23956360711090663</v>
      </c>
      <c r="AA114" s="123">
        <f>'ІЦВ (Стрим Інфл)+'!$AO138</f>
        <v>5.7381904989615908E-2</v>
      </c>
      <c r="AB114">
        <f t="shared" si="34"/>
        <v>0.17229508209059041</v>
      </c>
      <c r="AC114">
        <f>'ІЦВ (Стрим Інфл)+'!$AH138</f>
        <v>27.6</v>
      </c>
      <c r="AD114" s="101">
        <f t="shared" si="35"/>
        <v>2.9300414968309374E-2</v>
      </c>
      <c r="AF114" s="119">
        <f t="shared" si="15"/>
        <v>0</v>
      </c>
      <c r="AH114" s="140">
        <f>'ІЦВ (Стрим Інфл)+'!AS138</f>
        <v>13499</v>
      </c>
      <c r="AI114" s="33">
        <f t="shared" si="36"/>
        <v>0.28049705938152147</v>
      </c>
      <c r="AJ114" s="29">
        <f t="shared" si="30"/>
        <v>0.28049705938152147</v>
      </c>
      <c r="AK114" s="33">
        <f t="shared" si="20"/>
        <v>-1</v>
      </c>
      <c r="AM114">
        <v>1.3</v>
      </c>
      <c r="CH114" s="99">
        <v>1.3</v>
      </c>
    </row>
    <row r="115" spans="1:86">
      <c r="A115" s="1">
        <v>2021</v>
      </c>
      <c r="B115" s="1">
        <v>2</v>
      </c>
      <c r="C115" s="1">
        <v>6</v>
      </c>
      <c r="D115" t="str">
        <f t="shared" si="26"/>
        <v>2021M6</v>
      </c>
      <c r="E115" s="33">
        <f t="shared" si="17"/>
        <v>2E-3</v>
      </c>
      <c r="F115" s="123">
        <v>8.1224999999999992E-2</v>
      </c>
      <c r="G115" s="123"/>
      <c r="H115" s="513">
        <f t="shared" si="29"/>
        <v>111.66471991735465</v>
      </c>
      <c r="I115" s="529">
        <v>2.0000000000000018E-3</v>
      </c>
      <c r="J115" s="103">
        <v>9.5000000000000001E-2</v>
      </c>
      <c r="K115" s="33">
        <f>-0.0958005*AB115+0.0733532*AD115+0.3412766*AI115+0.0222426</f>
        <v>8.6649025741499311E-2</v>
      </c>
      <c r="L115" s="29">
        <f t="shared" si="37"/>
        <v>1.0963770127481203</v>
      </c>
      <c r="M115" s="29">
        <f>K115*L115</f>
        <v>9.4999999999999987E-2</v>
      </c>
      <c r="N115" s="10">
        <f>0.1540186+-0.8162613*AB115+0.4122748*AD115</f>
        <v>1.1960579913918443E-2</v>
      </c>
      <c r="O115">
        <v>0.8</v>
      </c>
      <c r="Q115" s="33"/>
      <c r="R115" s="29">
        <f t="shared" si="32"/>
        <v>9.5000000000000001E-2</v>
      </c>
      <c r="S115" s="33"/>
      <c r="T115" s="33"/>
      <c r="U115" s="33"/>
      <c r="V115" s="33"/>
      <c r="W115" s="33"/>
      <c r="X115" s="120">
        <f>'ІЦВ (Стрим Інфл)+'!AK139</f>
        <v>645019.00763998996</v>
      </c>
      <c r="Z115" s="4">
        <f t="shared" si="33"/>
        <v>0.21095696153930987</v>
      </c>
      <c r="AA115" s="123">
        <f>'ІЦВ (Стрим Інфл)+'!$AO139</f>
        <v>2.2676195510342809E-2</v>
      </c>
      <c r="AB115">
        <f t="shared" si="34"/>
        <v>0.1841059436560073</v>
      </c>
      <c r="AC115">
        <f>'ІЦВ (Стрим Інфл)+'!$AH139</f>
        <v>27.239873333333321</v>
      </c>
      <c r="AD115" s="101">
        <f t="shared" si="35"/>
        <v>1.9939459846436636E-2</v>
      </c>
      <c r="AF115" s="119">
        <f t="shared" si="15"/>
        <v>0</v>
      </c>
      <c r="AH115" s="140">
        <f>'ІЦВ (Стрим Інфл)+'!AS139</f>
        <v>14313</v>
      </c>
      <c r="AI115" s="33">
        <f t="shared" si="36"/>
        <v>0.23611710855859736</v>
      </c>
      <c r="AJ115" s="29">
        <f t="shared" si="30"/>
        <v>0.23611710855859736</v>
      </c>
      <c r="AK115" s="33">
        <f t="shared" si="20"/>
        <v>-1</v>
      </c>
      <c r="AM115">
        <v>0.2</v>
      </c>
      <c r="CH115" s="99">
        <v>0.2</v>
      </c>
    </row>
    <row r="116" spans="1:86">
      <c r="A116" s="1">
        <v>2021</v>
      </c>
      <c r="B116" s="1">
        <v>3</v>
      </c>
      <c r="C116" s="1">
        <v>7</v>
      </c>
      <c r="D116" t="str">
        <f t="shared" si="26"/>
        <v>2021M7</v>
      </c>
      <c r="E116" s="33">
        <f t="shared" si="17"/>
        <v>1E-3</v>
      </c>
      <c r="F116" s="123">
        <v>8.1224999999999992E-2</v>
      </c>
      <c r="G116" s="123"/>
      <c r="H116" s="513">
        <f t="shared" si="29"/>
        <v>111.77638463727199</v>
      </c>
      <c r="I116" s="529">
        <v>9.9999999999988987E-4</v>
      </c>
      <c r="J116" s="103">
        <v>0.10199999999999999</v>
      </c>
      <c r="K116" s="33">
        <f t="shared" si="28"/>
        <v>8.0880525626324168E-2</v>
      </c>
      <c r="L116" s="29">
        <f t="shared" si="37"/>
        <v>1.2611194006237032</v>
      </c>
      <c r="M116" s="29">
        <f t="shared" si="38"/>
        <v>0.10200000000000001</v>
      </c>
      <c r="N116" s="10">
        <f>0.1540186+-0.8162613*AB116+0.4122748*AD116</f>
        <v>2.8448956703317482E-2</v>
      </c>
      <c r="O116">
        <v>1</v>
      </c>
      <c r="Q116" s="33"/>
      <c r="R116" s="29">
        <f t="shared" si="32"/>
        <v>0.10199999999999999</v>
      </c>
      <c r="S116" s="33"/>
      <c r="T116" s="33"/>
      <c r="U116" s="33"/>
      <c r="V116" s="33"/>
      <c r="W116" s="33"/>
      <c r="X116" s="120">
        <f>'ІЦВ (Стрим Інфл)+'!AK140</f>
        <v>648425</v>
      </c>
      <c r="Y116" s="82"/>
      <c r="Z116" s="4">
        <f t="shared" si="33"/>
        <v>0.18130347524963186</v>
      </c>
      <c r="AA116" s="123">
        <f>'ІЦВ (Стрим Інфл)+'!$AO140</f>
        <v>2.5421474220125244E-2</v>
      </c>
      <c r="AB116" s="82">
        <f t="shared" si="34"/>
        <v>0.15201749226878758</v>
      </c>
      <c r="AC116">
        <f>'ІЦВ (Стрим Інфл)+'!$AH140</f>
        <v>27.214548387096801</v>
      </c>
      <c r="AD116" s="101">
        <f t="shared" si="35"/>
        <v>-3.5986857179289844E-3</v>
      </c>
      <c r="AE116" s="82"/>
      <c r="AF116" s="119">
        <f t="shared" si="15"/>
        <v>0</v>
      </c>
      <c r="AG116" s="82"/>
      <c r="AH116" s="140">
        <f>'ІЦВ (Стрим Інфл)+'!AS140</f>
        <v>14345</v>
      </c>
      <c r="AI116" s="33">
        <f t="shared" si="36"/>
        <v>0.21526601152151814</v>
      </c>
      <c r="AJ116" s="29">
        <f t="shared" si="30"/>
        <v>0.21526601152151814</v>
      </c>
      <c r="AK116" s="33">
        <f t="shared" si="20"/>
        <v>-1</v>
      </c>
      <c r="AM116">
        <v>0.1</v>
      </c>
      <c r="CH116" s="99">
        <v>0.1</v>
      </c>
    </row>
    <row r="117" spans="1:86">
      <c r="A117" s="1">
        <v>2021</v>
      </c>
      <c r="B117" s="1">
        <v>3</v>
      </c>
      <c r="C117" s="1">
        <v>8</v>
      </c>
      <c r="D117" t="str">
        <f t="shared" si="26"/>
        <v>2021M8</v>
      </c>
      <c r="E117" s="33">
        <f t="shared" si="17"/>
        <v>-2E-3</v>
      </c>
      <c r="F117" s="123">
        <v>7.7615000000000003E-2</v>
      </c>
      <c r="G117" s="123"/>
      <c r="H117" s="513">
        <f t="shared" si="29"/>
        <v>111.55283186799744</v>
      </c>
      <c r="I117" s="529">
        <v>-2.0000000000000018E-3</v>
      </c>
      <c r="J117" s="103">
        <v>0.10199999999999999</v>
      </c>
      <c r="K117" s="33">
        <f>-0.0958005*AB117+0.0733532*AD117+0.3412766*AI117+0.0222426</f>
        <v>8.57583947226295E-2</v>
      </c>
      <c r="L117" s="29">
        <f t="shared" si="37"/>
        <v>1.1893879349059777</v>
      </c>
      <c r="M117" s="29">
        <f t="shared" si="38"/>
        <v>0.10199999999999999</v>
      </c>
      <c r="N117" s="10">
        <f t="shared" si="14"/>
        <v>5.3011655145241102E-2</v>
      </c>
      <c r="O117">
        <v>1</v>
      </c>
      <c r="Q117" s="33"/>
      <c r="R117" s="29">
        <f t="shared" si="32"/>
        <v>0.10199999999999999</v>
      </c>
      <c r="S117" s="33"/>
      <c r="T117" s="33"/>
      <c r="U117" s="33"/>
      <c r="V117" s="33"/>
      <c r="W117" s="33"/>
      <c r="X117" s="120">
        <f>'ІЦВ (Стрим Інфл)+'!AK141</f>
        <v>654730.97259354999</v>
      </c>
      <c r="Z117" s="4">
        <f t="shared" si="33"/>
        <v>0.16433253729888553</v>
      </c>
      <c r="AA117" s="123">
        <f>'ІЦВ (Стрим Інфл)+'!$AO141</f>
        <v>4.9165891630436151E-2</v>
      </c>
      <c r="AB117">
        <f t="shared" si="34"/>
        <v>0.10976971953355918</v>
      </c>
      <c r="AC117">
        <f>'ІЦВ (Стрим Інфл)+'!$AH141</f>
        <v>26.76</v>
      </c>
      <c r="AD117" s="101">
        <f t="shared" si="35"/>
        <v>-2.7666427556718221E-2</v>
      </c>
      <c r="AF117" s="119">
        <f t="shared" si="15"/>
        <v>0</v>
      </c>
      <c r="AH117" s="140">
        <f>'ІЦВ (Стрим Інфл)+'!AS141</f>
        <v>13997</v>
      </c>
      <c r="AI117" s="33">
        <f t="shared" si="36"/>
        <v>0.22287261925563517</v>
      </c>
      <c r="AJ117" s="29">
        <f t="shared" si="30"/>
        <v>0.22287261925563517</v>
      </c>
      <c r="AK117" s="33">
        <f t="shared" si="20"/>
        <v>-1</v>
      </c>
      <c r="AM117">
        <v>-0.2</v>
      </c>
      <c r="CH117" s="99">
        <v>-0.2</v>
      </c>
    </row>
    <row r="118" spans="1:86">
      <c r="A118" s="1">
        <v>2021</v>
      </c>
      <c r="B118" s="1">
        <v>3</v>
      </c>
      <c r="C118" s="1">
        <v>9</v>
      </c>
      <c r="D118" t="str">
        <f t="shared" si="26"/>
        <v>2021M9</v>
      </c>
      <c r="E118" s="33">
        <f t="shared" si="17"/>
        <v>1.2E-2</v>
      </c>
      <c r="F118" s="123">
        <v>7.4004999999999987E-2</v>
      </c>
      <c r="G118" s="123"/>
      <c r="H118" s="513">
        <f t="shared" si="29"/>
        <v>112.89146585041341</v>
      </c>
      <c r="I118" s="529">
        <v>1.2000000000000011E-2</v>
      </c>
      <c r="J118" s="103">
        <v>0.11</v>
      </c>
      <c r="K118" s="33">
        <f>-0.0958005*AB118+0.0733532*AD118+0.3412766*AI118+0.0222426</f>
        <v>6.8269600316926832E-2</v>
      </c>
      <c r="L118" s="29">
        <f t="shared" si="37"/>
        <v>1.6112588837395976</v>
      </c>
      <c r="M118" s="29">
        <f t="shared" si="38"/>
        <v>0.11</v>
      </c>
      <c r="N118" s="10">
        <f>0.1540186+-0.8162613*AB118+0.4122748*AD118</f>
        <v>9.6628851655515859E-3</v>
      </c>
      <c r="O118">
        <v>1</v>
      </c>
      <c r="Q118" s="33"/>
      <c r="R118" s="29">
        <f t="shared" si="32"/>
        <v>0.11</v>
      </c>
      <c r="S118" s="33"/>
      <c r="T118" s="33"/>
      <c r="U118" s="33"/>
      <c r="V118" s="33"/>
      <c r="W118" s="33"/>
      <c r="X118" s="120">
        <f>'ІЦВ (Стрим Інфл)+'!AK142</f>
        <v>644383.72109488992</v>
      </c>
      <c r="Z118" s="4">
        <f t="shared" si="33"/>
        <v>0.13471849327823548</v>
      </c>
      <c r="AA118" s="123">
        <f>'ІЦВ (Стрим Інфл)+'!$AO142</f>
        <v>-1.7000000000000001E-2</v>
      </c>
      <c r="AB118">
        <f t="shared" si="34"/>
        <v>0.15434231259230469</v>
      </c>
      <c r="AC118">
        <f>'ІЦВ (Стрим Інфл)+'!$AH142</f>
        <v>26.73</v>
      </c>
      <c r="AD118" s="101">
        <f t="shared" si="35"/>
        <v>-4.4562651204602899E-2</v>
      </c>
      <c r="AF118" s="119">
        <f t="shared" si="15"/>
        <v>0</v>
      </c>
      <c r="AH118" s="140">
        <f>'ІЦВ (Стрим Інфл)+'!AS142</f>
        <v>14239</v>
      </c>
      <c r="AI118" s="33">
        <f t="shared" si="36"/>
        <v>0.18777110443777101</v>
      </c>
      <c r="AJ118" s="29">
        <f t="shared" si="30"/>
        <v>0.18777110443777101</v>
      </c>
      <c r="AK118" s="33">
        <f t="shared" si="20"/>
        <v>-1</v>
      </c>
      <c r="AM118">
        <v>1.2</v>
      </c>
      <c r="CH118" s="99">
        <v>1.2</v>
      </c>
    </row>
    <row r="119" spans="1:86">
      <c r="A119" s="1">
        <v>2021</v>
      </c>
      <c r="B119" s="1">
        <v>4</v>
      </c>
      <c r="C119" s="1">
        <v>10</v>
      </c>
      <c r="D119" t="str">
        <f t="shared" si="26"/>
        <v>2021M10</v>
      </c>
      <c r="E119" s="33">
        <f t="shared" si="17"/>
        <v>9.0000000000000011E-3</v>
      </c>
      <c r="F119" s="123">
        <v>7.0394999999999985E-2</v>
      </c>
      <c r="G119" s="123"/>
      <c r="H119" s="513">
        <f t="shared" si="29"/>
        <v>113.90748904306714</v>
      </c>
      <c r="I119" s="529">
        <v>9.000000000000119E-3</v>
      </c>
      <c r="J119" s="103">
        <v>0.109</v>
      </c>
      <c r="K119" s="33">
        <f>-0.0958005*AB119+0.0733532*AD119+0.3412766*AI119+0.0222426</f>
        <v>6.4777185091467071E-2</v>
      </c>
      <c r="L119" s="29">
        <f t="shared" si="37"/>
        <v>1.6826912105873257</v>
      </c>
      <c r="M119" s="29">
        <f>K119*L119</f>
        <v>0.109</v>
      </c>
      <c r="N119" s="10">
        <f t="shared" si="14"/>
        <v>8.4215530839639646E-2</v>
      </c>
      <c r="O119">
        <v>1</v>
      </c>
      <c r="R119" s="29">
        <f t="shared" si="32"/>
        <v>0.109</v>
      </c>
      <c r="X119" s="120">
        <f>'ІЦВ (Стрим Інфл)+'!AK143</f>
        <v>653973.42193310999</v>
      </c>
      <c r="Z119" s="4">
        <f t="shared" si="33"/>
        <v>0.12420173910973631</v>
      </c>
      <c r="AA119" s="123">
        <f>'ІЦВ (Стрим Інфл)+'!$AO143</f>
        <v>7.0000000000000007E-2</v>
      </c>
      <c r="AB119">
        <f t="shared" si="34"/>
        <v>5.0655830943678648E-2</v>
      </c>
      <c r="AC119">
        <f>'ІЦВ (Стрим Інфл)+'!$AH143</f>
        <v>26.37</v>
      </c>
      <c r="AD119" s="101">
        <f t="shared" si="35"/>
        <v>-6.9018709709380732E-2</v>
      </c>
      <c r="AF119" s="119">
        <f t="shared" si="15"/>
        <v>0</v>
      </c>
      <c r="AH119" s="140">
        <f>'ІЦВ (Стрим Інфл)+'!AS143</f>
        <v>14045</v>
      </c>
      <c r="AI119" s="33">
        <f t="shared" si="36"/>
        <v>0.15368818794151462</v>
      </c>
      <c r="AJ119" s="29">
        <f t="shared" si="30"/>
        <v>0.15368818794151462</v>
      </c>
      <c r="AK119" s="33">
        <f t="shared" si="20"/>
        <v>-1</v>
      </c>
      <c r="AM119">
        <v>0.9</v>
      </c>
      <c r="CH119" s="99">
        <v>0.9</v>
      </c>
    </row>
    <row r="120" spans="1:86">
      <c r="A120" s="1">
        <v>2021</v>
      </c>
      <c r="B120" s="1">
        <v>4</v>
      </c>
      <c r="C120" s="1">
        <v>11</v>
      </c>
      <c r="D120" t="str">
        <f t="shared" si="26"/>
        <v>2021M11</v>
      </c>
      <c r="E120" s="33">
        <f t="shared" si="17"/>
        <v>8.0000000000000002E-3</v>
      </c>
      <c r="F120" s="123">
        <v>6.6784999999999997E-2</v>
      </c>
      <c r="G120" s="123"/>
      <c r="H120" s="514">
        <f>(J120+1)*H108</f>
        <v>114.77357718238427</v>
      </c>
      <c r="I120" s="530">
        <f>H120/H119-1</f>
        <v>7.6034345642512768E-3</v>
      </c>
      <c r="J120" s="103">
        <v>0.10299999999999999</v>
      </c>
      <c r="K120" s="33">
        <f>-0.0958005*AB120+0.0733532*AD120+0.3412766*AI120+0.0222426</f>
        <v>7.8956825895409533E-2</v>
      </c>
      <c r="L120" s="371">
        <f t="shared" si="37"/>
        <v>1.3045103932678264</v>
      </c>
      <c r="M120" s="29">
        <f>K120*L120</f>
        <v>0.10299999999999998</v>
      </c>
      <c r="N120" s="10">
        <f t="shared" si="14"/>
        <v>9.0244718478758618E-2</v>
      </c>
      <c r="O120">
        <v>1</v>
      </c>
      <c r="R120" s="29">
        <f t="shared" si="32"/>
        <v>0.10299999999999999</v>
      </c>
      <c r="X120" s="120">
        <f>'ІЦВ (Стрим Інфл)+'!AK144</f>
        <v>655456.80323993997</v>
      </c>
      <c r="Z120" s="4">
        <f t="shared" si="33"/>
        <v>0.11801216450976515</v>
      </c>
      <c r="AA120" s="123">
        <f>'ІЦВ (Стрим Інфл)+'!$AO144</f>
        <v>7.0000000000000007E-2</v>
      </c>
      <c r="AB120">
        <f t="shared" si="34"/>
        <v>4.4871181784827074E-2</v>
      </c>
      <c r="AC120">
        <f>'ІЦВ (Стрим Інфл)+'!$AH144</f>
        <v>26.446000000000002</v>
      </c>
      <c r="AD120" s="101">
        <f t="shared" si="35"/>
        <v>-6.5847518075376255E-2</v>
      </c>
      <c r="AF120" s="119">
        <f t="shared" si="15"/>
        <v>0</v>
      </c>
      <c r="AH120" s="140">
        <f>'ІЦВ (Стрим Інфл)+'!AS144</f>
        <v>14300.160072592294</v>
      </c>
      <c r="AI120" s="33">
        <f t="shared" si="36"/>
        <v>0.19293158015777689</v>
      </c>
      <c r="AJ120" s="29">
        <f t="shared" si="30"/>
        <v>0.19293158015777689</v>
      </c>
      <c r="AK120" s="33">
        <f t="shared" si="20"/>
        <v>-1</v>
      </c>
      <c r="AM120">
        <v>0.8</v>
      </c>
      <c r="CH120" s="99">
        <v>0.8</v>
      </c>
    </row>
    <row r="121" spans="1:86" ht="18.75" thickBot="1">
      <c r="A121" s="1">
        <v>2021</v>
      </c>
      <c r="B121" s="1">
        <v>4</v>
      </c>
      <c r="C121" s="1">
        <v>12</v>
      </c>
      <c r="D121" t="str">
        <f t="shared" si="26"/>
        <v>2021M12</v>
      </c>
      <c r="E121" s="33">
        <f t="shared" si="17"/>
        <v>6.0000000000000001E-3</v>
      </c>
      <c r="F121" s="123">
        <v>6.1369999999999994E-2</v>
      </c>
      <c r="G121" s="123"/>
      <c r="H121" s="515">
        <f>(J121+1)*H109</f>
        <v>115.49156238869293</v>
      </c>
      <c r="I121" s="531">
        <f>H121/H120-1</f>
        <v>6.2556663644606214E-3</v>
      </c>
      <c r="J121" s="103">
        <v>0.1</v>
      </c>
      <c r="K121" s="33">
        <f t="shared" si="28"/>
        <v>8.9016506245615259E-2</v>
      </c>
      <c r="L121" s="297">
        <v>1.5</v>
      </c>
      <c r="M121" s="29">
        <f t="shared" si="38"/>
        <v>0.1335247593684229</v>
      </c>
      <c r="N121" s="10">
        <f t="shared" si="14"/>
        <v>5.877786214837822E-2</v>
      </c>
      <c r="O121">
        <v>1</v>
      </c>
      <c r="R121" s="29">
        <f>J121</f>
        <v>0.1</v>
      </c>
      <c r="X121" s="120">
        <f>'ІЦВ (Стрим Інфл)+'!AK145</f>
        <v>668382.80699214095</v>
      </c>
      <c r="Z121" s="4">
        <f t="shared" si="33"/>
        <v>0.1214610998035186</v>
      </c>
      <c r="AA121" s="123">
        <f>'ІЦВ (Стрим Інфл)+'!$AO145</f>
        <v>0.02</v>
      </c>
      <c r="AB121">
        <f t="shared" si="34"/>
        <v>9.9471666474037823E-2</v>
      </c>
      <c r="AC121">
        <f>'ІЦВ (Стрим Інфл)+'!$AH145</f>
        <v>27.21</v>
      </c>
      <c r="AD121" s="101">
        <f t="shared" si="35"/>
        <v>-3.406918410331472E-2</v>
      </c>
      <c r="AF121" s="119">
        <f t="shared" si="15"/>
        <v>0</v>
      </c>
      <c r="AH121" s="140">
        <f>'ІЦВ (Стрим Інфл)+'!AS145</f>
        <v>17453</v>
      </c>
      <c r="AI121" s="33">
        <f t="shared" si="36"/>
        <v>0.23090485929896332</v>
      </c>
      <c r="AJ121" s="29">
        <f t="shared" si="30"/>
        <v>0.23090485929896332</v>
      </c>
      <c r="AK121" s="33">
        <f t="shared" si="20"/>
        <v>-1</v>
      </c>
      <c r="AM121">
        <v>0.6</v>
      </c>
      <c r="CH121" s="99">
        <v>0.6</v>
      </c>
    </row>
    <row r="122" spans="1:86" ht="18.75" thickBot="1">
      <c r="L122" s="264">
        <f>(L121/L119)^(1/2)</f>
        <v>0.94415525875507789</v>
      </c>
      <c r="O122" s="159">
        <f>(O109/O106)^(1/3)</f>
        <v>2.4778208711929954</v>
      </c>
      <c r="AM122">
        <v>1.3</v>
      </c>
      <c r="CH122" s="760">
        <v>1.3</v>
      </c>
    </row>
    <row r="123" spans="1:86" s="13" customFormat="1" ht="54">
      <c r="F123" s="519" t="s">
        <v>447</v>
      </c>
      <c r="G123" s="526" t="s">
        <v>345</v>
      </c>
      <c r="H123" s="469" t="s">
        <v>273</v>
      </c>
      <c r="I123" s="399" t="s">
        <v>421</v>
      </c>
      <c r="O123" s="759" t="s">
        <v>273</v>
      </c>
      <c r="P123" s="690" t="s">
        <v>479</v>
      </c>
      <c r="R123" s="469" t="s">
        <v>273</v>
      </c>
      <c r="AM123">
        <v>1.6</v>
      </c>
      <c r="AN123" s="36" t="s">
        <v>3</v>
      </c>
      <c r="AO123" s="36" t="s">
        <v>444</v>
      </c>
      <c r="AQ123" s="36" t="s">
        <v>4</v>
      </c>
      <c r="CH123" s="760">
        <v>1.6</v>
      </c>
    </row>
    <row r="124" spans="1:86" ht="18.75">
      <c r="A124" s="1">
        <v>2022</v>
      </c>
      <c r="B124" s="1">
        <v>1</v>
      </c>
      <c r="C124" s="1">
        <v>1</v>
      </c>
      <c r="D124" t="str">
        <f t="shared" ref="D124:D135" si="39">A124&amp;"M"&amp;C124</f>
        <v>2022M1</v>
      </c>
      <c r="E124" s="33">
        <f>F124/$H$121-1</f>
        <v>1.2999999999999901E-2</v>
      </c>
      <c r="F124" s="534">
        <f>(R124+1)*H110</f>
        <v>116.99295269974593</v>
      </c>
      <c r="G124" s="532">
        <f>F124/H121-1</f>
        <v>1.2999999999999901E-2</v>
      </c>
      <c r="H124" s="762">
        <f>CH122/100</f>
        <v>1.3000000000000001E-2</v>
      </c>
      <c r="J124" s="381">
        <f t="shared" ref="J124:J135" si="40">M124*$M$212</f>
        <v>9.2129788178948915E-2</v>
      </c>
      <c r="K124" s="381">
        <f t="shared" ref="K124:K135" si="41">-0.0958005*AB124+0.0733532*AD124+0.3412766*AI124+0.0222426</f>
        <v>7.6774823482457427E-2</v>
      </c>
      <c r="L124" s="397">
        <v>1.2</v>
      </c>
      <c r="M124" s="396">
        <f t="shared" ref="M124:M135" si="42">K124*L124</f>
        <v>9.2129788178948915E-2</v>
      </c>
      <c r="R124" s="486">
        <v>0.1</v>
      </c>
      <c r="S124" s="33">
        <f t="shared" ref="S124:S134" si="43">-1.42148*Z124+0.957716*AD124-0.0233571*AP124+0.3870935</f>
        <v>0.1888109753545715</v>
      </c>
      <c r="T124" s="29">
        <f>R124/S124</f>
        <v>0.52963022839222251</v>
      </c>
      <c r="U124" s="33"/>
      <c r="X124">
        <f>'ІЦВ (Стрим Інфл)+'!AK148</f>
        <v>692826.35255078005</v>
      </c>
      <c r="Z124" s="33">
        <f>X124/X110-1</f>
        <v>0.13078224100074443</v>
      </c>
      <c r="AA124" s="123">
        <f>'ІЦВ (Стрим Інфл)+'!$AO148</f>
        <v>5.5742132419516734E-2</v>
      </c>
      <c r="AB124">
        <f t="shared" ref="AB124:AB135" si="44">(1+Z124)/(1+AA124)-1</f>
        <v>7.1078065634506027E-2</v>
      </c>
      <c r="AC124">
        <f>'ІЦВ (Стрим Інфл)+'!$AH148</f>
        <v>27.98</v>
      </c>
      <c r="AD124">
        <f>AC124/AC110-1</f>
        <v>-8.4965596643566954E-3</v>
      </c>
      <c r="AH124" s="140">
        <f>'ІЦВ (Стрим Інфл)+'!AS148</f>
        <v>14577</v>
      </c>
      <c r="AI124" s="33">
        <f>AH124/AH110-1</f>
        <v>0.18156764205236287</v>
      </c>
      <c r="AM124">
        <v>4.5</v>
      </c>
      <c r="AN124" s="33">
        <f>'ІЦВ (Стрим Інфл)+'!AW148</f>
        <v>-0.1509552542239927</v>
      </c>
      <c r="AO124" s="140">
        <f>'ІЦВ (Стрим Інфл)+'!AX148</f>
        <v>14577</v>
      </c>
      <c r="AP124" s="33">
        <f>'ІЦВ (Стрим Інфл)+'!AY148</f>
        <v>0.18156764205236287</v>
      </c>
      <c r="AQ124" s="126">
        <f>(1+Z124)/(1+AN124)-1</f>
        <v>0.33182879539197385</v>
      </c>
      <c r="CH124" s="760">
        <v>4.5</v>
      </c>
    </row>
    <row r="125" spans="1:86" ht="18.75">
      <c r="A125" s="1">
        <v>2022</v>
      </c>
      <c r="B125" s="1">
        <v>1</v>
      </c>
      <c r="C125" s="1">
        <v>2</v>
      </c>
      <c r="D125" t="str">
        <f t="shared" si="39"/>
        <v>2022M2</v>
      </c>
      <c r="E125" s="33">
        <f t="shared" ref="E125:E135" si="45">F125/$H$121-1</f>
        <v>2.9640827272726877E-2</v>
      </c>
      <c r="F125" s="534">
        <f t="shared" ref="F125:F133" si="46">(R125+1)*H111</f>
        <v>118.91482784091355</v>
      </c>
      <c r="G125" s="532">
        <f>F125/F124-1</f>
        <v>1.6427272727272513E-2</v>
      </c>
      <c r="H125" s="762">
        <f t="shared" ref="H125:H136" si="47">CH123/100</f>
        <v>1.6E-2</v>
      </c>
      <c r="J125" s="381">
        <f t="shared" si="40"/>
        <v>8.9854489357318379E-2</v>
      </c>
      <c r="K125" s="381">
        <f t="shared" si="41"/>
        <v>7.6130175241836642E-2</v>
      </c>
      <c r="L125" s="396">
        <f>L124*$L$136</f>
        <v>1.1802743008522547</v>
      </c>
      <c r="M125" s="396">
        <f t="shared" si="42"/>
        <v>8.9854489357318379E-2</v>
      </c>
      <c r="R125" s="486">
        <v>0.10700000000000003</v>
      </c>
      <c r="S125" s="123">
        <f t="shared" si="43"/>
        <v>-1.4722294039727413E-2</v>
      </c>
      <c r="T125" s="29">
        <f t="shared" ref="T125:T133" si="48">R125/S125</f>
        <v>-7.2678890743022517</v>
      </c>
      <c r="U125" s="33"/>
      <c r="V125" s="29">
        <f t="shared" ref="V125:V135" si="49">T125/T124</f>
        <v>-13.72257224887842</v>
      </c>
      <c r="W125" s="29"/>
      <c r="X125">
        <f>'ІЦВ (Стрим Інфл)+'!AK149</f>
        <v>790775.49494611006</v>
      </c>
      <c r="Z125">
        <f>X125/X111-1</f>
        <v>0.28364950152479285</v>
      </c>
      <c r="AA125" s="123">
        <f>'ІЦВ (Стрим Інфл)+'!$AO149</f>
        <v>5.5742132419516734E-2</v>
      </c>
      <c r="AB125">
        <f t="shared" si="44"/>
        <v>0.21587408715323808</v>
      </c>
      <c r="AC125">
        <f>'ІЦВ (Стрим Інфл)+'!$AH149</f>
        <v>28.41</v>
      </c>
      <c r="AD125">
        <f>AC125/AC110-1</f>
        <v>6.7409842721810609E-3</v>
      </c>
      <c r="AH125" s="140">
        <f>'ІЦВ (Стрим Інфл)+'!AS149</f>
        <v>15272.755373084912</v>
      </c>
      <c r="AI125" s="33">
        <f t="shared" ref="AI125:AI135" si="50">AH125/AH111-1</f>
        <v>0.21704959543269675</v>
      </c>
      <c r="AM125">
        <v>3.1</v>
      </c>
      <c r="AN125" s="33">
        <f>'ІЦВ (Стрим Інфл)+'!AW149</f>
        <v>-0.1509552542239927</v>
      </c>
      <c r="AO125" s="140">
        <f>'ІЦВ (Стрим Інфл)+'!AX149</f>
        <v>15272.75537308491</v>
      </c>
      <c r="AP125" s="33">
        <f>'ІЦВ (Стрим Інфл)+'!AY149</f>
        <v>0.21704959543269675</v>
      </c>
      <c r="AQ125" s="126">
        <f>(1+Z125)/(1+AN125)-1</f>
        <v>0.51187497232736168</v>
      </c>
      <c r="CH125" s="760">
        <v>3.1</v>
      </c>
    </row>
    <row r="126" spans="1:86" ht="18.75">
      <c r="A126" s="1">
        <v>2022</v>
      </c>
      <c r="B126" s="1">
        <v>1</v>
      </c>
      <c r="C126" s="1">
        <v>3</v>
      </c>
      <c r="D126" t="str">
        <f t="shared" si="39"/>
        <v>2022M3</v>
      </c>
      <c r="E126" s="33">
        <f t="shared" si="45"/>
        <v>7.5522627063636216E-2</v>
      </c>
      <c r="F126" s="534">
        <f t="shared" si="46"/>
        <v>124.21378858397085</v>
      </c>
      <c r="G126" s="532">
        <f t="shared" ref="G126:G134" si="51">F126/F125-1</f>
        <v>4.4560975609756248E-2</v>
      </c>
      <c r="H126" s="762">
        <f t="shared" si="47"/>
        <v>4.4999999999999998E-2</v>
      </c>
      <c r="I126">
        <v>7.5</v>
      </c>
      <c r="J126" s="381">
        <f t="shared" si="40"/>
        <v>9.3205295302218924E-2</v>
      </c>
      <c r="K126" s="381">
        <f t="shared" si="41"/>
        <v>8.0288978203601008E-2</v>
      </c>
      <c r="L126" s="396">
        <f t="shared" ref="L126:L134" si="52">L125*$L$136</f>
        <v>1.1608728543768989</v>
      </c>
      <c r="M126" s="396">
        <f t="shared" si="42"/>
        <v>9.3205295302218924E-2</v>
      </c>
      <c r="R126" s="486">
        <v>0.13700000000000004</v>
      </c>
      <c r="S126" s="33">
        <f t="shared" si="43"/>
        <v>0.14182691608627501</v>
      </c>
      <c r="T126" s="29">
        <f t="shared" si="48"/>
        <v>0.96596614930738034</v>
      </c>
      <c r="U126" s="33"/>
      <c r="V126" s="29">
        <f t="shared" si="49"/>
        <v>-0.13290876338809796</v>
      </c>
      <c r="W126" s="29"/>
      <c r="X126">
        <f>'ІЦВ (Стрим Інфл)+'!AK150</f>
        <v>732841.50363818998</v>
      </c>
      <c r="Z126">
        <f t="shared" ref="Z126:Z135" si="53">X126/X112-1</f>
        <v>0.20398841890212283</v>
      </c>
      <c r="AA126" s="123">
        <f>'ІЦВ (Стрим Інфл)+'!$AO150</f>
        <v>5.5742132419516734E-2</v>
      </c>
      <c r="AB126">
        <f t="shared" si="44"/>
        <v>0.1404190303013293</v>
      </c>
      <c r="AC126">
        <f>'ІЦВ (Стрим Інфл)+'!$AH150</f>
        <v>29.25</v>
      </c>
      <c r="AD126">
        <f t="shared" ref="AD126:AD135" si="54">AC126/AC111-1</f>
        <v>4.8963812029271692E-2</v>
      </c>
      <c r="AH126" s="140">
        <f>'ІЦВ (Стрим Інфл)+'!AS150</f>
        <v>16320.50464595284</v>
      </c>
      <c r="AI126" s="33">
        <f t="shared" si="50"/>
        <v>0.19897918351108146</v>
      </c>
      <c r="AM126">
        <v>2.7</v>
      </c>
      <c r="AN126" s="33">
        <f>'ІЦВ (Стрим Інфл)+'!AW150</f>
        <v>-0.1509552542239927</v>
      </c>
      <c r="AO126" s="140">
        <f>'ІЦВ (Стрим Інфл)+'!AX150</f>
        <v>14890.936488757787</v>
      </c>
      <c r="AP126" s="33">
        <f>'ІЦВ (Стрим Інфл)+'!AY150</f>
        <v>9.3956544869070457E-2</v>
      </c>
      <c r="AQ126" s="126">
        <f t="shared" ref="AQ126:AQ134" si="55">(1+Z126)/(1+AN126)-1</f>
        <v>0.41805060910153236</v>
      </c>
      <c r="CH126" s="760">
        <v>2.7</v>
      </c>
    </row>
    <row r="127" spans="1:86" ht="18.75">
      <c r="A127" s="1">
        <v>2022</v>
      </c>
      <c r="B127" s="1">
        <v>2</v>
      </c>
      <c r="C127" s="1">
        <v>4</v>
      </c>
      <c r="D127" t="str">
        <f t="shared" si="39"/>
        <v>2022M4</v>
      </c>
      <c r="E127" s="33">
        <f t="shared" si="45"/>
        <v>0.1087701814137092</v>
      </c>
      <c r="F127" s="534">
        <f t="shared" si="46"/>
        <v>128.05360058146377</v>
      </c>
      <c r="G127" s="532">
        <f t="shared" si="51"/>
        <v>3.091292875989482E-2</v>
      </c>
      <c r="H127" s="762">
        <f t="shared" si="47"/>
        <v>3.1E-2</v>
      </c>
      <c r="J127" s="381">
        <f t="shared" si="40"/>
        <v>6.9680348275039938E-2</v>
      </c>
      <c r="K127" s="381">
        <f t="shared" si="41"/>
        <v>6.1027271307896182E-2</v>
      </c>
      <c r="L127" s="396">
        <f t="shared" si="52"/>
        <v>1.141790330481713</v>
      </c>
      <c r="M127" s="396">
        <f t="shared" si="42"/>
        <v>6.9680348275039938E-2</v>
      </c>
      <c r="R127" s="486">
        <v>0.16400000000000006</v>
      </c>
      <c r="S127" s="33">
        <f t="shared" si="43"/>
        <v>0.17411540500095549</v>
      </c>
      <c r="T127" s="29">
        <f t="shared" si="48"/>
        <v>0.94190402049204136</v>
      </c>
      <c r="U127" s="33"/>
      <c r="V127" s="29">
        <f t="shared" si="49"/>
        <v>0.97509009106313704</v>
      </c>
      <c r="W127" s="29"/>
      <c r="X127">
        <f>'ІЦВ (Стрим Інфл)+'!AK151</f>
        <v>736288.22226537007</v>
      </c>
      <c r="Z127">
        <f t="shared" si="53"/>
        <v>0.1843455295364409</v>
      </c>
      <c r="AA127" s="123">
        <f>'ІЦВ (Стрим Інфл)+'!$AO151</f>
        <v>2.7655277974961485E-2</v>
      </c>
      <c r="AB127">
        <f t="shared" si="44"/>
        <v>0.15247355306756583</v>
      </c>
      <c r="AC127">
        <f>'ІЦВ (Стрим Інфл)+'!$AH151</f>
        <v>29.25</v>
      </c>
      <c r="AD127">
        <f t="shared" si="54"/>
        <v>5.2326416044894852E-2</v>
      </c>
      <c r="AH127" s="140">
        <f>'ІЦВ (Стрим Інфл)+'!AS151</f>
        <v>15509.4452487291</v>
      </c>
      <c r="AI127" s="33">
        <f t="shared" si="50"/>
        <v>0.14520012174031605</v>
      </c>
      <c r="AM127">
        <v>3.1</v>
      </c>
      <c r="AN127" s="33">
        <f>'ІЦВ (Стрим Інфл)+'!AW151</f>
        <v>-0.37493955369360166</v>
      </c>
      <c r="AO127" s="140">
        <f>'ІЦВ (Стрим Інфл)+'!AX151</f>
        <v>14150.920525117603</v>
      </c>
      <c r="AP127" s="33">
        <f>'ІЦВ (Стрим Інфл)+'!AY151</f>
        <v>4.4888172865509945E-2</v>
      </c>
      <c r="AQ127" s="126">
        <f t="shared" si="55"/>
        <v>0.89476959634058595</v>
      </c>
      <c r="CH127" s="760">
        <v>3.1</v>
      </c>
    </row>
    <row r="128" spans="1:86" ht="18.75">
      <c r="A128" s="1">
        <v>2022</v>
      </c>
      <c r="B128" s="1">
        <v>2</v>
      </c>
      <c r="C128" s="1">
        <v>5</v>
      </c>
      <c r="D128" t="str">
        <f t="shared" si="39"/>
        <v>2022M5</v>
      </c>
      <c r="E128" s="33">
        <f t="shared" si="45"/>
        <v>0.13862315176208129</v>
      </c>
      <c r="F128" s="534">
        <f t="shared" si="46"/>
        <v>131.50136676894058</v>
      </c>
      <c r="G128" s="532">
        <f t="shared" si="51"/>
        <v>2.6924398625429058E-2</v>
      </c>
      <c r="H128" s="762">
        <f t="shared" si="47"/>
        <v>2.7000000000000003E-2</v>
      </c>
      <c r="J128" s="381">
        <f t="shared" si="40"/>
        <v>7.7030609161710742E-2</v>
      </c>
      <c r="K128" s="381">
        <f t="shared" si="41"/>
        <v>6.8592284363751949E-2</v>
      </c>
      <c r="L128" s="396">
        <f t="shared" si="52"/>
        <v>1.1230214866909738</v>
      </c>
      <c r="M128" s="396">
        <f t="shared" si="42"/>
        <v>7.7030609161710742E-2</v>
      </c>
      <c r="P128" s="29"/>
      <c r="Q128" s="33">
        <v>0.1813519080675951</v>
      </c>
      <c r="R128" s="486">
        <v>0.18</v>
      </c>
      <c r="S128" s="33">
        <f t="shared" si="43"/>
        <v>0.22186537064422274</v>
      </c>
      <c r="T128" s="29">
        <f t="shared" si="48"/>
        <v>0.81130281610573241</v>
      </c>
      <c r="U128" s="33"/>
      <c r="V128" s="29">
        <f t="shared" si="49"/>
        <v>0.86134340490649552</v>
      </c>
      <c r="W128" s="29"/>
      <c r="X128">
        <f>'ІЦВ (Стрим Інфл)+'!AK152</f>
        <v>739020.79961753008</v>
      </c>
      <c r="Z128">
        <f t="shared" si="53"/>
        <v>0.14729508380439316</v>
      </c>
      <c r="AA128" s="123">
        <f>'ІЦВ (Стрим Інфл)+'!$AO152</f>
        <v>2.7655277974961485E-2</v>
      </c>
      <c r="AB128">
        <f t="shared" si="44"/>
        <v>0.11642017356752832</v>
      </c>
      <c r="AC128">
        <f>'ІЦВ (Стрим Інфл)+'!$AH152</f>
        <v>29.25</v>
      </c>
      <c r="AD128">
        <f t="shared" si="54"/>
        <v>4.7261009667024734E-2</v>
      </c>
      <c r="AH128" s="140">
        <f>'ІЦВ (Стрим Інфл)+'!AS152</f>
        <v>15636.364894632838</v>
      </c>
      <c r="AI128" s="33">
        <f t="shared" si="50"/>
        <v>0.15833505405088055</v>
      </c>
      <c r="AM128">
        <v>0.7</v>
      </c>
      <c r="AN128" s="33">
        <f>'ІЦВ (Стрим Інфл)+'!AW152</f>
        <v>-0.37493955369360166</v>
      </c>
      <c r="AO128" s="140">
        <f>'ІЦВ (Стрим Інфл)+'!AX152</f>
        <v>14142.674067935133</v>
      </c>
      <c r="AP128" s="33">
        <f>'ІЦВ (Стрим Інфл)+'!AY152</f>
        <v>4.7683092668726168E-2</v>
      </c>
      <c r="AQ128" s="126">
        <f t="shared" si="55"/>
        <v>0.83549461589511731</v>
      </c>
      <c r="CH128" s="760">
        <v>0.7</v>
      </c>
    </row>
    <row r="129" spans="1:86" ht="18.75">
      <c r="A129" s="1">
        <v>2022</v>
      </c>
      <c r="B129" s="1">
        <v>2</v>
      </c>
      <c r="C129" s="1">
        <v>6</v>
      </c>
      <c r="D129" t="str">
        <f t="shared" si="39"/>
        <v>2022M6</v>
      </c>
      <c r="E129" s="33">
        <f t="shared" si="45"/>
        <v>0.1747406641099245</v>
      </c>
      <c r="F129" s="534">
        <f t="shared" si="46"/>
        <v>135.6726346995859</v>
      </c>
      <c r="G129" s="532">
        <f t="shared" si="51"/>
        <v>3.1720338983050933E-2</v>
      </c>
      <c r="H129" s="762">
        <f t="shared" si="47"/>
        <v>3.1E-2</v>
      </c>
      <c r="I129">
        <v>6.8</v>
      </c>
      <c r="J129" s="381">
        <f t="shared" si="40"/>
        <v>7.9995750035479068E-2</v>
      </c>
      <c r="K129" s="381">
        <f t="shared" si="41"/>
        <v>7.2423105615869315E-2</v>
      </c>
      <c r="L129" s="396">
        <f t="shared" si="52"/>
        <v>1.1045611667052073</v>
      </c>
      <c r="M129" s="396">
        <f t="shared" si="42"/>
        <v>7.9995750035479068E-2</v>
      </c>
      <c r="P129" s="29"/>
      <c r="Q129" s="33">
        <v>0.18343065123003935</v>
      </c>
      <c r="R129" s="486">
        <v>0.215</v>
      </c>
      <c r="S129" s="33">
        <f t="shared" si="43"/>
        <v>0.25816062710787846</v>
      </c>
      <c r="T129" s="29">
        <f t="shared" si="48"/>
        <v>0.8328148347352643</v>
      </c>
      <c r="U129" s="33"/>
      <c r="V129" s="29">
        <f t="shared" si="49"/>
        <v>1.0265153999252585</v>
      </c>
      <c r="W129" s="29"/>
      <c r="X129">
        <f>'ІЦВ (Стрим Інфл)+'!AK153</f>
        <v>729369.66297767998</v>
      </c>
      <c r="Z129">
        <f t="shared" si="53"/>
        <v>0.13077235606794613</v>
      </c>
      <c r="AA129" s="123">
        <f>'ІЦВ (Стрим Інфл)+'!$AO153</f>
        <v>2.7655277974961485E-2</v>
      </c>
      <c r="AB129">
        <f t="shared" si="44"/>
        <v>0.10034208970948044</v>
      </c>
      <c r="AC129">
        <f>'ІЦВ (Стрим Інфл)+'!$AH153</f>
        <v>29.25</v>
      </c>
      <c r="AD129">
        <f t="shared" si="54"/>
        <v>5.9782608695652106E-2</v>
      </c>
      <c r="AH129" s="140">
        <f>'ІЦВ (Стрим Інфл)+'!AS153</f>
        <v>16636.792145062591</v>
      </c>
      <c r="AI129" s="33">
        <f t="shared" si="50"/>
        <v>0.16235535143314395</v>
      </c>
      <c r="AN129" s="33">
        <f>'ІЦВ (Стрим Інфл)+'!AW153</f>
        <v>-0.37493955369360166</v>
      </c>
      <c r="AO129" s="140">
        <f>'ІЦВ (Стрим Інфл)+'!AX153</f>
        <v>14495.210112485704</v>
      </c>
      <c r="AP129" s="33">
        <f>'ІЦВ (Стрим Інфл)+'!AY153</f>
        <v>1.2730392823705916E-2</v>
      </c>
      <c r="AQ129" s="126">
        <f t="shared" si="55"/>
        <v>0.80906080803848024</v>
      </c>
      <c r="CH129" s="760">
        <v>1.1000000000000001</v>
      </c>
    </row>
    <row r="130" spans="1:86" ht="18.75">
      <c r="A130" s="1">
        <v>2022</v>
      </c>
      <c r="B130" s="1">
        <v>3</v>
      </c>
      <c r="C130" s="1">
        <v>7</v>
      </c>
      <c r="D130" t="str">
        <f t="shared" si="39"/>
        <v>2022M7</v>
      </c>
      <c r="E130" s="33">
        <f t="shared" si="45"/>
        <v>0.18269022603610674</v>
      </c>
      <c r="F130" s="534">
        <f t="shared" si="46"/>
        <v>136.59074202674637</v>
      </c>
      <c r="G130" s="532">
        <f>F130/F129-1</f>
        <v>6.7670781893003351E-3</v>
      </c>
      <c r="H130" s="762">
        <f t="shared" si="47"/>
        <v>6.9999999999999993E-3</v>
      </c>
      <c r="J130" s="381">
        <f t="shared" si="40"/>
        <v>9.4427081381564762E-2</v>
      </c>
      <c r="K130" s="381">
        <f t="shared" si="41"/>
        <v>8.6917072649490584E-2</v>
      </c>
      <c r="L130" s="396">
        <f t="shared" si="52"/>
        <v>1.0864042989846161</v>
      </c>
      <c r="M130" s="396">
        <f t="shared" si="42"/>
        <v>9.4427081381564762E-2</v>
      </c>
      <c r="P130" s="29"/>
      <c r="Q130" s="33">
        <v>0.20415660335621874</v>
      </c>
      <c r="R130" s="486">
        <v>0.222</v>
      </c>
      <c r="S130" s="33">
        <f t="shared" si="43"/>
        <v>0.54328457626924487</v>
      </c>
      <c r="T130" s="29">
        <f t="shared" si="48"/>
        <v>0.40862562586348788</v>
      </c>
      <c r="U130" s="33"/>
      <c r="V130" s="29">
        <f>T130/T129</f>
        <v>0.49065603639659233</v>
      </c>
      <c r="W130" s="29"/>
      <c r="X130">
        <f>'ІЦВ (Стрим Інфл)+'!AK154</f>
        <v>726893.0878877301</v>
      </c>
      <c r="Z130">
        <f t="shared" si="53"/>
        <v>0.12101335989162987</v>
      </c>
      <c r="AA130" s="123">
        <f>'ІЦВ (Стрим Інфл)+'!$AO154</f>
        <v>3.0399493591073926E-2</v>
      </c>
      <c r="AB130">
        <f t="shared" si="44"/>
        <v>8.794051905514344E-2</v>
      </c>
      <c r="AC130">
        <f>'ІЦВ (Стрим Інфл)+'!$AH154</f>
        <v>36.57</v>
      </c>
      <c r="AD130">
        <f t="shared" si="54"/>
        <v>0.34251725595395643</v>
      </c>
      <c r="AH130" s="140">
        <f>'ІЦВ (Стрим Інфл)+'!AS154</f>
        <v>16361.528346980933</v>
      </c>
      <c r="AI130" s="33">
        <f t="shared" si="50"/>
        <v>0.14057360383275941</v>
      </c>
      <c r="AN130" s="33">
        <f>'ІЦВ (Стрим Інфл)+'!AW154</f>
        <v>-0.41849408078066652</v>
      </c>
      <c r="AO130" s="140">
        <f>'ІЦВ (Стрим Інфл)+'!AX154</f>
        <v>14237.589049670072</v>
      </c>
      <c r="AP130" s="33">
        <f>'ІЦВ (Стрим Інфл)+'!AY154</f>
        <v>-7.4876925988098808E-3</v>
      </c>
      <c r="AQ130" s="126">
        <f t="shared" si="55"/>
        <v>0.92777635246874235</v>
      </c>
      <c r="CH130" s="760">
        <v>1.8629999999999995</v>
      </c>
    </row>
    <row r="131" spans="1:86" ht="18.75">
      <c r="A131" s="1">
        <v>2022</v>
      </c>
      <c r="B131" s="1">
        <v>3</v>
      </c>
      <c r="C131" s="1">
        <v>8</v>
      </c>
      <c r="D131" t="str">
        <f t="shared" si="39"/>
        <v>2022M8</v>
      </c>
      <c r="E131" s="33">
        <f t="shared" si="45"/>
        <v>0.19577918071443112</v>
      </c>
      <c r="F131" s="534">
        <f>(R131+1)*H117</f>
        <v>138.10240585258083</v>
      </c>
      <c r="G131" s="532">
        <f t="shared" si="51"/>
        <v>1.1067103109656307E-2</v>
      </c>
      <c r="H131" s="762">
        <f t="shared" si="47"/>
        <v>1.1000000000000001E-2</v>
      </c>
      <c r="J131" s="381">
        <f t="shared" si="40"/>
        <v>8.5121395298047825E-2</v>
      </c>
      <c r="K131" s="381">
        <f t="shared" si="41"/>
        <v>7.9660963247353084E-2</v>
      </c>
      <c r="L131" s="396">
        <f t="shared" si="52"/>
        <v>1.0685458953557931</v>
      </c>
      <c r="M131" s="396">
        <f t="shared" si="42"/>
        <v>8.5121395298047825E-2</v>
      </c>
      <c r="Q131" s="33">
        <v>0.23026070184661204</v>
      </c>
      <c r="R131" s="486">
        <v>0.23799999999999999</v>
      </c>
      <c r="S131" s="33">
        <f t="shared" si="43"/>
        <v>0.50105339899176704</v>
      </c>
      <c r="T131" s="29">
        <f t="shared" si="48"/>
        <v>0.47499927249053675</v>
      </c>
      <c r="V131" s="29">
        <f t="shared" si="49"/>
        <v>1.1624314346091029</v>
      </c>
      <c r="W131" s="29"/>
      <c r="X131">
        <f>'ІЦВ (Стрим Інфл)+'!AK155</f>
        <v>754216.07079393999</v>
      </c>
      <c r="Z131">
        <f t="shared" si="53"/>
        <v>0.15194805555983559</v>
      </c>
      <c r="AA131" s="123">
        <f>'ІЦВ (Стрим Інфл)+'!$AO155</f>
        <v>3.0399493591073926E-2</v>
      </c>
      <c r="AB131">
        <f t="shared" si="44"/>
        <v>0.11796255988553472</v>
      </c>
      <c r="AC131">
        <f>'ІЦВ (Стрим Інфл)+'!$AH155</f>
        <v>36.57</v>
      </c>
      <c r="AD131">
        <f t="shared" si="54"/>
        <v>0.34376655749830065</v>
      </c>
      <c r="AH131" s="140">
        <f>'ІЦВ (Стрим Інфл)+'!AS155</f>
        <v>15781.21113345392</v>
      </c>
      <c r="AI131" s="33">
        <f t="shared" si="50"/>
        <v>0.1274709675969079</v>
      </c>
      <c r="AN131" s="33">
        <f>'ІЦВ (Стрим Інфл)+'!AW155</f>
        <v>-0.41849408078066652</v>
      </c>
      <c r="AO131" s="140">
        <f>'ІЦВ (Стрим Інфл)+'!AX155</f>
        <v>13565.359088885536</v>
      </c>
      <c r="AP131" s="33">
        <f>'ІЦВ (Стрим Інфл)+'!AY155</f>
        <v>-3.0838101815707897E-2</v>
      </c>
      <c r="AQ131" s="126">
        <f t="shared" si="55"/>
        <v>0.98097391184996985</v>
      </c>
      <c r="CH131" s="760">
        <v>2.5</v>
      </c>
    </row>
    <row r="132" spans="1:86" ht="18.75">
      <c r="A132" s="1">
        <v>2022</v>
      </c>
      <c r="B132" s="1">
        <v>3</v>
      </c>
      <c r="C132" s="1">
        <v>9</v>
      </c>
      <c r="D132" t="str">
        <f t="shared" si="39"/>
        <v>2022M9</v>
      </c>
      <c r="E132" s="33">
        <f t="shared" si="45"/>
        <v>0.21794842445898488</v>
      </c>
      <c r="F132" s="534">
        <f>(R132+1)*H118</f>
        <v>140.66276644961511</v>
      </c>
      <c r="G132" s="532">
        <f>F132/F131-1</f>
        <v>1.8539579967689734E-2</v>
      </c>
      <c r="H132" s="762">
        <f t="shared" si="47"/>
        <v>1.8629999999999994E-2</v>
      </c>
      <c r="I132">
        <v>5.8</v>
      </c>
      <c r="J132" s="381">
        <f t="shared" si="40"/>
        <v>9.152682058829742E-2</v>
      </c>
      <c r="K132" s="381">
        <f t="shared" si="41"/>
        <v>8.7087032272877105E-2</v>
      </c>
      <c r="L132" s="396">
        <f t="shared" si="52"/>
        <v>1.0509810496413377</v>
      </c>
      <c r="M132" s="396">
        <f t="shared" si="42"/>
        <v>9.152682058829742E-2</v>
      </c>
      <c r="Q132" s="33">
        <v>0.22878940079849164</v>
      </c>
      <c r="R132" s="486">
        <v>0.246</v>
      </c>
      <c r="S132" s="33">
        <f>-1.42148*Z132+0.957716*AD132-0.0233571*AP132+0.3870935</f>
        <v>0.52654554718463475</v>
      </c>
      <c r="T132" s="493">
        <f>R132/S132</f>
        <v>0.46719605039930073</v>
      </c>
      <c r="U132" s="109">
        <f>(T132/T128)^(1/4)</f>
        <v>0.87112212618637341</v>
      </c>
      <c r="V132" s="29">
        <f t="shared" si="49"/>
        <v>0.9835721388575569</v>
      </c>
      <c r="W132" s="29"/>
      <c r="X132">
        <f>'ІЦВ (Стрим Інфл)+'!AK156</f>
        <v>740492.30557939014</v>
      </c>
      <c r="Z132">
        <f t="shared" si="53"/>
        <v>0.14914806401564507</v>
      </c>
      <c r="AA132" s="123">
        <f>'ІЦВ (Стрим Інфл)+'!$AO156</f>
        <v>3.0399493591073926E-2</v>
      </c>
      <c r="AB132">
        <f t="shared" si="44"/>
        <v>0.1152451754520154</v>
      </c>
      <c r="AC132">
        <f>'ІЦВ (Стрим Інфл)+'!$AH156</f>
        <v>36.57</v>
      </c>
      <c r="AD132">
        <f t="shared" si="54"/>
        <v>0.36659192825112097</v>
      </c>
      <c r="AH132" s="140">
        <f>'ІЦВ (Стрим Інфл)+'!AS156</f>
        <v>16283.176623677064</v>
      </c>
      <c r="AI132" s="33">
        <f t="shared" si="50"/>
        <v>0.1435618107786405</v>
      </c>
      <c r="AN132" s="33">
        <f>'ІЦВ (Стрим Інфл)+'!AW156</f>
        <v>-0.41849408078066652</v>
      </c>
      <c r="AO132" s="140">
        <f>'ІЦВ (Стрим Інфл)+'!AX156</f>
        <v>14012.170619706394</v>
      </c>
      <c r="AP132" s="33">
        <f>'ІЦВ (Стрим Інфл)+'!AY156</f>
        <v>-1.5930148205183348E-2</v>
      </c>
      <c r="AQ132" s="126">
        <f t="shared" si="55"/>
        <v>0.97615884212901238</v>
      </c>
      <c r="CH132" s="760">
        <v>0.7</v>
      </c>
    </row>
    <row r="133" spans="1:86" ht="18.75">
      <c r="A133" s="1">
        <v>2022</v>
      </c>
      <c r="B133" s="1">
        <v>4</v>
      </c>
      <c r="C133" s="1">
        <v>10</v>
      </c>
      <c r="D133" t="str">
        <f t="shared" si="39"/>
        <v>2022M10</v>
      </c>
      <c r="E133" s="33">
        <f t="shared" si="45"/>
        <v>0.24863564182452702</v>
      </c>
      <c r="F133" s="534">
        <f t="shared" si="46"/>
        <v>144.20688112852301</v>
      </c>
      <c r="G133" s="532">
        <f t="shared" si="51"/>
        <v>2.5195826645264985E-2</v>
      </c>
      <c r="H133" s="762">
        <f t="shared" si="47"/>
        <v>2.5000000000000001E-2</v>
      </c>
      <c r="J133" s="381">
        <f t="shared" si="40"/>
        <v>9.8016836590533729E-2</v>
      </c>
      <c r="K133" s="381">
        <f t="shared" si="41"/>
        <v>9.4820904058205757E-2</v>
      </c>
      <c r="L133" s="396">
        <f t="shared" si="52"/>
        <v>1.0337049363119988</v>
      </c>
      <c r="M133" s="396">
        <f t="shared" si="42"/>
        <v>9.8016836590533729E-2</v>
      </c>
      <c r="Q133" s="33">
        <v>0.23891543099120371</v>
      </c>
      <c r="R133" s="486">
        <v>0.26600000000000001</v>
      </c>
      <c r="S133" s="33">
        <f>-1.42148*Z133+0.957716*AD133-0.0233571*AP133+0.3870935</f>
        <v>0.56546610460678703</v>
      </c>
      <c r="T133" s="29">
        <f t="shared" si="48"/>
        <v>0.47040839023405423</v>
      </c>
      <c r="U133" s="33"/>
      <c r="V133" s="29">
        <f t="shared" si="49"/>
        <v>1.0068757855123305</v>
      </c>
      <c r="W133" s="29"/>
      <c r="X133">
        <f>'ІЦВ (Стрим Інфл)+'!AK157</f>
        <v>734049.8</v>
      </c>
      <c r="Z133">
        <f t="shared" si="53"/>
        <v>0.12244592116632003</v>
      </c>
      <c r="AA133" s="123">
        <f>'ІЦВ (Стрим Інфл)+'!$AO157</f>
        <v>1.4035474258070604E-2</v>
      </c>
      <c r="AB133">
        <f t="shared" si="44"/>
        <v>0.10690991554074469</v>
      </c>
      <c r="AC133">
        <f>'ІЦВ (Стрим Інфл)+'!$AH157</f>
        <v>36.57</v>
      </c>
      <c r="AD133">
        <f t="shared" si="54"/>
        <v>0.36812570145903467</v>
      </c>
      <c r="AH133" s="140">
        <f>'ІЦВ (Стрим Інфл)+'!AS157</f>
        <v>16342.114949758128</v>
      </c>
      <c r="AI133" s="33">
        <f t="shared" si="50"/>
        <v>0.16355393020705788</v>
      </c>
      <c r="AN133" s="33">
        <f>'ІЦВ (Стрим Інфл)+'!AW157</f>
        <v>-0.4156575482252135</v>
      </c>
      <c r="AO133" s="140">
        <f>'ІЦВ (Стрим Інфл)+'!AX157</f>
        <v>14124.879834688234</v>
      </c>
      <c r="AP133" s="33">
        <f>'ІЦВ (Стрим Інфл)+'!AY157</f>
        <v>5.6874214801163614E-3</v>
      </c>
      <c r="AQ133" s="126">
        <f t="shared" si="55"/>
        <v>0.92087006130940141</v>
      </c>
      <c r="CH133" s="760">
        <v>0.7</v>
      </c>
    </row>
    <row r="134" spans="1:86" ht="18.75">
      <c r="A134" s="1">
        <v>2022</v>
      </c>
      <c r="B134" s="1">
        <v>4</v>
      </c>
      <c r="C134" s="1">
        <v>11</v>
      </c>
      <c r="D134" t="str">
        <f t="shared" si="39"/>
        <v>2022M11</v>
      </c>
      <c r="E134" s="33">
        <f t="shared" si="45"/>
        <v>0.25713577799801812</v>
      </c>
      <c r="F134" s="534">
        <f>(R134+1)*H120</f>
        <v>145.18857513571612</v>
      </c>
      <c r="G134" s="532">
        <f t="shared" si="51"/>
        <v>6.8075392762858566E-3</v>
      </c>
      <c r="H134" s="762">
        <f t="shared" si="47"/>
        <v>6.9999999999999993E-3</v>
      </c>
      <c r="J134" s="381">
        <f t="shared" si="40"/>
        <v>8.1108132660853038E-2</v>
      </c>
      <c r="K134" s="381">
        <f t="shared" si="41"/>
        <v>7.9774870474766835E-2</v>
      </c>
      <c r="L134" s="396">
        <f t="shared" si="52"/>
        <v>1.0167128091609741</v>
      </c>
      <c r="M134" s="396">
        <f t="shared" si="42"/>
        <v>8.1108132660853038E-2</v>
      </c>
      <c r="Q134" s="33">
        <v>0.24253638498662605</v>
      </c>
      <c r="R134" s="486">
        <v>0.26500000000000001</v>
      </c>
      <c r="S134" s="33">
        <f t="shared" si="43"/>
        <v>0.5345656550565816</v>
      </c>
      <c r="T134" s="745">
        <v>0.35499999999999998</v>
      </c>
      <c r="U134" s="33"/>
      <c r="V134" s="29">
        <f t="shared" si="49"/>
        <v>0.75466341028349393</v>
      </c>
      <c r="W134" s="29"/>
      <c r="X134">
        <f>'ІЦВ (Стрим Інфл)+'!AK158</f>
        <v>758328.94226985995</v>
      </c>
      <c r="Z134">
        <f t="shared" si="53"/>
        <v>0.15694724430568163</v>
      </c>
      <c r="AA134" s="123">
        <f>'ІЦВ (Стрим Інфл)+'!$AO158</f>
        <v>1.4035474258070604E-2</v>
      </c>
      <c r="AB134">
        <f t="shared" si="44"/>
        <v>0.14093369874675621</v>
      </c>
      <c r="AC134">
        <f>'ІЦВ (Стрим Інфл)+'!$AH158</f>
        <v>36.57</v>
      </c>
      <c r="AD134">
        <f t="shared" si="54"/>
        <v>0.38680318543799763</v>
      </c>
      <c r="AH134" s="140">
        <f>'ІЦВ (Стрим Інфл)+'!AS158</f>
        <v>16087.720427370554</v>
      </c>
      <c r="AI134" s="33">
        <f t="shared" si="50"/>
        <v>0.12500282134633589</v>
      </c>
      <c r="AN134" s="33">
        <f>'ІЦВ (Стрим Інфл)+'!AW158</f>
        <v>-0.4156575482252135</v>
      </c>
      <c r="AO134" s="140">
        <f>'ІЦВ (Стрим Інфл)+'!AX158</f>
        <v>14225.51306235059</v>
      </c>
      <c r="AP134" s="33">
        <f>'ІЦВ (Стрим Інфл)+'!AY158</f>
        <v>-5.2200122140432237E-3</v>
      </c>
      <c r="AQ134" s="126">
        <f t="shared" si="55"/>
        <v>0.97991304720675121</v>
      </c>
      <c r="CH134" s="760">
        <v>0.8</v>
      </c>
    </row>
    <row r="135" spans="1:86" ht="19.5" thickBot="1">
      <c r="A135" s="1">
        <v>2022</v>
      </c>
      <c r="B135" s="1">
        <v>4</v>
      </c>
      <c r="C135" s="1">
        <v>12</v>
      </c>
      <c r="D135" t="str">
        <f t="shared" si="39"/>
        <v>2022M12</v>
      </c>
      <c r="E135" s="33">
        <f t="shared" si="45"/>
        <v>0.26600000000000001</v>
      </c>
      <c r="F135" s="535">
        <f>(R135+1)*H121</f>
        <v>146.21231798408525</v>
      </c>
      <c r="G135" s="533">
        <f>F135/F134-1</f>
        <v>7.0511253892544534E-3</v>
      </c>
      <c r="H135" s="762">
        <f t="shared" si="47"/>
        <v>6.9999999999999993E-3</v>
      </c>
      <c r="I135">
        <v>5</v>
      </c>
      <c r="J135" s="381">
        <f t="shared" si="40"/>
        <v>6.2314286871682806E-2</v>
      </c>
      <c r="K135" s="381">
        <f t="shared" si="41"/>
        <v>6.2314286871682806E-2</v>
      </c>
      <c r="L135" s="397">
        <v>1</v>
      </c>
      <c r="M135" s="396">
        <f t="shared" si="42"/>
        <v>6.2314286871682806E-2</v>
      </c>
      <c r="P135" s="691">
        <v>0.3</v>
      </c>
      <c r="Q135" s="33">
        <v>0.24705417236795074</v>
      </c>
      <c r="R135" s="486">
        <v>0.26600000000000001</v>
      </c>
      <c r="S135" s="33">
        <f>-1.42148*Z135+0.957716*AD135-0.0233571*AP135+0.3870935</f>
        <v>0.49296957055001772</v>
      </c>
      <c r="T135" s="493">
        <v>0.42</v>
      </c>
      <c r="U135" s="109">
        <f>(T135/T132)^(1/3)</f>
        <v>0.96512457876395763</v>
      </c>
      <c r="V135" s="29">
        <f t="shared" si="49"/>
        <v>1.1830985915492958</v>
      </c>
      <c r="W135" s="29"/>
      <c r="X135">
        <f>'ІЦВ (Стрим Інфл)+'!AK159</f>
        <v>792536.82511305995</v>
      </c>
      <c r="Z135">
        <f t="shared" si="53"/>
        <v>0.18575286022038395</v>
      </c>
      <c r="AA135" s="123">
        <f>'ІЦВ (Стрим Інфл)+'!$AO159</f>
        <v>1.4035474258070604E-2</v>
      </c>
      <c r="AB135">
        <f t="shared" si="44"/>
        <v>0.16934061018718505</v>
      </c>
      <c r="AC135">
        <f>'ІЦВ (Стрим Інфл)+'!$AH159</f>
        <v>36.57</v>
      </c>
      <c r="AD135">
        <f t="shared" si="54"/>
        <v>0.3828178174393102</v>
      </c>
      <c r="AH135" s="140">
        <f>'ІЦВ (Стрим Інфл)+'!AS159</f>
        <v>18895.857590652045</v>
      </c>
      <c r="AI135" s="33">
        <f t="shared" si="50"/>
        <v>8.2671035962415873E-2</v>
      </c>
      <c r="AN135" s="33">
        <f>'ІЦВ (Стрим Інфл)+'!AW159</f>
        <v>-0.4156575482252135</v>
      </c>
      <c r="AO135" s="140">
        <f>'ІЦВ (Стрим Інфл)+'!AX159</f>
        <v>14995.155987512288</v>
      </c>
      <c r="AP135" s="33">
        <f>'ІЦВ (Стрим Інфл)+'!AY159</f>
        <v>-0.14082644889060403</v>
      </c>
      <c r="AQ135" s="126">
        <f>(1+Z135)/(1+AN135)-1</f>
        <v>1.0292088254395542</v>
      </c>
    </row>
    <row r="136" spans="1:86" ht="18.75">
      <c r="G136" s="123"/>
      <c r="H136" s="762">
        <f t="shared" si="47"/>
        <v>8.0000000000000002E-3</v>
      </c>
      <c r="J136" s="377"/>
      <c r="K136" s="377"/>
      <c r="L136" s="398">
        <f>(L135/L124)^(1/11)</f>
        <v>0.98356191737687892</v>
      </c>
      <c r="M136" s="377"/>
      <c r="P136" s="691"/>
      <c r="V136" s="29"/>
      <c r="W136" s="29"/>
    </row>
    <row r="137" spans="1:86">
      <c r="A137" s="576">
        <v>2023</v>
      </c>
      <c r="D137" s="576">
        <v>2023</v>
      </c>
      <c r="F137" s="545">
        <f>F135/AVERAGE(F124:F135)-1</f>
        <v>9.2282742528770223E-2</v>
      </c>
      <c r="P137" s="691"/>
      <c r="Q137" s="29"/>
      <c r="R137" s="103"/>
      <c r="S137" s="33"/>
      <c r="T137" s="493"/>
      <c r="X137">
        <f>'ІЦВ (Стрим Інфл)+'!AK163</f>
        <v>0</v>
      </c>
      <c r="Z137">
        <f>X137/AVERAGE(X124:X135)-1</f>
        <v>-1</v>
      </c>
      <c r="AC137">
        <f>'ІЦВ (Стрим Інфл)+'!$AH163</f>
        <v>0</v>
      </c>
      <c r="AD137">
        <f>AC137/AVERAGE(AC124:AC135)-1</f>
        <v>-1</v>
      </c>
      <c r="AP137" s="33">
        <f>'ІЦВ (Стрим Інфл)+'!AY163</f>
        <v>0.08</v>
      </c>
    </row>
    <row r="138" spans="1:86" ht="30.75">
      <c r="F138" s="545"/>
      <c r="H138" t="s">
        <v>1718</v>
      </c>
      <c r="P138" s="691"/>
      <c r="Q138" s="873" t="s">
        <v>495</v>
      </c>
      <c r="R138" s="855" t="s">
        <v>494</v>
      </c>
      <c r="U138" s="613" t="s">
        <v>494</v>
      </c>
      <c r="V138" s="613" t="s">
        <v>495</v>
      </c>
      <c r="W138" s="613"/>
    </row>
    <row r="139" spans="1:86">
      <c r="A139" s="1">
        <v>2023</v>
      </c>
      <c r="B139" s="1">
        <v>1</v>
      </c>
      <c r="C139" s="1">
        <v>1</v>
      </c>
      <c r="D139" t="str">
        <f t="shared" ref="D139:D150" si="56">A139&amp;"M"&amp;C139</f>
        <v>2023M1</v>
      </c>
      <c r="E139" s="33">
        <f>F139/F124-1</f>
        <v>0.25975123395853905</v>
      </c>
      <c r="F139" s="602">
        <f>F135*(1+G139)</f>
        <v>147.38201652795792</v>
      </c>
      <c r="G139" s="763">
        <v>8.0000000000000002E-3</v>
      </c>
      <c r="H139" s="126"/>
      <c r="I139" s="29">
        <f>E139</f>
        <v>0.25975123395853905</v>
      </c>
      <c r="J139">
        <v>1</v>
      </c>
      <c r="K139" s="391">
        <f>F124*(1+I139)</f>
        <v>147.38201652795792</v>
      </c>
      <c r="L139" s="33">
        <f>K139/F135-1</f>
        <v>8.0000000000000071E-3</v>
      </c>
      <c r="M139" s="119">
        <f>F135*(1+G139)</f>
        <v>147.38201652795792</v>
      </c>
      <c r="N139" s="33">
        <f>M139/F124-1</f>
        <v>0.25975123395853905</v>
      </c>
      <c r="O139" s="691">
        <v>0.26</v>
      </c>
      <c r="P139" s="691"/>
      <c r="Q139" s="486">
        <v>0.26</v>
      </c>
      <c r="R139" s="486">
        <v>0.26</v>
      </c>
      <c r="S139" s="33">
        <f>-1.42148*Z139+0.957716*AD139-0.0233571*AI139+0.3870935</f>
        <v>0.43072764203186931</v>
      </c>
      <c r="T139" s="493">
        <v>0.65</v>
      </c>
      <c r="U139" s="549">
        <f>S139*$T139</f>
        <v>0.27997296732071508</v>
      </c>
      <c r="V139" s="29">
        <f>U139</f>
        <v>0.27997296732071508</v>
      </c>
      <c r="W139" s="29"/>
      <c r="X139">
        <f>'ІЦВ (Стрим Інфл)+'!AK165</f>
        <v>829830.78719953005</v>
      </c>
      <c r="Z139">
        <f>X139/X124-1</f>
        <v>0.19774714709442054</v>
      </c>
      <c r="AA139" s="123">
        <f>'ІЦВ (Стрим Інфл)+'!$AO165</f>
        <v>-0.105</v>
      </c>
      <c r="AB139">
        <f t="shared" ref="AB139:AB150" si="57">(1+Z139)/(1+AA139)-1</f>
        <v>0.33826496882058166</v>
      </c>
      <c r="AC139">
        <f>'ІЦВ (Стрим Інфл)+'!$AH165</f>
        <v>37.5</v>
      </c>
      <c r="AD139">
        <f>AC139/AC124-1</f>
        <v>0.34024303073624007</v>
      </c>
      <c r="AH139" s="140">
        <f>'ІЦВ (Стрим Інфл)+'!AS165</f>
        <v>15281.249968948276</v>
      </c>
      <c r="AI139" s="33">
        <f>AH139/AH124-1</f>
        <v>4.8312407830711113E-2</v>
      </c>
      <c r="AO139" s="140">
        <f>'ІЦВ (Стрим Інфл)+'!AX165</f>
        <v>13923.239283774847</v>
      </c>
      <c r="AP139" s="33">
        <f>'ІЦВ (Стрим Інфл)+'!AY165</f>
        <v>-4.484878344139076E-2</v>
      </c>
    </row>
    <row r="140" spans="1:86">
      <c r="A140" s="1">
        <v>2023</v>
      </c>
      <c r="B140" s="1">
        <v>1</v>
      </c>
      <c r="C140" s="1">
        <v>2</v>
      </c>
      <c r="D140" t="str">
        <f t="shared" si="56"/>
        <v>2023M2</v>
      </c>
      <c r="E140" s="33">
        <f>F140/F125-1</f>
        <v>0.24806715309048077</v>
      </c>
      <c r="F140" s="602">
        <f>F139*(1+G140)</f>
        <v>148.41369064365361</v>
      </c>
      <c r="G140" s="763">
        <v>6.9999999999999993E-3</v>
      </c>
      <c r="H140" s="126">
        <f>N248</f>
        <v>7.0000000000000001E-3</v>
      </c>
      <c r="I140" s="29">
        <f t="shared" ref="I140:I146" si="58">E140</f>
        <v>0.24806715309048077</v>
      </c>
      <c r="J140">
        <v>2</v>
      </c>
      <c r="K140" s="391">
        <f>F125*(1+I140)</f>
        <v>148.41369064365361</v>
      </c>
      <c r="L140" s="33">
        <f>K140/K139-1</f>
        <v>6.9999999999998952E-3</v>
      </c>
      <c r="M140" s="119">
        <f>F139*(1+H140)</f>
        <v>148.41369064365361</v>
      </c>
      <c r="N140" s="33">
        <f t="shared" ref="N140:N150" si="59">M140/F125-1</f>
        <v>0.24806715309048077</v>
      </c>
      <c r="P140" s="691"/>
      <c r="Q140" s="486">
        <v>0.249</v>
      </c>
      <c r="R140" s="486">
        <v>0.249</v>
      </c>
      <c r="S140" s="33">
        <f t="shared" ref="S140:S149" si="60">-1.42148*Z140+0.957716*AD140-0.0233571*AI140+0.3870935</f>
        <v>0.59219225370484996</v>
      </c>
      <c r="T140" s="493">
        <v>0.44</v>
      </c>
      <c r="U140" s="549">
        <f>S140*$T140</f>
        <v>0.26056459163013396</v>
      </c>
      <c r="V140" s="29">
        <f>U140</f>
        <v>0.26056459163013396</v>
      </c>
      <c r="W140" s="29"/>
      <c r="X140">
        <f>'ІЦВ (Стрим Інфл)+'!AK166</f>
        <v>847001.77082967001</v>
      </c>
      <c r="Z140">
        <f t="shared" ref="Z140:Z149" si="61">X140/X125-1</f>
        <v>7.1102703919007526E-2</v>
      </c>
      <c r="AA140" s="123">
        <f>'ІЦВ (Стрим Інфл)+'!$AO166</f>
        <v>-0.105</v>
      </c>
      <c r="AB140">
        <f t="shared" si="57"/>
        <v>0.19676279767486871</v>
      </c>
      <c r="AC140">
        <f>'ІЦВ (Стрим Інфл)+'!$AH166</f>
        <v>37.5</v>
      </c>
      <c r="AD140">
        <f t="shared" ref="AD140:AD150" si="62">AC140/AC125-1</f>
        <v>0.31995776135163667</v>
      </c>
      <c r="AH140" s="140">
        <f>'ІЦВ (Стрим Інфл)+'!AS166</f>
        <v>15442.007209071919</v>
      </c>
      <c r="AI140" s="33">
        <f t="shared" ref="AI140:AI149" si="63">AH140/AH125-1</f>
        <v>1.1081945061811149E-2</v>
      </c>
      <c r="AO140" s="140">
        <f>'ІЦВ (Стрим Інфл)+'!AX166</f>
        <v>14119.703357108936</v>
      </c>
      <c r="AP140" s="33">
        <f>'ІЦВ (Стрим Інфл)+'!AY166</f>
        <v>-7.5497314519159531E-2</v>
      </c>
    </row>
    <row r="141" spans="1:86">
      <c r="A141" s="1">
        <v>2023</v>
      </c>
      <c r="B141" s="1">
        <v>1</v>
      </c>
      <c r="C141" s="1">
        <v>3</v>
      </c>
      <c r="D141" t="str">
        <f t="shared" si="56"/>
        <v>2023M3</v>
      </c>
      <c r="E141" s="33">
        <f t="shared" ref="E141:E149" si="64">F141/F126-1</f>
        <v>0.21274697214048022</v>
      </c>
      <c r="F141" s="602">
        <f t="shared" ref="F141:F149" si="65">F140*(1+G141)</f>
        <v>150.63989600330839</v>
      </c>
      <c r="G141" s="763">
        <v>1.4999999999999999E-2</v>
      </c>
      <c r="H141" s="126">
        <f t="shared" ref="H141:H150" si="66">N249</f>
        <v>1.1333333333333334E-2</v>
      </c>
      <c r="I141" s="29">
        <f t="shared" si="58"/>
        <v>0.21274697214048022</v>
      </c>
      <c r="J141">
        <v>3</v>
      </c>
      <c r="K141" s="391">
        <f t="shared" ref="K141:K150" si="67">F126*(1+I141)</f>
        <v>150.63989600330839</v>
      </c>
      <c r="L141" s="33">
        <f t="shared" ref="L141:L150" si="68">K141/K140-1</f>
        <v>1.4999999999999902E-2</v>
      </c>
      <c r="M141" s="119">
        <f t="shared" ref="M141:M150" si="69">F140*(1+H141)</f>
        <v>150.09571247094837</v>
      </c>
      <c r="N141" s="33">
        <f t="shared" si="59"/>
        <v>0.20836594859580226</v>
      </c>
      <c r="P141" s="691">
        <v>0.28999999999999998</v>
      </c>
      <c r="Q141" s="486">
        <v>0.21299999999999999</v>
      </c>
      <c r="R141" s="486">
        <v>0.21299999999999999</v>
      </c>
      <c r="S141" s="33">
        <f t="shared" si="60"/>
        <v>0.40434400240780705</v>
      </c>
      <c r="T141" s="493">
        <v>0.57299999999999995</v>
      </c>
      <c r="U141" s="549">
        <f t="shared" ref="U141:U150" si="70">S141*$T141</f>
        <v>0.23168911337967341</v>
      </c>
      <c r="V141" s="29">
        <f>U141</f>
        <v>0.23168911337967341</v>
      </c>
      <c r="W141" s="29"/>
      <c r="X141">
        <f>'ІЦВ (Стрим Інфл)+'!AK167</f>
        <v>863753.46562943002</v>
      </c>
      <c r="Z141">
        <f t="shared" si="61"/>
        <v>0.17863611891702069</v>
      </c>
      <c r="AA141" s="123">
        <f>'ІЦВ (Стрим Інфл)+'!$AO167</f>
        <v>-0.105</v>
      </c>
      <c r="AB141">
        <f t="shared" si="57"/>
        <v>0.31691186471175503</v>
      </c>
      <c r="AC141">
        <f>'ІЦВ (Стрим Інфл)+'!$AH167</f>
        <v>37.5</v>
      </c>
      <c r="AD141">
        <f t="shared" si="62"/>
        <v>0.28205128205128216</v>
      </c>
      <c r="AH141" s="140">
        <f>'ІЦВ (Стрим Інфл)+'!AS167</f>
        <v>15584.630248327954</v>
      </c>
      <c r="AI141" s="33">
        <f t="shared" si="63"/>
        <v>-4.5088948754251179E-2</v>
      </c>
      <c r="AO141" s="140">
        <f>'ІЦВ (Стрим Інфл)+'!AX167</f>
        <v>15103.00912193074</v>
      </c>
      <c r="AP141" s="33">
        <f>'ІЦВ (Стрим Інфл)+'!AY167</f>
        <v>1.4241725719068121E-2</v>
      </c>
    </row>
    <row r="142" spans="1:86">
      <c r="A142" s="1">
        <v>2023</v>
      </c>
      <c r="B142" s="1">
        <v>2</v>
      </c>
      <c r="C142" s="1">
        <v>4</v>
      </c>
      <c r="D142" t="str">
        <f t="shared" si="56"/>
        <v>2023M4</v>
      </c>
      <c r="E142" s="33">
        <f t="shared" si="64"/>
        <v>0.17873433554327023</v>
      </c>
      <c r="F142" s="602">
        <f t="shared" si="65"/>
        <v>150.94117579531502</v>
      </c>
      <c r="G142" s="763">
        <v>2E-3</v>
      </c>
      <c r="H142" s="126">
        <f t="shared" si="66"/>
        <v>8.3333333333333332E-3</v>
      </c>
      <c r="I142" s="29">
        <f t="shared" si="58"/>
        <v>0.17873433554327023</v>
      </c>
      <c r="J142">
        <v>4</v>
      </c>
      <c r="K142" s="391">
        <f>F127*(1+I142)</f>
        <v>150.94117579531502</v>
      </c>
      <c r="L142" s="33">
        <f>K142/K141-1</f>
        <v>2.0000000000000018E-3</v>
      </c>
      <c r="M142" s="119">
        <f t="shared" si="69"/>
        <v>151.89522847000262</v>
      </c>
      <c r="N142" s="33">
        <f t="shared" si="59"/>
        <v>0.18618475216846053</v>
      </c>
      <c r="P142" s="691"/>
      <c r="Q142" s="486">
        <v>0.17899999999999999</v>
      </c>
      <c r="R142" s="486">
        <v>0.17899999999999999</v>
      </c>
      <c r="S142" s="33">
        <f t="shared" si="60"/>
        <v>0.40350362044370208</v>
      </c>
      <c r="T142" s="493">
        <v>0.47799999999999998</v>
      </c>
      <c r="U142" s="549">
        <f>S142*$T142</f>
        <v>0.19287473057208959</v>
      </c>
      <c r="V142" s="29">
        <f>U142</f>
        <v>0.19287473057208959</v>
      </c>
      <c r="W142" s="29"/>
      <c r="X142">
        <f>'ІЦВ (Стрим Інфл)+'!AK168</f>
        <v>866592.27656392998</v>
      </c>
      <c r="Z142">
        <f t="shared" si="61"/>
        <v>0.17697424779884119</v>
      </c>
      <c r="AA142" s="123">
        <f>'ІЦВ (Стрим Інфл)+'!$AO168</f>
        <v>0.18</v>
      </c>
      <c r="AB142">
        <f t="shared" si="57"/>
        <v>-2.5641967806430133E-3</v>
      </c>
      <c r="AC142">
        <f>'ІЦВ (Стрим Інфл)+'!$AH168</f>
        <v>37.5</v>
      </c>
      <c r="AD142">
        <f t="shared" si="62"/>
        <v>0.28205128205128216</v>
      </c>
      <c r="AH142" s="140">
        <f>'ІЦВ (Стрим Інфл)+'!AS168</f>
        <v>16936.777850357194</v>
      </c>
      <c r="AI142" s="33">
        <f t="shared" si="63"/>
        <v>9.2029893960588582E-2</v>
      </c>
      <c r="AO142" s="140">
        <f>'ІЦВ (Стрим Інфл)+'!AX168</f>
        <v>14389.214131271798</v>
      </c>
      <c r="AP142" s="33">
        <f>'ІЦВ (Стрим Інфл)+'!AY168</f>
        <v>1.6839442051224118E-2</v>
      </c>
    </row>
    <row r="143" spans="1:86">
      <c r="A143" s="1">
        <v>2023</v>
      </c>
      <c r="B143" s="1">
        <v>2</v>
      </c>
      <c r="C143" s="1">
        <v>5</v>
      </c>
      <c r="D143" t="str">
        <f t="shared" si="56"/>
        <v>2023M5</v>
      </c>
      <c r="E143" s="33">
        <f t="shared" si="64"/>
        <v>0.15356885940839327</v>
      </c>
      <c r="F143" s="602">
        <f t="shared" si="65"/>
        <v>151.69588167429157</v>
      </c>
      <c r="G143" s="763">
        <v>5.0000000000000001E-3</v>
      </c>
      <c r="H143" s="126">
        <f t="shared" si="66"/>
        <v>7.6666666666666662E-3</v>
      </c>
      <c r="I143" s="29">
        <f t="shared" si="58"/>
        <v>0.15356885940839327</v>
      </c>
      <c r="J143">
        <v>5</v>
      </c>
      <c r="K143" s="391">
        <f t="shared" si="67"/>
        <v>151.69588167429157</v>
      </c>
      <c r="L143" s="33">
        <f t="shared" si="68"/>
        <v>4.9999999999998934E-3</v>
      </c>
      <c r="M143" s="119">
        <f t="shared" si="69"/>
        <v>152.09839147641244</v>
      </c>
      <c r="N143" s="33">
        <f t="shared" si="59"/>
        <v>0.15662973863733787</v>
      </c>
      <c r="P143" s="691"/>
      <c r="Q143" s="486">
        <v>0.153</v>
      </c>
      <c r="R143" s="486">
        <v>0.153</v>
      </c>
      <c r="S143" s="33">
        <f t="shared" si="60"/>
        <v>0.35790688003400134</v>
      </c>
      <c r="T143" s="493">
        <v>0.35</v>
      </c>
      <c r="U143" s="549">
        <f t="shared" si="70"/>
        <v>0.12526740801190045</v>
      </c>
      <c r="V143" s="29">
        <f t="shared" ref="V143:V149" si="71">U143+$AB$206</f>
        <v>0.13781727256315623</v>
      </c>
      <c r="W143" s="29"/>
      <c r="X143">
        <f>'ІЦВ (Стрим Інфл)+'!AK169</f>
        <v>893452.81014526007</v>
      </c>
      <c r="Z143">
        <f t="shared" si="61"/>
        <v>0.20896842227939194</v>
      </c>
      <c r="AA143" s="123">
        <f>'ІЦВ (Стрим Інфл)+'!$AO169</f>
        <v>0.18</v>
      </c>
      <c r="AB143">
        <f t="shared" si="57"/>
        <v>2.4549510406264519E-2</v>
      </c>
      <c r="AC143">
        <f>'ІЦВ (Стрим Інфл)+'!$AH169</f>
        <v>37.5</v>
      </c>
      <c r="AD143">
        <f t="shared" si="62"/>
        <v>0.28205128205128216</v>
      </c>
      <c r="AH143" s="140">
        <f>'ІЦВ (Стрим Інфл)+'!AS169</f>
        <v>17154.146004190199</v>
      </c>
      <c r="AI143" s="33">
        <f t="shared" si="63"/>
        <v>9.7067388730377901E-2</v>
      </c>
      <c r="AO143" s="140">
        <f>'ІЦВ (Стрим Інфл)+'!AX169</f>
        <v>14439.506637335338</v>
      </c>
      <c r="AP143" s="33">
        <f>'ІЦВ (Стрим Інфл)+'!AY169</f>
        <v>2.0988433161533093E-2</v>
      </c>
    </row>
    <row r="144" spans="1:86">
      <c r="A144" s="1">
        <v>2023</v>
      </c>
      <c r="B144" s="1">
        <v>2</v>
      </c>
      <c r="C144" s="1">
        <v>6</v>
      </c>
      <c r="D144" t="str">
        <f t="shared" si="56"/>
        <v>2023M6</v>
      </c>
      <c r="E144" s="33">
        <f>F144/F129-1</f>
        <v>0.12704709439944728</v>
      </c>
      <c r="F144" s="602">
        <f>F143*(1+G144)</f>
        <v>152.90944872768591</v>
      </c>
      <c r="G144" s="763">
        <v>8.0000000000000002E-3</v>
      </c>
      <c r="H144" s="126">
        <f t="shared" si="66"/>
        <v>4.0000000000000001E-3</v>
      </c>
      <c r="I144" s="29">
        <f t="shared" si="58"/>
        <v>0.12704709439944728</v>
      </c>
      <c r="J144">
        <v>6</v>
      </c>
      <c r="K144" s="391">
        <f t="shared" si="67"/>
        <v>152.90944872768591</v>
      </c>
      <c r="L144" s="33">
        <f t="shared" si="68"/>
        <v>8.0000000000000071E-3</v>
      </c>
      <c r="M144" s="119">
        <f t="shared" si="69"/>
        <v>152.30266520098874</v>
      </c>
      <c r="N144" s="33">
        <f t="shared" si="59"/>
        <v>0.1225746852946874</v>
      </c>
      <c r="P144" s="691">
        <v>0.224</v>
      </c>
      <c r="Q144" s="486">
        <v>0.128</v>
      </c>
      <c r="R144" s="486">
        <v>0.128</v>
      </c>
      <c r="S144" s="33">
        <f t="shared" si="60"/>
        <v>0.30901563135595955</v>
      </c>
      <c r="T144" s="746">
        <f t="shared" ref="T144:T149" si="72">T143*$T$152</f>
        <v>0.35</v>
      </c>
      <c r="U144" s="549">
        <f>S144*$T144</f>
        <v>0.10815547097458583</v>
      </c>
      <c r="V144" s="29">
        <f t="shared" si="71"/>
        <v>0.12070533552584162</v>
      </c>
      <c r="W144" s="29"/>
      <c r="X144">
        <f>'ІЦВ (Стрим Інфл)+'!AK170</f>
        <v>907458.19482016994</v>
      </c>
      <c r="Z144">
        <f t="shared" si="61"/>
        <v>0.24416772575299683</v>
      </c>
      <c r="AA144" s="123">
        <f>'ІЦВ (Стрим Інфл)+'!$AO170</f>
        <v>0.18</v>
      </c>
      <c r="AB144">
        <f t="shared" si="57"/>
        <v>5.4379428604234725E-2</v>
      </c>
      <c r="AC144">
        <f>'ІЦВ (Стрим Інфл)+'!$AH170</f>
        <v>37.5</v>
      </c>
      <c r="AD144">
        <f t="shared" si="62"/>
        <v>0.28205128205128216</v>
      </c>
      <c r="AH144" s="140">
        <f>'ІЦВ (Стрим Інфл)+'!AS170</f>
        <v>17436.935641215663</v>
      </c>
      <c r="AI144" s="33">
        <f t="shared" si="63"/>
        <v>4.809481835057583E-2</v>
      </c>
      <c r="AO144" s="140">
        <f>'ІЦВ (Стрим Інфл)+'!AX170</f>
        <v>15577.166266833558</v>
      </c>
      <c r="AP144" s="33">
        <f>'ІЦВ (Стрим Інфл)+'!AY170</f>
        <v>7.4642322943348827E-2</v>
      </c>
    </row>
    <row r="145" spans="1:42">
      <c r="A145" s="1">
        <v>2023</v>
      </c>
      <c r="B145" s="1">
        <v>3</v>
      </c>
      <c r="C145" s="1">
        <v>7</v>
      </c>
      <c r="D145" t="str">
        <f t="shared" si="56"/>
        <v>2023M7</v>
      </c>
      <c r="E145" s="33">
        <f>F145/F130-1</f>
        <v>0.11275471368006507</v>
      </c>
      <c r="F145" s="602">
        <f t="shared" si="65"/>
        <v>151.99199203531978</v>
      </c>
      <c r="G145" s="763">
        <v>-6.0000000000000001E-3</v>
      </c>
      <c r="H145" s="126">
        <f t="shared" si="66"/>
        <v>2E-3</v>
      </c>
      <c r="I145" s="29">
        <f t="shared" si="58"/>
        <v>0.11275471368006507</v>
      </c>
      <c r="J145">
        <v>7</v>
      </c>
      <c r="K145" s="391">
        <f t="shared" si="67"/>
        <v>151.99199203531978</v>
      </c>
      <c r="L145" s="33">
        <f t="shared" si="68"/>
        <v>-6.0000000000001164E-3</v>
      </c>
      <c r="M145" s="119">
        <f t="shared" si="69"/>
        <v>153.21526762514128</v>
      </c>
      <c r="N145" s="33">
        <f t="shared" si="59"/>
        <v>0.12171048602356671</v>
      </c>
      <c r="P145" s="691"/>
      <c r="Q145" s="486">
        <v>0.113</v>
      </c>
      <c r="R145" s="486">
        <v>0.113</v>
      </c>
      <c r="S145" s="33">
        <f t="shared" si="60"/>
        <v>-1.2853680797394074E-2</v>
      </c>
      <c r="T145" s="746">
        <f>T144*$T$152</f>
        <v>0.35</v>
      </c>
      <c r="U145" s="549">
        <f>S145*$T145</f>
        <v>-4.4987882790879256E-3</v>
      </c>
      <c r="V145" s="29">
        <f t="shared" si="71"/>
        <v>8.0510762721678654E-3</v>
      </c>
      <c r="W145" s="29"/>
      <c r="X145">
        <f>'ІЦВ (Стрим Інфл)+'!AK171</f>
        <v>943021.52258211991</v>
      </c>
      <c r="Z145">
        <f t="shared" si="61"/>
        <v>0.29733180614281918</v>
      </c>
      <c r="AA145" s="123">
        <f>'ІЦВ (Стрим Інфл)+'!$AO171</f>
        <v>3.2000000000000001E-2</v>
      </c>
      <c r="AB145">
        <f t="shared" si="57"/>
        <v>0.25710446331668524</v>
      </c>
      <c r="AC145">
        <f>'ІЦВ (Стрим Інфл)+'!$AH171</f>
        <v>37.5</v>
      </c>
      <c r="AD145">
        <f t="shared" si="62"/>
        <v>2.5430680885972112E-2</v>
      </c>
      <c r="AH145" s="140">
        <f>'ІЦВ (Стрим Інфл)+'!AS171</f>
        <v>17518.28</v>
      </c>
      <c r="AI145" s="33">
        <f t="shared" si="63"/>
        <v>7.0699486532534772E-2</v>
      </c>
      <c r="AO145" s="140">
        <f>'ІЦВ (Стрим Інфл)+'!AX171</f>
        <v>15744.439932792207</v>
      </c>
      <c r="AP145" s="33">
        <f>'ІЦВ (Стрим Інфл)+'!AY171</f>
        <v>0.10583609892554491</v>
      </c>
    </row>
    <row r="146" spans="1:42">
      <c r="A146" s="1">
        <v>2023</v>
      </c>
      <c r="B146" s="1">
        <v>3</v>
      </c>
      <c r="C146" s="1">
        <v>8</v>
      </c>
      <c r="D146" t="str">
        <f t="shared" si="56"/>
        <v>2023M8</v>
      </c>
      <c r="E146" s="33">
        <f t="shared" si="64"/>
        <v>8.516649816223798E-2</v>
      </c>
      <c r="F146" s="602">
        <f>F145*(1+G146)</f>
        <v>149.8641041468253</v>
      </c>
      <c r="G146" s="763">
        <v>-1.4E-2</v>
      </c>
      <c r="H146" s="126">
        <f t="shared" si="66"/>
        <v>1.1666666666666668E-3</v>
      </c>
      <c r="I146" s="29">
        <f t="shared" si="58"/>
        <v>8.516649816223798E-2</v>
      </c>
      <c r="J146">
        <v>8</v>
      </c>
      <c r="K146" s="391">
        <f t="shared" si="67"/>
        <v>149.8641041468253</v>
      </c>
      <c r="L146" s="33">
        <f t="shared" si="68"/>
        <v>-1.4000000000000012E-2</v>
      </c>
      <c r="M146" s="119">
        <f t="shared" si="69"/>
        <v>152.16931602602767</v>
      </c>
      <c r="N146" s="33">
        <f>M146/F131-1</f>
        <v>0.10185854537872974</v>
      </c>
      <c r="P146" s="691"/>
      <c r="Q146" s="486">
        <v>8.5999999999999993E-2</v>
      </c>
      <c r="R146" s="486">
        <v>8.5999999999999993E-2</v>
      </c>
      <c r="S146" s="33">
        <f t="shared" si="60"/>
        <v>9.2002538247451526E-2</v>
      </c>
      <c r="T146" s="746">
        <f t="shared" si="72"/>
        <v>0.35</v>
      </c>
      <c r="U146" s="549">
        <f t="shared" si="70"/>
        <v>3.2200888386608034E-2</v>
      </c>
      <c r="V146" s="29">
        <f t="shared" si="71"/>
        <v>4.4750752937863826E-2</v>
      </c>
      <c r="W146" s="29"/>
      <c r="X146">
        <f>'ІЦВ (Стрим Інфл)+'!AK172</f>
        <v>922407.14449592005</v>
      </c>
      <c r="Z146">
        <f t="shared" si="61"/>
        <v>0.22300117992040458</v>
      </c>
      <c r="AA146" s="123">
        <f>'ІЦВ (Стрим Інфл)+'!$AO172</f>
        <v>3.2000000000000001E-2</v>
      </c>
      <c r="AB146">
        <f t="shared" si="57"/>
        <v>0.18507866271357032</v>
      </c>
      <c r="AC146">
        <f>'ІЦВ (Стрим Інфл)+'!$AH172</f>
        <v>37.5</v>
      </c>
      <c r="AD146">
        <f t="shared" si="62"/>
        <v>2.5430680885972112E-2</v>
      </c>
      <c r="AH146" s="140">
        <f>'ІЦВ (Стрим Інфл)+'!AS172</f>
        <v>17439.670000000002</v>
      </c>
      <c r="AI146" s="33">
        <f t="shared" si="63"/>
        <v>0.10509072165129241</v>
      </c>
      <c r="AO146" s="140">
        <f>'ІЦВ (Стрим Інфл)+'!AX172</f>
        <v>15314.83440659275</v>
      </c>
      <c r="AP146" s="33">
        <f>'ІЦВ (Стрим Інфл)+'!AY172</f>
        <v>0.1289663846156941</v>
      </c>
    </row>
    <row r="147" spans="1:42">
      <c r="A147" s="1">
        <v>2023</v>
      </c>
      <c r="B147" s="1">
        <v>3</v>
      </c>
      <c r="C147" s="1">
        <v>9</v>
      </c>
      <c r="D147" t="str">
        <f t="shared" si="56"/>
        <v>2023M9</v>
      </c>
      <c r="E147" s="33">
        <f>F147/F132-1</f>
        <v>7.0741237849239802E-2</v>
      </c>
      <c r="F147" s="602">
        <f t="shared" si="65"/>
        <v>150.6134246675594</v>
      </c>
      <c r="G147" s="882">
        <f t="array" ref="G147:G150">TRANSPOSE('Місячна сезонність'!EA67:ED67)</f>
        <v>5.0000000000000001E-3</v>
      </c>
      <c r="H147" s="126">
        <f t="shared" si="66"/>
        <v>9.5999999999999992E-3</v>
      </c>
      <c r="I147" s="29">
        <f>E147+$AB$203*$I$153</f>
        <v>7.3426886368640087E-2</v>
      </c>
      <c r="J147">
        <v>9</v>
      </c>
      <c r="K147" s="391">
        <f t="shared" si="67"/>
        <v>150.99119541800954</v>
      </c>
      <c r="L147" s="33">
        <f t="shared" si="68"/>
        <v>7.5207554043763558E-3</v>
      </c>
      <c r="M147" s="119">
        <f t="shared" si="69"/>
        <v>151.30279954663482</v>
      </c>
      <c r="N147" s="33">
        <f t="shared" si="59"/>
        <v>7.5642143017505159E-2</v>
      </c>
      <c r="P147" s="691">
        <v>0.245</v>
      </c>
      <c r="Q147" s="486">
        <v>7.0999999999999994E-2</v>
      </c>
      <c r="R147" s="486">
        <v>7.0999999999999994E-2</v>
      </c>
      <c r="S147" s="33">
        <f t="shared" si="60"/>
        <v>5.0556334255493329E-2</v>
      </c>
      <c r="T147" s="746">
        <f t="shared" si="72"/>
        <v>0.35</v>
      </c>
      <c r="U147" s="549">
        <f>S147*$T147</f>
        <v>1.7694716989422665E-2</v>
      </c>
      <c r="V147" s="29">
        <f t="shared" si="71"/>
        <v>3.0244581540678456E-2</v>
      </c>
      <c r="W147" s="29"/>
      <c r="X147">
        <f>'ІЦВ (Стрим Інфл)+'!AK173</f>
        <v>927391.94967375998</v>
      </c>
      <c r="Z147">
        <f t="shared" si="61"/>
        <v>0.2523991710462572</v>
      </c>
      <c r="AA147" s="123">
        <f>'ІЦВ (Стрим Інфл)+'!$AO173</f>
        <v>3.2000000000000001E-2</v>
      </c>
      <c r="AB147">
        <f t="shared" si="57"/>
        <v>0.21356508822311748</v>
      </c>
      <c r="AC147">
        <f>'ІЦВ (Стрим Інфл)+'!$AH173</f>
        <v>37.5</v>
      </c>
      <c r="AD147">
        <f t="shared" si="62"/>
        <v>2.5430680885972112E-2</v>
      </c>
      <c r="AH147" s="140">
        <f>'ІЦВ (Стрим Інфл)+'!AS173</f>
        <v>17755.650000000001</v>
      </c>
      <c r="AI147" s="33">
        <f t="shared" si="63"/>
        <v>9.042912266773806E-2</v>
      </c>
      <c r="AO147" s="140">
        <f>'ІЦВ (Стрим Інфл)+'!AX173</f>
        <v>15808.5138858223</v>
      </c>
      <c r="AP147" s="33">
        <f>'ІЦВ (Стрим Інфл)+'!AY173</f>
        <v>0.12819878624583469</v>
      </c>
    </row>
    <row r="148" spans="1:42">
      <c r="A148" s="1">
        <v>2023</v>
      </c>
      <c r="B148" s="1">
        <v>4</v>
      </c>
      <c r="C148" s="1">
        <v>10</v>
      </c>
      <c r="D148" t="str">
        <f t="shared" si="56"/>
        <v>2023M10</v>
      </c>
      <c r="E148" s="33">
        <f>F148/F133-1</f>
        <v>5.2781468379398788E-2</v>
      </c>
      <c r="F148" s="602">
        <f t="shared" si="65"/>
        <v>151.81833206489986</v>
      </c>
      <c r="G148" s="882">
        <v>8.0000000000000002E-3</v>
      </c>
      <c r="H148" s="126">
        <f t="shared" si="66"/>
        <v>1.0400000000000001E-2</v>
      </c>
      <c r="I148" s="29">
        <f>E148+$AB$203*$I$153*0</f>
        <v>5.2781468379398788E-2</v>
      </c>
      <c r="J148">
        <v>10</v>
      </c>
      <c r="K148" s="391">
        <f t="shared" si="67"/>
        <v>151.81833206489986</v>
      </c>
      <c r="L148" s="33">
        <f t="shared" si="68"/>
        <v>5.4780455549110485E-3</v>
      </c>
      <c r="M148" s="119">
        <f t="shared" si="69"/>
        <v>152.179804284102</v>
      </c>
      <c r="N148" s="33">
        <f t="shared" si="59"/>
        <v>5.5288090923159228E-2</v>
      </c>
      <c r="P148" s="691"/>
      <c r="Q148" s="486">
        <v>5.2999999999999999E-2</v>
      </c>
      <c r="R148" s="486">
        <v>5.2999999999999999E-2</v>
      </c>
      <c r="S148" s="33">
        <f>-1.42148*Z148+0.957716*AD148-0.0233571*AI148+0.3870935</f>
        <v>4.2862983272305533E-2</v>
      </c>
      <c r="T148" s="746">
        <f t="shared" si="72"/>
        <v>0.35</v>
      </c>
      <c r="U148" s="549">
        <f>S148*$T148</f>
        <v>1.5002044145306936E-2</v>
      </c>
      <c r="V148" s="29">
        <f>U148+$AB$206</f>
        <v>2.7551908696562728E-2</v>
      </c>
      <c r="W148" s="29"/>
      <c r="X148">
        <f>'ІЦВ (Стрим Інфл)+'!AK174</f>
        <v>923190.05134101002</v>
      </c>
      <c r="Z148">
        <f>X148/X133-1</f>
        <v>0.25766678410784927</v>
      </c>
      <c r="AA148" s="123">
        <f>'ІЦВ (Стрим Інфл)+'!$AO174</f>
        <v>3.3000000000000002E-2</v>
      </c>
      <c r="AB148">
        <f t="shared" si="57"/>
        <v>0.21748962643547864</v>
      </c>
      <c r="AC148">
        <f>'ІЦВ (Стрим Інфл)+'!$AH174</f>
        <v>37.5</v>
      </c>
      <c r="AD148">
        <f t="shared" si="62"/>
        <v>2.5430680885972112E-2</v>
      </c>
      <c r="AH148" s="140">
        <f>'ІЦВ (Стрим Інфл)+'!AS174</f>
        <v>17963.73</v>
      </c>
      <c r="AI148" s="33">
        <f t="shared" si="63"/>
        <v>9.9229203516639775E-2</v>
      </c>
      <c r="AO148" s="140">
        <f>'ІЦВ (Стрим Інфл)+'!AX174</f>
        <v>15825.501007894374</v>
      </c>
      <c r="AP148" s="33">
        <f>'ІЦВ (Стрим Інфл)+'!AY174</f>
        <v>0.1203989834327448</v>
      </c>
    </row>
    <row r="149" spans="1:42">
      <c r="A149" s="1">
        <v>2023</v>
      </c>
      <c r="B149" s="1">
        <v>4</v>
      </c>
      <c r="C149" s="1">
        <v>11</v>
      </c>
      <c r="D149" t="str">
        <f t="shared" si="56"/>
        <v>2023M11</v>
      </c>
      <c r="E149" s="33">
        <f t="shared" si="64"/>
        <v>5.0891391299910715E-2</v>
      </c>
      <c r="F149" s="602">
        <f t="shared" si="65"/>
        <v>152.57742372522435</v>
      </c>
      <c r="G149" s="882">
        <v>5.0000000000000001E-3</v>
      </c>
      <c r="H149" s="126">
        <f t="shared" si="66"/>
        <v>8.8000000000000005E-3</v>
      </c>
      <c r="I149" s="29">
        <f>E149+$AB$203*$I$153</f>
        <v>5.3577039819310994E-2</v>
      </c>
      <c r="J149">
        <v>11</v>
      </c>
      <c r="K149" s="391">
        <f t="shared" si="67"/>
        <v>152.96734920707141</v>
      </c>
      <c r="L149" s="33">
        <f t="shared" si="68"/>
        <v>7.5683688955321404E-3</v>
      </c>
      <c r="M149" s="119">
        <f t="shared" si="69"/>
        <v>153.15433338707098</v>
      </c>
      <c r="N149" s="33">
        <f t="shared" si="59"/>
        <v>5.4864910988408067E-2</v>
      </c>
      <c r="P149" s="691"/>
      <c r="Q149" s="486">
        <v>5.0999999999999997E-2</v>
      </c>
      <c r="R149" s="486">
        <v>5.0999999999999997E-2</v>
      </c>
      <c r="S149" s="33">
        <f t="shared" si="60"/>
        <v>9.7821009441078299E-2</v>
      </c>
      <c r="T149" s="746">
        <f t="shared" si="72"/>
        <v>0.35</v>
      </c>
      <c r="U149" s="549">
        <f t="shared" si="70"/>
        <v>3.4237353304377403E-2</v>
      </c>
      <c r="V149" s="29">
        <f t="shared" si="71"/>
        <v>4.6787217855633195E-2</v>
      </c>
      <c r="W149" s="29"/>
      <c r="X149">
        <f>'ІЦВ (Стрим Інфл)+'!AK175</f>
        <v>924308.60211822006</v>
      </c>
      <c r="Z149">
        <f t="shared" si="61"/>
        <v>0.21887554410298948</v>
      </c>
      <c r="AA149" s="123">
        <f>'ІЦВ (Стрим Інфл)+'!$AO175</f>
        <v>3.3000000000000002E-2</v>
      </c>
      <c r="AB149">
        <f t="shared" si="57"/>
        <v>0.17993760319747287</v>
      </c>
      <c r="AC149">
        <f>'ІЦВ (Стрим Інфл)+'!$AH175</f>
        <v>37.5</v>
      </c>
      <c r="AD149">
        <f>AC149/AC134-1</f>
        <v>2.5430680885972112E-2</v>
      </c>
      <c r="AH149" s="140">
        <f>'ІЦВ (Стрим Інфл)+'!AS175</f>
        <v>17810.099999999999</v>
      </c>
      <c r="AI149" s="33">
        <f t="shared" si="63"/>
        <v>0.10706175436136411</v>
      </c>
      <c r="AO149" s="140">
        <f>'ІЦВ (Стрим Інфл)+'!AX175</f>
        <v>15841.771490582814</v>
      </c>
      <c r="AP149" s="33">
        <f>'ІЦВ (Стрим Інфл)+'!AY175</f>
        <v>0.11361688124344926</v>
      </c>
    </row>
    <row r="150" spans="1:42">
      <c r="A150" s="1">
        <v>2023</v>
      </c>
      <c r="B150" s="1">
        <v>4</v>
      </c>
      <c r="C150" s="1">
        <v>12</v>
      </c>
      <c r="D150" t="str">
        <f t="shared" si="56"/>
        <v>2023M12</v>
      </c>
      <c r="E150" s="33">
        <f>F150/F135-1</f>
        <v>4.7221837579490167E-2</v>
      </c>
      <c r="F150" s="602">
        <f>F149*(1+G150)</f>
        <v>153.1167323160505</v>
      </c>
      <c r="G150" s="882">
        <v>3.5346552436052573E-3</v>
      </c>
      <c r="H150" s="126">
        <f t="shared" si="66"/>
        <v>5.2000000000000006E-3</v>
      </c>
      <c r="I150" s="29">
        <f>E150+$AB$203*$I$153</f>
        <v>4.9907486098890445E-2</v>
      </c>
      <c r="J150">
        <v>12</v>
      </c>
      <c r="K150" s="391">
        <f t="shared" si="67"/>
        <v>153.50940721136251</v>
      </c>
      <c r="L150" s="33">
        <f t="shared" si="68"/>
        <v>3.5436189951707497E-3</v>
      </c>
      <c r="M150" s="119">
        <f t="shared" si="69"/>
        <v>153.37082632859554</v>
      </c>
      <c r="N150" s="33">
        <f t="shared" si="59"/>
        <v>4.8959680300598718E-2</v>
      </c>
      <c r="P150" s="691">
        <v>0.20799999999999999</v>
      </c>
      <c r="Q150" s="486">
        <v>5.0999999999999997E-2</v>
      </c>
      <c r="R150" s="29">
        <f>E207</f>
        <v>4.6089106138474278E-2</v>
      </c>
      <c r="S150" s="33">
        <f>-1.42148*Z150+0.957716*AD150-0.0233571*AI150+0.3870935</f>
        <v>0.12629883131961567</v>
      </c>
      <c r="T150" s="493">
        <v>0.35</v>
      </c>
      <c r="U150" s="549">
        <f t="shared" si="70"/>
        <v>4.4204590961865478E-2</v>
      </c>
      <c r="V150" s="29">
        <f>U150+$AB$206</f>
        <v>5.675445551312127E-2</v>
      </c>
      <c r="W150" s="29"/>
      <c r="X150">
        <f>'ІЦВ (Стрим Інфл)+'!AK176</f>
        <v>950997.28716030531</v>
      </c>
      <c r="Z150">
        <f>X150/X135-1</f>
        <v>0.19994081918482465</v>
      </c>
      <c r="AA150" s="123">
        <f>'ІЦВ (Стрим Інфл)+'!$AO176</f>
        <v>3.3000000000000002E-2</v>
      </c>
      <c r="AB150">
        <f t="shared" si="57"/>
        <v>0.16160776300563873</v>
      </c>
      <c r="AC150">
        <f>'ІЦВ (Стрим Інфл)+'!$AH176</f>
        <v>37.5</v>
      </c>
      <c r="AD150">
        <f t="shared" si="62"/>
        <v>2.5430680885972112E-2</v>
      </c>
      <c r="AH150" s="140">
        <f>'ІЦВ (Стрим Інфл)+'!AS176</f>
        <v>19654.830000000002</v>
      </c>
      <c r="AI150" s="33">
        <f>AH150/AH135-1</f>
        <v>4.0166073739009711E-2</v>
      </c>
      <c r="AO150" s="140">
        <f>'ІЦВ (Стрим Інфл)+'!AX176</f>
        <v>18618.478603682084</v>
      </c>
      <c r="AP150" s="33">
        <f>'ІЦВ (Стрим Інфл)+'!AY176</f>
        <v>0.24163287258813693</v>
      </c>
    </row>
    <row r="151" spans="1:42">
      <c r="E151" s="33"/>
      <c r="F151" s="545"/>
      <c r="AI151" s="33"/>
    </row>
    <row r="152" spans="1:42">
      <c r="E152" s="604">
        <f>AVERAGE(E139:E150)</f>
        <v>0.1332893996242461</v>
      </c>
      <c r="I152" s="604">
        <f>AVERAGE(I139:I150)</f>
        <v>0.13396081175409616</v>
      </c>
      <c r="K152" s="605" t="s">
        <v>490</v>
      </c>
      <c r="P152" s="691">
        <v>0.25800000000000001</v>
      </c>
      <c r="Q152" s="589">
        <f>AVERAGE(Q139:Q150)</f>
        <v>0.13391666666666666</v>
      </c>
      <c r="R152" s="589">
        <f>AVERAGE(R139:R150)</f>
        <v>0.13350742551153952</v>
      </c>
      <c r="T152">
        <f>(T150/T143)^(1/7)</f>
        <v>1</v>
      </c>
      <c r="U152" s="589">
        <f>AVERAGE(U139:U150)</f>
        <v>0.1114470906164659</v>
      </c>
      <c r="V152" s="589">
        <f>AVERAGE(V139:V150)</f>
        <v>0.11981366698396978</v>
      </c>
    </row>
    <row r="153" spans="1:42">
      <c r="A153" s="1"/>
      <c r="B153" s="1"/>
      <c r="C153" s="1"/>
      <c r="G153" s="33"/>
      <c r="I153" s="309">
        <v>0.3</v>
      </c>
    </row>
    <row r="154" spans="1:42">
      <c r="A154">
        <v>2024</v>
      </c>
      <c r="B154">
        <v>1</v>
      </c>
      <c r="C154">
        <v>1</v>
      </c>
      <c r="F154" s="391">
        <f>F139*(1+Q154)</f>
        <v>158.6176121368203</v>
      </c>
      <c r="G154" s="33">
        <f>F154/F150-1</f>
        <v>3.5926052871970482E-2</v>
      </c>
      <c r="H154" s="119">
        <f>F150*(1+G139)</f>
        <v>154.3416661745789</v>
      </c>
      <c r="I154" s="33">
        <f>H154/F139-1</f>
        <v>4.7221837579490389E-2</v>
      </c>
      <c r="J154" s="332"/>
      <c r="K154" s="109">
        <f>-0.0958005*AB154+0.0733532*AD154+0.3412766*AI154+0.0222426</f>
        <v>7.6234508616124338E-2</v>
      </c>
      <c r="L154" s="98">
        <v>1</v>
      </c>
      <c r="Q154" s="29">
        <f>K154*L154</f>
        <v>7.6234508616124338E-2</v>
      </c>
      <c r="S154" s="33">
        <f>-1.42148*Z154+0.957716*AD154-0.0233571*AI154+0.3870935</f>
        <v>0.15269655272454072</v>
      </c>
      <c r="X154" s="158">
        <f>'ІЦВ (Стрим Інфл)+'!AK180</f>
        <v>977650.53210921644</v>
      </c>
      <c r="Y154" s="120"/>
      <c r="Z154">
        <f>X154/X139-1</f>
        <v>0.17813239420598115</v>
      </c>
      <c r="AA154" s="123">
        <f>'ІЦВ (Стрим Інфл)+'!$AO180</f>
        <v>0.08</v>
      </c>
      <c r="AB154">
        <f t="shared" ref="AB154:AB165" si="73">(1+Z154)/(1+AA154)-1</f>
        <v>9.086332796850094E-2</v>
      </c>
      <c r="AC154">
        <f>'ІЦВ (Стрим Інфл)+'!$AH180</f>
        <v>38.4</v>
      </c>
      <c r="AD154">
        <f t="shared" ref="AD154:AD165" si="74">AC154/AC139-1</f>
        <v>2.4000000000000021E-2</v>
      </c>
      <c r="AE154" s="120"/>
      <c r="AH154" s="140">
        <f>'ІЦВ (Стрим Інфл)+'!AS180</f>
        <v>18009.772993627608</v>
      </c>
      <c r="AI154" s="33">
        <f>AH154/AH139-1</f>
        <v>0.17855365432956938</v>
      </c>
      <c r="AO154" s="140"/>
    </row>
    <row r="155" spans="1:42">
      <c r="A155">
        <v>2024</v>
      </c>
      <c r="B155">
        <v>1</v>
      </c>
      <c r="C155">
        <v>2</v>
      </c>
      <c r="F155" s="391">
        <f t="shared" ref="F155:F165" si="75">F140*(1+Q155)</f>
        <v>159.61223713053579</v>
      </c>
      <c r="G155" s="33">
        <f>F155/F154-1</f>
        <v>6.2705835771725837E-3</v>
      </c>
      <c r="H155" s="119">
        <f>F154*(1+G140)</f>
        <v>159.72793542177803</v>
      </c>
      <c r="I155" s="33">
        <f t="shared" ref="I155:I165" si="76">H155/F140-1</f>
        <v>7.6234508616124241E-2</v>
      </c>
      <c r="K155" s="109">
        <f t="shared" ref="K155:K164" si="77">-0.0958005*AB155+0.0733532*AD155+0.3412766*AI155+0.0222426</f>
        <v>7.6994839238634885E-2</v>
      </c>
      <c r="L155" s="98">
        <v>0.98</v>
      </c>
      <c r="Q155" s="29">
        <f>K155*L155</f>
        <v>7.5454942453862181E-2</v>
      </c>
      <c r="S155" s="33">
        <f>-1.42148*Z155+0.957716*AD155-0.0233571*AI155+0.3870935</f>
        <v>0.18364557944094817</v>
      </c>
      <c r="X155" s="158">
        <f>'ІЦВ (Стрим Інфл)+'!AK181</f>
        <v>982980.64841868822</v>
      </c>
      <c r="Z155">
        <f t="shared" ref="Z155:Z165" si="78">X155/X140-1</f>
        <v>0.16054143246456465</v>
      </c>
      <c r="AA155" s="123">
        <f>'ІЦВ (Стрим Інфл)+'!$AO181</f>
        <v>0.08</v>
      </c>
      <c r="AB155">
        <f t="shared" si="73"/>
        <v>7.4575400430152428E-2</v>
      </c>
      <c r="AC155">
        <f>'ІЦВ (Стрим Інфл)+'!$AH181</f>
        <v>38.629387962299688</v>
      </c>
      <c r="AD155">
        <f t="shared" si="74"/>
        <v>3.0117012327991688E-2</v>
      </c>
      <c r="AE155" s="124"/>
      <c r="AH155" s="140">
        <f>'ІЦВ (Стрим Інфл)+'!AS181</f>
        <v>18142.730259245323</v>
      </c>
      <c r="AI155" s="33">
        <f>AH155/AH140-1</f>
        <v>0.17489455960017786</v>
      </c>
    </row>
    <row r="156" spans="1:42">
      <c r="A156">
        <v>2024</v>
      </c>
      <c r="B156">
        <v>1</v>
      </c>
      <c r="C156">
        <v>3</v>
      </c>
      <c r="F156" s="391">
        <f t="shared" si="75"/>
        <v>161.83921422547832</v>
      </c>
      <c r="G156" s="33">
        <f>F156/F155-1</f>
        <v>1.3952420785388941E-2</v>
      </c>
      <c r="H156" s="119">
        <f t="shared" ref="H156:H165" si="79">F155*(1+G141)</f>
        <v>162.0064206874938</v>
      </c>
      <c r="I156" s="33">
        <f t="shared" si="76"/>
        <v>7.5454942453862195E-2</v>
      </c>
      <c r="K156" s="109">
        <f>-0.0958005*AB156+0.0733532*AD156+0.3412766*AI156+0.0222426</f>
        <v>8.260551981029543E-2</v>
      </c>
      <c r="L156" s="98">
        <v>0.9</v>
      </c>
      <c r="Q156" s="29">
        <f t="shared" ref="Q156:Q165" si="80">K156*L156</f>
        <v>7.434496782926589E-2</v>
      </c>
      <c r="S156" s="33">
        <f t="shared" ref="S156:S165" si="81">-1.42148*Z156+0.957716*AD156-0.0233571*AI156+0.3870935</f>
        <v>0.24072290832909304</v>
      </c>
      <c r="X156" s="158">
        <f>'ІЦВ (Стрим Інфл)+'!AK182</f>
        <v>971238.67900622461</v>
      </c>
      <c r="Z156">
        <f t="shared" si="78"/>
        <v>0.12443968985811082</v>
      </c>
      <c r="AA156" s="123">
        <f>'ІЦВ (Стрим Інфл)+'!$AO182</f>
        <v>0.08</v>
      </c>
      <c r="AB156">
        <f t="shared" si="73"/>
        <v>4.114786097973222E-2</v>
      </c>
      <c r="AC156">
        <f>'ІЦВ (Стрим Інфл)+'!$AH182</f>
        <v>38.86014620681938</v>
      </c>
      <c r="AD156">
        <f t="shared" si="74"/>
        <v>3.6270565515183373E-2</v>
      </c>
      <c r="AE156" s="124"/>
      <c r="AH156" s="140">
        <f>'ІЦВ (Стрим Інфл)+'!AS182</f>
        <v>18399.661513575946</v>
      </c>
      <c r="AI156" s="33">
        <f>AH156/AH141-1</f>
        <v>0.18062868482555183</v>
      </c>
    </row>
    <row r="157" spans="1:42">
      <c r="A157">
        <v>2024</v>
      </c>
      <c r="B157">
        <v>2</v>
      </c>
      <c r="C157">
        <v>4</v>
      </c>
      <c r="F157" s="391">
        <f t="shared" si="75"/>
        <v>160.86210013531161</v>
      </c>
      <c r="G157" s="33">
        <f t="shared" ref="G157:G165" si="82">F157/F156-1</f>
        <v>-6.0375607657447983E-3</v>
      </c>
      <c r="H157" s="119">
        <f t="shared" si="79"/>
        <v>162.16289265392928</v>
      </c>
      <c r="I157" s="33">
        <f>H157/F142-1</f>
        <v>7.4344967829265807E-2</v>
      </c>
      <c r="K157" s="109">
        <f>-0.0958005*AB157+0.0733532*AD157+0.3412766*AI157+0.0222426</f>
        <v>4.7628326537233229E-2</v>
      </c>
      <c r="L157" s="98">
        <v>1.38</v>
      </c>
      <c r="Q157" s="29">
        <f>K157*L157</f>
        <v>6.5727090621381851E-2</v>
      </c>
      <c r="S157" s="33">
        <f t="shared" si="81"/>
        <v>0.21988214832846176</v>
      </c>
      <c r="X157" s="158">
        <f>'ІЦВ (Стрим Інфл)+'!AK183</f>
        <v>991990.81366396137</v>
      </c>
      <c r="Z157">
        <f t="shared" si="78"/>
        <v>0.14470304027776604</v>
      </c>
      <c r="AA157" s="123">
        <f>'ІЦВ (Стрим Інфл)+'!$AO183</f>
        <v>0.04</v>
      </c>
      <c r="AB157">
        <f t="shared" si="73"/>
        <v>0.10067600026708279</v>
      </c>
      <c r="AC157">
        <f>'ІЦВ (Стрим Інфл)+'!$AH183</f>
        <v>39.092282919138398</v>
      </c>
      <c r="AD157">
        <f t="shared" si="74"/>
        <v>4.246087784369057E-2</v>
      </c>
      <c r="AE157" s="124"/>
      <c r="AH157" s="140">
        <f>'ІЦВ (Стрим Інфл)+'!AS183</f>
        <v>18520.690863539232</v>
      </c>
      <c r="AI157" s="33">
        <f t="shared" ref="AI157:AI164" si="83">AH157/AH142-1</f>
        <v>9.3519146745414394E-2</v>
      </c>
    </row>
    <row r="158" spans="1:42">
      <c r="A158">
        <v>2024</v>
      </c>
      <c r="B158">
        <v>2</v>
      </c>
      <c r="C158">
        <v>5</v>
      </c>
      <c r="F158" s="391">
        <f t="shared" si="75"/>
        <v>160.42751074736955</v>
      </c>
      <c r="G158" s="33">
        <f t="shared" si="82"/>
        <v>-2.7016269685431471E-3</v>
      </c>
      <c r="H158" s="119">
        <f t="shared" si="79"/>
        <v>161.66641063598814</v>
      </c>
      <c r="I158" s="33">
        <f t="shared" si="76"/>
        <v>6.5727090621381823E-2</v>
      </c>
      <c r="K158" s="109">
        <f t="shared" si="77"/>
        <v>4.6048074485374936E-2</v>
      </c>
      <c r="L158" s="98">
        <v>1.25</v>
      </c>
      <c r="Q158" s="29">
        <f t="shared" si="80"/>
        <v>5.7560093106718668E-2</v>
      </c>
      <c r="S158" s="33">
        <f t="shared" si="81"/>
        <v>0.25468737883384929</v>
      </c>
      <c r="X158" s="158">
        <f>'ІЦВ (Стрим Інфл)+'!AK184</f>
        <v>1004777.6372944616</v>
      </c>
      <c r="Z158">
        <f t="shared" si="78"/>
        <v>0.12460067939245945</v>
      </c>
      <c r="AA158" s="123">
        <f>'ІЦВ (Стрим Інфл)+'!$AO184</f>
        <v>0.04</v>
      </c>
      <c r="AB158">
        <f t="shared" si="73"/>
        <v>8.1346807108134023E-2</v>
      </c>
      <c r="AC158">
        <f>'ІЦВ (Стрим Інфл)+'!$AH184</f>
        <v>39.325806333733816</v>
      </c>
      <c r="AD158">
        <f t="shared" si="74"/>
        <v>4.8688168899568396E-2</v>
      </c>
      <c r="AE158" s="124"/>
      <c r="AH158" s="140">
        <f>'ІЦВ (Стрим Інфл)+'!AS184</f>
        <v>18562.918458420201</v>
      </c>
      <c r="AI158" s="33">
        <f t="shared" si="83"/>
        <v>8.2124312914550579E-2</v>
      </c>
    </row>
    <row r="159" spans="1:42">
      <c r="A159">
        <v>2024</v>
      </c>
      <c r="B159">
        <v>2</v>
      </c>
      <c r="C159">
        <v>6</v>
      </c>
      <c r="F159" s="391">
        <f t="shared" si="75"/>
        <v>160.82414490267132</v>
      </c>
      <c r="G159" s="33">
        <f t="shared" si="82"/>
        <v>2.4723574744380805E-3</v>
      </c>
      <c r="H159" s="119">
        <f t="shared" si="79"/>
        <v>161.7109308333485</v>
      </c>
      <c r="I159" s="33">
        <f t="shared" si="76"/>
        <v>5.7560093106718391E-2</v>
      </c>
      <c r="K159" s="109">
        <f>-0.0958005*AB159+0.0733532*AD159+0.3412766*AI159+0.0222426</f>
        <v>5.7511860347859947E-2</v>
      </c>
      <c r="L159" s="98">
        <v>0.9</v>
      </c>
      <c r="Q159" s="29">
        <f t="shared" si="80"/>
        <v>5.1760674313073955E-2</v>
      </c>
      <c r="S159" s="33">
        <f t="shared" si="81"/>
        <v>0.2708655479740687</v>
      </c>
      <c r="X159" s="158">
        <f>'ІЦВ (Стрим Інфл)+'!AK185</f>
        <v>1013580.2309365758</v>
      </c>
      <c r="Z159">
        <f t="shared" si="78"/>
        <v>0.11694426996434348</v>
      </c>
      <c r="AA159" s="123">
        <f>'ІЦВ (Стрим Інфл)+'!$AO185</f>
        <v>0.04</v>
      </c>
      <c r="AB159">
        <f t="shared" si="73"/>
        <v>7.398487496571482E-2</v>
      </c>
      <c r="AC159">
        <f>'ІЦВ (Стрим Інфл)+'!$AH185</f>
        <v>39.560724734272547</v>
      </c>
      <c r="AD159">
        <f t="shared" si="74"/>
        <v>5.495265958060136E-2</v>
      </c>
      <c r="AE159" s="124"/>
      <c r="AH159" s="140">
        <f>'ІЦВ (Стрим Інфл)+'!AS185</f>
        <v>19395.140952480677</v>
      </c>
      <c r="AI159" s="33">
        <f t="shared" si="83"/>
        <v>0.11230214709495212</v>
      </c>
    </row>
    <row r="160" spans="1:42">
      <c r="A160">
        <v>2024</v>
      </c>
      <c r="B160">
        <v>3</v>
      </c>
      <c r="C160">
        <v>7</v>
      </c>
      <c r="F160" s="391">
        <f t="shared" si="75"/>
        <v>160.71975008664208</v>
      </c>
      <c r="G160" s="33">
        <f t="shared" si="82"/>
        <v>-6.4912402358752175E-4</v>
      </c>
      <c r="H160" s="119">
        <f t="shared" si="79"/>
        <v>159.85920003325529</v>
      </c>
      <c r="I160" s="33">
        <f t="shared" si="76"/>
        <v>5.1760674313073851E-2</v>
      </c>
      <c r="K160" s="109">
        <f>-0.0958005*AB160+0.0733532*AD160+0.3412766*AI160+0.0222426</f>
        <v>6.7555866010548749E-2</v>
      </c>
      <c r="L160" s="98">
        <v>0.85</v>
      </c>
      <c r="Q160" s="29">
        <f>K160*L160</f>
        <v>5.7422486108966435E-2</v>
      </c>
      <c r="S160" s="33">
        <f t="shared" si="81"/>
        <v>0.32981703461456141</v>
      </c>
      <c r="X160" s="158">
        <f>'ІЦВ (Стрим Інфл)+'!AK186</f>
        <v>1017928.0541646022</v>
      </c>
      <c r="Z160">
        <f t="shared" si="78"/>
        <v>7.9432472948632205E-2</v>
      </c>
      <c r="AA160" s="123">
        <f>'ІЦВ (Стрим Інфл)+'!$AO186</f>
        <v>4.2000000000000003E-2</v>
      </c>
      <c r="AB160">
        <f t="shared" si="73"/>
        <v>3.5923678453581687E-2</v>
      </c>
      <c r="AC160">
        <f>'ІЦВ (Стрим Інфл)+'!$AH186</f>
        <v>39.797046453905196</v>
      </c>
      <c r="AD160">
        <f t="shared" si="74"/>
        <v>6.1254572104138649E-2</v>
      </c>
      <c r="AE160" s="124"/>
      <c r="AH160" s="140">
        <f>'ІЦВ (Стрим Інфл)+'!AS186</f>
        <v>19790.297147582925</v>
      </c>
      <c r="AI160" s="33">
        <f t="shared" si="83"/>
        <v>0.12969407656361964</v>
      </c>
    </row>
    <row r="161" spans="1:35">
      <c r="A161">
        <v>2024</v>
      </c>
      <c r="B161">
        <v>3</v>
      </c>
      <c r="C161">
        <v>8</v>
      </c>
      <c r="F161" s="391">
        <f>F146*(1+Q161)</f>
        <v>159.14134976034316</v>
      </c>
      <c r="G161" s="33">
        <f>F161/F160-1</f>
        <v>-9.8208236725606524E-3</v>
      </c>
      <c r="H161" s="119">
        <f t="shared" si="79"/>
        <v>158.46967358542909</v>
      </c>
      <c r="I161" s="33">
        <f t="shared" si="76"/>
        <v>5.7422486108966497E-2</v>
      </c>
      <c r="K161" s="109">
        <f t="shared" si="77"/>
        <v>6.1904387754046372E-2</v>
      </c>
      <c r="L161" s="98">
        <v>1</v>
      </c>
      <c r="Q161" s="29">
        <f t="shared" si="80"/>
        <v>6.1904387754046372E-2</v>
      </c>
      <c r="S161" s="33">
        <f t="shared" si="81"/>
        <v>0.28940410469615196</v>
      </c>
      <c r="X161" s="158">
        <f>'ІЦВ (Стрим Інфл)+'!AK187</f>
        <v>1025977.7651502874</v>
      </c>
      <c r="Z161">
        <f t="shared" si="78"/>
        <v>0.11228297750335292</v>
      </c>
      <c r="AA161" s="123">
        <f>'ІЦВ (Стрим Інфл)+'!$AO187</f>
        <v>4.2000000000000003E-2</v>
      </c>
      <c r="AB161">
        <f t="shared" si="73"/>
        <v>6.7450074379417302E-2</v>
      </c>
      <c r="AC161">
        <f>'ІЦВ (Стрим Інфл)+'!$AH187</f>
        <v>40.03477987556164</v>
      </c>
      <c r="AD161">
        <f t="shared" si="74"/>
        <v>6.7594130014977161E-2</v>
      </c>
      <c r="AE161" s="124"/>
      <c r="AH161" s="140">
        <f>'ІЦВ (Стрим Інфл)+'!AS187</f>
        <v>19543.269025103524</v>
      </c>
      <c r="AI161" s="33">
        <f t="shared" si="83"/>
        <v>0.12062149255711385</v>
      </c>
    </row>
    <row r="162" spans="1:35">
      <c r="A162">
        <v>2024</v>
      </c>
      <c r="B162">
        <v>3</v>
      </c>
      <c r="C162">
        <v>9</v>
      </c>
      <c r="F162" s="391">
        <f t="shared" si="75"/>
        <v>160.39515120529609</v>
      </c>
      <c r="G162" s="33">
        <f t="shared" si="82"/>
        <v>7.8785397185652251E-3</v>
      </c>
      <c r="H162" s="119">
        <f t="shared" si="79"/>
        <v>159.93705650914487</v>
      </c>
      <c r="I162" s="33">
        <f t="shared" si="76"/>
        <v>6.1904387754046386E-2</v>
      </c>
      <c r="K162" s="109">
        <f t="shared" si="77"/>
        <v>6.4945914079886008E-2</v>
      </c>
      <c r="L162" s="98">
        <v>1</v>
      </c>
      <c r="Q162" s="29">
        <f t="shared" si="80"/>
        <v>6.4945914079886008E-2</v>
      </c>
      <c r="S162" s="33">
        <f t="shared" si="81"/>
        <v>0.32420703512977966</v>
      </c>
      <c r="X162" s="158">
        <f>'ІЦВ (Стрим Інфл)+'!AK188</f>
        <v>1012769.2738628993</v>
      </c>
      <c r="Z162">
        <f t="shared" si="78"/>
        <v>9.2061748238351226E-2</v>
      </c>
      <c r="AA162" s="123">
        <f>'ІЦВ (Стрим Інфл)+'!$AO188</f>
        <v>4.2000000000000003E-2</v>
      </c>
      <c r="AB162">
        <f t="shared" si="73"/>
        <v>4.804390425945404E-2</v>
      </c>
      <c r="AC162">
        <f>'ІЦВ (Стрим Інфл)+'!$AH188</f>
        <v>40.273933432248398</v>
      </c>
      <c r="AD162">
        <f t="shared" si="74"/>
        <v>7.397155819329071E-2</v>
      </c>
      <c r="AE162" s="124"/>
      <c r="AH162" s="140">
        <f>'ІЦВ (Стрим Інфл)+'!AS188</f>
        <v>19934.541647671926</v>
      </c>
      <c r="AI162" s="33">
        <f t="shared" si="83"/>
        <v>0.12271539750287519</v>
      </c>
    </row>
    <row r="163" spans="1:35">
      <c r="A163">
        <v>2024</v>
      </c>
      <c r="B163">
        <v>4</v>
      </c>
      <c r="C163">
        <v>10</v>
      </c>
      <c r="F163" s="391">
        <f t="shared" si="75"/>
        <v>163.09830348024349</v>
      </c>
      <c r="G163" s="33">
        <f t="shared" si="82"/>
        <v>1.6853079751067535E-2</v>
      </c>
      <c r="H163" s="119">
        <f t="shared" si="79"/>
        <v>161.67831241493846</v>
      </c>
      <c r="I163" s="33">
        <f t="shared" si="76"/>
        <v>6.4945914079886036E-2</v>
      </c>
      <c r="K163" s="109">
        <f t="shared" si="77"/>
        <v>7.429913938536481E-2</v>
      </c>
      <c r="L163" s="98">
        <v>1</v>
      </c>
      <c r="Q163" s="29">
        <f t="shared" si="80"/>
        <v>7.429913938536481E-2</v>
      </c>
      <c r="S163" s="33">
        <f t="shared" si="81"/>
        <v>0.30373444282581008</v>
      </c>
      <c r="X163" s="158">
        <f>'ІЦВ (Стрим Інфл)+'!AK189</f>
        <v>1025010.7352777197</v>
      </c>
      <c r="Z163">
        <f t="shared" si="78"/>
        <v>0.11029222399960514</v>
      </c>
      <c r="AA163" s="123">
        <f>'ІЦВ (Стрим Інфл)+'!$AO189</f>
        <v>4.4999999999999998E-2</v>
      </c>
      <c r="AB163">
        <f t="shared" si="73"/>
        <v>6.2480597128808713E-2</v>
      </c>
      <c r="AC163">
        <f>'ІЦВ (Стрим Інфл)+'!$AH189</f>
        <v>40.514515607347796</v>
      </c>
      <c r="AD163">
        <f t="shared" si="74"/>
        <v>8.0387082862607873E-2</v>
      </c>
      <c r="AE163" s="124"/>
      <c r="AH163" s="140">
        <f>'ІЦВ (Стрим Інфл)+'!AS189</f>
        <v>20708.508861531449</v>
      </c>
      <c r="AI163" s="33">
        <f t="shared" si="83"/>
        <v>0.15279559765880757</v>
      </c>
    </row>
    <row r="164" spans="1:35">
      <c r="A164">
        <v>2024</v>
      </c>
      <c r="B164">
        <v>4</v>
      </c>
      <c r="C164">
        <v>11</v>
      </c>
      <c r="F164" s="391">
        <f t="shared" si="75"/>
        <v>164.11380941759811</v>
      </c>
      <c r="G164" s="33">
        <f t="shared" si="82"/>
        <v>6.2263427373885349E-3</v>
      </c>
      <c r="H164" s="119">
        <f t="shared" si="79"/>
        <v>163.91379499764469</v>
      </c>
      <c r="I164" s="33">
        <f t="shared" si="76"/>
        <v>7.4299139385364921E-2</v>
      </c>
      <c r="K164" s="109">
        <f t="shared" si="77"/>
        <v>7.5610043810606931E-2</v>
      </c>
      <c r="L164" s="98">
        <v>1</v>
      </c>
      <c r="Q164" s="29">
        <f t="shared" si="80"/>
        <v>7.5610043810606931E-2</v>
      </c>
      <c r="S164" s="33">
        <f t="shared" si="81"/>
        <v>0.30885149228758779</v>
      </c>
      <c r="X164" s="158">
        <f>'ІЦВ (Стрим Інфл)+'!AK190</f>
        <v>1026904.3037359401</v>
      </c>
      <c r="Z164">
        <f t="shared" si="78"/>
        <v>0.1109972377002697</v>
      </c>
      <c r="AA164" s="123">
        <f>'ІЦВ (Стрим Інфл)+'!$AO190</f>
        <v>4.4999999999999998E-2</v>
      </c>
      <c r="AB164">
        <f t="shared" si="73"/>
        <v>6.3155251387817968E-2</v>
      </c>
      <c r="AC164">
        <f>'ІЦВ (Стрим Інфл)+'!$AH190</f>
        <v>40.756534934918847</v>
      </c>
      <c r="AD164">
        <f>AC164/AC149-1</f>
        <v>8.6840931597836013E-2</v>
      </c>
      <c r="AE164" s="124"/>
      <c r="AH164" s="140">
        <f>'ІЦВ (Стрим Інфл)+'!AS190</f>
        <v>20578.483863578273</v>
      </c>
      <c r="AI164" s="33">
        <f t="shared" si="83"/>
        <v>0.15543898482199836</v>
      </c>
    </row>
    <row r="165" spans="1:35">
      <c r="A165">
        <v>2024</v>
      </c>
      <c r="B165">
        <v>4</v>
      </c>
      <c r="C165">
        <v>12</v>
      </c>
      <c r="F165" s="391">
        <f t="shared" si="75"/>
        <v>166.08184748674336</v>
      </c>
      <c r="G165" s="33">
        <f t="shared" si="82"/>
        <v>1.1991910224553148E-2</v>
      </c>
      <c r="H165" s="119">
        <f t="shared" si="79"/>
        <v>164.69389515460406</v>
      </c>
      <c r="I165" s="33">
        <f t="shared" si="76"/>
        <v>7.5610043810607097E-2</v>
      </c>
      <c r="K165" s="109">
        <f>-0.0958005*AB165+0.0733532*AD165+0.3412766*AI165+0.0222426</f>
        <v>8.4674711735170508E-2</v>
      </c>
      <c r="L165" s="98">
        <v>1</v>
      </c>
      <c r="Q165" s="29">
        <f t="shared" si="80"/>
        <v>8.4674711735170508E-2</v>
      </c>
      <c r="S165" s="33">
        <f t="shared" si="81"/>
        <v>0.33422507105150806</v>
      </c>
      <c r="X165" s="158">
        <f>'ІЦВ (Стрим Інфл)+'!AK191</f>
        <v>1043404.6282872281</v>
      </c>
      <c r="Z165">
        <f t="shared" si="78"/>
        <v>9.716887984281497E-2</v>
      </c>
      <c r="AA165" s="123">
        <f>'ІЦВ (Стрим Інфл)+'!$AO191</f>
        <v>4.4999999999999998E-2</v>
      </c>
      <c r="AB165">
        <f t="shared" si="73"/>
        <v>4.992237305532532E-2</v>
      </c>
      <c r="AC165">
        <f>'ІЦВ (Стрим Інфл)+'!$AH191</f>
        <v>41</v>
      </c>
      <c r="AD165">
        <f t="shared" si="74"/>
        <v>9.3333333333333268E-2</v>
      </c>
      <c r="AE165" s="124"/>
      <c r="AH165" s="140">
        <f>'ІЦВ (Стрим Інфл)+'!AS191</f>
        <v>23131.571933866795</v>
      </c>
      <c r="AI165" s="33">
        <f>AH165/AH150-1</f>
        <v>0.17688995192870105</v>
      </c>
    </row>
    <row r="166" spans="1:35">
      <c r="H166" s="119"/>
      <c r="I166" s="123"/>
      <c r="Z166" s="124"/>
      <c r="AA166" s="124"/>
      <c r="AB166" s="124"/>
      <c r="AC166" s="124"/>
      <c r="AD166" s="124"/>
      <c r="AE166" s="124"/>
    </row>
    <row r="167" spans="1:35">
      <c r="I167" s="123"/>
      <c r="Q167" s="589">
        <f>AVERAGE(Q154:Q165)</f>
        <v>6.8328246651205668E-2</v>
      </c>
      <c r="Z167" s="124"/>
      <c r="AA167" s="124"/>
      <c r="AB167" s="124"/>
      <c r="AC167" s="124"/>
      <c r="AD167" s="124"/>
      <c r="AE167" s="124"/>
    </row>
    <row r="168" spans="1:35">
      <c r="G168" s="126">
        <v>2E-3</v>
      </c>
      <c r="H168" t="s">
        <v>1932</v>
      </c>
      <c r="I168" s="123"/>
      <c r="Z168" s="124"/>
      <c r="AA168" s="124"/>
      <c r="AB168" s="124"/>
      <c r="AC168" s="124"/>
      <c r="AD168" s="124"/>
      <c r="AE168" s="124"/>
    </row>
    <row r="169" spans="1:35">
      <c r="I169" s="123"/>
      <c r="Z169" s="124"/>
      <c r="AA169" s="124"/>
      <c r="AB169" s="124"/>
      <c r="AC169" s="124"/>
      <c r="AD169" s="124"/>
      <c r="AE169" s="124"/>
    </row>
    <row r="170" spans="1:35">
      <c r="C170">
        <v>1</v>
      </c>
      <c r="F170" s="391">
        <f>F150*(1+G170)</f>
        <v>158.9238456014524</v>
      </c>
      <c r="G170" s="29">
        <f>G154+$G$168</f>
        <v>3.7926052871970484E-2</v>
      </c>
      <c r="I170" s="33">
        <f t="shared" ref="I170:I181" si="84">F170/F139-1</f>
        <v>7.831232972243285E-2</v>
      </c>
      <c r="Z170" s="124"/>
      <c r="AA170" s="124"/>
      <c r="AB170" s="124"/>
      <c r="AC170" s="124"/>
      <c r="AD170" s="124"/>
      <c r="AE170" s="124"/>
    </row>
    <row r="171" spans="1:35">
      <c r="C171">
        <v>2</v>
      </c>
      <c r="F171" s="391">
        <f t="shared" ref="F171:F181" si="85">F170*(1+G171)</f>
        <v>160.23823854890489</v>
      </c>
      <c r="G171" s="29">
        <f t="shared" ref="G171:G181" si="86">G155+$G$168</f>
        <v>8.2705835771725838E-3</v>
      </c>
      <c r="I171" s="33">
        <f t="shared" si="84"/>
        <v>7.9672891725618644E-2</v>
      </c>
      <c r="Z171" s="124"/>
      <c r="AA171" s="124"/>
      <c r="AB171" s="124"/>
      <c r="AC171" s="124"/>
      <c r="AD171" s="124"/>
      <c r="AE171" s="124"/>
    </row>
    <row r="172" spans="1:35">
      <c r="C172">
        <v>3</v>
      </c>
      <c r="F172" s="391">
        <f t="shared" si="85"/>
        <v>162.79442635614654</v>
      </c>
      <c r="G172" s="29">
        <f t="shared" si="86"/>
        <v>1.5952420785388943E-2</v>
      </c>
      <c r="I172" s="33">
        <f t="shared" si="84"/>
        <v>8.0685998034486284E-2</v>
      </c>
      <c r="Z172" s="124"/>
      <c r="AA172" s="124"/>
      <c r="AB172" s="124"/>
      <c r="AC172" s="124"/>
      <c r="AD172" s="124"/>
      <c r="AE172" s="124"/>
    </row>
    <row r="173" spans="1:35">
      <c r="C173">
        <v>4</v>
      </c>
      <c r="F173" s="391">
        <f t="shared" si="85"/>
        <v>162.13713396740903</v>
      </c>
      <c r="G173" s="29">
        <f t="shared" si="86"/>
        <v>-4.0375607657447982E-3</v>
      </c>
      <c r="I173" s="33">
        <f t="shared" si="84"/>
        <v>7.4174314020690968E-2</v>
      </c>
      <c r="Z173" s="124"/>
      <c r="AA173" s="124"/>
      <c r="AB173" s="124"/>
      <c r="AC173" s="124"/>
      <c r="AD173" s="124"/>
      <c r="AE173" s="124"/>
    </row>
    <row r="174" spans="1:35">
      <c r="C174">
        <v>5</v>
      </c>
      <c r="F174" s="391">
        <f t="shared" si="85"/>
        <v>162.0233741816152</v>
      </c>
      <c r="G174" s="29">
        <f t="shared" si="86"/>
        <v>-7.0162696854314706E-4</v>
      </c>
      <c r="I174" s="33">
        <f t="shared" si="84"/>
        <v>6.8080243137371044E-2</v>
      </c>
      <c r="Z174" s="124"/>
      <c r="AA174" s="124"/>
      <c r="AB174" s="124"/>
      <c r="AC174" s="124"/>
      <c r="AD174" s="124"/>
      <c r="AE174" s="124"/>
    </row>
    <row r="175" spans="1:35">
      <c r="C175">
        <v>6</v>
      </c>
      <c r="F175" s="391">
        <f t="shared" si="85"/>
        <v>162.74800063017003</v>
      </c>
      <c r="G175" s="29">
        <f t="shared" si="86"/>
        <v>4.4723574744380806E-3</v>
      </c>
      <c r="I175" s="33">
        <f t="shared" si="84"/>
        <v>6.4342341067525677E-2</v>
      </c>
      <c r="Z175" s="124"/>
      <c r="AA175" s="124"/>
      <c r="AB175" s="124"/>
      <c r="AC175" s="124"/>
      <c r="AD175" s="124"/>
      <c r="AE175" s="124"/>
    </row>
    <row r="176" spans="1:35">
      <c r="C176">
        <v>7</v>
      </c>
      <c r="F176" s="391">
        <f t="shared" si="85"/>
        <v>162.96785299443047</v>
      </c>
      <c r="G176" s="29">
        <f t="shared" si="86"/>
        <v>1.3508759764124783E-3</v>
      </c>
      <c r="I176" s="33">
        <f t="shared" si="84"/>
        <v>7.2213416063131364E-2</v>
      </c>
      <c r="Z176" s="124"/>
      <c r="AA176" s="124"/>
      <c r="AB176" s="124"/>
      <c r="AC176" s="124"/>
      <c r="AD176" s="124"/>
      <c r="AE176" s="124"/>
    </row>
    <row r="177" spans="1:31">
      <c r="C177">
        <v>8</v>
      </c>
      <c r="F177" s="391">
        <f t="shared" si="85"/>
        <v>161.69331015186523</v>
      </c>
      <c r="G177" s="29">
        <f t="shared" si="86"/>
        <v>-7.8208236725606523E-3</v>
      </c>
      <c r="I177" s="33">
        <f t="shared" si="84"/>
        <v>7.8932884378040136E-2</v>
      </c>
      <c r="Z177" s="124"/>
      <c r="AA177" s="124"/>
      <c r="AB177" s="124"/>
      <c r="AC177" s="124"/>
      <c r="AD177" s="124"/>
      <c r="AE177" s="124"/>
    </row>
    <row r="178" spans="1:31">
      <c r="C178">
        <v>9</v>
      </c>
      <c r="F178" s="391">
        <f t="shared" si="85"/>
        <v>163.29060393842673</v>
      </c>
      <c r="G178" s="29">
        <f t="shared" si="86"/>
        <v>9.8785397185652251E-3</v>
      </c>
      <c r="I178" s="33">
        <f t="shared" si="84"/>
        <v>8.4170314159238924E-2</v>
      </c>
      <c r="Z178" s="124"/>
      <c r="AA178" s="124"/>
      <c r="AB178" s="124"/>
      <c r="AC178" s="124"/>
      <c r="AD178" s="124"/>
      <c r="AE178" s="124"/>
    </row>
    <row r="179" spans="1:31">
      <c r="C179">
        <v>10</v>
      </c>
      <c r="F179" s="391">
        <f t="shared" si="85"/>
        <v>166.36913471707786</v>
      </c>
      <c r="G179" s="29">
        <f t="shared" si="86"/>
        <v>1.8853079751067536E-2</v>
      </c>
      <c r="I179" s="33">
        <f t="shared" si="84"/>
        <v>9.5843515432364024E-2</v>
      </c>
      <c r="Z179" s="124"/>
      <c r="AA179" s="124"/>
      <c r="AB179" s="124"/>
      <c r="AC179" s="124"/>
      <c r="AD179" s="124"/>
      <c r="AE179" s="124"/>
    </row>
    <row r="180" spans="1:31">
      <c r="C180">
        <v>11</v>
      </c>
      <c r="F180" s="391">
        <f t="shared" si="85"/>
        <v>167.7377442401833</v>
      </c>
      <c r="G180" s="29">
        <f t="shared" si="86"/>
        <v>8.226342737388535E-3</v>
      </c>
      <c r="I180" s="33">
        <f t="shared" si="84"/>
        <v>9.9361492315279021E-2</v>
      </c>
      <c r="Z180" s="124"/>
      <c r="AA180" s="124"/>
      <c r="AB180" s="124"/>
      <c r="AC180" s="124"/>
      <c r="AD180" s="124"/>
      <c r="AE180" s="124"/>
    </row>
    <row r="181" spans="1:31">
      <c r="C181">
        <v>12</v>
      </c>
      <c r="F181" s="391">
        <f t="shared" si="85"/>
        <v>170.084715698861</v>
      </c>
      <c r="G181" s="29">
        <f t="shared" si="86"/>
        <v>1.3991910224553148E-2</v>
      </c>
      <c r="I181" s="33">
        <f t="shared" si="84"/>
        <v>0.11081730341388574</v>
      </c>
      <c r="Z181" s="124"/>
      <c r="AA181" s="124"/>
      <c r="AB181" s="124"/>
      <c r="AC181" s="124"/>
      <c r="AD181" s="124"/>
      <c r="AE181" s="124"/>
    </row>
    <row r="182" spans="1:31">
      <c r="I182" s="123"/>
      <c r="Z182" s="124"/>
      <c r="AA182" s="124"/>
      <c r="AB182" s="124"/>
      <c r="AC182" s="124"/>
      <c r="AD182" s="124"/>
      <c r="AE182" s="124"/>
    </row>
    <row r="183" spans="1:31">
      <c r="I183" s="589">
        <f>AVERAGE(I170:I181)</f>
        <v>8.2217253622505385E-2</v>
      </c>
      <c r="Z183" s="124"/>
      <c r="AA183" s="124"/>
      <c r="AB183" s="124"/>
      <c r="AC183" s="124"/>
      <c r="AD183" s="124"/>
      <c r="AE183" s="124"/>
    </row>
    <row r="184" spans="1:31">
      <c r="I184" s="123"/>
      <c r="Z184" s="124"/>
      <c r="AA184" s="124"/>
      <c r="AB184" s="124"/>
      <c r="AC184" s="124"/>
      <c r="AD184" s="124"/>
      <c r="AE184" s="124"/>
    </row>
    <row r="185" spans="1:31">
      <c r="I185" s="123"/>
      <c r="Z185" s="124"/>
      <c r="AA185" s="124"/>
      <c r="AB185" s="124"/>
      <c r="AC185" s="124"/>
      <c r="AD185" s="124"/>
      <c r="AE185" s="124"/>
    </row>
    <row r="186" spans="1:31">
      <c r="I186" s="123"/>
      <c r="Z186" s="124"/>
      <c r="AA186" s="124"/>
      <c r="AB186" s="124"/>
      <c r="AC186" s="124"/>
      <c r="AD186" s="124"/>
      <c r="AE186" s="124"/>
    </row>
    <row r="187" spans="1:31">
      <c r="I187" s="123"/>
      <c r="Z187" s="124"/>
      <c r="AA187" s="124"/>
      <c r="AB187" s="124"/>
      <c r="AC187" s="124"/>
      <c r="AD187" s="124"/>
      <c r="AE187" s="124"/>
    </row>
    <row r="188" spans="1:31">
      <c r="I188" s="123"/>
      <c r="Z188" s="124"/>
      <c r="AA188" s="124"/>
      <c r="AB188" s="124"/>
      <c r="AC188" s="124"/>
      <c r="AD188" s="124"/>
      <c r="AE188" s="124"/>
    </row>
    <row r="189" spans="1:31">
      <c r="I189" s="123"/>
      <c r="Z189" s="124"/>
      <c r="AA189" s="124"/>
      <c r="AB189" s="124"/>
      <c r="AC189" s="124"/>
      <c r="AD189" s="124"/>
      <c r="AE189" s="124"/>
    </row>
    <row r="190" spans="1:31">
      <c r="I190" s="123"/>
      <c r="Z190" s="124"/>
      <c r="AA190" s="124"/>
      <c r="AB190" s="124"/>
      <c r="AC190" s="124"/>
      <c r="AD190" s="124"/>
      <c r="AE190" s="124"/>
    </row>
    <row r="191" spans="1:31">
      <c r="I191" s="123"/>
      <c r="Z191" s="124"/>
      <c r="AA191" s="124"/>
      <c r="AB191" s="124"/>
      <c r="AC191" s="124"/>
      <c r="AD191" s="124"/>
      <c r="AE191" s="124"/>
    </row>
    <row r="192" spans="1:31">
      <c r="A192" s="1"/>
      <c r="B192" s="1"/>
      <c r="C192" s="1"/>
      <c r="E192" s="33"/>
      <c r="F192" s="119"/>
      <c r="G192" s="616"/>
      <c r="I192" s="29"/>
      <c r="Z192" s="124"/>
      <c r="AA192" s="124"/>
      <c r="AB192" s="124"/>
      <c r="AC192" s="124"/>
      <c r="AD192" s="124"/>
      <c r="AE192" s="124"/>
    </row>
    <row r="193" spans="1:31">
      <c r="A193" s="1"/>
      <c r="B193" s="1"/>
      <c r="C193" s="1"/>
      <c r="Z193" s="124"/>
      <c r="AA193" s="124"/>
      <c r="AB193" s="124"/>
      <c r="AC193" s="124"/>
      <c r="AD193" s="124"/>
      <c r="AE193" s="124"/>
    </row>
    <row r="194" spans="1:31">
      <c r="A194" s="1"/>
      <c r="B194" s="1"/>
      <c r="C194" s="1"/>
      <c r="Z194" s="124"/>
      <c r="AA194" s="124"/>
      <c r="AB194" s="124"/>
      <c r="AC194" s="124"/>
      <c r="AD194" s="124"/>
      <c r="AE194" s="124"/>
    </row>
    <row r="195" spans="1:31">
      <c r="Z195" s="124"/>
      <c r="AA195" s="124"/>
      <c r="AB195" s="124"/>
      <c r="AC195" s="124"/>
      <c r="AD195" s="124"/>
      <c r="AE195" s="124"/>
    </row>
    <row r="196" spans="1:31" ht="18.75" thickBot="1">
      <c r="D196" t="s">
        <v>1902</v>
      </c>
      <c r="E196" s="33">
        <f t="shared" ref="E196:E207" si="87">F196/F124-1</f>
        <v>0.25975123395853905</v>
      </c>
      <c r="F196" s="535">
        <f>F135*(1+G196)</f>
        <v>147.38201652795792</v>
      </c>
      <c r="G196" s="109">
        <v>8.0000000000000002E-3</v>
      </c>
      <c r="Z196" s="124"/>
      <c r="AA196" s="124"/>
      <c r="AB196" s="124"/>
      <c r="AC196" s="124"/>
      <c r="AD196" s="124"/>
      <c r="AE196" s="124"/>
    </row>
    <row r="197" spans="1:31" ht="72.75" thickBot="1">
      <c r="D197" t="s">
        <v>1903</v>
      </c>
      <c r="E197" s="33">
        <f t="shared" si="87"/>
        <v>0.24806715309048077</v>
      </c>
      <c r="F197" s="535">
        <f>F196*(1+G197)</f>
        <v>148.41369064365361</v>
      </c>
      <c r="G197" s="109">
        <v>6.9999999999999993E-3</v>
      </c>
      <c r="L197" s="258" t="s">
        <v>270</v>
      </c>
      <c r="M197" s="258" t="s">
        <v>271</v>
      </c>
      <c r="N197" s="261" t="s">
        <v>272</v>
      </c>
      <c r="P197" s="117" t="s">
        <v>260</v>
      </c>
      <c r="Q197" s="117" t="s">
        <v>261</v>
      </c>
      <c r="R197" s="117"/>
      <c r="S197" s="117"/>
      <c r="T197" s="117"/>
      <c r="U197" s="117"/>
      <c r="V197" s="117"/>
      <c r="W197" s="117"/>
      <c r="X197" s="581" t="s">
        <v>0</v>
      </c>
    </row>
    <row r="198" spans="1:31" ht="18.75" thickBot="1">
      <c r="D198" t="s">
        <v>1904</v>
      </c>
      <c r="E198" s="33">
        <f t="shared" si="87"/>
        <v>0.21274697214048022</v>
      </c>
      <c r="F198" s="535">
        <f t="shared" ref="F198:F207" si="88">F197*(1+G198)</f>
        <v>150.63989600330839</v>
      </c>
      <c r="G198" s="109">
        <v>1.4999999999999999E-2</v>
      </c>
      <c r="L198" s="33" t="e">
        <f>#REF!</f>
        <v>#REF!</v>
      </c>
      <c r="M198" s="33">
        <f t="shared" ref="M198:M209" si="89">M110</f>
        <v>6.0999999999999999E-2</v>
      </c>
      <c r="N198" s="33">
        <v>6.1000000000000006E-2</v>
      </c>
      <c r="O198" s="29" t="e">
        <f t="shared" ref="O198:O209" si="90">L198/M198</f>
        <v>#REF!</v>
      </c>
      <c r="P198" s="99" t="e">
        <f>#REF!</f>
        <v>#REF!</v>
      </c>
      <c r="Q198" s="99">
        <f t="shared" ref="Q198:Q209" si="91">AC110</f>
        <v>28.219770967741901</v>
      </c>
      <c r="R198" s="99"/>
      <c r="S198" s="99"/>
      <c r="T198" s="99"/>
      <c r="U198" s="99"/>
      <c r="W198" s="588" t="s">
        <v>480</v>
      </c>
      <c r="X198" s="589">
        <f>R137</f>
        <v>0</v>
      </c>
    </row>
    <row r="199" spans="1:31" ht="18.75" thickBot="1">
      <c r="D199" t="s">
        <v>1905</v>
      </c>
      <c r="E199" s="33">
        <f t="shared" si="87"/>
        <v>0.17873433554327023</v>
      </c>
      <c r="F199" s="535">
        <f t="shared" si="88"/>
        <v>150.94117579531502</v>
      </c>
      <c r="G199" s="109">
        <v>2E-3</v>
      </c>
      <c r="L199" s="33" t="e">
        <f>#REF!</f>
        <v>#REF!</v>
      </c>
      <c r="M199" s="33">
        <f t="shared" si="89"/>
        <v>7.4999999999999997E-2</v>
      </c>
      <c r="N199" s="33">
        <v>7.4999999999999997E-2</v>
      </c>
      <c r="O199" s="29" t="e">
        <f t="shared" si="90"/>
        <v>#REF!</v>
      </c>
      <c r="P199" s="99" t="e">
        <f>#REF!</f>
        <v>#REF!</v>
      </c>
      <c r="Q199" s="99">
        <f t="shared" si="91"/>
        <v>27.884660714285701</v>
      </c>
      <c r="R199" s="99"/>
      <c r="S199" s="99"/>
      <c r="T199" s="99"/>
      <c r="U199" s="99"/>
      <c r="W199" s="99"/>
    </row>
    <row r="200" spans="1:31" ht="22.5" thickBot="1">
      <c r="D200" t="s">
        <v>1906</v>
      </c>
      <c r="E200" s="33">
        <f t="shared" si="87"/>
        <v>0.15356885940839327</v>
      </c>
      <c r="F200" s="535">
        <f t="shared" si="88"/>
        <v>151.69588167429157</v>
      </c>
      <c r="G200" s="109">
        <v>5.0000000000000001E-3</v>
      </c>
      <c r="L200" s="33" t="e">
        <f>#REF!</f>
        <v>#REF!</v>
      </c>
      <c r="M200" s="33">
        <f t="shared" si="89"/>
        <v>8.5000000000000006E-2</v>
      </c>
      <c r="N200" s="33">
        <v>0.08</v>
      </c>
      <c r="O200" s="29" t="e">
        <f t="shared" si="90"/>
        <v>#REF!</v>
      </c>
      <c r="P200" s="99" t="e">
        <f>#REF!</f>
        <v>#REF!</v>
      </c>
      <c r="Q200" s="99">
        <f t="shared" si="91"/>
        <v>27.795558064516101</v>
      </c>
      <c r="R200" s="99"/>
      <c r="S200" s="99"/>
      <c r="T200" s="99"/>
      <c r="U200" s="99"/>
      <c r="W200" s="594" t="s">
        <v>484</v>
      </c>
    </row>
    <row r="201" spans="1:31" ht="18.75" thickBot="1">
      <c r="D201" t="s">
        <v>1907</v>
      </c>
      <c r="E201" s="33">
        <f t="shared" si="87"/>
        <v>0.12704709439944728</v>
      </c>
      <c r="F201" s="535">
        <f t="shared" si="88"/>
        <v>152.90944872768591</v>
      </c>
      <c r="G201" s="109">
        <v>8.0000000000000002E-3</v>
      </c>
      <c r="L201" s="33" t="e">
        <f>#REF!</f>
        <v>#REF!</v>
      </c>
      <c r="M201" s="33">
        <f t="shared" si="89"/>
        <v>8.4000000000000005E-2</v>
      </c>
      <c r="N201" s="33">
        <f t="shared" ref="N201:N209" si="92">M201*$M$212</f>
        <v>8.4000000000000005E-2</v>
      </c>
      <c r="O201" s="29" t="e">
        <f t="shared" si="90"/>
        <v>#REF!</v>
      </c>
      <c r="P201" s="99" t="e">
        <f>#REF!</f>
        <v>#REF!</v>
      </c>
      <c r="Q201" s="99">
        <f t="shared" si="91"/>
        <v>27.93</v>
      </c>
      <c r="R201" s="99"/>
      <c r="S201" s="99"/>
      <c r="T201" s="99"/>
      <c r="U201" s="99"/>
    </row>
    <row r="202" spans="1:31" ht="33.75" customHeight="1" thickBot="1">
      <c r="D202" t="s">
        <v>1908</v>
      </c>
      <c r="E202" s="33">
        <f t="shared" si="87"/>
        <v>0.11275471368006507</v>
      </c>
      <c r="F202" s="535">
        <f>F201*(1+G202)</f>
        <v>151.99199203531978</v>
      </c>
      <c r="G202" s="33">
        <v>-6.0000000000000001E-3</v>
      </c>
      <c r="L202" s="33" t="e">
        <f>#REF!</f>
        <v>#REF!</v>
      </c>
      <c r="M202" s="33">
        <f t="shared" si="89"/>
        <v>9.5000000000000001E-2</v>
      </c>
      <c r="N202" s="33">
        <f t="shared" si="92"/>
        <v>9.5000000000000001E-2</v>
      </c>
      <c r="O202" s="29" t="e">
        <f t="shared" si="90"/>
        <v>#REF!</v>
      </c>
      <c r="P202" s="99" t="e">
        <f>#REF!</f>
        <v>#REF!</v>
      </c>
      <c r="Q202" s="99">
        <f t="shared" si="91"/>
        <v>27.6</v>
      </c>
      <c r="R202" s="99"/>
      <c r="S202" s="99"/>
      <c r="T202" s="99"/>
      <c r="U202" s="99"/>
      <c r="W202" s="592"/>
      <c r="X202" s="593" t="s">
        <v>485</v>
      </c>
      <c r="Y202" s="593" t="s">
        <v>489</v>
      </c>
      <c r="Z202" s="593" t="s">
        <v>486</v>
      </c>
      <c r="AA202" s="593" t="s">
        <v>488</v>
      </c>
      <c r="AB202" s="593" t="s">
        <v>487</v>
      </c>
    </row>
    <row r="203" spans="1:31" ht="18.75" thickBot="1">
      <c r="D203" t="s">
        <v>1909</v>
      </c>
      <c r="E203" s="33">
        <f t="shared" si="87"/>
        <v>8.516649816223798E-2</v>
      </c>
      <c r="F203" s="535">
        <f t="shared" si="88"/>
        <v>149.8641041468253</v>
      </c>
      <c r="G203" s="33">
        <v>-1.3999999999999999E-2</v>
      </c>
      <c r="L203" s="33" t="e">
        <f>#REF!</f>
        <v>#REF!</v>
      </c>
      <c r="M203" s="33">
        <f t="shared" si="89"/>
        <v>9.4999999999999987E-2</v>
      </c>
      <c r="N203" s="33">
        <f>M203*$M$212</f>
        <v>9.4999999999999987E-2</v>
      </c>
      <c r="O203" s="29" t="e">
        <f t="shared" si="90"/>
        <v>#REF!</v>
      </c>
      <c r="P203" s="99" t="e">
        <f>#REF!</f>
        <v>#REF!</v>
      </c>
      <c r="Q203" s="99">
        <f t="shared" si="91"/>
        <v>27.239873333333321</v>
      </c>
      <c r="R203" s="99"/>
      <c r="S203" s="99"/>
      <c r="T203" s="99"/>
      <c r="U203" s="99"/>
      <c r="W203" s="596" t="s">
        <v>481</v>
      </c>
      <c r="X203" s="595">
        <v>1.566628302983496E-2</v>
      </c>
      <c r="Y203" s="598">
        <v>1.68</v>
      </c>
      <c r="Z203" s="598">
        <v>2.64</v>
      </c>
      <c r="AA203" s="599">
        <f>Z203/Y203-1</f>
        <v>0.57142857142857162</v>
      </c>
      <c r="AB203" s="600">
        <f>X203*AA203</f>
        <v>8.9521617313342659E-3</v>
      </c>
    </row>
    <row r="204" spans="1:31" ht="18.75" thickBot="1">
      <c r="D204" t="s">
        <v>1910</v>
      </c>
      <c r="E204" s="33">
        <f t="shared" si="87"/>
        <v>7.2056018928648102E-2</v>
      </c>
      <c r="F204" s="535">
        <f t="shared" si="88"/>
        <v>150.79836541146457</v>
      </c>
      <c r="G204" s="33">
        <v>6.2340563136049527E-3</v>
      </c>
      <c r="L204" s="33" t="e">
        <f>#REF!</f>
        <v>#REF!</v>
      </c>
      <c r="M204" s="33">
        <f t="shared" si="89"/>
        <v>0.10200000000000001</v>
      </c>
      <c r="N204" s="33">
        <f t="shared" si="92"/>
        <v>0.10200000000000001</v>
      </c>
      <c r="O204" s="29" t="e">
        <f t="shared" si="90"/>
        <v>#REF!</v>
      </c>
      <c r="P204" s="99" t="e">
        <f>#REF!</f>
        <v>#REF!</v>
      </c>
      <c r="Q204" s="99">
        <f t="shared" si="91"/>
        <v>27.214548387096801</v>
      </c>
      <c r="R204" s="99"/>
      <c r="S204" s="99"/>
      <c r="T204" s="99"/>
      <c r="U204" s="99"/>
      <c r="W204" s="596" t="s">
        <v>482</v>
      </c>
      <c r="X204" s="595">
        <v>2.3253211786406939E-2</v>
      </c>
      <c r="Y204" s="598">
        <v>7.99</v>
      </c>
      <c r="Z204" s="598">
        <v>7.99</v>
      </c>
      <c r="AA204" s="599">
        <f>Z204/Y204-1</f>
        <v>0</v>
      </c>
      <c r="AB204" s="600">
        <f>X204*AA204</f>
        <v>0</v>
      </c>
    </row>
    <row r="205" spans="1:31" ht="18.75" thickBot="1">
      <c r="D205" t="s">
        <v>1911</v>
      </c>
      <c r="E205" s="33">
        <f>F205/F133-1</f>
        <v>5.3023964474544938E-2</v>
      </c>
      <c r="F205" s="535">
        <f>F204*(1+G205)</f>
        <v>151.85330167046675</v>
      </c>
      <c r="G205" s="33">
        <v>6.9956743637353304E-3</v>
      </c>
      <c r="L205" s="33" t="e">
        <f>#REF!</f>
        <v>#REF!</v>
      </c>
      <c r="M205" s="33">
        <f t="shared" si="89"/>
        <v>0.10199999999999999</v>
      </c>
      <c r="N205" s="33">
        <f t="shared" si="92"/>
        <v>0.10199999999999999</v>
      </c>
      <c r="O205" s="29" t="e">
        <f t="shared" si="90"/>
        <v>#REF!</v>
      </c>
      <c r="P205" s="99" t="e">
        <f>#REF!</f>
        <v>#REF!</v>
      </c>
      <c r="Q205" s="99">
        <f t="shared" si="91"/>
        <v>26.76</v>
      </c>
      <c r="R205" s="99"/>
      <c r="S205" s="99"/>
      <c r="T205" s="99"/>
      <c r="U205" s="99"/>
      <c r="W205" s="596" t="s">
        <v>483</v>
      </c>
      <c r="X205" s="595">
        <v>1.7198267237428334E-2</v>
      </c>
      <c r="Y205" s="598">
        <v>1654</v>
      </c>
      <c r="Z205" s="598">
        <v>2000</v>
      </c>
      <c r="AA205" s="599">
        <f>Z205/Y205-1</f>
        <v>0.20918984280532049</v>
      </c>
      <c r="AB205" s="600">
        <f>X205*AA205</f>
        <v>3.5977028199215264E-3</v>
      </c>
    </row>
    <row r="206" spans="1:31" ht="18.75" thickBot="1">
      <c r="D206" t="s">
        <v>1912</v>
      </c>
      <c r="E206" s="33">
        <f t="shared" si="87"/>
        <v>5.033060582045823E-2</v>
      </c>
      <c r="F206" s="535">
        <f t="shared" si="88"/>
        <v>152.49600408050583</v>
      </c>
      <c r="G206" s="33">
        <v>4.232390096027128E-3</v>
      </c>
      <c r="L206" s="33" t="e">
        <f>#REF!</f>
        <v>#REF!</v>
      </c>
      <c r="M206" s="33">
        <f t="shared" si="89"/>
        <v>0.11</v>
      </c>
      <c r="N206" s="33">
        <f t="shared" si="92"/>
        <v>0.11</v>
      </c>
      <c r="O206" s="29" t="e">
        <f t="shared" si="90"/>
        <v>#REF!</v>
      </c>
      <c r="P206" s="99" t="e">
        <f>#REF!</f>
        <v>#REF!</v>
      </c>
      <c r="Q206" s="99">
        <f t="shared" si="91"/>
        <v>26.73</v>
      </c>
      <c r="R206" s="99"/>
      <c r="S206" s="99"/>
      <c r="T206" s="99"/>
      <c r="U206" s="99"/>
      <c r="W206" s="590"/>
      <c r="X206" s="497"/>
      <c r="Y206" s="497"/>
      <c r="Z206" s="497"/>
      <c r="AA206" s="597" t="s">
        <v>487</v>
      </c>
      <c r="AB206" s="591">
        <f>AB203+AB204+AB205</f>
        <v>1.2549864551255792E-2</v>
      </c>
    </row>
    <row r="207" spans="1:31" ht="18.75" thickBot="1">
      <c r="D207" t="s">
        <v>1913</v>
      </c>
      <c r="E207" s="33">
        <f t="shared" si="87"/>
        <v>4.6089106138474278E-2</v>
      </c>
      <c r="F207" s="535">
        <f t="shared" si="88"/>
        <v>152.95111302640609</v>
      </c>
      <c r="G207" s="33">
        <v>2.9843991561903345E-3</v>
      </c>
      <c r="L207" s="33" t="e">
        <f>#REF!</f>
        <v>#REF!</v>
      </c>
      <c r="M207" s="33">
        <f t="shared" si="89"/>
        <v>0.109</v>
      </c>
      <c r="N207" s="33">
        <f t="shared" si="92"/>
        <v>0.109</v>
      </c>
      <c r="O207" s="29" t="e">
        <f t="shared" si="90"/>
        <v>#REF!</v>
      </c>
      <c r="P207" s="99" t="e">
        <f>#REF!</f>
        <v>#REF!</v>
      </c>
      <c r="Q207" s="99">
        <f t="shared" si="91"/>
        <v>26.37</v>
      </c>
      <c r="R207" s="99"/>
      <c r="S207" s="99"/>
      <c r="T207" s="99"/>
      <c r="U207" s="99"/>
      <c r="V207" s="99"/>
      <c r="W207" s="99"/>
    </row>
    <row r="208" spans="1:31">
      <c r="L208" s="33" t="e">
        <f>#REF!</f>
        <v>#REF!</v>
      </c>
      <c r="M208" s="33">
        <f t="shared" si="89"/>
        <v>0.10299999999999998</v>
      </c>
      <c r="N208" s="33">
        <f t="shared" si="92"/>
        <v>0.10299999999999998</v>
      </c>
      <c r="O208" s="29" t="e">
        <f t="shared" si="90"/>
        <v>#REF!</v>
      </c>
      <c r="P208" s="99" t="e">
        <f>#REF!</f>
        <v>#REF!</v>
      </c>
      <c r="Q208" s="99">
        <f t="shared" si="91"/>
        <v>26.446000000000002</v>
      </c>
      <c r="R208" s="99"/>
      <c r="S208" s="99"/>
      <c r="T208" s="99"/>
      <c r="U208" s="99"/>
      <c r="V208" s="99"/>
      <c r="W208" s="99"/>
    </row>
    <row r="209" spans="4:23">
      <c r="L209" s="33" t="e">
        <f>#REF!</f>
        <v>#REF!</v>
      </c>
      <c r="M209" s="33">
        <f t="shared" si="89"/>
        <v>0.1335247593684229</v>
      </c>
      <c r="N209" s="33">
        <f t="shared" si="92"/>
        <v>0.1335247593684229</v>
      </c>
      <c r="O209" s="29" t="e">
        <f t="shared" si="90"/>
        <v>#REF!</v>
      </c>
      <c r="P209" s="99" t="e">
        <f>#REF!</f>
        <v>#REF!</v>
      </c>
      <c r="Q209" s="99">
        <f t="shared" si="91"/>
        <v>27.21</v>
      </c>
      <c r="R209" s="99"/>
      <c r="S209" s="99"/>
      <c r="T209" s="99"/>
      <c r="U209" s="99"/>
      <c r="V209" s="99"/>
      <c r="W209" s="99"/>
    </row>
    <row r="210" spans="4:23">
      <c r="L210" s="260" t="e">
        <f>AVERAGE(L198:L209)</f>
        <v>#REF!</v>
      </c>
      <c r="M210" s="260">
        <f>AVERAGE(M198:M209)</f>
        <v>9.6210396614035229E-2</v>
      </c>
      <c r="N210" s="260">
        <f>AVERAGE(N198:N209)</f>
        <v>9.5793729947368567E-2</v>
      </c>
    </row>
    <row r="211" spans="4:23" ht="36">
      <c r="M211" s="139" t="s">
        <v>264</v>
      </c>
    </row>
    <row r="212" spans="4:23">
      <c r="M212">
        <v>1</v>
      </c>
    </row>
    <row r="215" spans="4:23">
      <c r="F215" s="310">
        <v>2013</v>
      </c>
      <c r="G215" s="310">
        <v>2014</v>
      </c>
      <c r="H215" s="310">
        <v>2015</v>
      </c>
      <c r="I215" s="310">
        <v>2016</v>
      </c>
      <c r="J215" s="310">
        <v>2017</v>
      </c>
      <c r="K215" s="310">
        <v>2018</v>
      </c>
      <c r="L215" s="310">
        <v>2019</v>
      </c>
      <c r="M215" s="310">
        <v>2020</v>
      </c>
      <c r="N215" s="310">
        <v>2021</v>
      </c>
    </row>
    <row r="216" spans="4:23">
      <c r="D216">
        <v>1</v>
      </c>
      <c r="F216" s="320">
        <v>0.20000000000000284</v>
      </c>
      <c r="G216" s="320">
        <v>0.22742624098223985</v>
      </c>
      <c r="H216" s="320">
        <v>3.1365861735452683</v>
      </c>
      <c r="I216" s="320">
        <v>0.90000000000000568</v>
      </c>
      <c r="J216" s="320">
        <v>1.1000000000000001</v>
      </c>
      <c r="K216" s="321">
        <v>1.5</v>
      </c>
      <c r="L216" s="320">
        <v>1</v>
      </c>
      <c r="M216" s="320">
        <v>0.2</v>
      </c>
      <c r="N216" s="320">
        <v>1.3</v>
      </c>
    </row>
    <row r="217" spans="4:23">
      <c r="D217">
        <v>2</v>
      </c>
      <c r="F217" s="320">
        <v>-9.9999999999994316E-2</v>
      </c>
      <c r="G217" s="320">
        <v>0.57418967289784462</v>
      </c>
      <c r="H217" s="320">
        <v>5.2585287076712461</v>
      </c>
      <c r="I217" s="320">
        <v>-0.40000000000000568</v>
      </c>
      <c r="J217" s="320">
        <v>1</v>
      </c>
      <c r="K217" s="320">
        <v>0.9</v>
      </c>
      <c r="L217" s="320">
        <v>0.5</v>
      </c>
      <c r="M217" s="320">
        <v>-0.3</v>
      </c>
      <c r="N217" s="320">
        <v>1</v>
      </c>
    </row>
    <row r="218" spans="4:23">
      <c r="D218">
        <v>3</v>
      </c>
      <c r="F218" s="320">
        <v>0</v>
      </c>
      <c r="G218" s="320">
        <v>2.1717601079911333</v>
      </c>
      <c r="H218" s="320">
        <v>10.835274745452665</v>
      </c>
      <c r="I218" s="320">
        <v>1</v>
      </c>
      <c r="J218" s="320">
        <v>1.8</v>
      </c>
      <c r="K218" s="320">
        <v>1.1000000000000001</v>
      </c>
      <c r="L218" s="320">
        <v>0.9</v>
      </c>
      <c r="M218" s="320">
        <v>0.8</v>
      </c>
      <c r="N218" s="320">
        <v>1.7</v>
      </c>
    </row>
    <row r="219" spans="4:23">
      <c r="D219">
        <v>4</v>
      </c>
      <c r="F219" s="320">
        <v>0</v>
      </c>
      <c r="G219" s="320">
        <v>3.3477781478453039</v>
      </c>
      <c r="H219" s="320">
        <v>13.965954227288051</v>
      </c>
      <c r="I219" s="320">
        <v>3.5</v>
      </c>
      <c r="J219" s="320">
        <v>0.9</v>
      </c>
      <c r="K219" s="320">
        <v>0.8</v>
      </c>
      <c r="L219" s="320">
        <v>1</v>
      </c>
      <c r="M219" s="320">
        <v>0.8</v>
      </c>
      <c r="N219" s="320">
        <v>0.7</v>
      </c>
    </row>
    <row r="220" spans="4:23">
      <c r="D220">
        <v>5</v>
      </c>
      <c r="F220" s="320">
        <v>9.9999999999994316E-2</v>
      </c>
      <c r="G220" s="320">
        <v>3.8311894109004356</v>
      </c>
      <c r="H220" s="320">
        <v>2.2223897560082406</v>
      </c>
      <c r="I220" s="320">
        <v>0.1</v>
      </c>
      <c r="J220" s="320">
        <v>1.3</v>
      </c>
      <c r="K220" s="320">
        <v>0</v>
      </c>
      <c r="L220" s="320">
        <v>0.7</v>
      </c>
      <c r="M220" s="320">
        <v>0.3</v>
      </c>
      <c r="N220" s="320">
        <v>1.3</v>
      </c>
    </row>
    <row r="221" spans="4:23">
      <c r="D221">
        <v>6</v>
      </c>
      <c r="F221" s="320">
        <v>0</v>
      </c>
      <c r="G221" s="320">
        <v>0.9712730507046814</v>
      </c>
      <c r="H221" s="320">
        <v>0.40086137467079652</v>
      </c>
      <c r="I221" s="320">
        <v>-0.20000000000000284</v>
      </c>
      <c r="J221" s="320">
        <v>1.6</v>
      </c>
      <c r="K221" s="320">
        <v>0</v>
      </c>
      <c r="L221" s="320">
        <v>-0.5</v>
      </c>
      <c r="M221" s="320">
        <v>0.2</v>
      </c>
      <c r="N221" s="322"/>
    </row>
    <row r="222" spans="4:23">
      <c r="D222">
        <v>7</v>
      </c>
      <c r="F222" s="320">
        <v>-9.9999999999994316E-2</v>
      </c>
      <c r="G222" s="320">
        <v>0.36296293535743018</v>
      </c>
      <c r="H222" s="320">
        <v>-1.0092080094883755</v>
      </c>
      <c r="I222" s="320">
        <v>-0.1</v>
      </c>
      <c r="J222" s="320">
        <v>0.2</v>
      </c>
      <c r="K222" s="320">
        <v>-0.7</v>
      </c>
      <c r="L222" s="320">
        <v>-0.6</v>
      </c>
      <c r="M222" s="320">
        <v>-0.6</v>
      </c>
      <c r="N222" s="322"/>
    </row>
    <row r="223" spans="4:23">
      <c r="D223">
        <v>8</v>
      </c>
      <c r="F223" s="320">
        <v>-0.70000000000000284</v>
      </c>
      <c r="G223" s="320">
        <v>0.81904496056313292</v>
      </c>
      <c r="H223" s="320">
        <v>-0.76169643968493972</v>
      </c>
      <c r="I223" s="320">
        <v>-0.3</v>
      </c>
      <c r="J223" s="320">
        <v>-0.1</v>
      </c>
      <c r="K223" s="320">
        <v>0</v>
      </c>
      <c r="L223" s="320">
        <v>-0.3</v>
      </c>
      <c r="M223" s="320">
        <v>-0.2</v>
      </c>
      <c r="N223" s="322"/>
    </row>
    <row r="224" spans="4:23">
      <c r="D224">
        <v>9</v>
      </c>
      <c r="F224" s="320">
        <v>0</v>
      </c>
      <c r="G224" s="320">
        <v>2.948640436056337</v>
      </c>
      <c r="H224" s="320">
        <v>2.2999999999999972</v>
      </c>
      <c r="I224" s="320">
        <v>1.8</v>
      </c>
      <c r="J224" s="320">
        <v>2</v>
      </c>
      <c r="K224" s="320">
        <v>1.9</v>
      </c>
      <c r="L224" s="320">
        <v>0.7</v>
      </c>
      <c r="M224" s="320">
        <v>0.5</v>
      </c>
      <c r="N224" s="322"/>
    </row>
    <row r="225" spans="4:14">
      <c r="D225">
        <v>10</v>
      </c>
      <c r="F225" s="320">
        <v>0.40000000000000568</v>
      </c>
      <c r="G225" s="320">
        <v>2.4347837210566325</v>
      </c>
      <c r="H225" s="320">
        <v>-1.2999999999999972</v>
      </c>
      <c r="I225" s="320">
        <v>2.8</v>
      </c>
      <c r="J225" s="320">
        <v>1.2</v>
      </c>
      <c r="K225" s="320">
        <v>1.7</v>
      </c>
      <c r="L225" s="320">
        <v>0.7</v>
      </c>
      <c r="M225" s="320">
        <v>1</v>
      </c>
      <c r="N225" s="322"/>
    </row>
    <row r="226" spans="4:14">
      <c r="D226">
        <v>11</v>
      </c>
      <c r="F226" s="320">
        <v>0.20000000000000284</v>
      </c>
      <c r="G226" s="320">
        <v>1.9331544870148747</v>
      </c>
      <c r="H226" s="320">
        <v>2</v>
      </c>
      <c r="I226" s="320">
        <v>1.8</v>
      </c>
      <c r="J226" s="320">
        <v>0.9</v>
      </c>
      <c r="K226" s="320">
        <v>1.4</v>
      </c>
      <c r="L226" s="320">
        <v>0.1</v>
      </c>
      <c r="M226" s="320">
        <v>1.3</v>
      </c>
      <c r="N226" s="322"/>
    </row>
    <row r="227" spans="4:14">
      <c r="D227">
        <v>12</v>
      </c>
      <c r="F227" s="320">
        <v>0.5</v>
      </c>
      <c r="G227" s="320">
        <v>3</v>
      </c>
      <c r="H227" s="320">
        <v>0.70000000000000284</v>
      </c>
      <c r="I227" s="320">
        <v>0.9</v>
      </c>
      <c r="J227" s="320">
        <v>1</v>
      </c>
      <c r="K227" s="320">
        <v>0.8</v>
      </c>
      <c r="L227" s="320">
        <v>-0.2</v>
      </c>
      <c r="M227" s="320">
        <v>0.9</v>
      </c>
      <c r="N227" s="322"/>
    </row>
    <row r="229" spans="4:14">
      <c r="D229" s="316">
        <v>40909</v>
      </c>
      <c r="E229" s="316"/>
      <c r="F229" s="319">
        <v>100</v>
      </c>
    </row>
    <row r="230" spans="4:14">
      <c r="D230">
        <v>1</v>
      </c>
      <c r="F230" s="19">
        <f>F229*(1+F216/100)</f>
        <v>100.2</v>
      </c>
      <c r="G230" s="19">
        <f>F241*(1+G216/100)</f>
        <v>100.72472682762128</v>
      </c>
      <c r="H230" s="19">
        <f>G241*(1+H216/100)</f>
        <v>129.57758616878198</v>
      </c>
      <c r="I230" s="19">
        <f t="shared" ref="I230:N230" si="93">H241*(1+I216/100)</f>
        <v>181.76552193897368</v>
      </c>
      <c r="J230" s="19">
        <f t="shared" si="93"/>
        <v>204.63919920591283</v>
      </c>
      <c r="K230" s="19">
        <f t="shared" si="93"/>
        <v>233.53112704407755</v>
      </c>
      <c r="L230" s="19">
        <f t="shared" si="93"/>
        <v>255.10083228440914</v>
      </c>
      <c r="M230" s="19">
        <f t="shared" si="93"/>
        <v>263.33940666822468</v>
      </c>
      <c r="N230" s="19">
        <f t="shared" si="93"/>
        <v>279.52145480234765</v>
      </c>
    </row>
    <row r="231" spans="4:14">
      <c r="D231">
        <v>2</v>
      </c>
      <c r="F231" s="19">
        <f t="shared" ref="F231:N241" si="94">F230*(1+F217/100)</f>
        <v>100.09980000000002</v>
      </c>
      <c r="G231" s="19">
        <f t="shared" si="94"/>
        <v>101.30307780712005</v>
      </c>
      <c r="H231" s="19">
        <f t="shared" si="94"/>
        <v>136.39146073617482</v>
      </c>
      <c r="I231" s="19">
        <f t="shared" si="94"/>
        <v>181.03845985121779</v>
      </c>
      <c r="J231" s="19">
        <f t="shared" si="94"/>
        <v>206.68559119797197</v>
      </c>
      <c r="K231" s="19">
        <f t="shared" si="94"/>
        <v>235.63290718747422</v>
      </c>
      <c r="L231" s="19">
        <f t="shared" si="94"/>
        <v>256.37633644583116</v>
      </c>
      <c r="M231" s="19">
        <f t="shared" si="94"/>
        <v>262.54938844821999</v>
      </c>
      <c r="N231" s="19">
        <f t="shared" si="94"/>
        <v>282.31666935037111</v>
      </c>
    </row>
    <row r="232" spans="4:14">
      <c r="D232">
        <v>3</v>
      </c>
      <c r="F232" s="19">
        <f t="shared" si="94"/>
        <v>100.09980000000002</v>
      </c>
      <c r="G232" s="19">
        <f t="shared" si="94"/>
        <v>103.50313763910231</v>
      </c>
      <c r="H232" s="19">
        <f t="shared" si="94"/>
        <v>151.16985023627558</v>
      </c>
      <c r="I232" s="19">
        <f t="shared" si="94"/>
        <v>182.84884444972997</v>
      </c>
      <c r="J232" s="19">
        <f t="shared" si="94"/>
        <v>210.40593183953547</v>
      </c>
      <c r="K232" s="19">
        <f t="shared" si="94"/>
        <v>238.22486916653642</v>
      </c>
      <c r="L232" s="19">
        <f t="shared" si="94"/>
        <v>258.6837234738436</v>
      </c>
      <c r="M232" s="19">
        <f t="shared" si="94"/>
        <v>264.64978355580575</v>
      </c>
      <c r="N232" s="19">
        <f t="shared" si="94"/>
        <v>287.11605272932741</v>
      </c>
    </row>
    <row r="233" spans="4:14">
      <c r="D233">
        <v>4</v>
      </c>
      <c r="F233" s="19">
        <f t="shared" si="94"/>
        <v>100.09980000000002</v>
      </c>
      <c r="G233" s="19">
        <f t="shared" si="94"/>
        <v>106.96819306331842</v>
      </c>
      <c r="H233" s="19">
        <f t="shared" si="94"/>
        <v>172.28216232573374</v>
      </c>
      <c r="I233" s="19">
        <f t="shared" si="94"/>
        <v>189.24855400547051</v>
      </c>
      <c r="J233" s="19">
        <f t="shared" si="94"/>
        <v>212.29958522609127</v>
      </c>
      <c r="K233" s="19">
        <f t="shared" si="94"/>
        <v>240.13066811986872</v>
      </c>
      <c r="L233" s="19">
        <f t="shared" si="94"/>
        <v>261.27056070858202</v>
      </c>
      <c r="M233" s="19">
        <f t="shared" si="94"/>
        <v>266.76698182425218</v>
      </c>
      <c r="N233" s="19">
        <f t="shared" si="94"/>
        <v>289.12586509843266</v>
      </c>
    </row>
    <row r="234" spans="4:14">
      <c r="D234">
        <v>5</v>
      </c>
      <c r="F234" s="19">
        <f t="shared" si="94"/>
        <v>100.19989980000001</v>
      </c>
      <c r="G234" s="19">
        <f t="shared" si="94"/>
        <v>111.06634714899181</v>
      </c>
      <c r="H234" s="19">
        <f t="shared" si="94"/>
        <v>176.11094345269032</v>
      </c>
      <c r="I234" s="19">
        <f t="shared" si="94"/>
        <v>189.43780255947595</v>
      </c>
      <c r="J234" s="19">
        <f t="shared" si="94"/>
        <v>215.05947983403044</v>
      </c>
      <c r="K234" s="19">
        <f t="shared" si="94"/>
        <v>240.13066811986872</v>
      </c>
      <c r="L234" s="19">
        <f t="shared" si="94"/>
        <v>263.09945463354205</v>
      </c>
      <c r="M234" s="19">
        <f t="shared" si="94"/>
        <v>267.5672827697249</v>
      </c>
      <c r="N234" s="19">
        <f>N233*(1+N220/100)</f>
        <v>292.88450134471225</v>
      </c>
    </row>
    <row r="235" spans="4:14">
      <c r="D235">
        <v>6</v>
      </c>
      <c r="F235" s="19">
        <f t="shared" si="94"/>
        <v>100.19989980000001</v>
      </c>
      <c r="G235" s="19">
        <f t="shared" si="94"/>
        <v>112.14510464725207</v>
      </c>
      <c r="H235" s="19">
        <f t="shared" si="94"/>
        <v>176.81690420156048</v>
      </c>
      <c r="I235" s="19">
        <f t="shared" si="94"/>
        <v>189.05892695435699</v>
      </c>
      <c r="J235" s="19">
        <f t="shared" si="94"/>
        <v>218.50043151137493</v>
      </c>
      <c r="K235" s="19">
        <f t="shared" si="94"/>
        <v>240.13066811986872</v>
      </c>
      <c r="L235" s="19">
        <f t="shared" si="94"/>
        <v>261.78395736037436</v>
      </c>
      <c r="M235" s="19">
        <f t="shared" si="94"/>
        <v>268.10241733526436</v>
      </c>
      <c r="N235" s="19"/>
    </row>
    <row r="236" spans="4:14">
      <c r="D236">
        <v>7</v>
      </c>
      <c r="F236" s="19">
        <f t="shared" si="94"/>
        <v>100.09969990020002</v>
      </c>
      <c r="G236" s="19">
        <f t="shared" si="94"/>
        <v>112.5521498109394</v>
      </c>
      <c r="H236" s="19">
        <f t="shared" si="94"/>
        <v>175.03245384222896</v>
      </c>
      <c r="I236" s="19">
        <f t="shared" si="94"/>
        <v>188.86986802740265</v>
      </c>
      <c r="J236" s="19">
        <f t="shared" si="94"/>
        <v>218.93743237439767</v>
      </c>
      <c r="K236" s="19">
        <f t="shared" si="94"/>
        <v>238.44975344302964</v>
      </c>
      <c r="L236" s="19">
        <f t="shared" si="94"/>
        <v>260.21325361621211</v>
      </c>
      <c r="M236" s="19">
        <f t="shared" si="94"/>
        <v>266.49380283125276</v>
      </c>
      <c r="N236" s="19"/>
    </row>
    <row r="237" spans="4:14">
      <c r="D237">
        <v>8</v>
      </c>
      <c r="F237" s="19">
        <f t="shared" si="94"/>
        <v>99.399002000898619</v>
      </c>
      <c r="G237" s="19">
        <f t="shared" si="94"/>
        <v>113.47400252197136</v>
      </c>
      <c r="H237" s="19">
        <f t="shared" si="94"/>
        <v>173.69923787301951</v>
      </c>
      <c r="I237" s="19">
        <f t="shared" si="94"/>
        <v>188.30325842332044</v>
      </c>
      <c r="J237" s="19">
        <f t="shared" si="94"/>
        <v>218.71849494202328</v>
      </c>
      <c r="K237" s="19">
        <f t="shared" si="94"/>
        <v>238.44975344302964</v>
      </c>
      <c r="L237" s="19">
        <f t="shared" si="94"/>
        <v>259.43261385536346</v>
      </c>
      <c r="M237" s="19">
        <f t="shared" si="94"/>
        <v>265.96081522559024</v>
      </c>
      <c r="N237" s="19"/>
    </row>
    <row r="238" spans="4:14">
      <c r="D238">
        <v>9</v>
      </c>
      <c r="F238" s="19">
        <f>F237*(1+F224/100)</f>
        <v>99.399002000898619</v>
      </c>
      <c r="G238" s="19">
        <f t="shared" si="94"/>
        <v>116.8199428447458</v>
      </c>
      <c r="H238" s="19">
        <f t="shared" si="94"/>
        <v>177.69432034409894</v>
      </c>
      <c r="I238" s="19">
        <f t="shared" si="94"/>
        <v>191.69271707494022</v>
      </c>
      <c r="J238" s="19">
        <f t="shared" si="94"/>
        <v>223.09286484086374</v>
      </c>
      <c r="K238" s="19">
        <f t="shared" si="94"/>
        <v>242.98029875844716</v>
      </c>
      <c r="L238" s="19">
        <f t="shared" si="94"/>
        <v>261.24864215235095</v>
      </c>
      <c r="M238" s="19">
        <f t="shared" si="94"/>
        <v>267.29061930171815</v>
      </c>
      <c r="N238" s="19"/>
    </row>
    <row r="239" spans="4:14">
      <c r="D239">
        <v>10</v>
      </c>
      <c r="F239" s="19">
        <f t="shared" si="94"/>
        <v>99.796598008902208</v>
      </c>
      <c r="G239" s="19">
        <f t="shared" si="94"/>
        <v>119.66425579607733</v>
      </c>
      <c r="H239" s="19">
        <f t="shared" si="94"/>
        <v>175.38429417962564</v>
      </c>
      <c r="I239" s="19">
        <f t="shared" si="94"/>
        <v>197.06011315303854</v>
      </c>
      <c r="J239" s="19">
        <f t="shared" si="94"/>
        <v>225.76997921895412</v>
      </c>
      <c r="K239" s="19">
        <f t="shared" si="94"/>
        <v>247.11096383734073</v>
      </c>
      <c r="L239" s="19">
        <f t="shared" si="94"/>
        <v>263.07738264741738</v>
      </c>
      <c r="M239" s="19">
        <f t="shared" si="94"/>
        <v>269.96352549473534</v>
      </c>
      <c r="N239" s="19"/>
    </row>
    <row r="240" spans="4:14">
      <c r="D240">
        <v>11</v>
      </c>
      <c r="F240" s="19">
        <f t="shared" si="94"/>
        <v>99.996191204920009</v>
      </c>
      <c r="G240" s="19">
        <f t="shared" si="94"/>
        <v>121.97755072635215</v>
      </c>
      <c r="H240" s="19">
        <f t="shared" si="94"/>
        <v>178.89198006321817</v>
      </c>
      <c r="I240" s="19">
        <f t="shared" si="94"/>
        <v>200.60719518979323</v>
      </c>
      <c r="J240" s="19">
        <f t="shared" si="94"/>
        <v>227.80190903192468</v>
      </c>
      <c r="K240" s="19">
        <f t="shared" si="94"/>
        <v>250.57051733106351</v>
      </c>
      <c r="L240" s="19">
        <f t="shared" si="94"/>
        <v>263.34046003006478</v>
      </c>
      <c r="M240" s="19">
        <f t="shared" si="94"/>
        <v>273.47305132616685</v>
      </c>
      <c r="N240" s="19"/>
    </row>
    <row r="241" spans="4:16">
      <c r="D241">
        <v>12</v>
      </c>
      <c r="F241" s="19">
        <f t="shared" si="94"/>
        <v>100.4961721609446</v>
      </c>
      <c r="G241" s="19">
        <f t="shared" si="94"/>
        <v>125.63687724814271</v>
      </c>
      <c r="H241" s="19">
        <f t="shared" si="94"/>
        <v>180.14422392366072</v>
      </c>
      <c r="I241" s="19">
        <f t="shared" si="94"/>
        <v>202.41265994650135</v>
      </c>
      <c r="J241" s="19">
        <f t="shared" si="94"/>
        <v>230.07992812224393</v>
      </c>
      <c r="K241" s="19">
        <f t="shared" si="94"/>
        <v>252.57508146971202</v>
      </c>
      <c r="L241" s="19">
        <f t="shared" si="94"/>
        <v>262.81377911000465</v>
      </c>
      <c r="M241" s="19">
        <f t="shared" si="94"/>
        <v>275.93430878810233</v>
      </c>
      <c r="N241" s="19"/>
    </row>
    <row r="246" spans="4:16" ht="18.75">
      <c r="D246" s="765"/>
      <c r="E246" s="765">
        <v>2014</v>
      </c>
      <c r="F246" s="765">
        <v>2015</v>
      </c>
      <c r="G246" s="765">
        <v>2016</v>
      </c>
      <c r="H246" s="765">
        <v>2017</v>
      </c>
      <c r="I246" s="765">
        <v>2018</v>
      </c>
      <c r="J246" s="765">
        <v>2019</v>
      </c>
      <c r="K246" s="765">
        <v>2020</v>
      </c>
      <c r="L246" s="765">
        <v>2021</v>
      </c>
      <c r="M246" s="765">
        <v>2022</v>
      </c>
      <c r="N246" s="765">
        <v>2023</v>
      </c>
      <c r="O246" s="581" t="s">
        <v>1717</v>
      </c>
    </row>
    <row r="247" spans="4:16">
      <c r="D247" s="498">
        <v>1</v>
      </c>
      <c r="E247" s="542">
        <f t="shared" ref="E247:E258" si="95">E26</f>
        <v>2.2742624098223987E-3</v>
      </c>
      <c r="F247" s="542">
        <f t="shared" ref="F247:F258" si="96">E38</f>
        <v>3.136586173545268E-2</v>
      </c>
      <c r="G247" s="764">
        <f t="shared" ref="G247:G258" si="97">E50</f>
        <v>9.0000000000000566E-3</v>
      </c>
      <c r="H247" s="764">
        <f t="shared" ref="H247:H258" si="98">E62</f>
        <v>1.1000000000000001E-2</v>
      </c>
      <c r="I247" s="764">
        <f t="shared" ref="I247:I258" si="99">E74</f>
        <v>1.4999999999999999E-2</v>
      </c>
      <c r="J247" s="764">
        <f t="shared" ref="J247:J258" si="100">E86</f>
        <v>0.01</v>
      </c>
      <c r="K247" s="764">
        <f t="shared" ref="K247:K258" si="101">E98</f>
        <v>2E-3</v>
      </c>
      <c r="L247" s="764">
        <f t="shared" ref="L247:L258" si="102">E110</f>
        <v>1.3000000000000001E-2</v>
      </c>
      <c r="M247" s="764">
        <f t="shared" ref="M247:M258" si="103">H124</f>
        <v>1.3000000000000001E-2</v>
      </c>
      <c r="N247" s="764">
        <f>H136</f>
        <v>8.0000000000000002E-3</v>
      </c>
      <c r="O247" s="29">
        <f>AVERAGE(J247:M247)</f>
        <v>9.5000000000000015E-3</v>
      </c>
      <c r="P247">
        <v>1</v>
      </c>
    </row>
    <row r="248" spans="4:16">
      <c r="D248" s="498">
        <v>2</v>
      </c>
      <c r="E248" s="542">
        <f t="shared" si="95"/>
        <v>5.741896728978446E-3</v>
      </c>
      <c r="F248" s="542">
        <f t="shared" si="96"/>
        <v>5.2585287076712464E-2</v>
      </c>
      <c r="G248" s="764">
        <f t="shared" si="97"/>
        <v>-4.0000000000000565E-3</v>
      </c>
      <c r="H248" s="764">
        <f t="shared" si="98"/>
        <v>0.01</v>
      </c>
      <c r="I248" s="764">
        <f t="shared" si="99"/>
        <v>9.0000000000000011E-3</v>
      </c>
      <c r="J248" s="764">
        <f t="shared" si="100"/>
        <v>5.0000000000000001E-3</v>
      </c>
      <c r="K248" s="764">
        <f t="shared" si="101"/>
        <v>-3.0000000000000001E-3</v>
      </c>
      <c r="L248" s="764">
        <f t="shared" si="102"/>
        <v>0.01</v>
      </c>
      <c r="M248" s="764">
        <f t="shared" si="103"/>
        <v>1.6E-2</v>
      </c>
      <c r="N248" s="766">
        <f>O248*P248</f>
        <v>7.0000000000000001E-3</v>
      </c>
      <c r="O248" s="29">
        <f>AVERAGE(J248:M248)</f>
        <v>7.0000000000000001E-3</v>
      </c>
      <c r="P248">
        <v>1</v>
      </c>
    </row>
    <row r="249" spans="4:16">
      <c r="D249" s="498">
        <v>3</v>
      </c>
      <c r="E249" s="542">
        <f t="shared" si="95"/>
        <v>2.1717601079911334E-2</v>
      </c>
      <c r="F249" s="542">
        <f t="shared" si="96"/>
        <v>0.10835274745452665</v>
      </c>
      <c r="G249" s="764">
        <f t="shared" si="97"/>
        <v>0.01</v>
      </c>
      <c r="H249" s="764">
        <f t="shared" si="98"/>
        <v>1.8000000000000002E-2</v>
      </c>
      <c r="I249" s="764">
        <f t="shared" si="99"/>
        <v>1.1000000000000001E-2</v>
      </c>
      <c r="J249" s="764">
        <f t="shared" si="100"/>
        <v>9.0000000000000011E-3</v>
      </c>
      <c r="K249" s="764">
        <f t="shared" si="101"/>
        <v>8.0000000000000002E-3</v>
      </c>
      <c r="L249" s="764">
        <f t="shared" si="102"/>
        <v>1.7000000000000001E-2</v>
      </c>
      <c r="M249" s="764">
        <f t="shared" si="103"/>
        <v>4.4999999999999998E-2</v>
      </c>
      <c r="N249" s="766">
        <f t="shared" ref="N249:N258" si="104">O249*P249</f>
        <v>1.1333333333333334E-2</v>
      </c>
      <c r="O249" s="29">
        <f t="shared" ref="O249:O258" si="105">AVERAGE(J249:L249)</f>
        <v>1.1333333333333334E-2</v>
      </c>
      <c r="P249">
        <v>1</v>
      </c>
    </row>
    <row r="250" spans="4:16">
      <c r="D250" s="498">
        <v>4</v>
      </c>
      <c r="E250" s="542">
        <f t="shared" si="95"/>
        <v>3.3477781478453039E-2</v>
      </c>
      <c r="F250" s="542">
        <f t="shared" si="96"/>
        <v>0.13965954227288052</v>
      </c>
      <c r="G250" s="764">
        <f t="shared" si="97"/>
        <v>3.5000000000000003E-2</v>
      </c>
      <c r="H250" s="764">
        <f t="shared" si="98"/>
        <v>9.0000000000000011E-3</v>
      </c>
      <c r="I250" s="764">
        <f t="shared" si="99"/>
        <v>8.0000000000000002E-3</v>
      </c>
      <c r="J250" s="764">
        <f t="shared" si="100"/>
        <v>0.01</v>
      </c>
      <c r="K250" s="764">
        <f t="shared" si="101"/>
        <v>8.0000000000000002E-3</v>
      </c>
      <c r="L250" s="764">
        <f t="shared" si="102"/>
        <v>6.9999999999999993E-3</v>
      </c>
      <c r="M250" s="764">
        <f t="shared" si="103"/>
        <v>3.1E-2</v>
      </c>
      <c r="N250" s="766">
        <f t="shared" si="104"/>
        <v>8.3333333333333332E-3</v>
      </c>
      <c r="O250" s="29">
        <f t="shared" si="105"/>
        <v>8.3333333333333332E-3</v>
      </c>
      <c r="P250">
        <v>1</v>
      </c>
    </row>
    <row r="251" spans="4:16">
      <c r="D251" s="498">
        <v>5</v>
      </c>
      <c r="E251" s="542">
        <f t="shared" si="95"/>
        <v>3.8311894109004353E-2</v>
      </c>
      <c r="F251" s="542">
        <f t="shared" si="96"/>
        <v>2.2223897560082407E-2</v>
      </c>
      <c r="G251" s="764">
        <f t="shared" si="97"/>
        <v>1E-3</v>
      </c>
      <c r="H251" s="764">
        <f t="shared" si="98"/>
        <v>1.3000000000000001E-2</v>
      </c>
      <c r="I251" s="764">
        <f t="shared" si="99"/>
        <v>0</v>
      </c>
      <c r="J251" s="764">
        <f t="shared" si="100"/>
        <v>6.9999999999999993E-3</v>
      </c>
      <c r="K251" s="764">
        <f t="shared" si="101"/>
        <v>3.0000000000000001E-3</v>
      </c>
      <c r="L251" s="764">
        <f t="shared" si="102"/>
        <v>1.3000000000000001E-2</v>
      </c>
      <c r="M251" s="764">
        <f t="shared" si="103"/>
        <v>2.7000000000000003E-2</v>
      </c>
      <c r="N251" s="766">
        <f t="shared" si="104"/>
        <v>7.6666666666666662E-3</v>
      </c>
      <c r="O251" s="29">
        <f t="shared" si="105"/>
        <v>7.6666666666666662E-3</v>
      </c>
      <c r="P251">
        <v>1</v>
      </c>
    </row>
    <row r="252" spans="4:16">
      <c r="D252" s="498">
        <v>6</v>
      </c>
      <c r="E252" s="542">
        <f t="shared" si="95"/>
        <v>9.7127305070468135E-3</v>
      </c>
      <c r="F252" s="542">
        <f t="shared" si="96"/>
        <v>4.0086137467079648E-3</v>
      </c>
      <c r="G252" s="764">
        <f t="shared" si="97"/>
        <v>-2.0000000000000282E-3</v>
      </c>
      <c r="H252" s="764">
        <f t="shared" si="98"/>
        <v>1.6E-2</v>
      </c>
      <c r="I252" s="764">
        <f t="shared" si="99"/>
        <v>0</v>
      </c>
      <c r="J252" s="764">
        <f t="shared" si="100"/>
        <v>-5.0000000000000001E-3</v>
      </c>
      <c r="K252" s="764">
        <f t="shared" si="101"/>
        <v>2E-3</v>
      </c>
      <c r="L252" s="764">
        <f t="shared" si="102"/>
        <v>2E-3</v>
      </c>
      <c r="M252" s="764">
        <f t="shared" si="103"/>
        <v>3.1E-2</v>
      </c>
      <c r="N252" s="766">
        <f>O252*P252</f>
        <v>4.0000000000000001E-3</v>
      </c>
      <c r="O252" s="29">
        <f>AVERAGE(K252:L252)</f>
        <v>2E-3</v>
      </c>
      <c r="P252">
        <v>2</v>
      </c>
    </row>
    <row r="253" spans="4:16">
      <c r="D253" s="498">
        <v>7</v>
      </c>
      <c r="E253" s="542">
        <f t="shared" si="95"/>
        <v>3.6296293535743019E-3</v>
      </c>
      <c r="F253" s="542">
        <f t="shared" si="96"/>
        <v>-1.0092080094883755E-2</v>
      </c>
      <c r="G253" s="764">
        <f t="shared" si="97"/>
        <v>-1E-3</v>
      </c>
      <c r="H253" s="764">
        <f t="shared" si="98"/>
        <v>2E-3</v>
      </c>
      <c r="I253" s="764">
        <f t="shared" si="99"/>
        <v>-6.9999999999999993E-3</v>
      </c>
      <c r="J253" s="764">
        <f t="shared" si="100"/>
        <v>-6.0000000000000001E-3</v>
      </c>
      <c r="K253" s="764">
        <f t="shared" si="101"/>
        <v>-6.0000000000000001E-3</v>
      </c>
      <c r="L253" s="764">
        <f t="shared" si="102"/>
        <v>1E-3</v>
      </c>
      <c r="M253" s="764">
        <f t="shared" si="103"/>
        <v>6.9999999999999993E-3</v>
      </c>
      <c r="N253" s="766">
        <f>O253*P253</f>
        <v>2E-3</v>
      </c>
      <c r="O253" s="29">
        <f>AVERAGE(L253)</f>
        <v>1E-3</v>
      </c>
      <c r="P253">
        <v>2</v>
      </c>
    </row>
    <row r="254" spans="4:16">
      <c r="D254" s="498">
        <v>8</v>
      </c>
      <c r="E254" s="542">
        <f t="shared" si="95"/>
        <v>8.1904496056313288E-3</v>
      </c>
      <c r="F254" s="542">
        <f t="shared" si="96"/>
        <v>-7.6169643968493975E-3</v>
      </c>
      <c r="G254" s="764">
        <f t="shared" si="97"/>
        <v>-3.0000000000000001E-3</v>
      </c>
      <c r="H254" s="764">
        <f t="shared" si="98"/>
        <v>-1E-3</v>
      </c>
      <c r="I254" s="764">
        <f t="shared" si="99"/>
        <v>0</v>
      </c>
      <c r="J254" s="764">
        <f t="shared" si="100"/>
        <v>-3.0000000000000001E-3</v>
      </c>
      <c r="K254" s="764">
        <f t="shared" si="101"/>
        <v>-2E-3</v>
      </c>
      <c r="L254" s="764">
        <f t="shared" si="102"/>
        <v>-2E-3</v>
      </c>
      <c r="M254" s="764">
        <f t="shared" si="103"/>
        <v>1.1000000000000001E-2</v>
      </c>
      <c r="N254" s="766">
        <f t="shared" si="104"/>
        <v>1.1666666666666668E-3</v>
      </c>
      <c r="O254" s="29">
        <f>AVERAGE(J254:L254)</f>
        <v>-2.3333333333333335E-3</v>
      </c>
      <c r="P254">
        <v>-0.5</v>
      </c>
    </row>
    <row r="255" spans="4:16">
      <c r="D255" s="498">
        <v>9</v>
      </c>
      <c r="E255" s="542">
        <f t="shared" si="95"/>
        <v>2.9486404360563368E-2</v>
      </c>
      <c r="F255" s="542">
        <f t="shared" si="96"/>
        <v>2.2999999999999972E-2</v>
      </c>
      <c r="G255" s="764">
        <f t="shared" si="97"/>
        <v>1.8000000000000002E-2</v>
      </c>
      <c r="H255" s="764">
        <f t="shared" si="98"/>
        <v>0.02</v>
      </c>
      <c r="I255" s="764">
        <f t="shared" si="99"/>
        <v>1.9E-2</v>
      </c>
      <c r="J255" s="764">
        <f t="shared" si="100"/>
        <v>6.9999999999999993E-3</v>
      </c>
      <c r="K255" s="764">
        <f t="shared" si="101"/>
        <v>5.0000000000000001E-3</v>
      </c>
      <c r="L255" s="764">
        <f t="shared" si="102"/>
        <v>1.2E-2</v>
      </c>
      <c r="M255" s="764">
        <f t="shared" si="103"/>
        <v>1.8629999999999994E-2</v>
      </c>
      <c r="N255" s="766">
        <f t="shared" si="104"/>
        <v>9.5999999999999992E-3</v>
      </c>
      <c r="O255" s="29">
        <f t="shared" si="105"/>
        <v>8.0000000000000002E-3</v>
      </c>
      <c r="P255">
        <v>1.2</v>
      </c>
    </row>
    <row r="256" spans="4:16">
      <c r="D256" s="498">
        <v>10</v>
      </c>
      <c r="E256" s="542">
        <f t="shared" si="95"/>
        <v>2.4347837210566325E-2</v>
      </c>
      <c r="F256" s="542">
        <f t="shared" si="96"/>
        <v>-1.2999999999999972E-2</v>
      </c>
      <c r="G256" s="764">
        <f t="shared" si="97"/>
        <v>2.7999999999999997E-2</v>
      </c>
      <c r="H256" s="764">
        <f t="shared" si="98"/>
        <v>1.2E-2</v>
      </c>
      <c r="I256" s="764">
        <f t="shared" si="99"/>
        <v>1.7000000000000001E-2</v>
      </c>
      <c r="J256" s="764">
        <f t="shared" si="100"/>
        <v>6.9999999999999993E-3</v>
      </c>
      <c r="K256" s="764">
        <f t="shared" si="101"/>
        <v>0.01</v>
      </c>
      <c r="L256" s="764">
        <f t="shared" si="102"/>
        <v>9.0000000000000011E-3</v>
      </c>
      <c r="M256" s="764">
        <f t="shared" si="103"/>
        <v>2.5000000000000001E-2</v>
      </c>
      <c r="N256" s="766">
        <f t="shared" si="104"/>
        <v>1.0400000000000001E-2</v>
      </c>
      <c r="O256" s="29">
        <f t="shared" si="105"/>
        <v>8.666666666666668E-3</v>
      </c>
      <c r="P256">
        <v>1.2</v>
      </c>
    </row>
    <row r="257" spans="4:16">
      <c r="D257" s="498">
        <v>11</v>
      </c>
      <c r="E257" s="542">
        <f t="shared" si="95"/>
        <v>1.9331544870148747E-2</v>
      </c>
      <c r="F257" s="542">
        <f t="shared" si="96"/>
        <v>0.02</v>
      </c>
      <c r="G257" s="764">
        <f t="shared" si="97"/>
        <v>1.8000000000000002E-2</v>
      </c>
      <c r="H257" s="764">
        <f t="shared" si="98"/>
        <v>9.0000000000000011E-3</v>
      </c>
      <c r="I257" s="764">
        <f t="shared" si="99"/>
        <v>1.3999999999999999E-2</v>
      </c>
      <c r="J257" s="764">
        <f t="shared" si="100"/>
        <v>1E-3</v>
      </c>
      <c r="K257" s="764">
        <f t="shared" si="101"/>
        <v>1.3000000000000001E-2</v>
      </c>
      <c r="L257" s="764">
        <f t="shared" si="102"/>
        <v>8.0000000000000002E-3</v>
      </c>
      <c r="M257" s="764">
        <f t="shared" si="103"/>
        <v>6.9999999999999993E-3</v>
      </c>
      <c r="N257" s="766">
        <f t="shared" si="104"/>
        <v>8.8000000000000005E-3</v>
      </c>
      <c r="O257" s="29">
        <f t="shared" si="105"/>
        <v>7.3333333333333341E-3</v>
      </c>
      <c r="P257">
        <v>1.2</v>
      </c>
    </row>
    <row r="258" spans="4:16">
      <c r="D258" s="498">
        <v>12</v>
      </c>
      <c r="E258" s="542">
        <f t="shared" si="95"/>
        <v>0.03</v>
      </c>
      <c r="F258" s="542">
        <f t="shared" si="96"/>
        <v>7.0000000000000288E-3</v>
      </c>
      <c r="G258" s="764">
        <f t="shared" si="97"/>
        <v>9.0000000000000011E-3</v>
      </c>
      <c r="H258" s="764">
        <f t="shared" si="98"/>
        <v>0.01</v>
      </c>
      <c r="I258" s="764">
        <f t="shared" si="99"/>
        <v>8.0000000000000002E-3</v>
      </c>
      <c r="J258" s="764">
        <f t="shared" si="100"/>
        <v>-2E-3</v>
      </c>
      <c r="K258" s="764">
        <f t="shared" si="101"/>
        <v>9.0000000000000011E-3</v>
      </c>
      <c r="L258" s="764">
        <f t="shared" si="102"/>
        <v>6.0000000000000001E-3</v>
      </c>
      <c r="M258" s="764">
        <f t="shared" si="103"/>
        <v>6.9999999999999993E-3</v>
      </c>
      <c r="N258" s="766">
        <f t="shared" si="104"/>
        <v>5.2000000000000006E-3</v>
      </c>
      <c r="O258" s="29">
        <f t="shared" si="105"/>
        <v>4.333333333333334E-3</v>
      </c>
      <c r="P258">
        <v>1.2</v>
      </c>
    </row>
  </sheetData>
  <conditionalFormatting sqref="F124:F135 F196:F207">
    <cfRule type="colorScale" priority="21">
      <colorScale>
        <cfvo type="min"/>
        <cfvo type="percentile" val="50"/>
        <cfvo type="max"/>
        <color rgb="FFF8696B"/>
        <color rgb="FFFCFCFF"/>
        <color rgb="FF63BE7B"/>
      </colorScale>
    </cfRule>
  </conditionalFormatting>
  <conditionalFormatting sqref="F216:N227">
    <cfRule type="colorScale" priority="15">
      <colorScale>
        <cfvo type="min"/>
        <cfvo type="percentile" val="50"/>
        <cfvo type="max"/>
        <color rgb="FFF8696B"/>
        <color rgb="FFFCFCFF"/>
        <color rgb="FF63BE7B"/>
      </colorScale>
    </cfRule>
  </conditionalFormatting>
  <conditionalFormatting sqref="F230:N241">
    <cfRule type="colorScale" priority="14">
      <colorScale>
        <cfvo type="min"/>
        <cfvo type="percentile" val="50"/>
        <cfvo type="max"/>
        <color rgb="FFF8696B"/>
        <color rgb="FFFCFCFF"/>
        <color rgb="FF63BE7B"/>
      </colorScale>
    </cfRule>
  </conditionalFormatting>
  <conditionalFormatting sqref="G124:G135">
    <cfRule type="colorScale" priority="13">
      <colorScale>
        <cfvo type="min"/>
        <cfvo type="percentile" val="50"/>
        <cfvo type="max"/>
        <color rgb="FFF8696B"/>
        <color rgb="FFFCFCFF"/>
        <color rgb="FF63BE7B"/>
      </colorScale>
    </cfRule>
  </conditionalFormatting>
  <conditionalFormatting sqref="G154:G165">
    <cfRule type="colorScale" priority="1">
      <colorScale>
        <cfvo type="min"/>
        <cfvo type="percentile" val="50"/>
        <cfvo type="max"/>
        <color rgb="FFF8696B"/>
        <color rgb="FFFCFCFF"/>
        <color rgb="FF63BE7B"/>
      </colorScale>
    </cfRule>
  </conditionalFormatting>
  <conditionalFormatting sqref="G247:M258 N247">
    <cfRule type="colorScale" priority="2">
      <colorScale>
        <cfvo type="min"/>
        <cfvo type="percentile" val="50"/>
        <cfvo type="max"/>
        <color rgb="FFF8696B"/>
        <color rgb="FFFCFCFF"/>
        <color rgb="FF63BE7B"/>
      </colorScale>
    </cfRule>
  </conditionalFormatting>
  <conditionalFormatting sqref="I14:I25">
    <cfRule type="colorScale" priority="3">
      <colorScale>
        <cfvo type="min"/>
        <cfvo type="percentile" val="50"/>
        <cfvo type="max"/>
        <color rgb="FFF8696B"/>
        <color rgb="FFFCFCFF"/>
        <color rgb="FF63BE7B"/>
      </colorScale>
    </cfRule>
  </conditionalFormatting>
  <conditionalFormatting sqref="I26:I37">
    <cfRule type="colorScale" priority="4">
      <colorScale>
        <cfvo type="min"/>
        <cfvo type="percentile" val="50"/>
        <cfvo type="max"/>
        <color rgb="FFF8696B"/>
        <color rgb="FFFCFCFF"/>
        <color rgb="FF63BE7B"/>
      </colorScale>
    </cfRule>
  </conditionalFormatting>
  <conditionalFormatting sqref="I38:I49">
    <cfRule type="colorScale" priority="5">
      <colorScale>
        <cfvo type="min"/>
        <cfvo type="percentile" val="50"/>
        <cfvo type="max"/>
        <color rgb="FFF8696B"/>
        <color rgb="FFFCFCFF"/>
        <color rgb="FF63BE7B"/>
      </colorScale>
    </cfRule>
  </conditionalFormatting>
  <conditionalFormatting sqref="I50:I61">
    <cfRule type="colorScale" priority="6">
      <colorScale>
        <cfvo type="min"/>
        <cfvo type="percentile" val="50"/>
        <cfvo type="max"/>
        <color rgb="FFF8696B"/>
        <color rgb="FFFCFCFF"/>
        <color rgb="FF63BE7B"/>
      </colorScale>
    </cfRule>
  </conditionalFormatting>
  <conditionalFormatting sqref="I62:I73">
    <cfRule type="colorScale" priority="7">
      <colorScale>
        <cfvo type="min"/>
        <cfvo type="percentile" val="50"/>
        <cfvo type="max"/>
        <color rgb="FFF8696B"/>
        <color rgb="FFFCFCFF"/>
        <color rgb="FF63BE7B"/>
      </colorScale>
    </cfRule>
  </conditionalFormatting>
  <conditionalFormatting sqref="I74:I85">
    <cfRule type="colorScale" priority="8">
      <colorScale>
        <cfvo type="min"/>
        <cfvo type="percentile" val="50"/>
        <cfvo type="max"/>
        <color rgb="FFF8696B"/>
        <color rgb="FFFCFCFF"/>
        <color rgb="FF63BE7B"/>
      </colorScale>
    </cfRule>
  </conditionalFormatting>
  <conditionalFormatting sqref="I86:I97">
    <cfRule type="colorScale" priority="9">
      <colorScale>
        <cfvo type="min"/>
        <cfvo type="percentile" val="50"/>
        <cfvo type="max"/>
        <color rgb="FFF8696B"/>
        <color rgb="FFFCFCFF"/>
        <color rgb="FF63BE7B"/>
      </colorScale>
    </cfRule>
  </conditionalFormatting>
  <conditionalFormatting sqref="I98:I109">
    <cfRule type="colorScale" priority="11">
      <colorScale>
        <cfvo type="min"/>
        <cfvo type="percentile" val="50"/>
        <cfvo type="max"/>
        <color rgb="FFF8696B"/>
        <color rgb="FFFCFCFF"/>
        <color rgb="FF63BE7B"/>
      </colorScale>
    </cfRule>
  </conditionalFormatting>
  <conditionalFormatting sqref="I110:I121">
    <cfRule type="colorScale" priority="10">
      <colorScale>
        <cfvo type="min"/>
        <cfvo type="percentile" val="50"/>
        <cfvo type="max"/>
        <color rgb="FFF8696B"/>
        <color rgb="FFFCFCFF"/>
        <color rgb="FF63BE7B"/>
      </colorScale>
    </cfRule>
  </conditionalFormatting>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249977111117893"/>
  </sheetPr>
  <dimension ref="A1:BR157"/>
  <sheetViews>
    <sheetView zoomScale="85" zoomScaleNormal="85" workbookViewId="0">
      <pane xSplit="2" ySplit="1" topLeftCell="C47" activePane="bottomRight" state="frozen"/>
      <selection pane="topRight" activeCell="C1" sqref="C1"/>
      <selection pane="bottomLeft" activeCell="A2" sqref="A2"/>
      <selection pane="bottomRight" activeCell="B80" sqref="B80"/>
    </sheetView>
  </sheetViews>
  <sheetFormatPr defaultColWidth="8.69921875" defaultRowHeight="18"/>
  <cols>
    <col min="2" max="3" width="9.69921875" customWidth="1"/>
    <col min="4" max="4" width="32.3984375" customWidth="1"/>
    <col min="5" max="5" width="14" customWidth="1"/>
    <col min="6" max="6" width="13.5" customWidth="1"/>
    <col min="7" max="10" width="11.19921875" customWidth="1"/>
    <col min="11" max="11" width="15.296875" customWidth="1"/>
    <col min="12" max="13" width="11.19921875" customWidth="1"/>
    <col min="14" max="14" width="13.69921875" customWidth="1"/>
    <col min="25" max="25" width="13.69921875" customWidth="1"/>
    <col min="30" max="30" width="12.59765625" customWidth="1"/>
    <col min="31" max="31" width="12.09765625" customWidth="1"/>
    <col min="32" max="32" width="17.69921875" customWidth="1"/>
    <col min="33" max="33" width="13.59765625" customWidth="1"/>
    <col min="34" max="34" width="20" customWidth="1"/>
    <col min="35" max="35" width="13.69921875" customWidth="1"/>
    <col min="36" max="36" width="14.59765625" customWidth="1"/>
    <col min="37" max="37" width="8.69921875" customWidth="1"/>
    <col min="38" max="38" width="8.3984375" customWidth="1"/>
    <col min="39" max="39" width="9" customWidth="1"/>
    <col min="40" max="40" width="12.59765625" customWidth="1"/>
  </cols>
  <sheetData>
    <row r="1" spans="1:70" s="86" customFormat="1" ht="54" customHeight="1">
      <c r="B1" s="87"/>
      <c r="C1" s="87"/>
      <c r="D1" s="128" t="s">
        <v>181</v>
      </c>
      <c r="E1" s="6" t="s">
        <v>257</v>
      </c>
      <c r="F1" s="6" t="s">
        <v>256</v>
      </c>
      <c r="G1" s="6" t="str">
        <f>INDEX(BR2:BR4,MATCH('Чарти 5-7'!$B$1,$BQ$2:$BQ$4,0),1)</f>
        <v>Дефлятор</v>
      </c>
      <c r="H1" s="6" t="s">
        <v>284</v>
      </c>
      <c r="I1" s="284" t="s">
        <v>285</v>
      </c>
      <c r="J1" s="284"/>
      <c r="K1" s="891" t="s">
        <v>1970</v>
      </c>
      <c r="L1" s="284"/>
      <c r="M1" s="284"/>
      <c r="N1" s="25" t="s">
        <v>0</v>
      </c>
      <c r="O1" s="88" t="s">
        <v>140</v>
      </c>
      <c r="P1" s="88" t="s">
        <v>141</v>
      </c>
      <c r="Q1" s="25" t="s">
        <v>10</v>
      </c>
      <c r="R1" s="89" t="s">
        <v>140</v>
      </c>
      <c r="S1" s="89" t="s">
        <v>141</v>
      </c>
      <c r="T1" s="26" t="s">
        <v>138</v>
      </c>
      <c r="U1" s="89" t="s">
        <v>140</v>
      </c>
      <c r="V1" s="89" t="s">
        <v>141</v>
      </c>
      <c r="X1" s="91" t="s">
        <v>171</v>
      </c>
      <c r="Y1" s="91" t="s">
        <v>172</v>
      </c>
      <c r="Z1" s="92" t="s">
        <v>166</v>
      </c>
      <c r="AA1" s="90" t="s">
        <v>169</v>
      </c>
      <c r="AB1" s="90" t="s">
        <v>170</v>
      </c>
      <c r="AC1" s="86" t="s">
        <v>11</v>
      </c>
      <c r="AD1" s="86" t="s">
        <v>5</v>
      </c>
      <c r="AE1" s="86" t="s">
        <v>12</v>
      </c>
      <c r="AF1" s="86" t="s">
        <v>13</v>
      </c>
      <c r="AG1" s="86" t="s">
        <v>14</v>
      </c>
      <c r="AH1" s="86" t="s">
        <v>139</v>
      </c>
      <c r="AI1" s="86" t="s">
        <v>153</v>
      </c>
      <c r="AJ1" s="86" t="s">
        <v>15</v>
      </c>
      <c r="AK1" s="86" t="s">
        <v>16</v>
      </c>
      <c r="AL1" s="86" t="s">
        <v>17</v>
      </c>
      <c r="AM1" s="86" t="s">
        <v>4</v>
      </c>
      <c r="AN1" s="86" t="s">
        <v>0</v>
      </c>
      <c r="AO1" s="86" t="s">
        <v>10</v>
      </c>
      <c r="AP1" s="86" t="s">
        <v>168</v>
      </c>
    </row>
    <row r="2" spans="1:70" ht="21.75">
      <c r="A2">
        <v>2010</v>
      </c>
      <c r="B2">
        <v>1</v>
      </c>
      <c r="D2" t="s">
        <v>26</v>
      </c>
      <c r="F2" s="74"/>
      <c r="G2" s="74"/>
      <c r="H2" s="74"/>
      <c r="I2" s="74"/>
      <c r="J2" s="74"/>
      <c r="K2" s="74"/>
      <c r="L2" s="74"/>
      <c r="M2" s="74"/>
      <c r="N2" s="74"/>
      <c r="O2" s="74"/>
      <c r="P2" s="74"/>
      <c r="Q2" s="74"/>
      <c r="R2" s="74"/>
      <c r="S2" s="74"/>
      <c r="T2" s="74"/>
      <c r="U2" s="74"/>
      <c r="V2" s="74"/>
      <c r="W2" s="74"/>
      <c r="X2" s="74"/>
      <c r="Y2" s="74"/>
      <c r="Z2" s="96">
        <v>0.1</v>
      </c>
      <c r="AA2" s="33"/>
      <c r="AC2">
        <v>94.730805196105507</v>
      </c>
      <c r="AD2">
        <v>7.9881105606758842</v>
      </c>
      <c r="AE2">
        <f>AC2*AD2</f>
        <v>756.72014540834027</v>
      </c>
      <c r="AF2">
        <v>1993.3333333333333</v>
      </c>
      <c r="AG2">
        <v>191991.79905780833</v>
      </c>
      <c r="AH2">
        <v>4.4999999999999998E-2</v>
      </c>
      <c r="AN2" s="83">
        <v>0.11199999999999999</v>
      </c>
      <c r="AO2" s="83">
        <v>0.17100000000000001</v>
      </c>
      <c r="BQ2" s="6" t="s">
        <v>500</v>
      </c>
      <c r="BR2" t="s">
        <v>138</v>
      </c>
    </row>
    <row r="3" spans="1:70" ht="21.75">
      <c r="A3">
        <v>2010</v>
      </c>
      <c r="B3">
        <v>2</v>
      </c>
      <c r="D3" t="s">
        <v>27</v>
      </c>
      <c r="F3" s="74"/>
      <c r="G3" s="74"/>
      <c r="H3" s="74"/>
      <c r="I3" s="74"/>
      <c r="J3" s="74"/>
      <c r="K3" s="74"/>
      <c r="L3" s="74"/>
      <c r="M3" s="74"/>
      <c r="N3" s="74"/>
      <c r="O3" s="74"/>
      <c r="P3" s="74"/>
      <c r="Q3" s="74"/>
      <c r="R3" s="74"/>
      <c r="S3" s="74"/>
      <c r="T3" s="74"/>
      <c r="U3" s="74"/>
      <c r="V3" s="74"/>
      <c r="W3" s="74"/>
      <c r="X3" s="74"/>
      <c r="Y3" s="74"/>
      <c r="Z3" s="96">
        <v>0.13800000000000001</v>
      </c>
      <c r="AA3" s="33"/>
      <c r="AC3">
        <v>99.016440801199792</v>
      </c>
      <c r="AD3">
        <v>7.9223897491039432</v>
      </c>
      <c r="AE3">
        <f>AC3*AD3</f>
        <v>784.44683559618272</v>
      </c>
      <c r="AF3">
        <v>2227</v>
      </c>
      <c r="AG3">
        <v>203817.58147434832</v>
      </c>
      <c r="AH3">
        <v>5.4000000000000006E-2</v>
      </c>
      <c r="AN3" s="83">
        <v>8.3666666666666709E-2</v>
      </c>
      <c r="AO3" s="83">
        <v>0.25033333333333335</v>
      </c>
      <c r="BQ3" s="6" t="s">
        <v>501</v>
      </c>
      <c r="BR3" t="s">
        <v>255</v>
      </c>
    </row>
    <row r="4" spans="1:70" ht="21.75">
      <c r="A4">
        <v>2010</v>
      </c>
      <c r="B4">
        <v>3</v>
      </c>
      <c r="D4" t="s">
        <v>28</v>
      </c>
      <c r="F4" s="74"/>
      <c r="G4" s="74"/>
      <c r="H4" s="74"/>
      <c r="I4" s="74"/>
      <c r="J4" s="74"/>
      <c r="K4" s="74"/>
      <c r="L4" s="74"/>
      <c r="M4" s="74"/>
      <c r="N4" s="74"/>
      <c r="O4" s="74"/>
      <c r="P4" s="74"/>
      <c r="Q4" s="74"/>
      <c r="R4" s="74"/>
      <c r="S4" s="74"/>
      <c r="T4" s="74"/>
      <c r="U4" s="74"/>
      <c r="V4" s="74"/>
      <c r="W4" s="74"/>
      <c r="X4" s="74"/>
      <c r="Y4" s="74"/>
      <c r="Z4" s="96">
        <v>0.16500000000000001</v>
      </c>
      <c r="AA4" s="33"/>
      <c r="AC4">
        <v>96.641156213138927</v>
      </c>
      <c r="AD4">
        <v>7.9007316487455173</v>
      </c>
      <c r="AE4">
        <f>AC4*AD4</f>
        <v>763.53584146450623</v>
      </c>
      <c r="AF4">
        <v>2332</v>
      </c>
      <c r="AG4">
        <v>220776.74951861499</v>
      </c>
      <c r="AH4">
        <v>3.3000000000000002E-2</v>
      </c>
      <c r="AJ4" s="48"/>
      <c r="AN4" s="83">
        <v>8.5333333333333317E-2</v>
      </c>
      <c r="AO4" s="83">
        <v>0.223</v>
      </c>
      <c r="BQ4" s="6" t="s">
        <v>502</v>
      </c>
      <c r="BR4" t="s">
        <v>138</v>
      </c>
    </row>
    <row r="5" spans="1:70" ht="21.75">
      <c r="A5">
        <v>2010</v>
      </c>
      <c r="B5">
        <v>4</v>
      </c>
      <c r="D5" t="s">
        <v>29</v>
      </c>
      <c r="F5" s="74"/>
      <c r="G5" s="74"/>
      <c r="H5" s="74"/>
      <c r="I5" s="74"/>
      <c r="J5" s="74"/>
      <c r="K5" s="74"/>
      <c r="L5" s="74"/>
      <c r="M5" s="74"/>
      <c r="N5" s="74"/>
      <c r="O5" s="74"/>
      <c r="P5" s="74"/>
      <c r="Q5" s="74"/>
      <c r="R5" s="74"/>
      <c r="S5" s="74"/>
      <c r="T5" s="74"/>
      <c r="U5" s="74"/>
      <c r="V5" s="74"/>
      <c r="W5" s="74"/>
      <c r="X5" s="74"/>
      <c r="Y5" s="74"/>
      <c r="Z5" s="96">
        <v>0.14000000000000001</v>
      </c>
      <c r="AA5" s="33"/>
      <c r="AC5">
        <v>109.6115977895558</v>
      </c>
      <c r="AD5">
        <v>7.9313300358422945</v>
      </c>
      <c r="AE5">
        <f>AC5*AD5</f>
        <v>869.3657578249688</v>
      </c>
      <c r="AF5">
        <v>2434.6666666666665</v>
      </c>
      <c r="AG5">
        <v>219501.2628322267</v>
      </c>
      <c r="AH5">
        <v>3.7000000000000005E-2</v>
      </c>
      <c r="AJ5" s="48"/>
      <c r="AN5" s="83">
        <v>9.4666666666666635E-2</v>
      </c>
      <c r="AO5" s="83">
        <v>0.19133333333333336</v>
      </c>
    </row>
    <row r="6" spans="1:70">
      <c r="A6">
        <v>2011</v>
      </c>
      <c r="B6">
        <v>1</v>
      </c>
      <c r="D6" s="21">
        <v>12.9</v>
      </c>
      <c r="E6" s="21"/>
      <c r="F6" s="21"/>
      <c r="G6" s="21"/>
      <c r="H6" s="21"/>
      <c r="I6" s="21"/>
      <c r="J6" s="21"/>
      <c r="K6" s="21"/>
      <c r="L6" s="21"/>
      <c r="M6" s="21"/>
      <c r="N6" s="21"/>
      <c r="O6" s="21"/>
      <c r="P6" s="21"/>
      <c r="Q6" s="21"/>
      <c r="R6" s="21"/>
      <c r="S6" s="21"/>
      <c r="T6" s="21"/>
      <c r="U6" s="21"/>
      <c r="V6" s="21"/>
      <c r="W6" s="21"/>
      <c r="X6" s="95">
        <f>0.4177065*AO6+0.360601*AN6+0.0432334</f>
        <v>0.15412327049999999</v>
      </c>
      <c r="Y6" s="93">
        <f>0.383829*AN6+0.3291765*AO6+0.0710852*AJ6+0.0471218</f>
        <v>0.16440339584947294</v>
      </c>
      <c r="Z6" s="96">
        <v>0.129</v>
      </c>
      <c r="AA6" s="94">
        <f>Z6-Y6</f>
        <v>-3.5403395849472941E-2</v>
      </c>
      <c r="AB6" s="95">
        <f t="shared" ref="AB6:AB41" si="0">Z6-X6</f>
        <v>-2.5123270499999989E-2</v>
      </c>
      <c r="AC6">
        <v>125.02103590955046</v>
      </c>
      <c r="AD6">
        <v>7.9448180491551481</v>
      </c>
      <c r="AE6">
        <v>993.26453776567303</v>
      </c>
      <c r="AF6">
        <v>2388.6666666666665</v>
      </c>
      <c r="AG6">
        <v>221268.12831914166</v>
      </c>
      <c r="AH6" s="5">
        <v>5.0999999999999997E-2</v>
      </c>
      <c r="AI6" s="81">
        <f>AC6/AC2-1</f>
        <v>0.31975058853073302</v>
      </c>
      <c r="AJ6" s="81">
        <f t="shared" ref="AJ6:AL45" si="1">AE6/AE2-1</f>
        <v>0.31259164143131013</v>
      </c>
      <c r="AK6" s="81">
        <f t="shared" si="1"/>
        <v>0.19832775919732448</v>
      </c>
      <c r="AL6" s="81">
        <f t="shared" si="1"/>
        <v>0.15248739480022411</v>
      </c>
      <c r="AM6" s="81">
        <f>(AL6+1)/(AH6+1)-1</f>
        <v>9.6562697240936357E-2</v>
      </c>
      <c r="AN6" s="83">
        <v>7.7000000000000027E-2</v>
      </c>
      <c r="AO6" s="83">
        <v>0.19899999999999998</v>
      </c>
      <c r="AP6">
        <f>AD6/AD2-1</f>
        <v>-5.4196184682092641E-3</v>
      </c>
    </row>
    <row r="7" spans="1:70">
      <c r="A7">
        <v>2011</v>
      </c>
      <c r="B7">
        <v>2</v>
      </c>
      <c r="D7" s="21">
        <v>16.3</v>
      </c>
      <c r="E7" s="21"/>
      <c r="F7" s="21"/>
      <c r="G7" s="21"/>
      <c r="H7" s="21"/>
      <c r="I7" s="21"/>
      <c r="J7" s="21"/>
      <c r="K7" s="21"/>
      <c r="L7" s="21"/>
      <c r="M7" s="21"/>
      <c r="N7" s="21"/>
      <c r="O7" s="21"/>
      <c r="P7" s="21"/>
      <c r="Q7" s="21"/>
      <c r="R7" s="21"/>
      <c r="S7" s="21"/>
      <c r="T7" s="21"/>
      <c r="U7" s="21"/>
      <c r="V7" s="21"/>
      <c r="W7" s="21"/>
      <c r="X7" s="95">
        <f t="shared" ref="X7:X40" si="2">0.4177065*AO7+0.360601*AN7+0.0432334</f>
        <v>0.16504246566666667</v>
      </c>
      <c r="Y7" s="93">
        <f t="shared" ref="Y7:Y40" si="3">0.383829*AN7+0.3291765*AO7+0.0710852*AJ7+0.0471218</f>
        <v>0.17670850490871201</v>
      </c>
      <c r="Z7" s="96">
        <v>0.16600000000000001</v>
      </c>
      <c r="AA7" s="94">
        <f t="shared" ref="AA7:AA41" si="4">Z7-Y7</f>
        <v>-1.0708504908712002E-2</v>
      </c>
      <c r="AB7" s="95">
        <f t="shared" si="0"/>
        <v>9.5753433333334304E-4</v>
      </c>
      <c r="AC7">
        <v>130.06922027303122</v>
      </c>
      <c r="AD7">
        <v>7.970932258064515</v>
      </c>
      <c r="AE7">
        <v>1036.7659626477844</v>
      </c>
      <c r="AF7">
        <v>2604.6666666666665</v>
      </c>
      <c r="AG7">
        <v>227767.02637276668</v>
      </c>
      <c r="AH7" s="5">
        <v>3.9E-2</v>
      </c>
      <c r="AI7" s="81">
        <f t="shared" ref="AI7:AI40" si="5">AC7/AC3-1</f>
        <v>0.31361235791314312</v>
      </c>
      <c r="AJ7" s="81">
        <f t="shared" si="1"/>
        <v>0.32165229764721803</v>
      </c>
      <c r="AK7" s="81">
        <f t="shared" si="1"/>
        <v>0.16958539140847173</v>
      </c>
      <c r="AL7" s="81">
        <f t="shared" si="1"/>
        <v>0.11750431304883557</v>
      </c>
      <c r="AM7" s="81">
        <f>(AL7+1)/(AH7+1)-1</f>
        <v>7.5557567900708111E-2</v>
      </c>
      <c r="AN7">
        <v>0.1076666666666667</v>
      </c>
      <c r="AO7">
        <v>0.19866666666666663</v>
      </c>
      <c r="AP7">
        <f t="shared" ref="AP7:AP40" si="6">AD7/AD3-1</f>
        <v>6.127255853079161E-3</v>
      </c>
    </row>
    <row r="8" spans="1:70">
      <c r="A8">
        <v>2011</v>
      </c>
      <c r="B8">
        <v>3</v>
      </c>
      <c r="D8" s="21">
        <v>14.9</v>
      </c>
      <c r="E8" s="21"/>
      <c r="F8" s="21"/>
      <c r="G8" s="21"/>
      <c r="H8" s="21"/>
      <c r="I8" s="21"/>
      <c r="J8" s="21"/>
      <c r="K8" s="21"/>
      <c r="L8" s="21"/>
      <c r="M8" s="21"/>
      <c r="O8" s="21"/>
      <c r="P8" s="21"/>
      <c r="Q8" s="21"/>
      <c r="R8" s="21"/>
      <c r="S8" s="21"/>
      <c r="T8" s="21"/>
      <c r="U8" s="21"/>
      <c r="V8" s="21"/>
      <c r="W8" s="21"/>
      <c r="X8" s="95">
        <f t="shared" si="2"/>
        <v>0.15939411716666665</v>
      </c>
      <c r="Y8" s="93">
        <f t="shared" si="3"/>
        <v>0.17346564927786925</v>
      </c>
      <c r="Z8" s="96">
        <v>0.152</v>
      </c>
      <c r="AA8" s="94">
        <f t="shared" si="4"/>
        <v>-2.1465649277869259E-2</v>
      </c>
      <c r="AB8" s="95">
        <f t="shared" si="0"/>
        <v>-7.3941171666666583E-3</v>
      </c>
      <c r="AC8">
        <v>131.30514166327899</v>
      </c>
      <c r="AD8">
        <v>7.9717186021505384</v>
      </c>
      <c r="AE8">
        <v>1046.7274622702992</v>
      </c>
      <c r="AF8">
        <v>2726.6666666666665</v>
      </c>
      <c r="AG8">
        <v>235648.5684417733</v>
      </c>
      <c r="AH8" s="5">
        <v>6.5000000000000002E-2</v>
      </c>
      <c r="AI8" s="81">
        <f t="shared" si="5"/>
        <v>0.35868761103902536</v>
      </c>
      <c r="AJ8" s="81">
        <f t="shared" si="1"/>
        <v>0.37089499330197118</v>
      </c>
      <c r="AK8" s="81">
        <f t="shared" si="1"/>
        <v>0.1692395654659804</v>
      </c>
      <c r="AL8" s="81">
        <f t="shared" si="1"/>
        <v>6.7361345592708677E-2</v>
      </c>
      <c r="AM8" s="81">
        <f t="shared" ref="AM8:AM41" si="7">(AL8+1)/(AH8+1)-1</f>
        <v>2.2172259086465917E-3</v>
      </c>
      <c r="AN8">
        <v>8.4666666666666682E-2</v>
      </c>
      <c r="AO8">
        <v>0.20499999999999999</v>
      </c>
      <c r="AP8">
        <f t="shared" si="6"/>
        <v>8.9848581828864127E-3</v>
      </c>
    </row>
    <row r="9" spans="1:70">
      <c r="A9">
        <v>2011</v>
      </c>
      <c r="B9">
        <v>4</v>
      </c>
      <c r="D9" s="21">
        <v>12.7</v>
      </c>
      <c r="E9" s="21"/>
      <c r="F9" s="21"/>
      <c r="G9" s="21"/>
      <c r="H9" s="21"/>
      <c r="I9" s="21"/>
      <c r="J9" s="21"/>
      <c r="K9" s="21"/>
      <c r="L9" s="21"/>
      <c r="M9" s="21"/>
      <c r="N9" s="21"/>
      <c r="O9" s="21"/>
      <c r="P9" s="21"/>
      <c r="Q9" s="21"/>
      <c r="R9" s="21"/>
      <c r="S9" s="21"/>
      <c r="T9" s="21"/>
      <c r="U9" s="21"/>
      <c r="V9" s="21"/>
      <c r="W9" s="21"/>
      <c r="X9" s="95">
        <f t="shared" si="2"/>
        <v>0.12805841966666667</v>
      </c>
      <c r="Y9" s="93">
        <f t="shared" si="3"/>
        <v>0.12634437770707602</v>
      </c>
      <c r="Z9" s="96">
        <v>0.126</v>
      </c>
      <c r="AA9" s="94">
        <f t="shared" si="4"/>
        <v>-3.4437770707601567E-4</v>
      </c>
      <c r="AB9" s="95">
        <f t="shared" si="0"/>
        <v>-2.0584196666666721E-3</v>
      </c>
      <c r="AC9">
        <v>120.13139723510209</v>
      </c>
      <c r="AD9">
        <v>7.9827819354838709</v>
      </c>
      <c r="AE9">
        <v>958.96763149003436</v>
      </c>
      <c r="AF9">
        <v>2836.6666666666665</v>
      </c>
      <c r="AG9">
        <v>234117.85235303667</v>
      </c>
      <c r="AH9" s="5">
        <v>5.000000000000001E-2</v>
      </c>
      <c r="AI9" s="81">
        <f t="shared" si="5"/>
        <v>9.5973415748790813E-2</v>
      </c>
      <c r="AJ9" s="81">
        <f t="shared" si="1"/>
        <v>0.10306579579259822</v>
      </c>
      <c r="AK9" s="81">
        <f t="shared" si="1"/>
        <v>0.16511500547645119</v>
      </c>
      <c r="AL9" s="81">
        <f t="shared" si="1"/>
        <v>6.6590001953574118E-2</v>
      </c>
      <c r="AM9" s="81">
        <f t="shared" si="7"/>
        <v>1.5800001860546642E-2</v>
      </c>
      <c r="AN9">
        <v>5.0666666666666672E-2</v>
      </c>
      <c r="AO9">
        <v>0.15933333333333333</v>
      </c>
      <c r="AP9">
        <f t="shared" si="6"/>
        <v>6.4871716860932516E-3</v>
      </c>
    </row>
    <row r="10" spans="1:70">
      <c r="A10">
        <v>2012</v>
      </c>
      <c r="B10">
        <v>1</v>
      </c>
      <c r="D10" s="21">
        <v>10.4</v>
      </c>
      <c r="E10" s="21"/>
      <c r="F10" s="21"/>
      <c r="G10" s="21"/>
      <c r="H10" s="21"/>
      <c r="I10" s="21"/>
      <c r="J10" s="21"/>
      <c r="K10" s="21"/>
      <c r="L10" s="21"/>
      <c r="M10" s="21"/>
      <c r="N10" s="21"/>
      <c r="O10" s="21"/>
      <c r="P10" s="21"/>
      <c r="Q10" s="21"/>
      <c r="R10" s="21"/>
      <c r="S10" s="21"/>
      <c r="T10" s="21"/>
      <c r="U10" s="21"/>
      <c r="V10" s="21"/>
      <c r="W10" s="21"/>
      <c r="X10" s="95">
        <f t="shared" si="2"/>
        <v>8.9493387666666674E-2</v>
      </c>
      <c r="Y10" s="93">
        <f t="shared" si="3"/>
        <v>8.5816472923620962E-2</v>
      </c>
      <c r="Z10" s="96">
        <v>0.109</v>
      </c>
      <c r="AA10" s="94">
        <f t="shared" si="4"/>
        <v>2.3183527076379037E-2</v>
      </c>
      <c r="AB10" s="95">
        <f t="shared" si="0"/>
        <v>1.9506612333333326E-2</v>
      </c>
      <c r="AC10">
        <v>123.26224103838098</v>
      </c>
      <c r="AD10">
        <v>7.9881612532443489</v>
      </c>
      <c r="AE10">
        <v>984.63483386884457</v>
      </c>
      <c r="AF10">
        <v>2814.6666666666665</v>
      </c>
      <c r="AG10">
        <v>231642.60637568333</v>
      </c>
      <c r="AH10" s="5">
        <v>2.5000000000000005E-2</v>
      </c>
      <c r="AI10" s="81">
        <f t="shared" si="5"/>
        <v>-1.4067991505380961E-2</v>
      </c>
      <c r="AJ10" s="81">
        <f t="shared" si="1"/>
        <v>-8.6882230953707618E-3</v>
      </c>
      <c r="AK10" s="81">
        <f t="shared" si="1"/>
        <v>0.17834217136477815</v>
      </c>
      <c r="AL10" s="81">
        <f t="shared" si="1"/>
        <v>4.6886454616628104E-2</v>
      </c>
      <c r="AM10" s="81">
        <f t="shared" si="7"/>
        <v>2.1352638650369071E-2</v>
      </c>
      <c r="AN10">
        <v>2.8666666666666698E-2</v>
      </c>
      <c r="AO10">
        <v>8.5999999999999979E-2</v>
      </c>
      <c r="AP10">
        <f t="shared" si="6"/>
        <v>5.4555313691306839E-3</v>
      </c>
    </row>
    <row r="11" spans="1:70">
      <c r="A11">
        <v>2012</v>
      </c>
      <c r="B11">
        <v>2</v>
      </c>
      <c r="D11" s="21">
        <v>8.1999999999999993</v>
      </c>
      <c r="E11" s="21"/>
      <c r="F11" s="21"/>
      <c r="G11" s="21"/>
      <c r="H11" s="21"/>
      <c r="I11" s="21"/>
      <c r="J11" s="21"/>
      <c r="K11" s="21"/>
      <c r="L11" s="21"/>
      <c r="M11" s="21"/>
      <c r="N11" s="21"/>
      <c r="O11" s="21"/>
      <c r="P11" s="21"/>
      <c r="Q11" s="21"/>
      <c r="R11" s="21"/>
      <c r="S11" s="21"/>
      <c r="T11" s="21"/>
      <c r="U11" s="21"/>
      <c r="V11" s="21"/>
      <c r="W11" s="21"/>
      <c r="X11" s="95">
        <f t="shared" si="2"/>
        <v>6.3771169833333322E-2</v>
      </c>
      <c r="Y11" s="93">
        <f t="shared" si="3"/>
        <v>5.8604941443242228E-2</v>
      </c>
      <c r="Z11" s="96">
        <v>8.5000000000000006E-2</v>
      </c>
      <c r="AA11" s="94">
        <f t="shared" si="4"/>
        <v>2.6395058556757778E-2</v>
      </c>
      <c r="AB11" s="95">
        <f t="shared" si="0"/>
        <v>2.1228830166666685E-2</v>
      </c>
      <c r="AC11">
        <v>121.8435434408123</v>
      </c>
      <c r="AD11">
        <v>7.989999139784949</v>
      </c>
      <c r="AE11">
        <v>973.5204407269797</v>
      </c>
      <c r="AF11">
        <v>3022</v>
      </c>
      <c r="AG11">
        <v>237339.25178580833</v>
      </c>
      <c r="AH11" s="5">
        <v>3.1E-2</v>
      </c>
      <c r="AI11" s="81">
        <f t="shared" si="5"/>
        <v>-6.3240763763726893E-2</v>
      </c>
      <c r="AJ11" s="81">
        <f t="shared" si="1"/>
        <v>-6.1002698969092939E-2</v>
      </c>
      <c r="AK11" s="81">
        <f t="shared" si="1"/>
        <v>0.16022523675454314</v>
      </c>
      <c r="AL11" s="81">
        <f t="shared" si="1"/>
        <v>4.2026387952115662E-2</v>
      </c>
      <c r="AM11" s="81">
        <f t="shared" si="7"/>
        <v>1.0694847674215024E-2</v>
      </c>
      <c r="AN11">
        <v>-3.6666666666666952E-3</v>
      </c>
      <c r="AO11">
        <v>5.2333333333333343E-2</v>
      </c>
      <c r="AP11">
        <f t="shared" si="6"/>
        <v>2.3920516575890449E-3</v>
      </c>
    </row>
    <row r="12" spans="1:70">
      <c r="A12">
        <v>2012</v>
      </c>
      <c r="B12">
        <v>3</v>
      </c>
      <c r="D12" s="21">
        <v>6.4</v>
      </c>
      <c r="E12" s="21"/>
      <c r="F12" s="21"/>
      <c r="G12" s="21"/>
      <c r="H12" s="21"/>
      <c r="I12" s="21"/>
      <c r="J12" s="21"/>
      <c r="K12" s="21"/>
      <c r="L12" s="21"/>
      <c r="M12" s="21"/>
      <c r="N12" s="21"/>
      <c r="O12" s="21"/>
      <c r="P12" s="21"/>
      <c r="Q12" s="21"/>
      <c r="R12" s="21"/>
      <c r="S12" s="21"/>
      <c r="T12" s="21"/>
      <c r="U12" s="21"/>
      <c r="V12" s="21"/>
      <c r="W12" s="21"/>
      <c r="X12" s="95">
        <f t="shared" si="2"/>
        <v>4.7429500166666687E-2</v>
      </c>
      <c r="Y12" s="93">
        <f t="shared" si="3"/>
        <v>4.3462071895892788E-2</v>
      </c>
      <c r="Z12" s="96">
        <v>6.6000000000000003E-2</v>
      </c>
      <c r="AA12" s="94">
        <f t="shared" si="4"/>
        <v>2.2537928104107215E-2</v>
      </c>
      <c r="AB12" s="95">
        <f t="shared" si="0"/>
        <v>1.8570499833333316E-2</v>
      </c>
      <c r="AC12">
        <v>118.18345119254793</v>
      </c>
      <c r="AD12">
        <v>7.9929569892473085</v>
      </c>
      <c r="AE12">
        <v>944.63518457666203</v>
      </c>
      <c r="AF12">
        <v>3096</v>
      </c>
      <c r="AG12">
        <v>246793.90251091166</v>
      </c>
      <c r="AH12" s="5">
        <v>-1.3000000000000003E-2</v>
      </c>
      <c r="AI12" s="81">
        <f t="shared" si="5"/>
        <v>-9.9932800075571482E-2</v>
      </c>
      <c r="AJ12" s="81">
        <f t="shared" si="1"/>
        <v>-9.7534727399053889E-2</v>
      </c>
      <c r="AK12" s="81">
        <f t="shared" si="1"/>
        <v>0.13545232273838637</v>
      </c>
      <c r="AL12" s="81">
        <f t="shared" si="1"/>
        <v>4.7296421713218573E-2</v>
      </c>
      <c r="AM12" s="81">
        <f t="shared" si="7"/>
        <v>6.1090599506807175E-2</v>
      </c>
      <c r="AN12">
        <v>-3.333333333333144E-4</v>
      </c>
      <c r="AO12">
        <v>1.0333333333333363E-2</v>
      </c>
      <c r="AP12">
        <f t="shared" si="6"/>
        <v>2.6642168592152515E-3</v>
      </c>
    </row>
    <row r="13" spans="1:70">
      <c r="A13">
        <v>2012</v>
      </c>
      <c r="B13">
        <v>4</v>
      </c>
      <c r="D13" s="21">
        <v>7.2</v>
      </c>
      <c r="E13" s="21"/>
      <c r="F13" s="21"/>
      <c r="G13" s="21"/>
      <c r="H13" s="21"/>
      <c r="I13" s="21"/>
      <c r="J13" s="21"/>
      <c r="K13" s="21"/>
      <c r="L13" s="21"/>
      <c r="M13" s="21"/>
      <c r="N13" s="21"/>
      <c r="O13" s="21"/>
      <c r="P13" s="21"/>
      <c r="Q13" s="21"/>
      <c r="R13" s="21"/>
      <c r="S13" s="21"/>
      <c r="T13" s="21"/>
      <c r="U13" s="21"/>
      <c r="V13" s="21"/>
      <c r="W13" s="21"/>
      <c r="X13" s="95">
        <f t="shared" si="2"/>
        <v>4.4005718166666645E-2</v>
      </c>
      <c r="Y13" s="93">
        <f t="shared" si="3"/>
        <v>4.7881246191728948E-2</v>
      </c>
      <c r="Z13" s="96">
        <v>7.2999999999999995E-2</v>
      </c>
      <c r="AA13" s="94">
        <f t="shared" si="4"/>
        <v>2.5118753808271048E-2</v>
      </c>
      <c r="AB13" s="95">
        <f t="shared" si="0"/>
        <v>2.899428183333335E-2</v>
      </c>
      <c r="AC13">
        <v>120.45473599599109</v>
      </c>
      <c r="AD13">
        <v>7.9929999999999977</v>
      </c>
      <c r="AE13">
        <v>962.79470481595638</v>
      </c>
      <c r="AF13">
        <v>3195</v>
      </c>
      <c r="AG13">
        <v>245288.56352256332</v>
      </c>
      <c r="AH13" s="5">
        <v>-2.3000000000000003E-2</v>
      </c>
      <c r="AI13" s="81">
        <f t="shared" si="5"/>
        <v>2.6915424970561652E-3</v>
      </c>
      <c r="AJ13" s="81">
        <f t="shared" si="1"/>
        <v>3.9908263848025261E-3</v>
      </c>
      <c r="AK13" s="81">
        <f t="shared" si="1"/>
        <v>0.12632197414806123</v>
      </c>
      <c r="AL13" s="81">
        <f t="shared" si="1"/>
        <v>4.7714051095436583E-2</v>
      </c>
      <c r="AM13" s="81">
        <f t="shared" si="7"/>
        <v>7.237876263606613E-2</v>
      </c>
      <c r="AN13">
        <v>-1.3333333333333522E-3</v>
      </c>
      <c r="AO13">
        <v>2.9999999999999714E-3</v>
      </c>
      <c r="AP13">
        <f t="shared" si="6"/>
        <v>1.2800129827807982E-3</v>
      </c>
    </row>
    <row r="14" spans="1:70">
      <c r="A14">
        <v>2013</v>
      </c>
      <c r="B14">
        <v>1</v>
      </c>
      <c r="D14" s="21">
        <v>5.3</v>
      </c>
      <c r="E14" s="21"/>
      <c r="F14" s="21"/>
      <c r="G14" s="21"/>
      <c r="H14" s="21"/>
      <c r="I14" s="21"/>
      <c r="J14" s="21"/>
      <c r="K14" s="21"/>
      <c r="L14" s="21"/>
      <c r="M14" s="21"/>
      <c r="N14" s="21"/>
      <c r="O14" s="21"/>
      <c r="P14" s="21"/>
      <c r="Q14" s="21"/>
      <c r="R14" s="21"/>
      <c r="S14" s="21"/>
      <c r="T14" s="21"/>
      <c r="U14" s="21"/>
      <c r="V14" s="21"/>
      <c r="W14" s="21"/>
      <c r="X14" s="95">
        <f t="shared" si="2"/>
        <v>4.2544278999999997E-2</v>
      </c>
      <c r="Y14" s="93">
        <f t="shared" si="3"/>
        <v>4.7300142829951895E-2</v>
      </c>
      <c r="Z14" s="96">
        <v>4.5999999999999999E-2</v>
      </c>
      <c r="AA14" s="94">
        <f t="shared" si="4"/>
        <v>-1.3001428299518961E-3</v>
      </c>
      <c r="AB14" s="95">
        <f t="shared" si="0"/>
        <v>3.4557210000000019E-3</v>
      </c>
      <c r="AC14">
        <v>125.30079485998897</v>
      </c>
      <c r="AD14">
        <v>7.9929999999999977</v>
      </c>
      <c r="AE14">
        <v>1001.5292533158913</v>
      </c>
      <c r="AF14">
        <v>3085.3333333333335</v>
      </c>
      <c r="AG14">
        <v>254148.84342702167</v>
      </c>
      <c r="AH14" s="5">
        <v>-1.2000000000000002E-2</v>
      </c>
      <c r="AI14" s="81">
        <f t="shared" si="5"/>
        <v>1.6538347870644676E-2</v>
      </c>
      <c r="AJ14" s="81">
        <f t="shared" si="1"/>
        <v>1.7158055825289953E-2</v>
      </c>
      <c r="AK14" s="81">
        <f t="shared" si="1"/>
        <v>9.6162955945049866E-2</v>
      </c>
      <c r="AL14" s="81">
        <f t="shared" si="1"/>
        <v>9.7159315393115619E-2</v>
      </c>
      <c r="AM14" s="81">
        <f t="shared" si="7"/>
        <v>0.11048513703756635</v>
      </c>
      <c r="AN14">
        <v>-5.0000000000000001E-3</v>
      </c>
      <c r="AO14">
        <v>2.666666666666657E-3</v>
      </c>
      <c r="AP14">
        <f t="shared" si="6"/>
        <v>6.0573974438526967E-4</v>
      </c>
    </row>
    <row r="15" spans="1:70">
      <c r="A15">
        <v>2013</v>
      </c>
      <c r="B15">
        <v>2</v>
      </c>
      <c r="D15" s="21">
        <v>3.8</v>
      </c>
      <c r="E15" s="21"/>
      <c r="F15" s="21"/>
      <c r="G15" s="21"/>
      <c r="H15" s="21"/>
      <c r="I15" s="21"/>
      <c r="J15" s="21"/>
      <c r="K15" s="21"/>
      <c r="L15" s="21"/>
      <c r="M15" s="21"/>
      <c r="N15" s="21"/>
      <c r="O15" s="21"/>
      <c r="P15" s="21"/>
      <c r="Q15" s="21"/>
      <c r="R15" s="21"/>
      <c r="S15" s="21"/>
      <c r="T15" s="21"/>
      <c r="U15" s="21"/>
      <c r="V15" s="21"/>
      <c r="W15" s="21"/>
      <c r="X15" s="95">
        <f t="shared" si="2"/>
        <v>4.0696147166666682E-2</v>
      </c>
      <c r="Y15" s="93">
        <f t="shared" si="3"/>
        <v>4.1892391685980732E-2</v>
      </c>
      <c r="Z15" s="96">
        <v>2.7999999999999997E-2</v>
      </c>
      <c r="AA15" s="94">
        <f t="shared" si="4"/>
        <v>-1.3892391685980734E-2</v>
      </c>
      <c r="AB15" s="95">
        <f t="shared" si="0"/>
        <v>-1.2696147166666685E-2</v>
      </c>
      <c r="AC15">
        <v>117.00244230725855</v>
      </c>
      <c r="AD15">
        <v>7.9929999999999977</v>
      </c>
      <c r="AE15">
        <v>935.20052136191714</v>
      </c>
      <c r="AF15">
        <v>3288.6666666666665</v>
      </c>
      <c r="AG15">
        <v>267968.54753835336</v>
      </c>
      <c r="AH15" s="5">
        <v>-1.3000000000000003E-2</v>
      </c>
      <c r="AI15" s="81">
        <f t="shared" si="5"/>
        <v>-3.9732110515198538E-2</v>
      </c>
      <c r="AJ15" s="81">
        <f t="shared" si="1"/>
        <v>-3.9362213428664194E-2</v>
      </c>
      <c r="AK15" s="81">
        <f t="shared" si="1"/>
        <v>8.8241782484006048E-2</v>
      </c>
      <c r="AL15" s="81">
        <f t="shared" si="1"/>
        <v>0.12905280320082535</v>
      </c>
      <c r="AM15" s="81">
        <f t="shared" si="7"/>
        <v>0.14392381276679367</v>
      </c>
      <c r="AN15">
        <v>-4.3333333333333236E-3</v>
      </c>
      <c r="AO15">
        <v>-2.3333333333332954E-3</v>
      </c>
      <c r="AP15">
        <f t="shared" si="6"/>
        <v>3.7557703856383462E-4</v>
      </c>
    </row>
    <row r="16" spans="1:70">
      <c r="A16">
        <v>2013</v>
      </c>
      <c r="B16">
        <v>3</v>
      </c>
      <c r="D16" s="21">
        <v>4</v>
      </c>
      <c r="E16" s="21"/>
      <c r="F16" s="21"/>
      <c r="G16" s="21"/>
      <c r="H16" s="21"/>
      <c r="I16" s="21"/>
      <c r="J16" s="21"/>
      <c r="K16" s="21"/>
      <c r="L16" s="21"/>
      <c r="M16" s="21"/>
      <c r="N16" s="21"/>
      <c r="O16" s="21"/>
      <c r="P16" s="21"/>
      <c r="Q16" s="21"/>
      <c r="R16" s="21"/>
      <c r="S16" s="21"/>
      <c r="T16" s="21"/>
      <c r="U16" s="21"/>
      <c r="V16" s="21"/>
      <c r="W16" s="21"/>
      <c r="X16" s="95">
        <f t="shared" si="2"/>
        <v>3.7417589999999987E-2</v>
      </c>
      <c r="Y16" s="93">
        <f t="shared" si="3"/>
        <v>3.9381087277471125E-2</v>
      </c>
      <c r="Z16" s="96">
        <v>2.6000000000000002E-2</v>
      </c>
      <c r="AA16" s="94">
        <f t="shared" si="4"/>
        <v>-1.3381087277471122E-2</v>
      </c>
      <c r="AB16" s="95">
        <f t="shared" si="0"/>
        <v>-1.1417589999999984E-2</v>
      </c>
      <c r="AC16">
        <v>113.43030685102111</v>
      </c>
      <c r="AD16">
        <v>7.9929999999999977</v>
      </c>
      <c r="AE16">
        <v>906.64844266021146</v>
      </c>
      <c r="AF16">
        <v>3331.3333333333335</v>
      </c>
      <c r="AG16">
        <v>280905.95566775999</v>
      </c>
      <c r="AH16" s="5">
        <v>-1.2000000000000002E-2</v>
      </c>
      <c r="AI16" s="81">
        <f t="shared" si="5"/>
        <v>-4.0218357930526638E-2</v>
      </c>
      <c r="AJ16" s="81">
        <f t="shared" si="1"/>
        <v>-4.0213134696517105E-2</v>
      </c>
      <c r="AK16" s="81">
        <f t="shared" si="1"/>
        <v>7.6012058570198215E-2</v>
      </c>
      <c r="AL16" s="81">
        <f t="shared" si="1"/>
        <v>0.13822081019744847</v>
      </c>
      <c r="AM16" s="81">
        <f t="shared" si="7"/>
        <v>0.15204535445085887</v>
      </c>
      <c r="AN16">
        <v>-3.0000000000000187E-3</v>
      </c>
      <c r="AO16">
        <v>-1.1333333333333353E-2</v>
      </c>
      <c r="AP16">
        <f t="shared" si="6"/>
        <v>5.3810814630850246E-6</v>
      </c>
    </row>
    <row r="17" spans="1:42">
      <c r="A17">
        <v>2013</v>
      </c>
      <c r="B17">
        <v>4</v>
      </c>
      <c r="D17" s="21">
        <v>4.3</v>
      </c>
      <c r="E17" s="21"/>
      <c r="F17" s="21"/>
      <c r="G17" s="21"/>
      <c r="H17" s="21"/>
      <c r="I17" s="21"/>
      <c r="J17" s="21"/>
      <c r="K17" s="21"/>
      <c r="L17" s="21"/>
      <c r="M17" s="21"/>
      <c r="N17" s="21"/>
      <c r="O17" s="21"/>
      <c r="P17" s="21"/>
      <c r="Q17" s="21"/>
      <c r="R17" s="21"/>
      <c r="S17" s="21"/>
      <c r="T17" s="21"/>
      <c r="U17" s="21"/>
      <c r="V17" s="21"/>
      <c r="W17" s="21"/>
      <c r="X17" s="95">
        <f t="shared" si="2"/>
        <v>4.6739312000000005E-2</v>
      </c>
      <c r="Y17" s="93">
        <f t="shared" si="3"/>
        <v>4.516738710204949E-2</v>
      </c>
      <c r="Z17" s="96">
        <v>2.7000000000000003E-2</v>
      </c>
      <c r="AA17" s="94">
        <f t="shared" si="4"/>
        <v>-1.8167387102049487E-2</v>
      </c>
      <c r="AB17" s="95">
        <f t="shared" si="0"/>
        <v>-1.9739312000000002E-2</v>
      </c>
      <c r="AC17">
        <v>112.12352986496012</v>
      </c>
      <c r="AD17">
        <v>7.9929999999999977</v>
      </c>
      <c r="AE17">
        <v>896.20337421062595</v>
      </c>
      <c r="AF17">
        <v>3390</v>
      </c>
      <c r="AG17">
        <v>290859.34285346669</v>
      </c>
      <c r="AH17" s="5">
        <v>3.3000000000000002E-2</v>
      </c>
      <c r="AI17" s="81">
        <f t="shared" si="5"/>
        <v>-6.916462073610985E-2</v>
      </c>
      <c r="AJ17" s="81">
        <f t="shared" si="1"/>
        <v>-6.916462073610985E-2</v>
      </c>
      <c r="AK17" s="81">
        <f t="shared" si="1"/>
        <v>6.1032863849765251E-2</v>
      </c>
      <c r="AL17" s="81">
        <f t="shared" si="1"/>
        <v>0.18578436220778571</v>
      </c>
      <c r="AM17" s="81">
        <f t="shared" si="7"/>
        <v>0.14790354521566873</v>
      </c>
      <c r="AN17">
        <v>2.0000000000000282E-3</v>
      </c>
      <c r="AO17">
        <v>6.6666666666666671E-3</v>
      </c>
      <c r="AP17">
        <f t="shared" si="6"/>
        <v>0</v>
      </c>
    </row>
    <row r="18" spans="1:42">
      <c r="A18">
        <v>2014</v>
      </c>
      <c r="B18">
        <v>1</v>
      </c>
      <c r="C18" s="35">
        <f>D18/100</f>
        <v>5.2999999999999999E-2</v>
      </c>
      <c r="D18" s="21">
        <v>5.3</v>
      </c>
      <c r="E18" s="27">
        <f>AVERAGEIFS('ІСЦ (Стрим Інфл)'!$J:$J,'ІСЦ (Стрим Інфл)'!$A:$A,'Дефлятор модель (CPI-PPI) (С-1)'!$A18,'ІСЦ (Стрим Інфл)'!$B:$B,'Дефлятор модель (CPI-PPI) (С-1)'!$B18)</f>
        <v>1.7000000000000029E-2</v>
      </c>
      <c r="F18" s="27">
        <f>AVERAGEIFS('ІЦВ (Стрим Інфл)+'!$J:$J,'ІЦВ (Стрим Інфл)+'!$A:$A,'Дефлятор модель (CPI-PPI) (С-1)'!$A18,'ІЦВ (Стрим Інфл)+'!$B:$B,'Дефлятор модель (CPI-PPI) (С-1)'!$B18)</f>
        <v>3.0666666666666675E-2</v>
      </c>
      <c r="G18" s="27"/>
      <c r="H18" s="287">
        <f t="shared" ref="H18:H48" si="8">41.77065*F18+36.90601*E18+4.322334</f>
        <v>6.2307027700000006</v>
      </c>
      <c r="I18" s="288">
        <f t="shared" ref="I18:I53" si="9">D18/H18</f>
        <v>0.85062635719341162</v>
      </c>
      <c r="J18" s="288"/>
      <c r="K18" s="288"/>
      <c r="L18" s="288"/>
      <c r="M18" s="288"/>
      <c r="N18" s="21"/>
      <c r="O18" s="28">
        <f>E18</f>
        <v>1.7000000000000029E-2</v>
      </c>
      <c r="P18" s="21"/>
      <c r="Q18" s="21"/>
      <c r="R18" s="28">
        <f>F18</f>
        <v>3.0666666666666675E-2</v>
      </c>
      <c r="S18" s="21"/>
      <c r="T18" s="21"/>
      <c r="U18" s="27">
        <f t="shared" ref="U18:U40" si="10">D18/100</f>
        <v>5.2999999999999999E-2</v>
      </c>
      <c r="V18" s="21"/>
      <c r="W18" s="21"/>
      <c r="X18" s="95">
        <f t="shared" si="2"/>
        <v>6.217328300000001E-2</v>
      </c>
      <c r="Y18" s="93">
        <f t="shared" si="3"/>
        <v>5.8716652132005553E-2</v>
      </c>
      <c r="Z18" s="96">
        <v>5.2999999999999999E-2</v>
      </c>
      <c r="AA18" s="94">
        <f t="shared" si="4"/>
        <v>-5.7166521320055549E-3</v>
      </c>
      <c r="AB18" s="95">
        <f t="shared" si="0"/>
        <v>-9.1732830000000112E-3</v>
      </c>
      <c r="AC18">
        <v>105.18761551084394</v>
      </c>
      <c r="AD18">
        <v>8.8559703917050658</v>
      </c>
      <c r="AE18">
        <v>930.73151558954817</v>
      </c>
      <c r="AF18">
        <v>3263.6666666666665</v>
      </c>
      <c r="AG18">
        <v>306994.74808900664</v>
      </c>
      <c r="AH18" s="5">
        <v>-0.01</v>
      </c>
      <c r="AI18" s="81">
        <f t="shared" si="5"/>
        <v>-0.16051916806768451</v>
      </c>
      <c r="AJ18" s="81">
        <f t="shared" si="1"/>
        <v>-7.0689635367058967E-2</v>
      </c>
      <c r="AK18" s="81">
        <f t="shared" si="1"/>
        <v>5.7800345721694013E-2</v>
      </c>
      <c r="AL18" s="81">
        <f t="shared" si="1"/>
        <v>0.20793289455656949</v>
      </c>
      <c r="AM18" s="81">
        <f t="shared" si="7"/>
        <v>0.22013423692582768</v>
      </c>
      <c r="AN18">
        <v>1.7000000000000029E-2</v>
      </c>
      <c r="AO18">
        <v>3.0666666666666675E-2</v>
      </c>
      <c r="AP18">
        <f t="shared" si="6"/>
        <v>0.10796576901101829</v>
      </c>
    </row>
    <row r="19" spans="1:42">
      <c r="A19">
        <v>2014</v>
      </c>
      <c r="B19">
        <v>2</v>
      </c>
      <c r="C19" s="35">
        <f>D19/100</f>
        <v>0.126</v>
      </c>
      <c r="D19" s="21">
        <v>12.6</v>
      </c>
      <c r="E19" s="27">
        <f>AVERAGEIFS('ІСЦ (Стрим Інфл)'!$J:$J,'ІСЦ (Стрим Інфл)'!$A:$A,'Дефлятор модель (CPI-PPI) (С-1)'!$A19,'ІСЦ (Стрим Інфл)'!$B:$B,'Дефлятор модель (CPI-PPI) (С-1)'!$B19)</f>
        <v>9.9333333333333371E-2</v>
      </c>
      <c r="F19" s="27">
        <f>AVERAGEIFS('ІЦВ (Стрим Інфл)+'!$J:$J,'ІЦВ (Стрим Інфл)+'!$A:$A,'Дефлятор модель (CPI-PPI) (С-1)'!$A19,'ІЦВ (Стрим Інфл)+'!$B:$B,'Дефлятор модель (CPI-PPI) (С-1)'!$B19)</f>
        <v>0.10733333333333335</v>
      </c>
      <c r="G19" s="27"/>
      <c r="H19" s="287">
        <f t="shared" si="8"/>
        <v>12.471714093333336</v>
      </c>
      <c r="I19" s="288">
        <f t="shared" si="9"/>
        <v>1.0102861487768739</v>
      </c>
      <c r="J19" s="288"/>
      <c r="K19" s="288"/>
      <c r="L19" s="288"/>
      <c r="M19" s="288"/>
      <c r="N19" s="21"/>
      <c r="O19" s="28">
        <f t="shared" ref="O19:O38" si="11">E19</f>
        <v>9.9333333333333371E-2</v>
      </c>
      <c r="P19" s="21"/>
      <c r="Q19" s="21"/>
      <c r="R19" s="28">
        <f t="shared" ref="R19:R40" si="12">F19</f>
        <v>0.10733333333333335</v>
      </c>
      <c r="S19" s="21"/>
      <c r="T19" s="21"/>
      <c r="U19" s="27">
        <f t="shared" si="10"/>
        <v>0.126</v>
      </c>
      <c r="V19" s="21"/>
      <c r="W19" s="21"/>
      <c r="X19" s="95">
        <f t="shared" si="2"/>
        <v>0.12388693033333337</v>
      </c>
      <c r="Y19" s="93">
        <f t="shared" si="3"/>
        <v>0.14056317174266117</v>
      </c>
      <c r="Z19" s="96">
        <v>0.126</v>
      </c>
      <c r="AA19" s="94">
        <f t="shared" si="4"/>
        <v>-1.4563171742661168E-2</v>
      </c>
      <c r="AB19" s="95">
        <f t="shared" si="0"/>
        <v>2.1130696666666338E-3</v>
      </c>
      <c r="AC19">
        <v>99.140916209858133</v>
      </c>
      <c r="AD19">
        <v>12.070866002867383</v>
      </c>
      <c r="AE19">
        <v>1198.0945579824777</v>
      </c>
      <c r="AF19">
        <v>3487.6666666666665</v>
      </c>
      <c r="AG19">
        <v>340610.60670551832</v>
      </c>
      <c r="AH19" s="5">
        <v>-4.3000000000000003E-2</v>
      </c>
      <c r="AI19" s="81">
        <f t="shared" si="5"/>
        <v>-0.15265942953989375</v>
      </c>
      <c r="AJ19" s="81">
        <f t="shared" si="1"/>
        <v>0.28110980545403486</v>
      </c>
      <c r="AK19" s="81">
        <f t="shared" si="1"/>
        <v>6.0510845327387042E-2</v>
      </c>
      <c r="AL19" s="81">
        <f t="shared" si="1"/>
        <v>0.27108427401080704</v>
      </c>
      <c r="AM19" s="81">
        <f t="shared" si="7"/>
        <v>0.32819673355361245</v>
      </c>
      <c r="AN19">
        <v>9.9333333333333371E-2</v>
      </c>
      <c r="AO19">
        <v>0.10733333333333335</v>
      </c>
      <c r="AP19">
        <f t="shared" si="6"/>
        <v>0.51017965755878736</v>
      </c>
    </row>
    <row r="20" spans="1:42">
      <c r="A20">
        <v>2014</v>
      </c>
      <c r="B20">
        <v>3</v>
      </c>
      <c r="C20" s="35">
        <f>D20/100</f>
        <v>0.16800000000000001</v>
      </c>
      <c r="D20" s="21">
        <v>16.8</v>
      </c>
      <c r="E20" s="27">
        <f>AVERAGEIFS('ІСЦ (Стрим Інфл)'!$J:$J,'ІСЦ (Стрим Інфл)'!$A:$A,'Дефлятор модель (CPI-PPI) (С-1)'!$A20,'ІСЦ (Стрим Інфл)'!$B:$B,'Дефлятор модель (CPI-PPI) (С-1)'!$B20)</f>
        <v>0.14766666666666664</v>
      </c>
      <c r="F20" s="27">
        <f>AVERAGEIFS('ІЦВ (Стрим Інфл)+'!$J:$J,'ІЦВ (Стрим Інфл)+'!$A:$A,'Дефлятор модель (CPI-PPI) (С-1)'!$A20,'ІЦВ (Стрим Інфл)+'!$B:$B,'Дефлятор модель (CPI-PPI) (С-1)'!$B20)</f>
        <v>0.24533333333333338</v>
      </c>
      <c r="G20" s="27"/>
      <c r="H20" s="287">
        <f t="shared" si="8"/>
        <v>20.019854276666671</v>
      </c>
      <c r="I20" s="288">
        <f t="shared" si="9"/>
        <v>0.83916694736287667</v>
      </c>
      <c r="J20" s="288"/>
      <c r="K20" s="288"/>
      <c r="L20" s="288"/>
      <c r="M20" s="288"/>
      <c r="N20" s="21"/>
      <c r="O20" s="28">
        <f t="shared" si="11"/>
        <v>0.14766666666666664</v>
      </c>
      <c r="P20" s="21"/>
      <c r="Q20" s="21"/>
      <c r="R20" s="28">
        <f t="shared" si="12"/>
        <v>0.24533333333333338</v>
      </c>
      <c r="S20" s="21"/>
      <c r="T20" s="21"/>
      <c r="U20" s="27">
        <f t="shared" si="10"/>
        <v>0.16800000000000001</v>
      </c>
      <c r="V20" s="21"/>
      <c r="W20" s="21"/>
      <c r="X20" s="95">
        <f t="shared" si="2"/>
        <v>0.19895947566666666</v>
      </c>
      <c r="Y20" s="93">
        <f t="shared" si="3"/>
        <v>0.19988092141245636</v>
      </c>
      <c r="Z20" s="96">
        <v>0.16800000000000001</v>
      </c>
      <c r="AA20" s="94">
        <f t="shared" si="4"/>
        <v>-3.1880921412456353E-2</v>
      </c>
      <c r="AB20" s="95">
        <f t="shared" si="0"/>
        <v>-3.0959475666666653E-2</v>
      </c>
      <c r="AC20">
        <v>87.719134292217973</v>
      </c>
      <c r="AD20">
        <v>12.581832520430106</v>
      </c>
      <c r="AE20">
        <v>1102.0763812235625</v>
      </c>
      <c r="AF20">
        <v>3462.6666666666665</v>
      </c>
      <c r="AG20">
        <v>347131.83157775662</v>
      </c>
      <c r="AH20" s="5">
        <v>-5.2999999999999999E-2</v>
      </c>
      <c r="AI20" s="81">
        <f t="shared" si="5"/>
        <v>-0.22666933796249078</v>
      </c>
      <c r="AJ20" s="81">
        <f t="shared" si="1"/>
        <v>0.21554985302786478</v>
      </c>
      <c r="AK20" s="81">
        <f t="shared" si="1"/>
        <v>3.9423654192515478E-2</v>
      </c>
      <c r="AL20" s="81">
        <f t="shared" si="1"/>
        <v>0.23575817662023835</v>
      </c>
      <c r="AM20" s="81">
        <f t="shared" si="7"/>
        <v>0.30491887710690424</v>
      </c>
      <c r="AN20">
        <v>0.14766666666666664</v>
      </c>
      <c r="AO20">
        <v>0.24533333333333338</v>
      </c>
      <c r="AP20">
        <f t="shared" si="6"/>
        <v>0.57410640816090464</v>
      </c>
    </row>
    <row r="21" spans="1:42">
      <c r="A21">
        <v>2014</v>
      </c>
      <c r="B21">
        <v>4</v>
      </c>
      <c r="C21" s="35">
        <f>D21/100</f>
        <v>0.27800000000000002</v>
      </c>
      <c r="D21" s="21">
        <v>27.8</v>
      </c>
      <c r="E21" s="27">
        <f>AVERAGEIFS('ІСЦ (Стрим Інфл)'!$J:$J,'ІСЦ (Стрим Інфл)'!$A:$A,'Дефлятор модель (CPI-PPI) (С-1)'!$A21,'ІСЦ (Стрим Інфл)'!$B:$B,'Дефлятор модель (CPI-PPI) (С-1)'!$B21)</f>
        <v>0.22166666666666668</v>
      </c>
      <c r="F21" s="27">
        <f>AVERAGEIFS('ІЦВ (Стрим Інфл)+'!$J:$J,'ІЦВ (Стрим Інфл)+'!$A:$A,'Дефлятор модель (CPI-PPI) (С-1)'!$A21,'ІЦВ (Стрим Інфл)+'!$B:$B,'Дефлятор модель (CPI-PPI) (С-1)'!$B21)</f>
        <v>0.30166666666666675</v>
      </c>
      <c r="G21" s="27"/>
      <c r="H21" s="287">
        <f t="shared" si="8"/>
        <v>25.103978966666674</v>
      </c>
      <c r="I21" s="288">
        <f>D21/H21</f>
        <v>1.107394171932391</v>
      </c>
      <c r="J21" s="288"/>
      <c r="K21" s="288"/>
      <c r="L21" s="288"/>
      <c r="M21" s="288"/>
      <c r="N21" s="21"/>
      <c r="O21" s="28">
        <f t="shared" si="11"/>
        <v>0.22166666666666668</v>
      </c>
      <c r="P21" s="21"/>
      <c r="Q21" s="21"/>
      <c r="R21" s="28">
        <f t="shared" si="12"/>
        <v>0.30166666666666675</v>
      </c>
      <c r="S21" s="21"/>
      <c r="T21" s="21"/>
      <c r="U21" s="27">
        <f t="shared" si="10"/>
        <v>0.27800000000000002</v>
      </c>
      <c r="V21" s="21"/>
      <c r="W21" s="21"/>
      <c r="X21" s="95">
        <f t="shared" si="2"/>
        <v>0.24917474916666674</v>
      </c>
      <c r="Y21" s="93">
        <f t="shared" si="3"/>
        <v>0.25055709299044243</v>
      </c>
      <c r="Z21" s="96">
        <v>0.27800000000000002</v>
      </c>
      <c r="AA21" s="94">
        <f t="shared" si="4"/>
        <v>2.7442907009557593E-2</v>
      </c>
      <c r="AB21" s="95">
        <f t="shared" si="0"/>
        <v>2.8825250833333288E-2</v>
      </c>
      <c r="AC21">
        <v>78.897313453793686</v>
      </c>
      <c r="AD21">
        <v>14.436797887096775</v>
      </c>
      <c r="AE21">
        <v>1136.395799183965</v>
      </c>
      <c r="AF21">
        <v>3685</v>
      </c>
      <c r="AG21">
        <v>334404.86917568499</v>
      </c>
      <c r="AH21" s="5">
        <v>-0.14400000000000002</v>
      </c>
      <c r="AI21" s="81">
        <f t="shared" si="5"/>
        <v>-0.29633580436848161</v>
      </c>
      <c r="AJ21" s="81">
        <f t="shared" si="1"/>
        <v>0.26801106968036126</v>
      </c>
      <c r="AK21" s="81">
        <f t="shared" si="1"/>
        <v>8.7020648967551573E-2</v>
      </c>
      <c r="AL21" s="81">
        <f t="shared" si="1"/>
        <v>0.14971334905393197</v>
      </c>
      <c r="AM21" s="81">
        <f t="shared" si="7"/>
        <v>0.34312307132468689</v>
      </c>
      <c r="AN21">
        <v>0.22166666666666668</v>
      </c>
      <c r="AO21">
        <v>0.30166666666666675</v>
      </c>
      <c r="AP21">
        <f t="shared" si="6"/>
        <v>0.80618014351267098</v>
      </c>
    </row>
    <row r="22" spans="1:42">
      <c r="A22">
        <v>2015</v>
      </c>
      <c r="B22">
        <v>1</v>
      </c>
      <c r="C22" s="35">
        <f t="shared" ref="C22:C30" si="13">D22/100</f>
        <v>0.41200000000000003</v>
      </c>
      <c r="D22" s="21">
        <v>41.2</v>
      </c>
      <c r="E22" s="27">
        <f>AVERAGEIFS('ІСЦ (Стрим Інфл)'!$J:$J,'ІСЦ (Стрим Інфл)'!$A:$A,'Дефлятор модель (CPI-PPI) (С-1)'!$A22,'ІСЦ (Стрим Інфл)'!$B:$B,'Дефлятор модель (CPI-PPI) (С-1)'!$B22)</f>
        <v>0.36266666666666669</v>
      </c>
      <c r="F22" s="27">
        <f>AVERAGEIFS('ІЦВ (Стрим Інфл)+'!$J:$J,'ІЦВ (Стрим Інфл)+'!$A:$A,'Дефлятор модель (CPI-PPI) (С-1)'!$A22,'ІЦВ (Стрим Інфл)+'!$B:$B,'Дефлятор модель (CPI-PPI) (С-1)'!$B22)</f>
        <v>0.42266666666666658</v>
      </c>
      <c r="G22" s="27"/>
      <c r="H22" s="287">
        <f t="shared" si="8"/>
        <v>35.361975026666663</v>
      </c>
      <c r="I22" s="288">
        <f t="shared" si="9"/>
        <v>1.1650932949568245</v>
      </c>
      <c r="J22" s="288"/>
      <c r="K22" s="288"/>
      <c r="L22" s="288"/>
      <c r="M22" s="288"/>
      <c r="N22" s="21"/>
      <c r="O22" s="28">
        <f>E22</f>
        <v>0.36266666666666669</v>
      </c>
      <c r="P22" s="21"/>
      <c r="Q22" s="21"/>
      <c r="R22" s="28">
        <f t="shared" si="12"/>
        <v>0.42266666666666658</v>
      </c>
      <c r="S22" s="21"/>
      <c r="T22" s="21"/>
      <c r="U22" s="27">
        <f t="shared" si="10"/>
        <v>0.41200000000000003</v>
      </c>
      <c r="V22" s="21"/>
      <c r="W22" s="21"/>
      <c r="X22" s="95">
        <f t="shared" si="2"/>
        <v>0.35056197666666666</v>
      </c>
      <c r="Y22" s="93">
        <f t="shared" si="3"/>
        <v>0.37275166366559576</v>
      </c>
      <c r="Z22" s="96">
        <v>0.41200000000000003</v>
      </c>
      <c r="AA22" s="94">
        <f t="shared" si="4"/>
        <v>3.9248336334404277E-2</v>
      </c>
      <c r="AB22" s="95">
        <f t="shared" si="0"/>
        <v>6.1438023333333369E-2</v>
      </c>
      <c r="AC22">
        <v>73.209676589962925</v>
      </c>
      <c r="AD22">
        <v>21.2308742265745</v>
      </c>
      <c r="AE22">
        <v>1549.9859763012144</v>
      </c>
      <c r="AF22">
        <v>3650.3333333333335</v>
      </c>
      <c r="AG22">
        <v>330310.82714344998</v>
      </c>
      <c r="AH22" s="5">
        <v>-0.16</v>
      </c>
      <c r="AI22" s="81">
        <f t="shared" si="5"/>
        <v>-0.30400859231935307</v>
      </c>
      <c r="AJ22" s="81">
        <f t="shared" si="1"/>
        <v>0.66534166979337228</v>
      </c>
      <c r="AK22" s="81">
        <f t="shared" si="1"/>
        <v>0.11847615156776636</v>
      </c>
      <c r="AL22" s="81">
        <f t="shared" si="1"/>
        <v>7.5949439524884976E-2</v>
      </c>
      <c r="AM22" s="81">
        <f t="shared" si="7"/>
        <v>0.28089218991057741</v>
      </c>
      <c r="AN22">
        <v>0.36266666666666669</v>
      </c>
      <c r="AO22">
        <v>0.42266666666666658</v>
      </c>
      <c r="AP22">
        <f t="shared" si="6"/>
        <v>1.3973515365928022</v>
      </c>
    </row>
    <row r="23" spans="1:42">
      <c r="A23">
        <v>2015</v>
      </c>
      <c r="B23">
        <v>2</v>
      </c>
      <c r="C23" s="35">
        <f t="shared" si="13"/>
        <v>0.39700000000000002</v>
      </c>
      <c r="D23" s="21">
        <v>39.700000000000003</v>
      </c>
      <c r="E23" s="27">
        <f>AVERAGEIFS('ІСЦ (Стрим Інфл)'!$J:$J,'ІСЦ (Стрим Інфл)'!$A:$A,'Дефлятор модель (CPI-PPI) (С-1)'!$A23,'ІСЦ (Стрим Інфл)'!$B:$B,'Дефлятор модель (CPI-PPI) (С-1)'!$B23)</f>
        <v>0.58933333333333338</v>
      </c>
      <c r="F23" s="27">
        <f>AVERAGEIFS('ІЦВ (Стрим Інфл)+'!$J:$J,'ІЦВ (Стрим Інфл)+'!$A:$A,'Дефлятор модель (CPI-PPI) (С-1)'!$A23,'ІЦВ (Стрим Інфл)+'!$B:$B,'Дефлятор модель (CPI-PPI) (С-1)'!$B23)</f>
        <v>0.42833333333333329</v>
      </c>
      <c r="G23" s="27"/>
      <c r="H23" s="287">
        <f t="shared" si="8"/>
        <v>43.964037643333334</v>
      </c>
      <c r="I23" s="288">
        <f t="shared" si="9"/>
        <v>0.90301078172286742</v>
      </c>
      <c r="J23" s="288"/>
      <c r="K23" s="288"/>
      <c r="L23" s="288"/>
      <c r="M23" s="288"/>
      <c r="N23" s="21"/>
      <c r="O23" s="28">
        <f t="shared" si="11"/>
        <v>0.58933333333333338</v>
      </c>
      <c r="P23" s="21"/>
      <c r="Q23" s="21"/>
      <c r="R23" s="28">
        <f t="shared" si="12"/>
        <v>0.42833333333333329</v>
      </c>
      <c r="S23" s="21"/>
      <c r="T23" s="21"/>
      <c r="U23" s="27">
        <f t="shared" si="10"/>
        <v>0.39700000000000002</v>
      </c>
      <c r="V23" s="21"/>
      <c r="W23" s="21"/>
      <c r="X23" s="95">
        <f t="shared" si="2"/>
        <v>0.43466520683333332</v>
      </c>
      <c r="Y23" s="93">
        <f t="shared" si="3"/>
        <v>0.4319397995895477</v>
      </c>
      <c r="Z23" s="96">
        <v>0.39700000000000002</v>
      </c>
      <c r="AA23" s="94">
        <f t="shared" si="4"/>
        <v>-3.4939799589547682E-2</v>
      </c>
      <c r="AB23" s="95">
        <f t="shared" si="0"/>
        <v>-3.7665206833333298E-2</v>
      </c>
      <c r="AC23">
        <v>69.190544535974638</v>
      </c>
      <c r="AD23">
        <v>21.619186881362008</v>
      </c>
      <c r="AE23">
        <v>1495.0261354036484</v>
      </c>
      <c r="AF23">
        <v>4113</v>
      </c>
      <c r="AG23">
        <v>330388.03023854335</v>
      </c>
      <c r="AH23" s="5">
        <v>-0.14499999999999999</v>
      </c>
      <c r="AI23" s="81">
        <f t="shared" si="5"/>
        <v>-0.30209900028042469</v>
      </c>
      <c r="AJ23" s="81">
        <f t="shared" si="1"/>
        <v>0.24783651293866682</v>
      </c>
      <c r="AK23" s="81">
        <f t="shared" si="1"/>
        <v>0.17929848035936158</v>
      </c>
      <c r="AL23" s="81">
        <f t="shared" si="1"/>
        <v>-3.0012501859089546E-2</v>
      </c>
      <c r="AM23" s="81">
        <f t="shared" si="7"/>
        <v>0.13448830191919359</v>
      </c>
      <c r="AN23">
        <v>0.58933333333333338</v>
      </c>
      <c r="AO23">
        <v>0.42833333333333329</v>
      </c>
      <c r="AP23">
        <f t="shared" si="6"/>
        <v>0.79102202577896752</v>
      </c>
    </row>
    <row r="24" spans="1:42">
      <c r="A24">
        <v>2015</v>
      </c>
      <c r="B24">
        <v>3</v>
      </c>
      <c r="C24" s="35">
        <f t="shared" si="13"/>
        <v>0.38400000000000001</v>
      </c>
      <c r="D24" s="21">
        <v>38.4</v>
      </c>
      <c r="E24" s="27">
        <f>AVERAGEIFS('ІСЦ (Стрим Інфл)'!$J:$J,'ІСЦ (Стрим Інфл)'!$A:$A,'Дефлятор модель (CPI-PPI) (С-1)'!$A24,'ІСЦ (Стрим Інфл)'!$B:$B,'Дефлятор модель (CPI-PPI) (С-1)'!$B24)</f>
        <v>0.53333333333333355</v>
      </c>
      <c r="F24" s="27">
        <f>AVERAGEIFS('ІЦВ (Стрим Інфл)+'!$J:$J,'ІЦВ (Стрим Інфл)+'!$A:$A,'Дефлятор модель (CPI-PPI) (С-1)'!$A24,'ІЦВ (Стрим Інфл)+'!$B:$B,'Дефлятор модель (CPI-PPI) (С-1)'!$B24)</f>
        <v>0.34166666666666662</v>
      </c>
      <c r="G24" s="27"/>
      <c r="H24" s="287">
        <f t="shared" si="8"/>
        <v>38.277178083333339</v>
      </c>
      <c r="I24" s="288">
        <f t="shared" si="9"/>
        <v>1.0032087505614773</v>
      </c>
      <c r="J24" s="288"/>
      <c r="K24" s="288"/>
      <c r="L24" s="288"/>
      <c r="M24" s="288"/>
      <c r="N24" s="21"/>
      <c r="O24" s="28">
        <f t="shared" si="11"/>
        <v>0.53333333333333355</v>
      </c>
      <c r="P24" s="21"/>
      <c r="Q24" s="21"/>
      <c r="R24" s="28">
        <f t="shared" si="12"/>
        <v>0.34166666666666662</v>
      </c>
      <c r="S24" s="21"/>
      <c r="T24" s="21"/>
      <c r="U24" s="27">
        <f t="shared" si="10"/>
        <v>0.38400000000000001</v>
      </c>
      <c r="V24" s="21"/>
      <c r="W24" s="21"/>
      <c r="X24" s="95">
        <f t="shared" si="2"/>
        <v>0.37827032083333334</v>
      </c>
      <c r="Y24" s="93">
        <f t="shared" si="3"/>
        <v>0.38498419577657644</v>
      </c>
      <c r="Z24" s="96">
        <v>0.38400000000000001</v>
      </c>
      <c r="AA24" s="94">
        <f t="shared" si="4"/>
        <v>-9.8419577657643531E-4</v>
      </c>
      <c r="AB24" s="95">
        <f t="shared" si="0"/>
        <v>5.729679166666668E-3</v>
      </c>
      <c r="AC24">
        <v>65.494986104012767</v>
      </c>
      <c r="AD24">
        <v>21.722553238709679</v>
      </c>
      <c r="AE24">
        <v>1422.7676638423036</v>
      </c>
      <c r="AF24">
        <v>4312.666666666667</v>
      </c>
      <c r="AG24">
        <v>328965.17657010001</v>
      </c>
      <c r="AH24" s="5">
        <v>-7.0000000000000007E-2</v>
      </c>
      <c r="AI24" s="81">
        <f t="shared" si="5"/>
        <v>-0.2533557628848695</v>
      </c>
      <c r="AJ24" s="81">
        <f t="shared" si="1"/>
        <v>0.2909882546096294</v>
      </c>
      <c r="AK24" s="81">
        <f t="shared" si="1"/>
        <v>0.24547554871005017</v>
      </c>
      <c r="AL24" s="81">
        <f t="shared" si="1"/>
        <v>-5.2333590166845023E-2</v>
      </c>
      <c r="AM24" s="81">
        <f t="shared" si="7"/>
        <v>1.8996139605543139E-2</v>
      </c>
      <c r="AN24">
        <v>0.53333333333333355</v>
      </c>
      <c r="AO24">
        <v>0.34166666666666662</v>
      </c>
      <c r="AP24">
        <f t="shared" si="6"/>
        <v>0.72650154128479039</v>
      </c>
    </row>
    <row r="25" spans="1:42">
      <c r="A25">
        <v>2015</v>
      </c>
      <c r="B25">
        <v>4</v>
      </c>
      <c r="C25" s="35">
        <f t="shared" si="13"/>
        <v>0.35</v>
      </c>
      <c r="D25" s="21">
        <v>35</v>
      </c>
      <c r="E25" s="27">
        <f>AVERAGEIFS('ІСЦ (Стрим Інфл)'!$J:$J,'ІСЦ (Стрим Інфл)'!$A:$A,'Дефлятор модель (CPI-PPI) (С-1)'!$A25,'ІСЦ (Стрим Інфл)'!$B:$B,'Дефлятор модель (CPI-PPI) (С-1)'!$B25)</f>
        <v>0.45433333333333342</v>
      </c>
      <c r="F25" s="27">
        <f>AVERAGEIFS('ІЦВ (Стрим Інфл)+'!$J:$J,'ІЦВ (Стрим Інфл)+'!$A:$A,'Дефлятор модель (CPI-PPI) (С-1)'!$A25,'ІЦВ (Стрим Інфл)+'!$B:$B,'Дефлятор модель (CPI-PPI) (С-1)'!$B25)</f>
        <v>0.26899999999999996</v>
      </c>
      <c r="G25" s="27"/>
      <c r="H25" s="287">
        <f t="shared" si="8"/>
        <v>32.326269393333334</v>
      </c>
      <c r="I25" s="288">
        <f t="shared" si="9"/>
        <v>1.0827107691931217</v>
      </c>
      <c r="J25" s="288"/>
      <c r="K25" s="288"/>
      <c r="L25" s="288"/>
      <c r="M25" s="288"/>
      <c r="N25" s="21"/>
      <c r="O25" s="28">
        <f t="shared" si="11"/>
        <v>0.45433333333333342</v>
      </c>
      <c r="P25" s="21"/>
      <c r="Q25" s="21"/>
      <c r="R25" s="28">
        <f t="shared" si="12"/>
        <v>0.26899999999999996</v>
      </c>
      <c r="S25" s="21"/>
      <c r="T25" s="21"/>
      <c r="U25" s="27">
        <f t="shared" si="10"/>
        <v>0.35</v>
      </c>
      <c r="V25" s="21"/>
      <c r="W25" s="21"/>
      <c r="X25" s="95">
        <f t="shared" si="2"/>
        <v>0.31942950283333332</v>
      </c>
      <c r="Y25" s="93">
        <f t="shared" si="3"/>
        <v>0.32580146655946085</v>
      </c>
      <c r="Z25" s="96">
        <v>0.35</v>
      </c>
      <c r="AA25" s="94">
        <f t="shared" si="4"/>
        <v>2.4198533440539127E-2</v>
      </c>
      <c r="AB25" s="95">
        <f t="shared" si="0"/>
        <v>3.0570497166666655E-2</v>
      </c>
      <c r="AC25">
        <v>60.815863631141575</v>
      </c>
      <c r="AD25">
        <v>22.854106237634408</v>
      </c>
      <c r="AE25">
        <v>1388.0995915603096</v>
      </c>
      <c r="AF25">
        <v>4753.333333333333</v>
      </c>
      <c r="AG25">
        <v>322729.83036133501</v>
      </c>
      <c r="AH25" s="5">
        <v>-2.4000000000000004E-2</v>
      </c>
      <c r="AI25" s="81">
        <f t="shared" si="5"/>
        <v>-0.22917700275360497</v>
      </c>
      <c r="AJ25" s="81">
        <f t="shared" si="1"/>
        <v>0.22149306831043436</v>
      </c>
      <c r="AK25" s="81">
        <f t="shared" si="1"/>
        <v>0.28991406603346892</v>
      </c>
      <c r="AL25" s="81">
        <f t="shared" si="1"/>
        <v>-3.4912885219432366E-2</v>
      </c>
      <c r="AM25" s="81">
        <f t="shared" si="7"/>
        <v>-1.1181234855975775E-2</v>
      </c>
      <c r="AN25">
        <v>0.45433333333333342</v>
      </c>
      <c r="AO25">
        <v>0.26899999999999996</v>
      </c>
      <c r="AP25">
        <f t="shared" si="6"/>
        <v>0.58304538280339835</v>
      </c>
    </row>
    <row r="26" spans="1:42">
      <c r="A26">
        <v>2016</v>
      </c>
      <c r="B26">
        <v>1</v>
      </c>
      <c r="C26" s="35">
        <f t="shared" si="13"/>
        <v>0.20899999999999999</v>
      </c>
      <c r="D26" s="21">
        <v>20.9</v>
      </c>
      <c r="E26" s="27">
        <f>AVERAGEIFS('ІСЦ (Стрим Інфл)'!$J:$J,'ІСЦ (Стрим Інфл)'!$A:$A,'Дефлятор модель (CPI-PPI) (С-1)'!$A26,'ІСЦ (Стрим Інфл)'!$B:$B,'Дефлятор модель (CPI-PPI) (С-1)'!$B26)</f>
        <v>0.313</v>
      </c>
      <c r="F26" s="27">
        <f>AVERAGEIFS('ІЦВ (Стрим Інфл)+'!$J:$J,'ІЦВ (Стрим Інфл)+'!$A:$A,'Дефлятор модель (CPI-PPI) (С-1)'!$A26,'ІЦВ (Стрим Інфл)+'!$B:$B,'Дефлятор модель (CPI-PPI) (С-1)'!$B26)</f>
        <v>0.16366666666666668</v>
      </c>
      <c r="G26" s="27"/>
      <c r="H26" s="287">
        <f t="shared" si="8"/>
        <v>22.710378179999999</v>
      </c>
      <c r="I26" s="288">
        <f t="shared" si="9"/>
        <v>0.92028410246403036</v>
      </c>
      <c r="J26" s="288"/>
      <c r="K26" s="288"/>
      <c r="L26" s="288"/>
      <c r="M26" s="288"/>
      <c r="N26" s="21"/>
      <c r="O26" s="28">
        <f t="shared" si="11"/>
        <v>0.313</v>
      </c>
      <c r="P26" s="21"/>
      <c r="Q26" s="21"/>
      <c r="R26" s="28">
        <f t="shared" si="12"/>
        <v>0.16366666666666668</v>
      </c>
      <c r="S26" s="21"/>
      <c r="T26" s="21"/>
      <c r="U26" s="27">
        <f t="shared" si="10"/>
        <v>0.20899999999999999</v>
      </c>
      <c r="V26" s="21"/>
      <c r="W26" s="21"/>
      <c r="X26" s="95">
        <f t="shared" si="2"/>
        <v>0.22446614350000002</v>
      </c>
      <c r="Y26" s="93">
        <f t="shared" si="3"/>
        <v>0.21805111116268411</v>
      </c>
      <c r="Z26" s="96">
        <v>0.20899999999999999</v>
      </c>
      <c r="AA26" s="94">
        <f t="shared" si="4"/>
        <v>-9.0511111626841168E-3</v>
      </c>
      <c r="AB26" s="95">
        <f t="shared" si="0"/>
        <v>-1.5466143500000029E-2</v>
      </c>
      <c r="AC26">
        <v>57.727197592771404</v>
      </c>
      <c r="AD26">
        <v>25.669635638857994</v>
      </c>
      <c r="AE26">
        <v>1482.7320954886866</v>
      </c>
      <c r="AF26">
        <v>4622.333333333333</v>
      </c>
      <c r="AG26">
        <v>331732.91779812664</v>
      </c>
      <c r="AH26" s="5">
        <v>1E-3</v>
      </c>
      <c r="AI26" s="81">
        <f t="shared" si="5"/>
        <v>-0.2114813193876911</v>
      </c>
      <c r="AJ26" s="81">
        <f t="shared" si="1"/>
        <v>-4.3389993097239565E-2</v>
      </c>
      <c r="AK26" s="81">
        <f t="shared" si="1"/>
        <v>0.26627705232398857</v>
      </c>
      <c r="AL26" s="81">
        <f t="shared" si="1"/>
        <v>4.305310446451216E-3</v>
      </c>
      <c r="AM26" s="81">
        <f t="shared" si="7"/>
        <v>3.3020084380133152E-3</v>
      </c>
      <c r="AN26">
        <v>0.313</v>
      </c>
      <c r="AO26">
        <v>0.16366666666666668</v>
      </c>
      <c r="AP26">
        <f t="shared" si="6"/>
        <v>0.20907106155466426</v>
      </c>
    </row>
    <row r="27" spans="1:42">
      <c r="A27">
        <v>2016</v>
      </c>
      <c r="B27">
        <v>2</v>
      </c>
      <c r="C27" s="35">
        <f t="shared" si="13"/>
        <v>0.153</v>
      </c>
      <c r="D27" s="21">
        <v>15.3</v>
      </c>
      <c r="E27" s="27">
        <f>AVERAGEIFS('ІСЦ (Стрим Інфл)'!$J:$J,'ІСЦ (Стрим Інфл)'!$A:$A,'Дефлятор модель (CPI-PPI) (С-1)'!$A27,'ІСЦ (Стрим Інфл)'!$B:$B,'Дефлятор модель (CPI-PPI) (С-1)'!$B27)</f>
        <v>8.0666666666666678E-2</v>
      </c>
      <c r="F27" s="27">
        <f>AVERAGEIFS('ІЦВ (Стрим Інфл)+'!$J:$J,'ІЦВ (Стрим Інфл)+'!$A:$A,'Дефлятор модель (CPI-PPI) (С-1)'!$A27,'ІЦВ (Стрим Інфл)+'!$B:$B,'Дефлятор модель (CPI-PPI) (С-1)'!$B27)</f>
        <v>0.14066666666666669</v>
      </c>
      <c r="G27" s="27"/>
      <c r="H27" s="287">
        <f t="shared" si="8"/>
        <v>13.175156906666668</v>
      </c>
      <c r="I27" s="288">
        <f t="shared" si="9"/>
        <v>1.1612764924460335</v>
      </c>
      <c r="J27" s="288"/>
      <c r="K27" s="288"/>
      <c r="L27" s="288"/>
      <c r="M27" s="288"/>
      <c r="N27" s="21"/>
      <c r="O27" s="28">
        <f t="shared" si="11"/>
        <v>8.0666666666666678E-2</v>
      </c>
      <c r="P27" s="21"/>
      <c r="Q27" s="21"/>
      <c r="R27" s="28">
        <f t="shared" si="12"/>
        <v>0.14066666666666669</v>
      </c>
      <c r="S27" s="21"/>
      <c r="T27" s="21"/>
      <c r="U27" s="27">
        <f t="shared" si="10"/>
        <v>0.153</v>
      </c>
      <c r="V27" s="21"/>
      <c r="W27" s="21"/>
      <c r="X27" s="95">
        <f t="shared" si="2"/>
        <v>0.13107926166666667</v>
      </c>
      <c r="Y27" s="93">
        <f t="shared" si="3"/>
        <v>0.12900815931946363</v>
      </c>
      <c r="Z27" s="96">
        <v>0.153</v>
      </c>
      <c r="AA27" s="94">
        <f t="shared" si="4"/>
        <v>2.3991840680536364E-2</v>
      </c>
      <c r="AB27" s="95">
        <f t="shared" si="0"/>
        <v>2.1920738333333328E-2</v>
      </c>
      <c r="AC27">
        <v>63.032488909992544</v>
      </c>
      <c r="AD27">
        <v>25.262438794623659</v>
      </c>
      <c r="AE27">
        <v>1592.1913577419446</v>
      </c>
      <c r="AF27">
        <v>5072</v>
      </c>
      <c r="AG27">
        <v>337735.73980871501</v>
      </c>
      <c r="AH27" s="5">
        <v>1.7000000000000001E-2</v>
      </c>
      <c r="AI27" s="81">
        <f t="shared" si="5"/>
        <v>-8.9001404271074946E-2</v>
      </c>
      <c r="AJ27" s="81">
        <f t="shared" si="1"/>
        <v>6.4992323570358224E-2</v>
      </c>
      <c r="AK27" s="81">
        <f t="shared" si="1"/>
        <v>0.23316314125942128</v>
      </c>
      <c r="AL27" s="81">
        <f t="shared" si="1"/>
        <v>2.2239636117769024E-2</v>
      </c>
      <c r="AM27" s="81">
        <f t="shared" si="7"/>
        <v>5.1520512465772494E-3</v>
      </c>
      <c r="AN27">
        <v>8.0666666666666678E-2</v>
      </c>
      <c r="AO27">
        <v>0.14066666666666669</v>
      </c>
      <c r="AP27">
        <f t="shared" si="6"/>
        <v>0.16851937740556355</v>
      </c>
    </row>
    <row r="28" spans="1:42">
      <c r="A28">
        <v>2016</v>
      </c>
      <c r="B28">
        <v>3</v>
      </c>
      <c r="C28" s="35">
        <f t="shared" si="13"/>
        <v>0.153</v>
      </c>
      <c r="D28" s="21">
        <v>15.3</v>
      </c>
      <c r="E28" s="27">
        <f>AVERAGEIFS('ІСЦ (Стрим Інфл)'!$J:$J,'ІСЦ (Стрим Інфл)'!$A:$A,'Дефлятор модель (CPI-PPI) (С-1)'!$A28,'ІСЦ (Стрим Інфл)'!$B:$B,'Дефлятор модель (CPI-PPI) (С-1)'!$B28)</f>
        <v>8.066666666666672E-2</v>
      </c>
      <c r="F28" s="27">
        <f>AVERAGEIFS('ІЦВ (Стрим Інфл)+'!$J:$J,'ІЦВ (Стрим Інфл)+'!$A:$A,'Дефлятор модель (CPI-PPI) (С-1)'!$A28,'ІЦВ (Стрим Інфл)+'!$B:$B,'Дефлятор модель (CPI-PPI) (С-1)'!$B28)</f>
        <v>0.18933333333333333</v>
      </c>
      <c r="G28" s="27"/>
      <c r="H28" s="287">
        <f t="shared" si="8"/>
        <v>15.207995206666668</v>
      </c>
      <c r="I28" s="288">
        <f t="shared" si="9"/>
        <v>1.0060497647509121</v>
      </c>
      <c r="J28" s="288"/>
      <c r="K28" s="288"/>
      <c r="L28" s="288"/>
      <c r="M28" s="288"/>
      <c r="N28" s="21"/>
      <c r="O28" s="28">
        <f t="shared" si="11"/>
        <v>8.066666666666672E-2</v>
      </c>
      <c r="P28" s="21"/>
      <c r="Q28" s="21"/>
      <c r="R28" s="28">
        <f t="shared" si="12"/>
        <v>0.18933333333333333</v>
      </c>
      <c r="S28" s="21"/>
      <c r="T28" s="21"/>
      <c r="U28" s="27">
        <f t="shared" si="10"/>
        <v>0.153</v>
      </c>
      <c r="V28" s="21"/>
      <c r="W28" s="21"/>
      <c r="X28" s="95">
        <f t="shared" si="2"/>
        <v>0.15140764466666667</v>
      </c>
      <c r="Y28" s="93">
        <f t="shared" si="3"/>
        <v>0.14650947124911254</v>
      </c>
      <c r="Z28" s="96">
        <v>0.153</v>
      </c>
      <c r="AA28" s="94">
        <f t="shared" si="4"/>
        <v>6.4905287508874587E-3</v>
      </c>
      <c r="AB28" s="95">
        <f t="shared" si="0"/>
        <v>1.5923553333333229E-3</v>
      </c>
      <c r="AC28">
        <v>60.875215760700605</v>
      </c>
      <c r="AD28">
        <v>25.385684131182796</v>
      </c>
      <c r="AE28">
        <v>1544.886585165041</v>
      </c>
      <c r="AF28">
        <v>5311.333333333333</v>
      </c>
      <c r="AG28">
        <v>355410.64953295002</v>
      </c>
      <c r="AH28" s="5">
        <v>2.7000000000000007E-2</v>
      </c>
      <c r="AI28" s="81">
        <f t="shared" si="5"/>
        <v>-7.0536244346635857E-2</v>
      </c>
      <c r="AJ28" s="81">
        <f t="shared" si="1"/>
        <v>8.5831948832000515E-2</v>
      </c>
      <c r="AK28" s="81">
        <f t="shared" si="1"/>
        <v>0.23156592981913726</v>
      </c>
      <c r="AL28" s="81">
        <f t="shared" si="1"/>
        <v>8.0389885758058943E-2</v>
      </c>
      <c r="AM28" s="81">
        <f t="shared" si="7"/>
        <v>5.1986256823816079E-2</v>
      </c>
      <c r="AN28">
        <v>8.066666666666672E-2</v>
      </c>
      <c r="AO28">
        <v>0.18933333333333333</v>
      </c>
      <c r="AP28">
        <f t="shared" si="6"/>
        <v>0.16863261202395874</v>
      </c>
    </row>
    <row r="29" spans="1:42">
      <c r="A29">
        <v>2016</v>
      </c>
      <c r="B29">
        <v>4</v>
      </c>
      <c r="C29" s="35">
        <f t="shared" si="13"/>
        <v>0.17399999999999999</v>
      </c>
      <c r="D29" s="21">
        <v>17.399999999999999</v>
      </c>
      <c r="E29" s="27">
        <f>AVERAGEIFS('ІСЦ (Стрим Інфл)'!$J:$J,'ІСЦ (Стрим Інфл)'!$A:$A,'Дефлятор модель (CPI-PPI) (С-1)'!$A29,'ІСЦ (Стрим Інфл)'!$B:$B,'Дефлятор модель (CPI-PPI) (С-1)'!$B29)</f>
        <v>0.12300000000000001</v>
      </c>
      <c r="F29" s="27">
        <f>AVERAGEIFS('ІЦВ (Стрим Інфл)+'!$J:$J,'ІЦВ (Стрим Інфл)+'!$A:$A,'Дефлятор модель (CPI-PPI) (С-1)'!$A29,'ІЦВ (Стрим Інфл)+'!$B:$B,'Дефлятор модель (CPI-PPI) (С-1)'!$B29)</f>
        <v>0.3229999999999999</v>
      </c>
      <c r="G29" s="27"/>
      <c r="H29" s="287">
        <f t="shared" si="8"/>
        <v>22.353693179999993</v>
      </c>
      <c r="I29" s="288">
        <f t="shared" si="9"/>
        <v>0.7783948656666676</v>
      </c>
      <c r="J29" s="288"/>
      <c r="K29" s="288"/>
      <c r="L29" s="288"/>
      <c r="M29" s="288"/>
      <c r="N29" s="21"/>
      <c r="O29" s="28">
        <f t="shared" si="11"/>
        <v>0.12300000000000001</v>
      </c>
      <c r="P29" s="21"/>
      <c r="Q29" s="21"/>
      <c r="R29" s="28">
        <f t="shared" si="12"/>
        <v>0.3229999999999999</v>
      </c>
      <c r="S29" s="21"/>
      <c r="T29" s="21"/>
      <c r="U29" s="27">
        <f t="shared" si="10"/>
        <v>0.17399999999999999</v>
      </c>
      <c r="V29" s="21"/>
      <c r="W29" s="21"/>
      <c r="X29" s="95">
        <f t="shared" si="2"/>
        <v>0.22250652249999994</v>
      </c>
      <c r="Y29" s="93">
        <f t="shared" si="3"/>
        <v>0.21739648557649094</v>
      </c>
      <c r="Z29" s="96">
        <v>0.17399999999999999</v>
      </c>
      <c r="AA29" s="94">
        <f t="shared" si="4"/>
        <v>-4.3396485576490951E-2</v>
      </c>
      <c r="AB29" s="95">
        <f t="shared" si="0"/>
        <v>-4.8506522499999954E-2</v>
      </c>
      <c r="AC29">
        <v>66.234315955768537</v>
      </c>
      <c r="AD29">
        <v>25.887578374193549</v>
      </c>
      <c r="AE29">
        <v>1714.9803393378436</v>
      </c>
      <c r="AF29">
        <v>5743.666666666667</v>
      </c>
      <c r="AG29">
        <v>360205.31619122002</v>
      </c>
      <c r="AH29" s="5">
        <v>4.6000000000000006E-2</v>
      </c>
      <c r="AI29" s="81">
        <f t="shared" si="5"/>
        <v>8.9096035164291765E-2</v>
      </c>
      <c r="AJ29" s="81">
        <f t="shared" si="1"/>
        <v>0.23548796481533429</v>
      </c>
      <c r="AK29" s="81">
        <f t="shared" si="1"/>
        <v>0.20834502103786834</v>
      </c>
      <c r="AL29" s="81">
        <f t="shared" si="1"/>
        <v>0.11612030343748114</v>
      </c>
      <c r="AM29" s="81">
        <f t="shared" si="7"/>
        <v>6.7036618965087058E-2</v>
      </c>
      <c r="AN29">
        <v>0.12300000000000001</v>
      </c>
      <c r="AO29">
        <v>0.3229999999999999</v>
      </c>
      <c r="AP29">
        <f t="shared" si="6"/>
        <v>0.13273203970513836</v>
      </c>
    </row>
    <row r="30" spans="1:42">
      <c r="A30">
        <v>2017</v>
      </c>
      <c r="B30">
        <v>1</v>
      </c>
      <c r="C30" s="35">
        <f t="shared" si="13"/>
        <v>0.26600000000000001</v>
      </c>
      <c r="D30" s="21">
        <v>26.6</v>
      </c>
      <c r="E30" s="27">
        <f>AVERAGEIFS('ІСЦ (Стрим Інфл)'!$J:$J,'ІСЦ (Стрим Інфл)'!$A:$A,'Дефлятор модель (CPI-PPI) (С-1)'!$A30,'ІСЦ (Стрим Інфл)'!$B:$B,'Дефлятор модель (CPI-PPI) (С-1)'!$B30)</f>
        <v>0.13966666666666663</v>
      </c>
      <c r="F30" s="27">
        <f>AVERAGEIFS('ІЦВ (Стрим Інфл)+'!$J:$J,'ІЦВ (Стрим Інфл)+'!$A:$A,'Дефлятор модель (CPI-PPI) (С-1)'!$A30,'ІЦВ (Стрим Інфл)+'!$B:$B,'Дефлятор модель (CPI-PPI) (С-1)'!$B30)</f>
        <v>0.38000000000000006</v>
      </c>
      <c r="G30" s="27"/>
      <c r="H30" s="287">
        <f t="shared" si="8"/>
        <v>25.349720396666669</v>
      </c>
      <c r="I30" s="288">
        <f t="shared" si="9"/>
        <v>1.0493212384108874</v>
      </c>
      <c r="J30" s="288"/>
      <c r="K30" s="288"/>
      <c r="L30" s="288"/>
      <c r="M30" s="288"/>
      <c r="N30" s="21"/>
      <c r="O30" s="28">
        <f t="shared" si="11"/>
        <v>0.13966666666666663</v>
      </c>
      <c r="P30" s="21"/>
      <c r="Q30" s="21"/>
      <c r="R30" s="28">
        <f t="shared" si="12"/>
        <v>0.38000000000000006</v>
      </c>
      <c r="S30" s="21"/>
      <c r="T30" s="21"/>
      <c r="U30" s="27">
        <f t="shared" si="10"/>
        <v>0.26600000000000001</v>
      </c>
      <c r="V30" s="21"/>
      <c r="W30" s="21"/>
      <c r="X30" s="95">
        <f t="shared" si="2"/>
        <v>0.25232580966666668</v>
      </c>
      <c r="Y30" s="93">
        <f t="shared" si="3"/>
        <v>0.24802548195963992</v>
      </c>
      <c r="Z30" s="96">
        <v>0.26200000000000001</v>
      </c>
      <c r="AA30" s="94">
        <f t="shared" si="4"/>
        <v>1.3974518040360095E-2</v>
      </c>
      <c r="AB30" s="95">
        <f t="shared" si="0"/>
        <v>9.6741903333333323E-3</v>
      </c>
      <c r="AC30">
        <v>71.913105870063021</v>
      </c>
      <c r="AD30">
        <v>27.059981798003069</v>
      </c>
      <c r="AE30">
        <v>1945.9684410171067</v>
      </c>
      <c r="AF30">
        <v>6323</v>
      </c>
      <c r="AG30">
        <v>364243.22864574502</v>
      </c>
      <c r="AH30" s="5">
        <v>2.7999999999999997E-2</v>
      </c>
      <c r="AI30" s="81">
        <f t="shared" si="5"/>
        <v>0.24574046322782128</v>
      </c>
      <c r="AJ30" s="81">
        <f t="shared" si="1"/>
        <v>0.31242079869846218</v>
      </c>
      <c r="AK30" s="81">
        <f t="shared" si="1"/>
        <v>0.36792384798442357</v>
      </c>
      <c r="AL30" s="81">
        <f t="shared" si="1"/>
        <v>9.8001461728324024E-2</v>
      </c>
      <c r="AM30" s="81">
        <f t="shared" si="7"/>
        <v>6.8094807128719737E-2</v>
      </c>
      <c r="AN30">
        <v>0.13966666666666663</v>
      </c>
      <c r="AO30">
        <v>0.38000000000000006</v>
      </c>
      <c r="AP30">
        <f t="shared" si="6"/>
        <v>5.4163065604266203E-2</v>
      </c>
    </row>
    <row r="31" spans="1:42">
      <c r="A31">
        <v>2017</v>
      </c>
      <c r="B31">
        <v>2</v>
      </c>
      <c r="C31" s="35">
        <f t="shared" ref="C31:C49" si="14">D31/100</f>
        <v>0.20899999999999999</v>
      </c>
      <c r="D31" s="21">
        <v>20.9</v>
      </c>
      <c r="E31" s="27">
        <f>AVERAGEIFS('ІСЦ (Стрим Інфл)'!$J:$J,'ІСЦ (Стрим Інфл)'!$A:$A,'Дефлятор модель (CPI-PPI) (С-1)'!$A31,'ІСЦ (Стрим Інфл)'!$B:$B,'Дефлятор модель (CPI-PPI) (С-1)'!$B31)</f>
        <v>0.13766666666666663</v>
      </c>
      <c r="F31" s="27">
        <f>AVERAGEIFS('ІЦВ (Стрим Інфл)+'!$J:$J,'ІЦВ (Стрим Інфл)+'!$A:$A,'Дефлятор модель (CPI-PPI) (С-1)'!$A31,'ІЦВ (Стрим Інфл)+'!$B:$B,'Дефлятор модель (CPI-PPI) (С-1)'!$B31)</f>
        <v>0.29666666666666663</v>
      </c>
      <c r="G31" s="27"/>
      <c r="H31" s="287">
        <f t="shared" si="8"/>
        <v>21.795020876666662</v>
      </c>
      <c r="I31" s="288">
        <f t="shared" si="9"/>
        <v>0.95893461714345707</v>
      </c>
      <c r="J31" s="288"/>
      <c r="K31" s="288"/>
      <c r="L31" s="288"/>
      <c r="M31" s="288"/>
      <c r="N31" s="21"/>
      <c r="O31" s="28">
        <f>E31</f>
        <v>0.13766666666666663</v>
      </c>
      <c r="P31" s="21"/>
      <c r="Q31" s="21"/>
      <c r="R31" s="28">
        <f>F31</f>
        <v>0.29666666666666663</v>
      </c>
      <c r="S31" s="21"/>
      <c r="T31" s="21"/>
      <c r="U31" s="27">
        <f t="shared" si="10"/>
        <v>0.20899999999999999</v>
      </c>
      <c r="V31" s="21"/>
      <c r="W31" s="21"/>
      <c r="X31" s="95">
        <f t="shared" si="2"/>
        <v>0.21679573266666663</v>
      </c>
      <c r="Y31" s="93">
        <f t="shared" si="3"/>
        <v>0.20240933163986569</v>
      </c>
      <c r="Z31" s="96">
        <v>0.20899999999999999</v>
      </c>
      <c r="AA31" s="94">
        <f t="shared" si="4"/>
        <v>6.5906683601343052E-3</v>
      </c>
      <c r="AB31" s="95">
        <f t="shared" si="0"/>
        <v>-7.7957326666666382E-3</v>
      </c>
      <c r="AC31">
        <v>64.204964156478169</v>
      </c>
      <c r="AD31">
        <v>26.463126088888888</v>
      </c>
      <c r="AE31">
        <v>1699.5103224472871</v>
      </c>
      <c r="AF31">
        <v>6953</v>
      </c>
      <c r="AG31">
        <v>368648.816115305</v>
      </c>
      <c r="AH31" s="5">
        <v>2.6000000000000006E-2</v>
      </c>
      <c r="AI31" s="81">
        <f t="shared" si="5"/>
        <v>1.8601125653785688E-2</v>
      </c>
      <c r="AJ31" s="81">
        <f t="shared" si="1"/>
        <v>6.7403308141015694E-2</v>
      </c>
      <c r="AK31" s="81">
        <f t="shared" si="1"/>
        <v>0.37085962145110418</v>
      </c>
      <c r="AL31" s="81">
        <f t="shared" si="1"/>
        <v>9.153036727501318E-2</v>
      </c>
      <c r="AM31" s="81">
        <f t="shared" si="7"/>
        <v>6.3869753679349994E-2</v>
      </c>
      <c r="AN31">
        <v>0.13766666666666663</v>
      </c>
      <c r="AO31">
        <v>0.29666666666666663</v>
      </c>
      <c r="AP31">
        <f t="shared" si="6"/>
        <v>4.7528558268917331E-2</v>
      </c>
    </row>
    <row r="32" spans="1:42">
      <c r="A32">
        <v>2017</v>
      </c>
      <c r="B32">
        <v>3</v>
      </c>
      <c r="C32" s="35">
        <f t="shared" si="14"/>
        <v>0.215</v>
      </c>
      <c r="D32" s="21">
        <v>21.5</v>
      </c>
      <c r="E32" s="27">
        <f>AVERAGEIFS('ІСЦ (Стрим Інфл)'!$J:$J,'ІСЦ (Стрим Інфл)'!$A:$A,'Дефлятор модель (CPI-PPI) (С-1)'!$A32,'ІСЦ (Стрим Інфл)'!$B:$B,'Дефлятор модель (CPI-PPI) (С-1)'!$B32)</f>
        <v>0.16166666666666671</v>
      </c>
      <c r="F32" s="27">
        <f>AVERAGEIFS('ІЦВ (Стрим Інфл)+'!$J:$J,'ІЦВ (Стрим Інфл)+'!$A:$A,'Дефлятор модель (CPI-PPI) (С-1)'!$A32,'ІЦВ (Стрим Інфл)+'!$B:$B,'Дефлятор модель (CPI-PPI) (С-1)'!$B32)</f>
        <v>0.23099999999999998</v>
      </c>
      <c r="G32" s="27"/>
      <c r="H32" s="287">
        <f t="shared" si="8"/>
        <v>19.93782576666667</v>
      </c>
      <c r="I32" s="288">
        <f t="shared" si="9"/>
        <v>1.0783522863333008</v>
      </c>
      <c r="J32" s="288"/>
      <c r="K32" s="288"/>
      <c r="L32" s="288"/>
      <c r="M32" s="288"/>
      <c r="N32" s="21"/>
      <c r="O32" s="28">
        <f t="shared" si="11"/>
        <v>0.16166666666666671</v>
      </c>
      <c r="P32" s="21"/>
      <c r="Q32" s="21"/>
      <c r="R32" s="28">
        <f t="shared" si="12"/>
        <v>0.23099999999999998</v>
      </c>
      <c r="S32" s="21"/>
      <c r="T32" s="21"/>
      <c r="U32" s="27">
        <f t="shared" si="10"/>
        <v>0.215</v>
      </c>
      <c r="V32" s="21"/>
      <c r="W32" s="21"/>
      <c r="X32" s="95">
        <f t="shared" si="2"/>
        <v>0.19802076316666667</v>
      </c>
      <c r="Y32" s="93">
        <f t="shared" si="3"/>
        <v>0.19502786046971879</v>
      </c>
      <c r="Z32" s="96">
        <v>0.21100000000000002</v>
      </c>
      <c r="AA32" s="94">
        <f t="shared" si="4"/>
        <v>1.5972139530281232E-2</v>
      </c>
      <c r="AB32" s="95">
        <f t="shared" si="0"/>
        <v>1.2979236833333352E-2</v>
      </c>
      <c r="AC32">
        <v>67.870345644271211</v>
      </c>
      <c r="AD32">
        <v>25.904397915053753</v>
      </c>
      <c r="AE32">
        <v>1758.1716984869993</v>
      </c>
      <c r="AF32">
        <v>7268</v>
      </c>
      <c r="AG32">
        <v>378713.75901810831</v>
      </c>
      <c r="AH32" s="5">
        <v>2.4000000000000004E-2</v>
      </c>
      <c r="AI32" s="81">
        <f t="shared" si="5"/>
        <v>0.11490932387111918</v>
      </c>
      <c r="AJ32" s="81">
        <f t="shared" si="1"/>
        <v>0.13805875160678727</v>
      </c>
      <c r="AK32" s="81">
        <f t="shared" si="1"/>
        <v>0.36839462783983934</v>
      </c>
      <c r="AL32" s="81">
        <f t="shared" si="1"/>
        <v>6.5566717023761711E-2</v>
      </c>
      <c r="AM32" s="81">
        <f t="shared" si="7"/>
        <v>4.0592497093517199E-2</v>
      </c>
      <c r="AN32">
        <v>0.16166666666666671</v>
      </c>
      <c r="AO32">
        <v>0.23099999999999998</v>
      </c>
      <c r="AP32">
        <f t="shared" si="6"/>
        <v>2.0433319078204004E-2</v>
      </c>
    </row>
    <row r="33" spans="1:42">
      <c r="A33">
        <v>2017</v>
      </c>
      <c r="B33">
        <v>4</v>
      </c>
      <c r="C33" s="35">
        <f t="shared" si="14"/>
        <v>0.20800000000000002</v>
      </c>
      <c r="D33" s="21">
        <v>20.8</v>
      </c>
      <c r="E33" s="27">
        <f>AVERAGEIFS('ІСЦ (Стрим Інфл)'!$J:$J,'ІСЦ (Стрим Інфл)'!$A:$A,'Дефлятор модель (CPI-PPI) (С-1)'!$A33,'ІСЦ (Стрим Інфл)'!$B:$B,'Дефлятор модель (CPI-PPI) (С-1)'!$B33)</f>
        <v>0.13966666666666663</v>
      </c>
      <c r="F33" s="27">
        <f>AVERAGEIFS('ІЦВ (Стрим Інфл)+'!$J:$J,'ІЦВ (Стрим Інфл)+'!$A:$A,'Дефлятор модель (CPI-PPI) (С-1)'!$A33,'ІЦВ (Стрим Інфл)+'!$B:$B,'Дефлятор модель (CPI-PPI) (С-1)'!$B33)</f>
        <v>0.17900000000000002</v>
      </c>
      <c r="G33" s="27"/>
      <c r="H33" s="287">
        <f t="shared" si="8"/>
        <v>16.953819746666667</v>
      </c>
      <c r="I33" s="288">
        <f t="shared" si="9"/>
        <v>1.2268621650344926</v>
      </c>
      <c r="J33" s="288"/>
      <c r="K33" s="288"/>
      <c r="L33" s="288"/>
      <c r="M33" s="288"/>
      <c r="N33" s="21"/>
      <c r="O33" s="28">
        <f t="shared" si="11"/>
        <v>0.13966666666666663</v>
      </c>
      <c r="P33" s="21"/>
      <c r="Q33" s="21"/>
      <c r="R33" s="28">
        <f t="shared" si="12"/>
        <v>0.17900000000000002</v>
      </c>
      <c r="S33" s="21"/>
      <c r="T33" s="21"/>
      <c r="U33" s="27">
        <f t="shared" si="10"/>
        <v>0.20800000000000002</v>
      </c>
      <c r="V33" s="21"/>
      <c r="W33" s="21"/>
      <c r="X33" s="95">
        <f t="shared" si="2"/>
        <v>0.16836680316666666</v>
      </c>
      <c r="Y33" s="93">
        <f t="shared" si="3"/>
        <v>0.16690924834786974</v>
      </c>
      <c r="Z33" s="96">
        <v>0.20899999999999999</v>
      </c>
      <c r="AA33" s="94">
        <f t="shared" si="4"/>
        <v>4.2090751652130248E-2</v>
      </c>
      <c r="AB33" s="95">
        <f t="shared" si="0"/>
        <v>4.0633196833333329E-2</v>
      </c>
      <c r="AC33">
        <v>70.082109609092825</v>
      </c>
      <c r="AD33">
        <v>26.958919888530474</v>
      </c>
      <c r="AE33">
        <v>1890.0542328744086</v>
      </c>
      <c r="AF33">
        <v>7877.666666666667</v>
      </c>
      <c r="AG33">
        <v>380530.58714297833</v>
      </c>
      <c r="AH33" s="5">
        <v>2.2000000000000002E-2</v>
      </c>
      <c r="AI33" s="81">
        <f t="shared" si="5"/>
        <v>5.8093657310416713E-2</v>
      </c>
      <c r="AJ33" s="81">
        <f t="shared" si="1"/>
        <v>0.102085073234228</v>
      </c>
      <c r="AK33" s="81">
        <f t="shared" si="1"/>
        <v>0.37153966687946149</v>
      </c>
      <c r="AL33" s="81">
        <f t="shared" si="1"/>
        <v>5.642690442960685E-2</v>
      </c>
      <c r="AM33" s="81">
        <f t="shared" si="7"/>
        <v>3.3685816467325713E-2</v>
      </c>
      <c r="AN33">
        <v>0.13966666666666663</v>
      </c>
      <c r="AO33">
        <v>0.17900000000000002</v>
      </c>
      <c r="AP33">
        <f t="shared" si="6"/>
        <v>4.1384385161530091E-2</v>
      </c>
    </row>
    <row r="34" spans="1:42">
      <c r="A34">
        <v>2018</v>
      </c>
      <c r="B34">
        <v>1</v>
      </c>
      <c r="C34" s="35">
        <f t="shared" si="14"/>
        <v>0.151</v>
      </c>
      <c r="D34" s="24">
        <v>15.1</v>
      </c>
      <c r="E34" s="27">
        <f>AVERAGEIFS('ІСЦ (Стрим Інфл)'!$J:$J,'ІСЦ (Стрим Інфл)'!$A:$A,'Дефлятор модель (CPI-PPI) (С-1)'!$A34,'ІСЦ (Стрим Інфл)'!$B:$B,'Дефлятор модель (CPI-PPI) (С-1)'!$B34)</f>
        <v>0.13766666666666663</v>
      </c>
      <c r="F34" s="27">
        <f>AVERAGEIFS('ІЦВ (Стрим Інфл)+'!$J:$J,'ІЦВ (Стрим Інфл)+'!$A:$A,'Дефлятор модель (CPI-PPI) (С-1)'!$A34,'ІЦВ (Стрим Інфл)+'!$B:$B,'Дефлятор модель (CPI-PPI) (С-1)'!$B34)</f>
        <v>0.19166666666666665</v>
      </c>
      <c r="G34" s="27"/>
      <c r="H34" s="287">
        <f t="shared" si="8"/>
        <v>17.409102626666666</v>
      </c>
      <c r="I34" s="288">
        <f t="shared" si="9"/>
        <v>0.8673623404844738</v>
      </c>
      <c r="J34" s="288"/>
      <c r="K34" s="288"/>
      <c r="L34" s="288"/>
      <c r="M34" s="288"/>
      <c r="N34" s="24"/>
      <c r="O34" s="28">
        <f>E34</f>
        <v>0.13766666666666663</v>
      </c>
      <c r="P34" s="24"/>
      <c r="Q34" s="24"/>
      <c r="R34" s="28">
        <f t="shared" si="12"/>
        <v>0.19166666666666665</v>
      </c>
      <c r="S34" s="24"/>
      <c r="T34" s="24"/>
      <c r="U34" s="27">
        <f t="shared" si="10"/>
        <v>0.151</v>
      </c>
      <c r="V34" s="24"/>
      <c r="W34" s="24"/>
      <c r="X34" s="95">
        <f t="shared" si="2"/>
        <v>0.17293655016666665</v>
      </c>
      <c r="Y34" s="93">
        <f t="shared" si="3"/>
        <v>0.16658986358800598</v>
      </c>
      <c r="Z34" s="96">
        <v>0.14899999999999999</v>
      </c>
      <c r="AA34" s="94">
        <f t="shared" si="4"/>
        <v>-1.7589863588005988E-2</v>
      </c>
      <c r="AB34" s="95">
        <f t="shared" si="0"/>
        <v>-2.3936550166666654E-2</v>
      </c>
      <c r="AC34">
        <v>74.787652596821502</v>
      </c>
      <c r="AD34">
        <v>27.315527582565281</v>
      </c>
      <c r="AE34">
        <v>2042.7517197910754</v>
      </c>
      <c r="AF34">
        <v>7973.8566666666666</v>
      </c>
      <c r="AG34">
        <v>397765.58172843495</v>
      </c>
      <c r="AH34" s="5">
        <v>3.1E-2</v>
      </c>
      <c r="AI34" s="81">
        <f t="shared" si="5"/>
        <v>3.9972501423487294E-2</v>
      </c>
      <c r="AJ34" s="81">
        <f t="shared" si="1"/>
        <v>4.9735276654015337E-2</v>
      </c>
      <c r="AK34" s="81">
        <f t="shared" si="1"/>
        <v>0.26108756392008003</v>
      </c>
      <c r="AL34" s="81">
        <f t="shared" si="1"/>
        <v>9.2032879258526989E-2</v>
      </c>
      <c r="AM34" s="81">
        <f t="shared" si="7"/>
        <v>5.9197749038338632E-2</v>
      </c>
      <c r="AN34">
        <v>0.13766666666666663</v>
      </c>
      <c r="AO34">
        <v>0.19166666666666665</v>
      </c>
      <c r="AP34">
        <f t="shared" si="6"/>
        <v>9.4436791003706944E-3</v>
      </c>
    </row>
    <row r="35" spans="1:42">
      <c r="A35">
        <v>2018</v>
      </c>
      <c r="B35">
        <v>2</v>
      </c>
      <c r="C35" s="35">
        <f t="shared" si="14"/>
        <v>0.17399999999999999</v>
      </c>
      <c r="D35" s="24">
        <v>17.399999999999999</v>
      </c>
      <c r="E35" s="27">
        <f>AVERAGEIFS('ІСЦ (Стрим Інфл)'!$J:$J,'ІСЦ (Стрим Інфл)'!$A:$A,'Дефлятор модель (CPI-PPI) (С-1)'!$A35,'ІСЦ (Стрим Інфл)'!$B:$B,'Дефлятор модель (CPI-PPI) (С-1)'!$B35)</f>
        <v>0.1156666666666667</v>
      </c>
      <c r="F35" s="27">
        <f>AVERAGEIFS('ІЦВ (Стрим Інфл)+'!$J:$J,'ІЦВ (Стрим Інфл)+'!$A:$A,'Дефлятор модель (CPI-PPI) (С-1)'!$A35,'ІЦВ (Стрим Інфл)+'!$B:$B,'Дефлятор модель (CPI-PPI) (С-1)'!$B35)</f>
        <v>0.16333333333333333</v>
      </c>
      <c r="G35" s="27"/>
      <c r="H35" s="287">
        <f t="shared" si="8"/>
        <v>15.413668656666667</v>
      </c>
      <c r="I35" s="288">
        <f t="shared" si="9"/>
        <v>1.1288681745779068</v>
      </c>
      <c r="J35" s="288"/>
      <c r="K35" s="288"/>
      <c r="L35" s="288"/>
      <c r="M35" s="288"/>
      <c r="N35" s="24"/>
      <c r="O35" s="28">
        <f t="shared" si="11"/>
        <v>0.1156666666666667</v>
      </c>
      <c r="P35" s="24"/>
      <c r="Q35" s="24"/>
      <c r="R35" s="28">
        <f t="shared" si="12"/>
        <v>0.16333333333333333</v>
      </c>
      <c r="S35" s="24"/>
      <c r="T35" s="24"/>
      <c r="U35" s="27">
        <f t="shared" si="10"/>
        <v>0.17399999999999999</v>
      </c>
      <c r="V35" s="24"/>
      <c r="W35" s="24"/>
      <c r="X35" s="95">
        <f t="shared" si="2"/>
        <v>0.15316831066666667</v>
      </c>
      <c r="Y35" s="93">
        <f t="shared" si="3"/>
        <v>0.15822315131559567</v>
      </c>
      <c r="Z35" s="96">
        <v>0.17</v>
      </c>
      <c r="AA35" s="94">
        <f t="shared" si="4"/>
        <v>1.1776848684404345E-2</v>
      </c>
      <c r="AB35" s="95">
        <f t="shared" si="0"/>
        <v>1.6831689333333344E-2</v>
      </c>
      <c r="AC35">
        <v>76.737400498457831</v>
      </c>
      <c r="AD35">
        <v>26.178381204659498</v>
      </c>
      <c r="AE35">
        <v>2008.8720994073053</v>
      </c>
      <c r="AF35">
        <v>8782.0533333333315</v>
      </c>
      <c r="AG35">
        <v>408689.05783451506</v>
      </c>
      <c r="AH35" s="5">
        <v>3.7999999999999999E-2</v>
      </c>
      <c r="AI35" s="81">
        <f t="shared" si="5"/>
        <v>0.19519419575464658</v>
      </c>
      <c r="AJ35" s="81">
        <f t="shared" si="1"/>
        <v>0.18202994878815359</v>
      </c>
      <c r="AK35" s="81">
        <f t="shared" si="1"/>
        <v>0.26305959058439976</v>
      </c>
      <c r="AL35" s="81">
        <f t="shared" si="1"/>
        <v>0.10861350957569971</v>
      </c>
      <c r="AM35" s="81">
        <f t="shared" si="7"/>
        <v>6.8028429263679913E-2</v>
      </c>
      <c r="AN35">
        <v>0.1156666666666667</v>
      </c>
      <c r="AO35">
        <v>0.16333333333333333</v>
      </c>
      <c r="AP35">
        <f t="shared" si="6"/>
        <v>-1.0760062256928382E-2</v>
      </c>
    </row>
    <row r="36" spans="1:42">
      <c r="A36">
        <v>2018</v>
      </c>
      <c r="B36">
        <v>3</v>
      </c>
      <c r="C36" s="35">
        <f t="shared" si="14"/>
        <v>0.16</v>
      </c>
      <c r="D36" s="24">
        <v>16</v>
      </c>
      <c r="E36" s="27">
        <f>AVERAGEIFS('ІСЦ (Стрим Інфл)'!$J:$J,'ІСЦ (Стрим Інфл)'!$A:$A,'Дефлятор модель (CPI-PPI) (С-1)'!$A36,'ІСЦ (Стрим Інфл)'!$B:$B,'Дефлятор модель (CPI-PPI) (С-1)'!$B36)</f>
        <v>8.9333333333333376E-2</v>
      </c>
      <c r="F36" s="27">
        <f>AVERAGEIFS('ІЦВ (Стрим Інфл)+'!$J:$J,'ІЦВ (Стрим Інфл)+'!$A:$A,'Дефлятор модель (CPI-PPI) (С-1)'!$A36,'ІЦВ (Стрим Інфл)+'!$B:$B,'Дефлятор модель (CPI-PPI) (С-1)'!$B36)</f>
        <v>0.18766666666666665</v>
      </c>
      <c r="G36" s="27"/>
      <c r="H36" s="287">
        <f t="shared" si="8"/>
        <v>15.458229543333333</v>
      </c>
      <c r="I36" s="288">
        <f t="shared" si="9"/>
        <v>1.0350473807590932</v>
      </c>
      <c r="J36" s="288"/>
      <c r="K36" s="288"/>
      <c r="L36" s="288"/>
      <c r="M36" s="288"/>
      <c r="N36" s="24"/>
      <c r="O36" s="28">
        <f t="shared" si="11"/>
        <v>8.9333333333333376E-2</v>
      </c>
      <c r="P36" s="24"/>
      <c r="Q36" s="24"/>
      <c r="R36" s="28">
        <f t="shared" si="12"/>
        <v>0.18766666666666665</v>
      </c>
      <c r="S36" s="24"/>
      <c r="T36" s="24"/>
      <c r="U36" s="27">
        <f t="shared" si="10"/>
        <v>0.16</v>
      </c>
      <c r="V36" s="24"/>
      <c r="W36" s="24"/>
      <c r="X36" s="95">
        <f t="shared" si="2"/>
        <v>0.15383667583333333</v>
      </c>
      <c r="Y36" s="93">
        <f t="shared" si="3"/>
        <v>0.15743973229038696</v>
      </c>
      <c r="Z36" s="96">
        <v>0.161</v>
      </c>
      <c r="AA36" s="94">
        <f t="shared" si="4"/>
        <v>3.5602677096130408E-3</v>
      </c>
      <c r="AB36" s="95">
        <f t="shared" si="0"/>
        <v>7.1633241666666791E-3</v>
      </c>
      <c r="AC36">
        <v>77.123936702931786</v>
      </c>
      <c r="AD36">
        <v>27.358054294982086</v>
      </c>
      <c r="AE36">
        <v>2110.7140419722359</v>
      </c>
      <c r="AF36">
        <v>9063.1866666666665</v>
      </c>
      <c r="AG36">
        <v>421546.78408538835</v>
      </c>
      <c r="AH36" s="5">
        <v>2.8000000000000001E-2</v>
      </c>
      <c r="AI36" s="81">
        <f t="shared" si="5"/>
        <v>0.13634218259564213</v>
      </c>
      <c r="AJ36" s="81">
        <f t="shared" si="1"/>
        <v>0.20051644773295929</v>
      </c>
      <c r="AK36" s="81">
        <f t="shared" si="1"/>
        <v>0.24699871583195732</v>
      </c>
      <c r="AL36" s="81">
        <f t="shared" si="1"/>
        <v>0.11310131741274287</v>
      </c>
      <c r="AM36" s="81">
        <f t="shared" si="7"/>
        <v>8.2783382697220631E-2</v>
      </c>
      <c r="AN36">
        <v>8.9333333333333376E-2</v>
      </c>
      <c r="AO36">
        <v>0.18766666666666665</v>
      </c>
      <c r="AP36">
        <f t="shared" si="6"/>
        <v>5.6116200218016887E-2</v>
      </c>
    </row>
    <row r="37" spans="1:42">
      <c r="A37">
        <v>2018</v>
      </c>
      <c r="B37">
        <v>4</v>
      </c>
      <c r="C37" s="35">
        <f t="shared" si="14"/>
        <v>0.13500000000000001</v>
      </c>
      <c r="D37" s="24">
        <v>13.5</v>
      </c>
      <c r="E37" s="27">
        <f>AVERAGEIFS('ІСЦ (Стрим Інфл)'!$J:$J,'ІСЦ (Стрим Інфл)'!$A:$A,'Дефлятор модель (CPI-PPI) (С-1)'!$A37,'ІСЦ (Стрим Інфл)'!$B:$B,'Дефлятор модель (CPI-PPI) (С-1)'!$B37)</f>
        <v>9.7666666666666679E-2</v>
      </c>
      <c r="F37" s="27">
        <f>AVERAGEIFS('ІЦВ (Стрим Інфл)+'!$J:$J,'ІЦВ (Стрим Інфл)+'!$A:$A,'Дефлятор модель (CPI-PPI) (С-1)'!$A37,'ІЦВ (Стрим Інфл)+'!$B:$B,'Дефлятор модель (CPI-PPI) (С-1)'!$B37)</f>
        <v>0.15766666666666665</v>
      </c>
      <c r="G37" s="27"/>
      <c r="H37" s="287">
        <f t="shared" si="8"/>
        <v>14.512660126666667</v>
      </c>
      <c r="I37" s="288">
        <f t="shared" si="9"/>
        <v>0.93022229433968984</v>
      </c>
      <c r="J37" s="288"/>
      <c r="K37" s="288"/>
      <c r="L37" s="288"/>
      <c r="M37" s="288"/>
      <c r="N37" s="24"/>
      <c r="O37" s="28">
        <f t="shared" si="11"/>
        <v>9.7666666666666679E-2</v>
      </c>
      <c r="P37" s="24"/>
      <c r="Q37" s="24"/>
      <c r="R37" s="28">
        <f t="shared" si="12"/>
        <v>0.15766666666666665</v>
      </c>
      <c r="S37" s="24"/>
      <c r="T37" s="24"/>
      <c r="U37" s="27">
        <f t="shared" si="10"/>
        <v>0.13500000000000001</v>
      </c>
      <c r="V37" s="24"/>
      <c r="W37" s="24"/>
      <c r="X37" s="95">
        <f t="shared" si="2"/>
        <v>0.14431048916666667</v>
      </c>
      <c r="Y37" s="93">
        <f t="shared" si="3"/>
        <v>0.14576187268316251</v>
      </c>
      <c r="Z37" s="96">
        <v>0.13500000000000001</v>
      </c>
      <c r="AA37" s="94">
        <f t="shared" si="4"/>
        <v>-1.0761872683162504E-2</v>
      </c>
      <c r="AB37" s="95">
        <f t="shared" si="0"/>
        <v>-9.3104891666666578E-3</v>
      </c>
      <c r="AC37">
        <v>76.412271631495784</v>
      </c>
      <c r="AD37">
        <v>27.950006420788537</v>
      </c>
      <c r="AE37">
        <v>2136.0680138292578</v>
      </c>
      <c r="AF37">
        <v>9650.6666666666661</v>
      </c>
      <c r="AG37">
        <v>429207.60610917833</v>
      </c>
      <c r="AH37" s="5">
        <v>3.3000000000000002E-2</v>
      </c>
      <c r="AI37" s="81">
        <f t="shared" si="5"/>
        <v>9.0324935389525685E-2</v>
      </c>
      <c r="AJ37" s="81">
        <f t="shared" si="1"/>
        <v>0.13016228670894248</v>
      </c>
      <c r="AK37" s="81">
        <f t="shared" si="1"/>
        <v>0.22506664409935251</v>
      </c>
      <c r="AL37" s="81">
        <f t="shared" si="1"/>
        <v>0.12791880760930896</v>
      </c>
      <c r="AM37" s="81">
        <f t="shared" si="7"/>
        <v>9.1886551412690309E-2</v>
      </c>
      <c r="AN37">
        <v>9.7666666666666679E-2</v>
      </c>
      <c r="AO37">
        <v>0.15766666666666665</v>
      </c>
      <c r="AP37">
        <f t="shared" si="6"/>
        <v>3.6762842738358836E-2</v>
      </c>
    </row>
    <row r="38" spans="1:42">
      <c r="A38">
        <v>2019</v>
      </c>
      <c r="B38">
        <v>1</v>
      </c>
      <c r="C38" s="35">
        <f t="shared" si="14"/>
        <v>0.11700000000000001</v>
      </c>
      <c r="D38" s="6">
        <v>11.700000000000001</v>
      </c>
      <c r="E38" s="27">
        <f>AVERAGEIFS('ІСЦ (Стрим Інфл)'!$J:$J,'ІСЦ (Стрим Інфл)'!$A:$A,'Дефлятор модель (CPI-PPI) (С-1)'!$A38,'ІСЦ (Стрим Інфл)'!$B:$B,'Дефлятор модель (CPI-PPI) (С-1)'!$B38)</f>
        <v>8.8666666666666671E-2</v>
      </c>
      <c r="F38" s="27">
        <f>AVERAGEIFS('ІЦВ (Стрим Інфл)+'!$J:$J,'ІЦВ (Стрим Інфл)+'!$A:$A,'Дефлятор модель (CPI-PPI) (С-1)'!$A38,'ІЦВ (Стрим Інфл)+'!$B:$B,'Дефлятор модель (CPI-PPI) (С-1)'!$B38)</f>
        <v>9.8333333333333328E-2</v>
      </c>
      <c r="G38" s="27"/>
      <c r="H38" s="287">
        <f t="shared" si="8"/>
        <v>11.702114136666667</v>
      </c>
      <c r="I38" s="288">
        <f t="shared" si="9"/>
        <v>0.99981933720334837</v>
      </c>
      <c r="J38" s="288"/>
      <c r="K38" s="288"/>
      <c r="L38" s="288"/>
      <c r="M38" s="288"/>
      <c r="N38" s="24"/>
      <c r="O38" s="28">
        <f t="shared" si="11"/>
        <v>8.8666666666666671E-2</v>
      </c>
      <c r="P38" s="24"/>
      <c r="Q38" s="24"/>
      <c r="R38" s="28">
        <f t="shared" si="12"/>
        <v>9.8333333333333328E-2</v>
      </c>
      <c r="S38" s="24"/>
      <c r="T38" s="24"/>
      <c r="U38" s="27">
        <f t="shared" si="10"/>
        <v>0.11700000000000001</v>
      </c>
      <c r="V38" s="24"/>
      <c r="W38" s="24"/>
      <c r="X38" s="95">
        <f t="shared" si="2"/>
        <v>0.11628116116666667</v>
      </c>
      <c r="Y38" s="102">
        <f>0.383829*AN38+0.3291765*AO38+0.0710852*AJ38+0.0471218</f>
        <v>0.11530173384809253</v>
      </c>
      <c r="Z38" s="96">
        <v>0.11700000000000001</v>
      </c>
      <c r="AA38" s="94">
        <f t="shared" si="4"/>
        <v>1.6982661519074765E-3</v>
      </c>
      <c r="AB38" s="95">
        <f t="shared" si="0"/>
        <v>7.1883883333333232E-4</v>
      </c>
      <c r="AC38">
        <v>76.268103371401381</v>
      </c>
      <c r="AD38">
        <v>27.622351348310289</v>
      </c>
      <c r="AE38">
        <v>2093.8476214658363</v>
      </c>
      <c r="AF38">
        <v>9629.6666666666661</v>
      </c>
      <c r="AG38">
        <v>427303.32920686173</v>
      </c>
      <c r="AH38" s="5">
        <v>2.5000000000000005E-2</v>
      </c>
      <c r="AI38" s="81">
        <f t="shared" si="5"/>
        <v>1.9795390324134798E-2</v>
      </c>
      <c r="AJ38" s="81">
        <f t="shared" si="1"/>
        <v>2.5013270668051035E-2</v>
      </c>
      <c r="AK38" s="81">
        <f t="shared" si="1"/>
        <v>0.20765484874111517</v>
      </c>
      <c r="AL38" s="81">
        <f t="shared" si="1"/>
        <v>7.4259183889351599E-2</v>
      </c>
      <c r="AM38" s="81">
        <f t="shared" si="7"/>
        <v>4.8057740379855218E-2</v>
      </c>
      <c r="AN38">
        <v>8.8666666666666671E-2</v>
      </c>
      <c r="AO38">
        <v>9.8333333333333328E-2</v>
      </c>
      <c r="AP38">
        <f t="shared" si="6"/>
        <v>1.1232576958932539E-2</v>
      </c>
    </row>
    <row r="39" spans="1:42">
      <c r="A39">
        <v>2019</v>
      </c>
      <c r="B39">
        <v>2</v>
      </c>
      <c r="C39" s="35">
        <f t="shared" si="14"/>
        <v>9.4E-2</v>
      </c>
      <c r="D39" s="6">
        <v>9.4</v>
      </c>
      <c r="E39" s="27">
        <f>AVERAGEIFS('ІСЦ (Стрим Інфл)'!$J:$J,'ІСЦ (Стрим Інфл)'!$A:$A,'Дефлятор модель (CPI-PPI) (С-1)'!$A39,'ІСЦ (Стрим Інфл)'!$B:$B,'Дефлятор модель (CPI-PPI) (С-1)'!$B39)</f>
        <v>9.1333333333333336E-2</v>
      </c>
      <c r="F39" s="27">
        <f>AVERAGEIFS('ІЦВ (Стрим Інфл)+'!$J:$J,'ІЦВ (Стрим Інфл)+'!$A:$A,'Дефлятор модель (CPI-PPI) (С-1)'!$A39,'ІЦВ (Стрим Інфл)+'!$B:$B,'Дефлятор модель (CPI-PPI) (С-1)'!$B39)</f>
        <v>6.7666666666666667E-2</v>
      </c>
      <c r="G39" s="27"/>
      <c r="H39" s="287">
        <f t="shared" si="8"/>
        <v>10.519563563333334</v>
      </c>
      <c r="I39" s="288">
        <f t="shared" si="9"/>
        <v>0.89357319278571123</v>
      </c>
      <c r="J39" s="288"/>
      <c r="K39" s="288"/>
      <c r="L39" s="288"/>
      <c r="M39" s="288"/>
      <c r="N39" s="24"/>
      <c r="O39" s="28">
        <f>E39</f>
        <v>9.1333333333333336E-2</v>
      </c>
      <c r="P39" s="29"/>
      <c r="Q39" s="24"/>
      <c r="R39" s="28">
        <f t="shared" si="12"/>
        <v>6.7666666666666667E-2</v>
      </c>
      <c r="S39" s="24"/>
      <c r="T39" s="24"/>
      <c r="U39" s="27">
        <f t="shared" si="10"/>
        <v>9.4E-2</v>
      </c>
      <c r="V39" s="24"/>
      <c r="W39" s="24"/>
      <c r="X39" s="95">
        <f t="shared" si="2"/>
        <v>0.10443309783333332</v>
      </c>
      <c r="Y39" s="102">
        <f t="shared" si="3"/>
        <v>0.1076914246554225</v>
      </c>
      <c r="Z39" s="96">
        <v>9.4E-2</v>
      </c>
      <c r="AA39" s="94">
        <f t="shared" si="4"/>
        <v>-1.3691424655422502E-2</v>
      </c>
      <c r="AB39" s="95">
        <f t="shared" si="0"/>
        <v>-1.0433097833333321E-2</v>
      </c>
      <c r="AC39">
        <v>79.250279257575428</v>
      </c>
      <c r="AD39">
        <v>26.563484547670253</v>
      </c>
      <c r="AE39">
        <v>2100.4054810472649</v>
      </c>
      <c r="AF39">
        <v>10430.333333333334</v>
      </c>
      <c r="AG39">
        <v>433363.98631208338</v>
      </c>
      <c r="AH39" s="5">
        <v>4.6000000000000006E-2</v>
      </c>
      <c r="AI39" s="81">
        <f t="shared" si="5"/>
        <v>3.2746467078567543E-2</v>
      </c>
      <c r="AJ39" s="81">
        <f t="shared" si="1"/>
        <v>4.5564564148690812E-2</v>
      </c>
      <c r="AK39" s="81">
        <f t="shared" si="1"/>
        <v>0.18768731382486137</v>
      </c>
      <c r="AL39" s="81">
        <f t="shared" si="1"/>
        <v>6.0375799167002864E-2</v>
      </c>
      <c r="AM39" s="81">
        <f t="shared" si="7"/>
        <v>1.3743593849907088E-2</v>
      </c>
      <c r="AN39">
        <v>9.1333333333333336E-2</v>
      </c>
      <c r="AO39">
        <v>6.7666666666666667E-2</v>
      </c>
      <c r="AP39">
        <f t="shared" si="6"/>
        <v>1.4710739369255155E-2</v>
      </c>
    </row>
    <row r="40" spans="1:42">
      <c r="A40">
        <v>2019</v>
      </c>
      <c r="B40">
        <v>3</v>
      </c>
      <c r="C40" s="35">
        <f t="shared" si="14"/>
        <v>6.8000000000000005E-2</v>
      </c>
      <c r="D40" s="6">
        <v>6.8000000000000007</v>
      </c>
      <c r="E40" s="27">
        <f>AVERAGEIFS('ІСЦ (Стрим Інфл)'!$J:$J,'ІСЦ (Стрим Інфл)'!$A:$A,'Дефлятор модель (CPI-PPI) (С-1)'!$A40,'ІСЦ (Стрим Інфл)'!$B:$B,'Дефлятор модель (CPI-PPI) (С-1)'!$B40)</f>
        <v>8.4666666666666668E-2</v>
      </c>
      <c r="F40" s="27">
        <f>AVERAGEIFS('ІЦВ (Стрим Інфл)+'!$J:$J,'ІЦВ (Стрим Інфл)+'!$A:$A,'Дефлятор модель (CPI-PPI) (С-1)'!$A40,'ІЦВ (Стрим Інфл)+'!$B:$B,'Дефлятор модель (CPI-PPI) (С-1)'!$B40)</f>
        <v>4.3000000000000003E-2</v>
      </c>
      <c r="G40" s="27"/>
      <c r="H40" s="287">
        <f t="shared" si="8"/>
        <v>9.2431807966666675</v>
      </c>
      <c r="I40" s="288">
        <f t="shared" si="9"/>
        <v>0.73567748479530537</v>
      </c>
      <c r="J40" s="288"/>
      <c r="K40" s="288"/>
      <c r="L40" s="288"/>
      <c r="M40" s="288"/>
      <c r="O40" s="28">
        <f>E40</f>
        <v>8.4666666666666668E-2</v>
      </c>
      <c r="P40" s="29">
        <f t="shared" ref="P40:P45" si="15">E40</f>
        <v>8.4666666666666668E-2</v>
      </c>
      <c r="R40" s="28">
        <f t="shared" si="12"/>
        <v>4.3000000000000003E-2</v>
      </c>
      <c r="S40" s="29">
        <f t="shared" ref="S40:S45" si="16">F40</f>
        <v>4.3000000000000003E-2</v>
      </c>
      <c r="U40" s="27">
        <f t="shared" si="10"/>
        <v>6.8000000000000005E-2</v>
      </c>
      <c r="V40" s="29">
        <f>U40</f>
        <v>6.8000000000000005E-2</v>
      </c>
      <c r="X40" s="95">
        <f t="shared" si="2"/>
        <v>9.1725664166666665E-2</v>
      </c>
      <c r="Y40" s="102">
        <f t="shared" si="3"/>
        <v>8.8158246473903967E-2</v>
      </c>
      <c r="Z40" s="96">
        <v>6.8000000000000005E-2</v>
      </c>
      <c r="AA40" s="94">
        <f t="shared" si="4"/>
        <v>-2.0158246473903962E-2</v>
      </c>
      <c r="AB40" s="95">
        <f t="shared" si="0"/>
        <v>-2.372566416666666E-2</v>
      </c>
      <c r="AC40">
        <v>76.970534172677233</v>
      </c>
      <c r="AD40">
        <v>25.256023055555556</v>
      </c>
      <c r="AE40">
        <f t="shared" ref="AE40:AE45" si="17">AC40*AD40</f>
        <v>1943.9695856635631</v>
      </c>
      <c r="AF40">
        <v>10731.686666666666</v>
      </c>
      <c r="AG40">
        <v>441708.19055919669</v>
      </c>
      <c r="AH40" s="5">
        <v>4.1000000000000002E-2</v>
      </c>
      <c r="AI40" s="81">
        <f t="shared" si="5"/>
        <v>-1.9890391597284784E-3</v>
      </c>
      <c r="AJ40" s="81">
        <f t="shared" si="1"/>
        <v>-7.899907471732559E-2</v>
      </c>
      <c r="AK40" s="81">
        <f t="shared" si="1"/>
        <v>0.18409639582251414</v>
      </c>
      <c r="AL40" s="81">
        <f t="shared" si="1"/>
        <v>4.7827209778273261E-2</v>
      </c>
      <c r="AM40" s="81">
        <f t="shared" si="7"/>
        <v>6.5583187111175612E-3</v>
      </c>
      <c r="AN40">
        <v>8.4666666666666668E-2</v>
      </c>
      <c r="AO40">
        <v>4.3000000000000003E-2</v>
      </c>
      <c r="AP40">
        <f t="shared" si="6"/>
        <v>-7.6834091224538437E-2</v>
      </c>
    </row>
    <row r="41" spans="1:42">
      <c r="A41">
        <v>2019</v>
      </c>
      <c r="B41">
        <v>4</v>
      </c>
      <c r="C41" s="35">
        <f t="shared" si="14"/>
        <v>4.8000000000000001E-2</v>
      </c>
      <c r="D41" s="6">
        <v>4.8</v>
      </c>
      <c r="E41" s="27">
        <f>AVERAGEIFS('ІСЦ (Стрим Інфл)'!$J:$J,'ІСЦ (Стрим Інфл)'!$A:$A,'Дефлятор модель (CPI-PPI) (С-1)'!$A41,'ІСЦ (Стрим Інфл)'!$B:$B,'Дефлятор модель (CPI-PPI) (С-1)'!$B41)</f>
        <v>5.2333333333333322E-2</v>
      </c>
      <c r="F41" s="27">
        <f>AVERAGEIFS('ІЦВ (Стрим Інфл)+'!$J:$J,'ІЦВ (Стрим Інфл)+'!$A:$A,'Дефлятор модель (CPI-PPI) (С-1)'!$A41,'ІЦВ (Стрим Інфл)+'!$B:$B,'Дефлятор модель (CPI-PPI) (С-1)'!$B41)</f>
        <v>-3.9E-2</v>
      </c>
      <c r="G41" s="27"/>
      <c r="H41" s="287">
        <f t="shared" si="8"/>
        <v>4.6246931733333323</v>
      </c>
      <c r="I41" s="288">
        <f t="shared" si="9"/>
        <v>1.0379066935029362</v>
      </c>
      <c r="J41" s="288"/>
      <c r="K41" s="288"/>
      <c r="L41" s="288"/>
      <c r="M41" s="288"/>
      <c r="P41" s="29">
        <f t="shared" si="15"/>
        <v>5.2333333333333322E-2</v>
      </c>
      <c r="S41" s="29">
        <f t="shared" si="16"/>
        <v>-3.9E-2</v>
      </c>
      <c r="V41" s="29">
        <f>D41/100</f>
        <v>4.8000000000000001E-2</v>
      </c>
      <c r="X41" s="110">
        <f>0.4177065*AO41+0.360601*AN41+0.0432334</f>
        <v>4.5814298833333329E-2</v>
      </c>
      <c r="Y41" s="111">
        <f>0.383829*AN41+0.3291765*AO41+0.0710852*AJ41+0.0471218</f>
        <v>4.4875014288454154E-2</v>
      </c>
      <c r="Z41" s="96">
        <v>4.8000000000000001E-2</v>
      </c>
      <c r="AA41" s="94">
        <f t="shared" si="4"/>
        <v>3.1249857115458468E-3</v>
      </c>
      <c r="AB41" s="95">
        <f t="shared" si="0"/>
        <v>2.1857011666666717E-3</v>
      </c>
      <c r="AC41">
        <v>76.281494313574967</v>
      </c>
      <c r="AD41">
        <v>24.261720092831535</v>
      </c>
      <c r="AE41">
        <f t="shared" si="17"/>
        <v>1850.7202632988763</v>
      </c>
      <c r="AF41">
        <v>11223.3633333333</v>
      </c>
      <c r="AG41">
        <v>449271.20099622826</v>
      </c>
      <c r="AH41" s="5">
        <v>1.4999999999999999E-2</v>
      </c>
      <c r="AI41" s="81">
        <f>AC41/AC37-1</f>
        <v>-1.7114700967340024E-3</v>
      </c>
      <c r="AJ41" s="81">
        <f t="shared" si="1"/>
        <v>-0.13358551726021506</v>
      </c>
      <c r="AK41" s="81">
        <f t="shared" si="1"/>
        <v>0.16296248963801818</v>
      </c>
      <c r="AL41" s="81">
        <f t="shared" si="1"/>
        <v>4.6745664805265097E-2</v>
      </c>
      <c r="AM41" s="81">
        <f t="shared" si="7"/>
        <v>3.127651704952239E-2</v>
      </c>
      <c r="AN41">
        <v>5.2333333333333322E-2</v>
      </c>
      <c r="AO41">
        <v>-3.9E-2</v>
      </c>
      <c r="AP41">
        <f>AD41/AD37-1</f>
        <v>-0.1319601245319838</v>
      </c>
    </row>
    <row r="42" spans="1:42">
      <c r="A42">
        <v>2020</v>
      </c>
      <c r="B42">
        <v>1</v>
      </c>
      <c r="C42" s="35">
        <f t="shared" si="14"/>
        <v>5.2999999999999999E-2</v>
      </c>
      <c r="D42" s="6">
        <v>5.3</v>
      </c>
      <c r="E42" s="97">
        <f>AVERAGEIFS('ІСЦ (Стрим Інфл)'!$J:$J,'ІСЦ (Стрим Інфл)'!$A:$A,'Дефлятор модель (CPI-PPI) (С-1)'!$A42,'ІСЦ (Стрим Інфл)'!$B:$B,'Дефлятор модель (CPI-PPI) (С-1)'!$B42)</f>
        <v>2.6333333333333334E-2</v>
      </c>
      <c r="F42" s="97">
        <f>AVERAGEIFS('ІЦВ (Стрим Інфл)+'!$J:$J,'ІЦВ (Стрим Інфл)+'!$A:$A,'Дефлятор модель (CPI-PPI) (С-1)'!$A42,'ІЦВ (Стрим Інфл)+'!$B:$B,'Дефлятор модель (CPI-PPI) (С-1)'!$B42)</f>
        <v>-5.6333333333333339E-2</v>
      </c>
      <c r="G42" s="97">
        <f>D42/100</f>
        <v>5.2999999999999999E-2</v>
      </c>
      <c r="H42" s="287">
        <f t="shared" si="8"/>
        <v>2.9411123133333326</v>
      </c>
      <c r="I42" s="288">
        <f t="shared" si="9"/>
        <v>1.8020393087243933</v>
      </c>
      <c r="J42" s="288"/>
      <c r="K42" s="288"/>
      <c r="L42" s="288"/>
      <c r="M42" s="288"/>
      <c r="P42" s="29">
        <f t="shared" si="15"/>
        <v>2.6333333333333334E-2</v>
      </c>
      <c r="S42" s="29">
        <f t="shared" si="16"/>
        <v>-5.6333333333333339E-2</v>
      </c>
      <c r="V42" s="29">
        <f>D42/100</f>
        <v>5.2999999999999999E-2</v>
      </c>
      <c r="X42" s="95">
        <f>0.4177065*AO42+0.360601*AN42+0.0432334</f>
        <v>3.8824455151381429E-2</v>
      </c>
      <c r="Y42" s="102">
        <f>0.383829*AN42+0.3291765*AO42+0.0710852*AJ42+0.0471218</f>
        <v>4.127109616067344E-2</v>
      </c>
      <c r="Z42" s="126">
        <v>5.0999999999999997E-2</v>
      </c>
      <c r="AA42" s="94">
        <f>Z42-Y42</f>
        <v>9.7289038393265567E-3</v>
      </c>
      <c r="AB42" s="127">
        <f>Z42-X42</f>
        <v>1.2175544848618568E-2</v>
      </c>
      <c r="AC42" s="36">
        <f>AVERAGEIFS('ІЦВ (Стрим Інфл)+'!AF:AF,'ІЦВ (Стрим Інфл)+'!$B:$B,'Дефлятор модель (CPI-PPI) (С-1)'!$B42,'ІЦВ (Стрим Інфл)+'!$A:$A,'Дефлятор модель (CPI-PPI) (С-1)'!$A42)</f>
        <v>74.600465911743228</v>
      </c>
      <c r="AD42" s="36">
        <f>AVERAGEIFS('ІЦВ (Стрим Інфл)+'!$AH:$AH,'ІЦВ (Стрим Інфл)+'!$B:$B,'Дефлятор модель (CPI-PPI) (С-1)'!$B42,'ІЦВ (Стрим Інфл)+'!$A:$A,'Дефлятор модель (CPI-PPI) (С-1)'!$A42)</f>
        <v>25.042723099740456</v>
      </c>
      <c r="AE42">
        <f t="shared" si="17"/>
        <v>1868.1988109394126</v>
      </c>
      <c r="AF42" s="36">
        <f>AF41*$AF$46</f>
        <v>11412.678374819001</v>
      </c>
      <c r="AG42" s="36">
        <f>AVERAGEIFS('ІЦВ (Стрим Інфл)+'!$AK:$AK,'ІЦВ (Стрим Інфл)+'!$B:$B,'Дефлятор модель (CPI-PPI) (С-1)'!$B42,'ІЦВ (Стрим Інфл)+'!$A:$A,'Дефлятор модель (CPI-PPI) (С-1)'!$A42)</f>
        <v>471654.81047587999</v>
      </c>
      <c r="AH42" s="109">
        <f>AVERAGEIFS('ІЦВ (Стрим Інфл)+'!AO:AO,'ІЦВ (Стрим Інфл)+'!$B:$B,'Дефлятор модель (CPI-PPI) (С-1)'!$B42,'ІЦВ (Стрим Інфл)+'!$A:$A,'Дефлятор модель (CPI-PPI) (С-1)'!$A42)</f>
        <v>-1.4000000000000004E-2</v>
      </c>
      <c r="AI42" s="81">
        <f>AC42/AC38-1</f>
        <v>-2.1865463882552394E-2</v>
      </c>
      <c r="AJ42" s="81">
        <f t="shared" si="1"/>
        <v>-0.10776754154079948</v>
      </c>
      <c r="AK42" s="81">
        <f t="shared" si="1"/>
        <v>0.18515819600737315</v>
      </c>
      <c r="AL42" s="81">
        <f t="shared" si="1"/>
        <v>0.10379390526009047</v>
      </c>
      <c r="AM42" s="81">
        <f>(AL42+1)/(AH42+1)-1</f>
        <v>0.11946643535506141</v>
      </c>
      <c r="AN42" s="36">
        <f>AVERAGEIFS('ІСЦ (Стрим Інфл)'!$K:$K,'ІСЦ (Стрим Інфл)'!$B:$B,'Дефлятор модель (CPI-PPI) (С-1)'!$B42,'ІСЦ (Стрим Інфл)'!$A:$A,'Дефлятор модель (CPI-PPI) (С-1)'!$A42)</f>
        <v>5.3027736061135256E-2</v>
      </c>
      <c r="AO42" s="36">
        <f>AVERAGEIFS('ІЦВ (Стрим Інфл)+'!$J:$J,'ІЦВ (Стрим Інфл)+'!$B:$B,'Дефлятор модель (CPI-PPI) (С-1)'!$B42,'ІЦВ (Стрим Інфл)+'!$A:$A,'Дефлятор модель (CPI-PPI) (С-1)'!$A42)</f>
        <v>-5.6333333333333339E-2</v>
      </c>
      <c r="AP42">
        <f>AD42/AD38-1</f>
        <v>-9.3389162133282078E-2</v>
      </c>
    </row>
    <row r="43" spans="1:42">
      <c r="A43">
        <v>2020</v>
      </c>
      <c r="B43">
        <v>2</v>
      </c>
      <c r="C43" s="35">
        <f t="shared" si="14"/>
        <v>5.5999999999999994E-2</v>
      </c>
      <c r="D43" s="6">
        <v>5.6</v>
      </c>
      <c r="E43" s="97">
        <f>AVERAGEIFS('ІСЦ (Стрим Інфл)'!$J:$J,'ІСЦ (Стрим Інфл)'!$A:$A,'Дефлятор модель (CPI-PPI) (С-1)'!$A43,'ІСЦ (Стрим Інфл)'!$B:$B,'Дефлятор модель (CPI-PPI) (С-1)'!$B43)</f>
        <v>2.066666666666667E-2</v>
      </c>
      <c r="F43" s="97">
        <f>AVERAGEIFS('ІЦВ (Стрим Інфл)+'!$J:$J,'ІЦВ (Стрим Інфл)+'!$A:$A,'Дефлятор модель (CPI-PPI) (С-1)'!$A43,'ІЦВ (Стрим Інфл)+'!$B:$B,'Дефлятор модель (CPI-PPI) (С-1)'!$B43)</f>
        <v>-4.099999999999996E-2</v>
      </c>
      <c r="G43" s="97">
        <f t="shared" ref="G43:G49" si="18">D43/100</f>
        <v>5.5999999999999994E-2</v>
      </c>
      <c r="H43" s="287">
        <f t="shared" si="8"/>
        <v>3.3724615566666678</v>
      </c>
      <c r="I43" s="288">
        <f t="shared" si="9"/>
        <v>1.6605081795313406</v>
      </c>
      <c r="J43" s="288"/>
      <c r="K43" s="288"/>
      <c r="L43" s="288"/>
      <c r="M43" s="288"/>
      <c r="P43" s="29">
        <f t="shared" si="15"/>
        <v>2.066666666666667E-2</v>
      </c>
      <c r="S43" s="29">
        <f t="shared" si="16"/>
        <v>-4.099999999999996E-2</v>
      </c>
      <c r="V43" s="29">
        <f>D43/100</f>
        <v>5.5999999999999994E-2</v>
      </c>
      <c r="X43" s="95">
        <f>0.4177065*AO43+0.360601*AN43+0.0432334</f>
        <v>2.6971621528851027E-2</v>
      </c>
      <c r="Y43" s="102">
        <f>0.383829*AN43+0.3291765*AO43+0.0710852*AJ43+0.0471218</f>
        <v>1.9335194728161555E-2</v>
      </c>
      <c r="AC43" s="36">
        <f>AVERAGEIFS('ІЦВ (Стрим Інфл)+'!AF:AF,'ІЦВ (Стрим Інфл)+'!$B:$B,'Дефлятор модель (CPI-PPI) (С-1)'!$B43,'ІЦВ (Стрим Інфл)+'!$A:$A,'Дефлятор модель (CPI-PPI) (С-1)'!$A43)</f>
        <v>61.339438279764686</v>
      </c>
      <c r="AD43" s="36">
        <f>AVERAGEIFS('ІЦВ (Стрим Інфл)+'!$AH:$AH,'ІЦВ (Стрим Інфл)+'!$B:$B,'Дефлятор модель (CPI-PPI) (С-1)'!$B43,'ІЦВ (Стрим Інфл)+'!$A:$A,'Дефлятор модель (CPI-PPI) (С-1)'!$A43)</f>
        <v>26.915441899641568</v>
      </c>
      <c r="AE43">
        <f t="shared" si="17"/>
        <v>1650.9780871756564</v>
      </c>
      <c r="AF43" s="36">
        <f>AF42*$AF$46</f>
        <v>11605.186771439727</v>
      </c>
      <c r="AG43" s="36">
        <f>AVERAGEIFS('ІЦВ (Стрим Інфл)+'!$AK:$AK,'ІЦВ (Стрим Інфл)+'!$B:$B,'Дефлятор модель (CPI-PPI) (С-1)'!$B43,'ІЦВ (Стрим Інфл)+'!$A:$A,'Дефлятор модель (CPI-PPI) (С-1)'!$A43)</f>
        <v>521439.22556072334</v>
      </c>
      <c r="AH43" s="109">
        <f>AVERAGEIFS('ІЦВ (Стрим Інфл)+'!AO:AO,'ІЦВ (Стрим Інфл)+'!$B:$B,'Дефлятор модель (CPI-PPI) (С-1)'!$B43,'ІЦВ (Стрим Інфл)+'!$A:$A,'Дефлятор модель (CPI-PPI) (С-1)'!$A43)</f>
        <v>-0.11375586206871902</v>
      </c>
      <c r="AI43" s="81">
        <f>AC43/AC39-1</f>
        <v>-0.22600350617816489</v>
      </c>
      <c r="AJ43" s="81">
        <f t="shared" si="1"/>
        <v>-0.21397172970979084</v>
      </c>
      <c r="AK43" s="81">
        <f t="shared" si="1"/>
        <v>0.11263814880697898</v>
      </c>
      <c r="AL43" s="81">
        <f t="shared" si="1"/>
        <v>0.20323617566415253</v>
      </c>
      <c r="AM43" s="81">
        <f>(AL43+1)/(AH43+1)-1</f>
        <v>0.35768026457451274</v>
      </c>
      <c r="AN43" s="36">
        <f>AVERAGEIFS('ІСЦ (Стрим Інфл)'!$K:$K,'ІСЦ (Стрим Інфл)'!$B:$B,'Дефлятор модель (CPI-PPI) (С-1)'!$B43,'ІСЦ (Стрим Інфл)'!$A:$A,'Дефлятор модель (CPI-PPI) (С-1)'!$A43)</f>
        <v>2.3965214429549804E-3</v>
      </c>
      <c r="AO43" s="36">
        <f>AVERAGEIFS('ІЦВ (Стрим Інфл)+'!$J:$J,'ІЦВ (Стрим Інфл)+'!$B:$B,'Дефлятор модель (CPI-PPI) (С-1)'!$B43,'ІЦВ (Стрим Інфл)+'!$A:$A,'Дефлятор модель (CPI-PPI) (С-1)'!$A43)</f>
        <v>-4.099999999999996E-2</v>
      </c>
      <c r="AP43">
        <f>AD43/AD39-1</f>
        <v>1.3249668029798656E-2</v>
      </c>
    </row>
    <row r="44" spans="1:42">
      <c r="A44">
        <v>2020</v>
      </c>
      <c r="B44">
        <v>3</v>
      </c>
      <c r="C44" s="35">
        <f t="shared" si="14"/>
        <v>8.4000000000000005E-2</v>
      </c>
      <c r="D44" s="6">
        <v>8.4</v>
      </c>
      <c r="E44" s="97">
        <f>AVERAGEIFS('ІСЦ (Стрим Інфл)'!$J:$J,'ІСЦ (Стрим Інфл)'!$A:$A,'Дефлятор модель (CPI-PPI) (С-1)'!$A44,'ІСЦ (Стрим Інфл)'!$B:$B,'Дефлятор модель (CPI-PPI) (С-1)'!$B44)</f>
        <v>2.4000000000000004E-2</v>
      </c>
      <c r="F44" s="97">
        <f>AVERAGEIFS('ІЦВ (Стрим Інфл)+'!$J:$J,'ІЦВ (Стрим Інфл)+'!$A:$A,'Дефлятор модель (CPI-PPI) (С-1)'!$A44,'ІЦВ (Стрим Інфл)+'!$B:$B,'Дефлятор модель (CPI-PPI) (С-1)'!$B44)</f>
        <v>-4.6333333333333337E-2</v>
      </c>
      <c r="G44" s="97">
        <f t="shared" si="18"/>
        <v>8.4000000000000005E-2</v>
      </c>
      <c r="H44" s="287">
        <f t="shared" si="8"/>
        <v>3.2727047899999997</v>
      </c>
      <c r="I44" s="288">
        <f t="shared" si="9"/>
        <v>2.5666842990748338</v>
      </c>
      <c r="J44" s="288"/>
      <c r="K44" s="288"/>
      <c r="L44" s="288"/>
      <c r="M44" s="288"/>
      <c r="P44" s="29">
        <f t="shared" si="15"/>
        <v>2.4000000000000004E-2</v>
      </c>
      <c r="S44" s="29">
        <f t="shared" si="16"/>
        <v>-4.6333333333333337E-2</v>
      </c>
      <c r="V44" s="29">
        <f>D44/100</f>
        <v>8.4000000000000005E-2</v>
      </c>
      <c r="X44" s="95">
        <f>0.4177065*AO44+0.360601*AN44+0.0432334</f>
        <v>3.5316815342288338E-2</v>
      </c>
      <c r="Y44" s="102">
        <f>0.383829*AN44+0.3291765*AO44+0.0710852*AJ44+0.0471218</f>
        <v>3.3940185041992817E-2</v>
      </c>
      <c r="AC44" s="36">
        <f>AVERAGEIFS('ІЦВ (Стрим Інфл)+'!AF:AF,'ІЦВ (Стрим Інфл)+'!$B:$B,'Дефлятор модель (CPI-PPI) (С-1)'!$B44,'ІЦВ (Стрим Інфл)+'!$A:$A,'Дефлятор модель (CPI-PPI) (С-1)'!$A44)</f>
        <v>60.414635475680598</v>
      </c>
      <c r="AD44" s="36">
        <f>AVERAGEIFS('ІЦВ (Стрим Інфл)+'!$AH:$AH,'ІЦВ (Стрим Інфл)+'!$B:$B,'Дефлятор модель (CPI-PPI) (С-1)'!$B44,'ІЦВ (Стрим Інфл)+'!$A:$A,'Дефлятор модель (CPI-PPI) (С-1)'!$A44)</f>
        <v>27.603658243727597</v>
      </c>
      <c r="AE44">
        <f t="shared" si="17"/>
        <v>1667.6649505900684</v>
      </c>
      <c r="AF44" s="36">
        <f>AF43*$AF$46</f>
        <v>11800.942388524603</v>
      </c>
      <c r="AG44" s="36">
        <f>AVERAGEIFS('ІЦВ (Стрим Інфл)+'!$AK:$AK,'ІЦВ (Стрим Інфл)+'!$B:$B,'Дефлятор модель (CPI-PPI) (С-1)'!$B44,'ІЦВ (Стрим Інфл)+'!$A:$A,'Дефлятор модель (CPI-PPI) (С-1)'!$A44)</f>
        <v>559703.06099776679</v>
      </c>
      <c r="AH44" s="109">
        <f>AVERAGEIFS('ІЦВ (Стрим Інфл)+'!AO:AO,'ІЦВ (Стрим Інфл)+'!$B:$B,'Дефлятор модель (CPI-PPI) (С-1)'!$B44,'ІЦВ (Стрим Інфл)+'!$A:$A,'Дефлятор модель (CPI-PPI) (С-1)'!$A44)</f>
        <v>-3.2587451065569893E-2</v>
      </c>
      <c r="AI44" s="81">
        <f>AC44/AC40-1</f>
        <v>-0.21509398206662822</v>
      </c>
      <c r="AJ44" s="81">
        <f t="shared" si="1"/>
        <v>-0.14213423765021493</v>
      </c>
      <c r="AK44" s="81">
        <f t="shared" si="1"/>
        <v>9.9635383986667936E-2</v>
      </c>
      <c r="AL44" s="81">
        <f t="shared" si="1"/>
        <v>0.26713308233924793</v>
      </c>
      <c r="AM44" s="81">
        <f>(AL44+1)/(AH44+1)-1</f>
        <v>0.30981666894330573</v>
      </c>
      <c r="AN44" s="36">
        <f>AVERAGEIFS('ІСЦ (Стрим Інфл)'!$K:$K,'ІСЦ (Стрим Інфл)'!$B:$B,'Дефлятор модель (CPI-PPI) (С-1)'!$B44,'ІСЦ (Стрим Інфл)'!$A:$A,'Дефлятор модель (CPI-PPI) (С-1)'!$A44)</f>
        <v>3.1716911052072347E-2</v>
      </c>
      <c r="AO44" s="36">
        <f>AVERAGEIFS('ІЦВ (Стрим Інфл)+'!$J:$J,'ІЦВ (Стрим Інфл)+'!$B:$B,'Дефлятор модель (CPI-PPI) (С-1)'!$B44,'ІЦВ (Стрим Інфл)+'!$A:$A,'Дефлятор модель (CPI-PPI) (С-1)'!$A44)</f>
        <v>-4.6333333333333337E-2</v>
      </c>
      <c r="AP44">
        <f>AD44/AD40-1</f>
        <v>9.2953478186488914E-2</v>
      </c>
    </row>
    <row r="45" spans="1:42">
      <c r="A45">
        <v>2020</v>
      </c>
      <c r="B45">
        <v>4</v>
      </c>
      <c r="C45" s="35">
        <f t="shared" si="14"/>
        <v>0.17499999999999999</v>
      </c>
      <c r="D45" s="6">
        <v>17.5</v>
      </c>
      <c r="E45" s="97">
        <f>AVERAGEIFS('ІСЦ (Стрим Інфл)'!$J:$J,'ІСЦ (Стрим Інфл)'!$A:$A,'Дефлятор модель (CPI-PPI) (С-1)'!$A45,'ІСЦ (Стрим Інфл)'!$B:$B,'Дефлятор модель (CPI-PPI) (С-1)'!$B45)</f>
        <v>3.7999999999999999E-2</v>
      </c>
      <c r="F45" s="97">
        <f>AVERAGEIFS('ІЦВ (Стрим Інфл)+'!$J:$J,'ІЦВ (Стрим Інфл)+'!$A:$A,'Дефлятор модель (CPI-PPI) (С-1)'!$A45,'ІЦВ (Стрим Інфл)+'!$B:$B,'Дефлятор модель (CPI-PPI) (С-1)'!$B45)</f>
        <v>8.7666666666666671E-2</v>
      </c>
      <c r="G45" s="97">
        <f>D45/100</f>
        <v>0.17499999999999999</v>
      </c>
      <c r="H45" s="287">
        <f t="shared" si="8"/>
        <v>9.386656030000001</v>
      </c>
      <c r="I45" s="288">
        <f t="shared" si="9"/>
        <v>1.8643487035286621</v>
      </c>
      <c r="J45" s="288"/>
      <c r="K45" s="288"/>
      <c r="L45" s="288"/>
      <c r="M45" s="288"/>
      <c r="P45" s="29">
        <f t="shared" si="15"/>
        <v>3.7999999999999999E-2</v>
      </c>
      <c r="S45" s="29">
        <f t="shared" si="16"/>
        <v>8.7666666666666671E-2</v>
      </c>
      <c r="V45" s="29">
        <f>D45/100</f>
        <v>0.17499999999999999</v>
      </c>
      <c r="X45" s="95">
        <f>0.4177065*AO45+0.360601*AN45+0.0432334</f>
        <v>9.7969180147238238E-2</v>
      </c>
      <c r="Y45" s="102">
        <f>0.383829*AN45+0.3291765*AO45+0.0710852*AJ45+0.0471218</f>
        <v>9.0484079465397133E-2</v>
      </c>
      <c r="AC45" s="36">
        <f>AVERAGEIFS('ІЦВ (Стрим Інфл)+'!AF:AF,'ІЦВ (Стрим Інфл)+'!$B:$B,'Дефлятор модель (CPI-PPI) (С-1)'!$B45,'ІЦВ (Стрим Інфл)+'!$A:$A,'Дефлятор модель (CPI-PPI) (С-1)'!$A45)</f>
        <v>61.068050783983814</v>
      </c>
      <c r="AD45" s="36">
        <f>AVERAGEIFS('ІЦВ (Стрим Інфл)+'!$AH:$AH,'ІЦВ (Стрим Інфл)+'!$B:$B,'Дефлятор модель (CPI-PPI) (С-1)'!$B45,'ІЦВ (Стрим Інфл)+'!$A:$A,'Дефлятор модель (CPI-PPI) (С-1)'!$A45)</f>
        <v>28.26827476702509</v>
      </c>
      <c r="AE45">
        <f t="shared" si="17"/>
        <v>1726.2884390482964</v>
      </c>
      <c r="AF45" s="36">
        <v>12000</v>
      </c>
      <c r="AG45" s="36">
        <f>AVERAGEIFS('ІЦВ (Стрим Інфл)+'!$AK:$AK,'ІЦВ (Стрим Інфл)+'!$B:$B,'Дефлятор модель (CPI-PPI) (С-1)'!$B45,'ІЦВ (Стрим Інфл)+'!$A:$A,'Дефлятор модель (CPI-PPI) (С-1)'!$A45)</f>
        <v>587995.05625159002</v>
      </c>
      <c r="AH45" s="109">
        <f>AVERAGEIFS('ІЦВ (Стрим Інфл)+'!AO:AO,'ІЦВ (Стрим Інфл)+'!$B:$B,'Дефлятор модель (CPI-PPI) (С-1)'!$B45,'ІЦВ (Стрим Інфл)+'!$A:$A,'Дефлятор модель (CPI-PPI) (С-1)'!$A45)</f>
        <v>-1.2162599149813998E-2</v>
      </c>
      <c r="AI45" s="81">
        <f>AC45/AC41-1</f>
        <v>-0.19943819489235914</v>
      </c>
      <c r="AJ45" s="81">
        <f t="shared" si="1"/>
        <v>-6.7234269121137946E-2</v>
      </c>
      <c r="AK45" s="81">
        <f t="shared" si="1"/>
        <v>6.9198211231395801E-2</v>
      </c>
      <c r="AL45" s="81">
        <f t="shared" si="1"/>
        <v>0.30877531198917496</v>
      </c>
      <c r="AM45" s="81">
        <f>(AL45+1)/(AH45+1)-1</f>
        <v>0.32488941081069878</v>
      </c>
      <c r="AN45" s="36">
        <f>AVERAGEIFS('ІСЦ (Стрим Інфл)'!$K:$K,'ІСЦ (Стрим Інфл)'!$B:$B,'Дефлятор модель (CPI-PPI) (С-1)'!$B45,'ІСЦ (Стрим Інфл)'!$A:$A,'Дефлятор модель (CPI-PPI) (С-1)'!$A45)</f>
        <v>5.0240691643224054E-2</v>
      </c>
      <c r="AO45" s="36">
        <f>AVERAGEIFS('ІЦВ (Стрим Інфл)+'!$J:$J,'ІЦВ (Стрим Інфл)+'!$B:$B,'Дефлятор модель (CPI-PPI) (С-1)'!$B45,'ІЦВ (Стрим Інфл)+'!$A:$A,'Дефлятор модель (CPI-PPI) (С-1)'!$A45)</f>
        <v>8.7666666666666671E-2</v>
      </c>
      <c r="AP45">
        <f>AD45/AD41-1</f>
        <v>0.16513893734094087</v>
      </c>
    </row>
    <row r="46" spans="1:42">
      <c r="A46">
        <v>2021</v>
      </c>
      <c r="B46">
        <v>1</v>
      </c>
      <c r="C46" s="35">
        <f t="shared" si="14"/>
        <v>0.217</v>
      </c>
      <c r="D46">
        <v>21.7</v>
      </c>
      <c r="E46" s="148">
        <f>AVERAGEIFS('ІСЦ (Стрим Інфл)'!J:J,'ІСЦ (Стрим Інфл)'!A:A,'Дефлятор модель (CPI-PPI) (С-1)'!A46,'ІСЦ (Стрим Інфл)'!B:B,'Дефлятор модель (CPI-PPI) (С-1)'!B46)</f>
        <v>7.3666666666666672E-2</v>
      </c>
      <c r="F46" s="148">
        <f>AVERAGEIFS('ІЦВ (Стрим Інфл)+'!J:J,'ІЦВ (Стрим Інфл)+'!A:A,'Дефлятор модель (CPI-PPI) (С-1)'!A46,'ІЦВ (Стрим Інфл)+'!B:B,'Дефлятор модель (CPI-PPI) (С-1)'!B46)</f>
        <v>0.23500000000000001</v>
      </c>
      <c r="G46" s="148">
        <f>D46/100</f>
        <v>0.217</v>
      </c>
      <c r="H46" s="287">
        <f>41.77065*F46+36.90601*E46+4.322334</f>
        <v>16.857179486666666</v>
      </c>
      <c r="I46" s="288">
        <f t="shared" si="9"/>
        <v>1.2872853384021807</v>
      </c>
      <c r="J46" s="288"/>
      <c r="K46" s="288"/>
      <c r="L46" s="288"/>
      <c r="M46" s="288"/>
      <c r="P46" s="29">
        <v>7.6000000000000068E-2</v>
      </c>
      <c r="AF46">
        <f>(AF45/AF41)^(1/4)</f>
        <v>1.0168679419763091</v>
      </c>
    </row>
    <row r="47" spans="1:42">
      <c r="A47">
        <v>2021</v>
      </c>
      <c r="B47">
        <v>2</v>
      </c>
      <c r="C47" s="35">
        <f t="shared" si="14"/>
        <v>0.27300000000000002</v>
      </c>
      <c r="D47">
        <v>27.3</v>
      </c>
      <c r="E47" s="148">
        <f>AVERAGEIFS('ІСЦ (Стрим Інфл)'!J:J,'ІСЦ (Стрим Інфл)'!A:A,'Дефлятор модель (CPI-PPI) (С-1)'!A47,'ІСЦ (Стрим Інфл)'!B:B,'Дефлятор модель (CPI-PPI) (С-1)'!B47)</f>
        <v>9.1333333333333336E-2</v>
      </c>
      <c r="F47" s="148">
        <f>AVERAGEIFS('ІЦВ (Стрим Інфл)+'!J:J,'ІЦВ (Стрим Інфл)+'!A:A,'Дефлятор модель (CPI-PPI) (С-1)'!A47,'ІЦВ (Стрим Інфл)+'!B:B,'Дефлятор модель (CPI-PPI) (С-1)'!B47)</f>
        <v>0.33333333333333331</v>
      </c>
      <c r="G47" s="148">
        <f t="shared" si="18"/>
        <v>0.27300000000000002</v>
      </c>
      <c r="H47" s="287">
        <f>41.77065*F47+36.90601*E47+4.322334</f>
        <v>21.616632913333333</v>
      </c>
      <c r="I47" s="288">
        <f t="shared" si="9"/>
        <v>1.2629163898675966</v>
      </c>
      <c r="J47" s="288"/>
      <c r="K47" s="288"/>
      <c r="L47" s="288"/>
      <c r="M47" s="288"/>
      <c r="P47" s="29">
        <v>8.4000000000000075E-2</v>
      </c>
    </row>
    <row r="48" spans="1:42">
      <c r="A48">
        <v>2021</v>
      </c>
      <c r="B48">
        <v>3</v>
      </c>
      <c r="C48" s="35">
        <f t="shared" si="14"/>
        <v>0.26100000000000001</v>
      </c>
      <c r="D48">
        <v>26.1</v>
      </c>
      <c r="E48" s="148">
        <f>AVERAGEIFS('ІСЦ (Стрим Інфл)'!J:J,'ІСЦ (Стрим Інфл)'!A:A,'Дефлятор модель (CPI-PPI) (С-1)'!A48,'ІСЦ (Стрим Інфл)'!B:B,'Дефлятор модель (CPI-PPI) (С-1)'!B48)</f>
        <v>0.10466666666666667</v>
      </c>
      <c r="F48" s="148">
        <f>AVERAGEIFS('ІЦВ (Стрим Інфл)+'!J:J,'ІЦВ (Стрим Інфл)+'!A:A,'Дефлятор модель (CPI-PPI) (С-1)'!A48,'ІЦВ (Стрим Інфл)+'!B:B,'Дефлятор модель (CPI-PPI) (С-1)'!B48)</f>
        <v>0.44599999999999995</v>
      </c>
      <c r="G48" s="148">
        <f t="shared" si="18"/>
        <v>0.26100000000000001</v>
      </c>
      <c r="H48" s="287">
        <f t="shared" si="8"/>
        <v>26.814872946666668</v>
      </c>
      <c r="I48" s="288">
        <f t="shared" si="9"/>
        <v>0.97334043133120529</v>
      </c>
      <c r="J48" s="288"/>
      <c r="K48" s="288"/>
      <c r="L48" s="288"/>
      <c r="M48" s="288"/>
      <c r="P48" s="29">
        <v>8.2999999999999963E-2</v>
      </c>
    </row>
    <row r="49" spans="1:16">
      <c r="A49">
        <v>2021</v>
      </c>
      <c r="B49">
        <v>4</v>
      </c>
      <c r="C49" s="35">
        <f t="shared" si="14"/>
        <v>0.24399999999999999</v>
      </c>
      <c r="D49">
        <v>24.4</v>
      </c>
      <c r="E49" s="148">
        <f>AVERAGEIFS('ІСЦ (Стрим Інфл)'!J:J,'ІСЦ (Стрим Інфл)'!A:A,'Дефлятор модель (CPI-PPI) (С-1)'!A49,'ІСЦ (Стрим Інфл)'!B:B,'Дефлятор модель (CPI-PPI) (С-1)'!B49)</f>
        <v>0.104</v>
      </c>
      <c r="F49" s="148">
        <f>AVERAGEIFS('ІЦВ (Стрим Інфл)+'!J:J,'ІЦВ (Стрим Інфл)+'!A:A,'Дефлятор модель (CPI-PPI) (С-1)'!A49,'ІЦВ (Стрим Інфл)+'!B:B,'Дефлятор модель (CPI-PPI) (С-1)'!B49)</f>
        <v>0.60033333333333327</v>
      </c>
      <c r="G49" s="148">
        <f t="shared" si="18"/>
        <v>0.24399999999999999</v>
      </c>
      <c r="H49" s="287">
        <f>41.77065*F49+36.90601*E49+4.322334</f>
        <v>33.236872589999997</v>
      </c>
      <c r="I49" s="288">
        <f t="shared" si="9"/>
        <v>0.73412442563387403</v>
      </c>
      <c r="J49" s="288"/>
      <c r="K49" s="288"/>
      <c r="L49" s="288"/>
      <c r="M49" s="288"/>
      <c r="P49" s="29">
        <v>7.0000000000000062E-2</v>
      </c>
    </row>
    <row r="50" spans="1:16">
      <c r="A50">
        <v>2022</v>
      </c>
      <c r="B50">
        <v>1</v>
      </c>
      <c r="C50" s="35">
        <f t="shared" ref="C50:C59" si="19">D50/100</f>
        <v>0.255</v>
      </c>
      <c r="D50" s="149">
        <v>25.5</v>
      </c>
      <c r="E50" s="496">
        <f>AVERAGEIFS('ІСЦ (Стрим Інфл)'!R:R,'ІСЦ (Стрим Інфл)'!A:A,'Дефлятор модель (CPI-PPI) (С-1)'!A50,'ІСЦ (Стрим Інфл)'!B:B,'Дефлятор модель (CPI-PPI) (С-1)'!B50)</f>
        <v>0.11466666666666669</v>
      </c>
      <c r="F50" s="496">
        <f>AVERAGEIFS('ІЦВ (Стрим Інфл)+'!U:U,'ІЦВ (Стрим Інфл)+'!A:A,'Дефлятор модель (CPI-PPI) (С-1)'!A50,'ІЦВ (Стрим Інфл)+'!B:B,'Дефлятор модель (CPI-PPI) (С-1)'!B50)</f>
        <v>0.5987304620534567</v>
      </c>
      <c r="G50" s="496">
        <f t="array" ref="G50:G53">TRANSPOSE(U85:X85)</f>
        <v>0.255</v>
      </c>
      <c r="H50" s="287">
        <f t="shared" ref="H50:H57" si="20">41.77065*F50+36.90601*E50+4.322334</f>
        <v>33.56358372143989</v>
      </c>
      <c r="I50" s="288">
        <f t="shared" si="9"/>
        <v>0.7597520041851491</v>
      </c>
      <c r="J50" s="288"/>
      <c r="K50" s="288"/>
      <c r="L50" s="288"/>
      <c r="M50" s="288"/>
    </row>
    <row r="51" spans="1:16">
      <c r="A51">
        <v>2022</v>
      </c>
      <c r="B51">
        <v>2</v>
      </c>
      <c r="C51" s="35">
        <f t="shared" si="19"/>
        <v>0.377</v>
      </c>
      <c r="D51" s="149">
        <v>37.700000000000003</v>
      </c>
      <c r="E51" s="496">
        <f>AVERAGEIFS('ІСЦ (Стрим Інфл)'!R:R,'ІСЦ (Стрим Інфл)'!A:A,'Дефлятор модель (CPI-PPI) (С-1)'!A51,'ІСЦ (Стрим Інфл)'!B:B,'Дефлятор модель (CPI-PPI) (С-1)'!B51)</f>
        <v>0.18633333333333335</v>
      </c>
      <c r="F51" s="496">
        <f>AVERAGEIFS('ІЦВ (Стрим Інфл)+'!U:U,'ІЦВ (Стрим Інфл)+'!A:A,'Дефлятор модель (CPI-PPI) (С-1)'!A51,'ІЦВ (Стрим Інфл)+'!B:B,'Дефлятор модель (CPI-PPI) (С-1)'!B51)</f>
        <v>0.61971599669989452</v>
      </c>
      <c r="G51" s="496">
        <v>0.377</v>
      </c>
      <c r="H51" s="287">
        <f>41.77065*F51+36.90601*E51+4.322334</f>
        <v>37.085093860885785</v>
      </c>
      <c r="I51" s="288">
        <f t="shared" si="9"/>
        <v>1.0165809514038406</v>
      </c>
      <c r="J51" s="288"/>
      <c r="K51" s="288"/>
      <c r="L51" s="288"/>
      <c r="M51" s="288"/>
    </row>
    <row r="52" spans="1:16">
      <c r="A52">
        <v>2022</v>
      </c>
      <c r="B52">
        <v>3</v>
      </c>
      <c r="C52" s="35">
        <f t="shared" si="19"/>
        <v>0.38100000000000001</v>
      </c>
      <c r="D52" s="149">
        <v>38.1</v>
      </c>
      <c r="E52" s="496">
        <f>AVERAGEIFS('ІСЦ (Стрим Інфл)'!R:R,'ІСЦ (Стрим Інфл)'!A:A,'Дефлятор модель (CPI-PPI) (С-1)'!A52,'ІСЦ (Стрим Інфл)'!B:B,'Дефлятор модель (CPI-PPI) (С-1)'!B52)</f>
        <v>0.23533333333333331</v>
      </c>
      <c r="F52" s="496">
        <f>AVERAGEIFS('ІЦВ (Стрим Інфл)+'!U:U,'ІЦВ (Стрим Інфл)+'!A:A,'Дефлятор модель (CPI-PPI) (С-1)'!A52,'ІЦВ (Стрим Інфл)+'!B:B,'Дефлятор модель (CPI-PPI) (С-1)'!B52)</f>
        <v>0.70140457155676506</v>
      </c>
      <c r="G52" s="496">
        <v>0.38100000000000001</v>
      </c>
      <c r="H52" s="287">
        <f t="shared" si="20"/>
        <v>42.305673220230922</v>
      </c>
      <c r="I52" s="288">
        <f t="shared" si="9"/>
        <v>0.90058843412472322</v>
      </c>
      <c r="J52" s="288"/>
      <c r="K52" s="288"/>
      <c r="L52" s="288"/>
      <c r="M52" s="288"/>
    </row>
    <row r="53" spans="1:16">
      <c r="A53">
        <v>2022</v>
      </c>
      <c r="B53">
        <v>4</v>
      </c>
      <c r="C53" s="35">
        <f t="shared" si="19"/>
        <v>0.36499999999999999</v>
      </c>
      <c r="D53" s="149">
        <v>36.5</v>
      </c>
      <c r="E53" s="496">
        <f>AVERAGEIFS('ІСЦ (Стрим Інфл)'!R:R,'ІСЦ (Стрим Інфл)'!A:A,'Дефлятор модель (CPI-PPI) (С-1)'!A53,'ІСЦ (Стрим Інфл)'!B:B,'Дефлятор модель (CPI-PPI) (С-1)'!B53)</f>
        <v>0.26566666666666666</v>
      </c>
      <c r="F53" s="496">
        <f>AVERAGEIFS('ІЦВ (Стрим Інфл)+'!U:U,'ІЦВ (Стрим Інфл)+'!A:A,'Дефлятор модель (CPI-PPI) (С-1)'!A53,'ІЦВ (Стрим Інфл)+'!B:B,'Дефлятор модель (CPI-PPI) (С-1)'!B53)</f>
        <v>0.52628589945178506</v>
      </c>
      <c r="G53" s="496">
        <v>0.36499999999999999</v>
      </c>
      <c r="H53" s="287">
        <f t="shared" si="20"/>
        <v>36.110334762602378</v>
      </c>
      <c r="I53" s="288">
        <f t="shared" si="9"/>
        <v>1.0107909616446198</v>
      </c>
      <c r="J53" s="288"/>
      <c r="K53" s="288"/>
      <c r="L53" s="892" t="s">
        <v>1969</v>
      </c>
      <c r="M53" s="288"/>
    </row>
    <row r="54" spans="1:16" ht="18.75">
      <c r="A54" s="584">
        <v>2023</v>
      </c>
      <c r="B54">
        <v>1</v>
      </c>
      <c r="C54" s="35">
        <f t="shared" si="19"/>
        <v>0.32352897978587086</v>
      </c>
      <c r="D54" s="585">
        <f>H54*I54</f>
        <v>32.352897978587087</v>
      </c>
      <c r="E54" s="601">
        <f>AVERAGEIFS('ІСЦ (Стрим Інфл)'!Q:Q,'ІСЦ (Стрим Інфл)'!A:A,'Дефлятор модель (CPI-PPI) (С-1)'!A54,'ІСЦ (Стрим Інфл)'!B:B,'Дефлятор модель (CPI-PPI) (С-1)'!B54)</f>
        <v>0.24066666666666667</v>
      </c>
      <c r="F54" s="601">
        <f>AVERAGEIFS('ІЦВ (Стрим Інфл)+'!U:U,'ІЦВ (Стрим Інфл)+'!A:A,'Дефлятор модель (CPI-PPI) (С-1)'!A54,'ІЦВ (Стрим Інфл)+'!B:B,'Дефлятор модель (CPI-PPI) (С-1)'!B54)</f>
        <v>0.36623879864348213</v>
      </c>
      <c r="G54" s="615">
        <f>C54</f>
        <v>0.32352897978587086</v>
      </c>
      <c r="H54" s="586">
        <f>41.77065*F54+36.90601*E54+4.322334</f>
        <v>28.502413081224034</v>
      </c>
      <c r="I54" s="98">
        <f>I22-3%</f>
        <v>1.1350932949568244</v>
      </c>
      <c r="J54" s="98"/>
      <c r="K54" s="29">
        <v>0.30117353907857081</v>
      </c>
      <c r="L54" s="98">
        <f>K54/C54</f>
        <v>0.93090127282540158</v>
      </c>
      <c r="M54" s="98"/>
    </row>
    <row r="55" spans="1:16" ht="18.75">
      <c r="A55" s="584">
        <v>2023</v>
      </c>
      <c r="B55">
        <v>2</v>
      </c>
      <c r="C55" s="35">
        <f t="shared" si="19"/>
        <v>0.24452071690527979</v>
      </c>
      <c r="D55" s="585">
        <f>H55*I55</f>
        <v>24.45207169052798</v>
      </c>
      <c r="E55" s="601">
        <f>AVERAGEIFS('ІСЦ (Стрим Інфл)'!Q:Q,'ІСЦ (Стрим Інфл)'!A:A,'Дефлятор модель (CPI-PPI) (С-1)'!A55,'ІСЦ (Стрим Інфл)'!B:B,'Дефлятор модель (CPI-PPI) (С-1)'!B55)</f>
        <v>0.15333333333333332</v>
      </c>
      <c r="F55" s="601">
        <f>AVERAGEIFS('ІЦВ (Стрим Інфл)+'!U:U,'ІЦВ (Стрим Інфл)+'!A:A,'Дефлятор модель (CPI-PPI) (С-1)'!A55,'ІЦВ (Стрим Інфл)+'!B:B,'Дефлятор модель (CPI-PPI) (С-1)'!B55)</f>
        <v>0.28842351942229133</v>
      </c>
      <c r="G55" s="615">
        <f t="shared" ref="G55:G61" si="21">C55</f>
        <v>0.24452071690527979</v>
      </c>
      <c r="H55" s="586">
        <f>41.77065*F55+36.90601*E55+4.322334</f>
        <v>22.028893414890071</v>
      </c>
      <c r="I55" s="98">
        <v>1.1100000000000001</v>
      </c>
      <c r="J55" s="98"/>
      <c r="K55" s="29">
        <v>0.24840626516758602</v>
      </c>
      <c r="L55" s="98">
        <f t="shared" ref="L55:L61" si="22">K55/C55</f>
        <v>1.0158904665072259</v>
      </c>
      <c r="M55" s="98"/>
    </row>
    <row r="56" spans="1:16" ht="18.75">
      <c r="A56" s="584">
        <v>2023</v>
      </c>
      <c r="B56">
        <v>3</v>
      </c>
      <c r="C56" s="35">
        <f>D56/100</f>
        <v>0.15986862682673927</v>
      </c>
      <c r="D56" s="585">
        <f>H56*I56</f>
        <v>15.986862682673927</v>
      </c>
      <c r="E56" s="601">
        <f>AVERAGEIFS('ІСЦ (Стрим Інфл)'!Q:Q,'ІСЦ (Стрим Інфл)'!A:A,'Дефлятор модель (CPI-PPI) (С-1)'!A56,'ІСЦ (Стрим Інфл)'!B:B,'Дефлятор модель (CPI-PPI) (С-1)'!B56)</f>
        <v>9.0000000000000011E-2</v>
      </c>
      <c r="F56" s="601">
        <f>AVERAGEIFS('ІЦВ (Стрим Інфл)+'!U:U,'ІЦВ (Стрим Інфл)+'!A:A,'Дефлятор модель (CPI-PPI) (С-1)'!A56,'ІЦВ (Стрим Інфл)+'!B:B,'Дефлятор модель (CPI-PPI) (С-1)'!B56)</f>
        <v>0.16493965570810051</v>
      </c>
      <c r="G56" s="615">
        <f t="shared" si="21"/>
        <v>0.15986862682673927</v>
      </c>
      <c r="H56" s="586">
        <f>41.77065*F56+36.90601*E56+4.322334</f>
        <v>14.533511529703569</v>
      </c>
      <c r="I56" s="98">
        <v>1.1000000000000001</v>
      </c>
      <c r="J56" s="98"/>
      <c r="K56" s="29">
        <v>0.18237528291485461</v>
      </c>
      <c r="L56" s="98">
        <f>K56/C56</f>
        <v>1.1407821943232637</v>
      </c>
      <c r="M56" s="98"/>
    </row>
    <row r="57" spans="1:16" ht="18.75">
      <c r="A57" s="584">
        <v>2023</v>
      </c>
      <c r="B57">
        <v>4</v>
      </c>
      <c r="C57" s="35">
        <f t="shared" si="19"/>
        <v>0.13882334769167104</v>
      </c>
      <c r="D57" s="585">
        <f>H57*I57</f>
        <v>13.882334769167104</v>
      </c>
      <c r="E57" s="601">
        <f>AVERAGEIFS('ІСЦ (Стрим Інфл)'!Q:Q,'ІСЦ (Стрим Інфл)'!A:A,'Дефлятор модель (CPI-PPI) (С-1)'!A57,'ІСЦ (Стрим Інфл)'!B:B,'Дефлятор модель (CPI-PPI) (С-1)'!B57)</f>
        <v>5.1666666666666666E-2</v>
      </c>
      <c r="F57" s="601">
        <f>AVERAGEIFS('ІЦВ (Стрим Інфл)+'!U:U,'ІЦВ (Стрим Інфл)+'!A:A,'Дефлятор модель (CPI-PPI) (С-1)'!A57,'ІЦВ (Стрим Інфл)+'!B:B,'Дефлятор модель (CPI-PPI) (С-1)'!B57)</f>
        <v>0.15300599389618763</v>
      </c>
      <c r="G57" s="615">
        <f t="shared" si="21"/>
        <v>0.13882334769167104</v>
      </c>
      <c r="H57" s="586">
        <f t="shared" si="20"/>
        <v>12.620304335606457</v>
      </c>
      <c r="I57" s="98">
        <v>1.1000000000000001</v>
      </c>
      <c r="J57" s="98"/>
      <c r="K57" s="29">
        <v>0.1599424474240998</v>
      </c>
      <c r="L57" s="98">
        <f>K57/C57</f>
        <v>1.1521293073794376</v>
      </c>
      <c r="M57" s="98"/>
    </row>
    <row r="58" spans="1:16">
      <c r="A58" s="605">
        <v>2024</v>
      </c>
      <c r="B58">
        <v>1</v>
      </c>
      <c r="C58" s="35">
        <f t="shared" si="19"/>
        <v>0.12278552200261865</v>
      </c>
      <c r="D58" s="878">
        <f>H58*$I58</f>
        <v>12.278552200261865</v>
      </c>
      <c r="E58" s="876">
        <f>AVERAGEIFS('ІСЦ (Стрим Інфл)'!Q:Q,'ІСЦ (Стрим Інфл)'!A:A,'Дефлятор модель (CPI-PPI) (С-1)'!A58,'ІСЦ (Стрим Інфл)'!B:B,'Дефлятор модель (CPI-PPI) (С-1)'!B58)</f>
        <v>7.5344806299750808E-2</v>
      </c>
      <c r="F58" s="875">
        <f>AVERAGEIFS('ІЦВ (Стрим Інфл)+'!U:U,'ІЦВ (Стрим Інфл)+'!A:A,'Дефлятор модель (CPI-PPI) (С-1)'!A58,'ІЦВ (Стрим Інфл)+'!B:B,'Дефлятор модель (CPI-PPI) (С-1)'!B58)</f>
        <v>0.14266666666666666</v>
      </c>
      <c r="G58" s="875">
        <f t="shared" si="21"/>
        <v>0.12278552200261865</v>
      </c>
      <c r="H58" s="877">
        <f>41.77065*F58+36.90601*E58+4.322334</f>
        <v>13.062289574746666</v>
      </c>
      <c r="I58" s="98">
        <v>0.94</v>
      </c>
      <c r="J58" s="98"/>
      <c r="K58" s="29">
        <v>0.15287478523781961</v>
      </c>
      <c r="L58" s="98">
        <f>K58/C58</f>
        <v>1.2450554653712287</v>
      </c>
      <c r="M58" s="98"/>
    </row>
    <row r="59" spans="1:16">
      <c r="A59" s="605">
        <v>2024</v>
      </c>
      <c r="B59">
        <v>2</v>
      </c>
      <c r="C59" s="35">
        <f t="shared" si="19"/>
        <v>9.659560064061079E-2</v>
      </c>
      <c r="D59" s="878">
        <f>H59*$I59</f>
        <v>9.659560064061079</v>
      </c>
      <c r="E59" s="876">
        <f>AVERAGEIFS('ІСЦ (Стрим Інфл)'!Q:Q,'ІСЦ (Стрим Інфл)'!A:A,'Дефлятор модель (CPI-PPI) (С-1)'!A59,'ІСЦ (Стрим Інфл)'!B:B,'Дефлятор модель (CPI-PPI) (С-1)'!B59)</f>
        <v>5.8349286013724827E-2</v>
      </c>
      <c r="F59" s="875">
        <f>AVERAGEIFS('ІЦВ (Стрим Інфл)+'!U:U,'ІЦВ (Стрим Інфл)+'!A:A,'Дефлятор модель (CPI-PPI) (С-1)'!A59,'ІЦВ (Стрим Інфл)+'!B:B,'Дефлятор модель (CPI-PPI) (С-1)'!B59)</f>
        <v>9.0981452158612905E-2</v>
      </c>
      <c r="G59" s="875">
        <f t="shared" si="21"/>
        <v>9.659560064061079E-2</v>
      </c>
      <c r="H59" s="877">
        <f>41.77065*F59+36.90601*E59+4.322334</f>
        <v>10.276127727724553</v>
      </c>
      <c r="I59" s="98">
        <v>0.94</v>
      </c>
      <c r="J59" s="98"/>
      <c r="K59" s="29">
        <v>0.12826528424212635</v>
      </c>
      <c r="L59" s="98">
        <f>K59/C59</f>
        <v>1.3278584468804573</v>
      </c>
      <c r="M59" s="98"/>
    </row>
    <row r="60" spans="1:16">
      <c r="A60" s="605">
        <v>2024</v>
      </c>
      <c r="B60">
        <v>3</v>
      </c>
      <c r="C60" s="35">
        <f>D60/100</f>
        <v>9.6103727543275508E-2</v>
      </c>
      <c r="D60" s="878">
        <f>H60*$I60</f>
        <v>9.6103727543275514</v>
      </c>
      <c r="E60" s="876">
        <f>AVERAGEIFS('ІСЦ (Стрим Інфл)'!Q:Q,'ІСЦ (Стрим Інфл)'!A:A,'Дефлятор модель (CPI-PPI) (С-1)'!A60,'ІСЦ (Стрим Інфл)'!B:B,'Дефлятор модель (CPI-PPI) (С-1)'!B60)</f>
        <v>6.1424262647632934E-2</v>
      </c>
      <c r="F60" s="875">
        <f>AVERAGEIFS('ІЦВ (Стрим Інфл)+'!U:U,'ІЦВ (Стрим Інфл)+'!A:A,'Дефлятор модель (CPI-PPI) (С-1)'!A60,'ІЦВ (Стрим Інфл)+'!B:B,'Дефлятор модель (CPI-PPI) (С-1)'!B60)</f>
        <v>8.7011869601261935E-2</v>
      </c>
      <c r="G60" s="875">
        <f t="shared" si="21"/>
        <v>9.6103727543275508E-2</v>
      </c>
      <c r="H60" s="877">
        <f>41.77065*F60+36.90601*E60+4.322334</f>
        <v>10.22380080247612</v>
      </c>
      <c r="I60" s="98">
        <v>0.94</v>
      </c>
      <c r="J60" s="98"/>
      <c r="K60" s="29">
        <v>0.12360855145799965</v>
      </c>
      <c r="L60" s="98">
        <f t="shared" si="22"/>
        <v>1.2861993454139302</v>
      </c>
      <c r="M60" s="98"/>
    </row>
    <row r="61" spans="1:16">
      <c r="A61" s="605">
        <v>2024</v>
      </c>
      <c r="B61">
        <v>4</v>
      </c>
      <c r="C61" s="35">
        <f>D61/100</f>
        <v>0.11054685467633842</v>
      </c>
      <c r="D61" s="878">
        <f>H61*$I61</f>
        <v>11.054685467633842</v>
      </c>
      <c r="E61" s="876">
        <f>AVERAGEIFS('ІСЦ (Стрим Інфл)'!Q:Q,'ІСЦ (Стрим Інфл)'!A:A,'Дефлятор модель (CPI-PPI) (С-1)'!A61,'ІСЦ (Стрим Інфл)'!B:B,'Дефлятор модель (CPI-PPI) (С-1)'!B61)</f>
        <v>7.8194631643714083E-2</v>
      </c>
      <c r="F61" s="875">
        <f>AVERAGEIFS('ІЦВ (Стрим Інфл)+'!U:U,'ІЦВ (Стрим Інфл)+'!A:A,'Дефлятор модель (CPI-PPI) (С-1)'!A61,'ІЦВ (Стрим Інфл)+'!B:B,'Дефлятор модель (CPI-PPI) (С-1)'!B61)</f>
        <v>0.10897886031419056</v>
      </c>
      <c r="G61" s="875">
        <f t="shared" si="21"/>
        <v>0.11054685467633842</v>
      </c>
      <c r="H61" s="877">
        <f>41.77065*F61+36.90601*E61+4.322334</f>
        <v>11.760303688972172</v>
      </c>
      <c r="I61" s="98">
        <v>0.94</v>
      </c>
      <c r="J61" s="98"/>
      <c r="K61" s="29">
        <v>0.11010044697436494</v>
      </c>
      <c r="L61" s="98">
        <f t="shared" si="22"/>
        <v>0.9959618235789659</v>
      </c>
      <c r="M61" s="98"/>
    </row>
    <row r="62" spans="1:16">
      <c r="C62" s="35"/>
      <c r="D62" s="98"/>
      <c r="E62" s="98"/>
      <c r="F62" s="98"/>
      <c r="G62" s="98"/>
      <c r="H62" s="98"/>
      <c r="I62" s="98"/>
      <c r="J62" s="98"/>
      <c r="K62" s="98"/>
      <c r="L62" s="98"/>
      <c r="M62" s="98"/>
    </row>
    <row r="63" spans="1:16">
      <c r="C63" s="35"/>
      <c r="D63" s="98"/>
      <c r="E63" s="98"/>
      <c r="F63" s="98"/>
      <c r="G63" s="98"/>
      <c r="H63" s="98"/>
      <c r="I63" s="98"/>
      <c r="J63" s="98"/>
      <c r="K63" s="98"/>
      <c r="L63" s="98"/>
      <c r="M63" s="98"/>
    </row>
    <row r="64" spans="1:16">
      <c r="C64" s="35"/>
      <c r="D64" s="98"/>
      <c r="E64" s="99">
        <v>36.9</v>
      </c>
      <c r="F64" s="99">
        <v>41.77</v>
      </c>
      <c r="G64" s="99">
        <v>4.3</v>
      </c>
      <c r="H64" s="98"/>
      <c r="I64" s="98"/>
      <c r="J64" s="98"/>
      <c r="K64" s="98"/>
      <c r="L64" s="98"/>
      <c r="M64" s="98"/>
    </row>
    <row r="65" spans="1:24">
      <c r="D65" s="98"/>
      <c r="E65" s="98">
        <f>E64/$H$65</f>
        <v>0.44473906231167892</v>
      </c>
      <c r="F65" s="98">
        <f t="shared" ref="F65:G65" si="23">F64/$H$65</f>
        <v>0.50343497649752922</v>
      </c>
      <c r="G65" s="98">
        <f t="shared" si="23"/>
        <v>5.1825961190791851E-2</v>
      </c>
      <c r="H65" s="692">
        <f>SUM(E64:G64)</f>
        <v>82.97</v>
      </c>
      <c r="I65" s="98"/>
      <c r="J65" s="98"/>
      <c r="K65" s="98"/>
      <c r="L65" s="98"/>
      <c r="M65" s="98"/>
      <c r="P65" s="82">
        <v>11.961885032</v>
      </c>
      <c r="Q65" s="33">
        <v>0.08</v>
      </c>
      <c r="R65" s="33">
        <v>0.13500000000000001</v>
      </c>
    </row>
    <row r="66" spans="1:24" ht="19.5" customHeight="1">
      <c r="D66" s="158"/>
      <c r="Q66" s="98">
        <v>0.3</v>
      </c>
      <c r="R66" s="98">
        <v>0.7</v>
      </c>
    </row>
    <row r="67" spans="1:24" ht="19.5" customHeight="1">
      <c r="D67" s="140"/>
      <c r="Q67" s="98"/>
      <c r="R67" s="98"/>
    </row>
    <row r="68" spans="1:24" ht="19.5" customHeight="1">
      <c r="Q68" s="98"/>
      <c r="R68" s="98"/>
    </row>
    <row r="69" spans="1:24" ht="19.5" customHeight="1">
      <c r="Q69" s="98"/>
      <c r="R69" s="98"/>
    </row>
    <row r="70" spans="1:24" ht="19.5" customHeight="1">
      <c r="Q70" s="98"/>
      <c r="R70" s="98"/>
    </row>
    <row r="71" spans="1:24" ht="19.5" customHeight="1">
      <c r="A71" s="153">
        <v>2019</v>
      </c>
      <c r="D71" s="155">
        <f>SUMPRODUCT(D38:D41,D90:D93)</f>
        <v>9.5752394886649093</v>
      </c>
      <c r="P71" s="29">
        <f>Q66*Q65+R65*R66</f>
        <v>0.11849999999999999</v>
      </c>
    </row>
    <row r="72" spans="1:24" ht="21.75">
      <c r="A72" s="153">
        <v>2020</v>
      </c>
      <c r="D72" s="155">
        <f>SUMPRODUCT(D42:D45,E90:E93)</f>
        <v>9.7130495689678611</v>
      </c>
    </row>
    <row r="73" spans="1:24" ht="21.75">
      <c r="A73" s="153">
        <v>2021</v>
      </c>
      <c r="D73" s="155">
        <f>SUMPRODUCT(D46:D49,E90:E93)</f>
        <v>24.844761922506368</v>
      </c>
      <c r="F73" s="29"/>
      <c r="G73" s="29"/>
      <c r="H73" s="29"/>
      <c r="I73" s="29"/>
      <c r="J73" s="29"/>
      <c r="K73" s="29"/>
      <c r="L73" s="29"/>
      <c r="M73" s="29"/>
    </row>
    <row r="74" spans="1:24" ht="21.75">
      <c r="A74" s="153">
        <v>2022</v>
      </c>
      <c r="D74" s="323">
        <f>SUMPRODUCT(D80:D83,E90:E93)</f>
        <v>0.34641247357109151</v>
      </c>
      <c r="E74" s="323">
        <f>AVERAGE(E50:E53)</f>
        <v>0.20050000000000001</v>
      </c>
      <c r="F74" s="323">
        <f>AVERAGE(F50:F53)</f>
        <v>0.61153423244047533</v>
      </c>
    </row>
    <row r="75" spans="1:24" ht="21.75">
      <c r="A75" s="153">
        <v>2023</v>
      </c>
      <c r="D75" s="323">
        <f>SUMPRODUCT(C54:C57,F90:F93)</f>
        <v>0.20815437780779603</v>
      </c>
      <c r="E75" s="323">
        <f>AVERAGE(E54:E57)</f>
        <v>0.13391666666666668</v>
      </c>
      <c r="F75" s="323">
        <f>AVERAGE(F54:F57)</f>
        <v>0.24315199191751541</v>
      </c>
      <c r="G75" s="29"/>
      <c r="H75" s="29"/>
      <c r="I75" s="29"/>
      <c r="J75" s="29"/>
      <c r="K75" s="29">
        <f>SUMPRODUCT(K54:K57,F90:F93)</f>
        <v>0.21637942963855542</v>
      </c>
      <c r="L75" s="29">
        <f>K75/D75</f>
        <v>1.0395141909451175</v>
      </c>
      <c r="M75" s="29"/>
    </row>
    <row r="76" spans="1:24" ht="24">
      <c r="A76" s="874">
        <v>2024</v>
      </c>
      <c r="D76" s="323">
        <f>SUMPRODUCT(C58:C61,F90:F93)</f>
        <v>0.10630556468951245</v>
      </c>
      <c r="E76" s="323">
        <f>AVERAGE(E58:E61)</f>
        <v>6.8328246651205654E-2</v>
      </c>
      <c r="F76" s="323">
        <f>AVERAGE(F58:F61)</f>
        <v>0.10740971218518303</v>
      </c>
      <c r="G76" s="29"/>
      <c r="H76" s="29"/>
      <c r="I76" s="29"/>
      <c r="J76" s="29"/>
      <c r="K76" s="29">
        <f>SUMPRODUCT(K58:K61,F90:F93)</f>
        <v>0.12720970929960498</v>
      </c>
      <c r="L76" s="29">
        <f>K76/D76</f>
        <v>1.1966420541685419</v>
      </c>
      <c r="M76" s="29"/>
    </row>
    <row r="77" spans="1:24">
      <c r="G77" s="29"/>
      <c r="H77" s="29"/>
      <c r="I77" s="29"/>
      <c r="J77" s="29"/>
      <c r="K77" s="29"/>
      <c r="L77" s="29"/>
      <c r="M77" s="29"/>
    </row>
    <row r="78" spans="1:24">
      <c r="D78" s="156"/>
      <c r="E78" s="29">
        <f t="shared" ref="E78:F83" si="24">(E38+1)</f>
        <v>1.0886666666666667</v>
      </c>
      <c r="F78" s="29">
        <f t="shared" si="24"/>
        <v>1.0983333333333334</v>
      </c>
      <c r="G78" s="29"/>
      <c r="H78" s="29"/>
      <c r="I78" s="29"/>
      <c r="J78" s="29"/>
      <c r="K78" s="29"/>
      <c r="L78" s="29"/>
      <c r="M78" s="29"/>
    </row>
    <row r="79" spans="1:24">
      <c r="E79" s="29">
        <f t="shared" si="24"/>
        <v>1.0913333333333333</v>
      </c>
      <c r="F79" s="29">
        <f t="shared" si="24"/>
        <v>1.0676666666666668</v>
      </c>
      <c r="G79" s="29"/>
      <c r="H79" s="29"/>
      <c r="I79" s="29"/>
      <c r="J79" s="29"/>
      <c r="K79" s="29"/>
      <c r="L79" s="29"/>
      <c r="M79" s="29"/>
    </row>
    <row r="80" spans="1:24">
      <c r="A80">
        <v>2022</v>
      </c>
      <c r="B80">
        <v>1</v>
      </c>
      <c r="D80" s="33">
        <f>D50/100</f>
        <v>0.255</v>
      </c>
      <c r="E80" s="29">
        <f t="shared" si="24"/>
        <v>1.0846666666666667</v>
      </c>
      <c r="F80" s="29">
        <f t="shared" si="24"/>
        <v>1.0429999999999999</v>
      </c>
      <c r="G80" s="29"/>
      <c r="H80" s="29"/>
      <c r="I80" s="29"/>
      <c r="J80" s="29"/>
      <c r="K80" s="29"/>
      <c r="L80" s="29"/>
      <c r="M80" s="29"/>
      <c r="P80" s="504"/>
      <c r="Q80" s="949">
        <v>2021</v>
      </c>
      <c r="R80" s="950"/>
      <c r="S80" s="950"/>
      <c r="T80" s="951"/>
      <c r="U80" s="949">
        <v>2022</v>
      </c>
      <c r="V80" s="950"/>
      <c r="W80" s="950"/>
      <c r="X80" s="951"/>
    </row>
    <row r="81" spans="1:24">
      <c r="A81">
        <v>2022</v>
      </c>
      <c r="B81">
        <v>2</v>
      </c>
      <c r="D81" s="33">
        <f>D51/100</f>
        <v>0.377</v>
      </c>
      <c r="E81" s="29">
        <f t="shared" si="24"/>
        <v>1.0523333333333333</v>
      </c>
      <c r="F81" s="29">
        <f t="shared" si="24"/>
        <v>0.96099999999999997</v>
      </c>
      <c r="G81" s="29"/>
      <c r="H81" s="29"/>
      <c r="I81" s="29"/>
      <c r="J81" s="29"/>
      <c r="K81" s="29"/>
      <c r="L81" s="29"/>
      <c r="M81" s="29"/>
      <c r="P81" s="504"/>
      <c r="Q81" s="503">
        <v>1</v>
      </c>
      <c r="R81" s="503">
        <v>2</v>
      </c>
      <c r="S81" s="503">
        <v>3</v>
      </c>
      <c r="T81" s="503">
        <v>4</v>
      </c>
      <c r="U81" s="503">
        <v>1</v>
      </c>
      <c r="V81" s="503">
        <v>2</v>
      </c>
      <c r="W81" s="503">
        <v>3</v>
      </c>
      <c r="X81" s="503">
        <v>4</v>
      </c>
    </row>
    <row r="82" spans="1:24">
      <c r="A82">
        <v>2022</v>
      </c>
      <c r="B82">
        <v>3</v>
      </c>
      <c r="D82" s="33">
        <f>D52/100</f>
        <v>0.38100000000000001</v>
      </c>
      <c r="E82" s="29">
        <f t="shared" si="24"/>
        <v>1.0263333333333333</v>
      </c>
      <c r="F82" s="29">
        <f t="shared" si="24"/>
        <v>0.94366666666666665</v>
      </c>
      <c r="I82" s="99">
        <f>PRODUCT(E78:E83)</f>
        <v>1.4206082515187477</v>
      </c>
      <c r="J82" s="99"/>
      <c r="K82" s="99"/>
      <c r="L82" s="99"/>
      <c r="M82" s="99"/>
      <c r="N82" s="99">
        <f>PRODUCT(F78:F83)</f>
        <v>1.0636892400263858</v>
      </c>
      <c r="P82" s="498" t="s">
        <v>256</v>
      </c>
      <c r="Q82" s="499">
        <f t="array" ref="Q82:X82">TRANSPOSE(F46:F53)</f>
        <v>0.23500000000000001</v>
      </c>
      <c r="R82" s="499">
        <v>0.33333333333333331</v>
      </c>
      <c r="S82" s="499">
        <v>0.44599999999999995</v>
      </c>
      <c r="T82" s="499">
        <v>0.60033333333333327</v>
      </c>
      <c r="U82" s="500">
        <v>0.5987304620534567</v>
      </c>
      <c r="V82" s="500">
        <v>0.61971599669989452</v>
      </c>
      <c r="W82" s="500">
        <v>0.70140457155676506</v>
      </c>
      <c r="X82" s="500">
        <v>0.52628589945178506</v>
      </c>
    </row>
    <row r="83" spans="1:24">
      <c r="A83">
        <v>2022</v>
      </c>
      <c r="B83">
        <v>4</v>
      </c>
      <c r="D83" s="33">
        <f>D53/100</f>
        <v>0.36499999999999999</v>
      </c>
      <c r="E83" s="29">
        <f t="shared" si="24"/>
        <v>1.0206666666666666</v>
      </c>
      <c r="F83" s="29">
        <f t="shared" si="24"/>
        <v>0.95900000000000007</v>
      </c>
      <c r="P83" s="498" t="s">
        <v>257</v>
      </c>
      <c r="Q83" s="499">
        <f t="array" ref="Q83:X83">TRANSPOSE(E46:E53)</f>
        <v>7.3666666666666672E-2</v>
      </c>
      <c r="R83" s="499">
        <v>9.1333333333333336E-2</v>
      </c>
      <c r="S83" s="499">
        <v>0.10466666666666667</v>
      </c>
      <c r="T83" s="499">
        <v>0.104</v>
      </c>
      <c r="U83" s="500">
        <v>0.11466666666666669</v>
      </c>
      <c r="V83" s="500">
        <v>0.18633333333333335</v>
      </c>
      <c r="W83" s="500">
        <v>0.23533333333333331</v>
      </c>
      <c r="X83" s="500">
        <v>0.26566666666666666</v>
      </c>
    </row>
    <row r="84" spans="1:24" ht="18.75">
      <c r="A84" s="584">
        <v>2023</v>
      </c>
      <c r="B84">
        <v>1</v>
      </c>
      <c r="D84" s="33">
        <f>D54/100</f>
        <v>0.32352897978587086</v>
      </c>
      <c r="E84" s="29"/>
      <c r="F84" s="29"/>
      <c r="P84" s="497" t="s">
        <v>255</v>
      </c>
      <c r="Q84" s="501">
        <f t="array" ref="Q84:X84">TRANSPOSE(D46:D53)</f>
        <v>21.7</v>
      </c>
      <c r="R84" s="501">
        <v>27.3</v>
      </c>
      <c r="S84" s="501">
        <v>26.1</v>
      </c>
      <c r="T84" s="501">
        <v>24.4</v>
      </c>
      <c r="U84" s="502">
        <v>25.5</v>
      </c>
      <c r="V84" s="502">
        <v>37.700000000000003</v>
      </c>
      <c r="W84" s="502">
        <v>38.1</v>
      </c>
      <c r="X84" s="502">
        <v>36.5</v>
      </c>
    </row>
    <row r="85" spans="1:24">
      <c r="D85" s="33"/>
      <c r="E85" s="29"/>
      <c r="F85" s="29"/>
      <c r="Q85" s="33">
        <f>Q84/100</f>
        <v>0.217</v>
      </c>
      <c r="R85" s="33">
        <f>R84/100</f>
        <v>0.27300000000000002</v>
      </c>
      <c r="S85" s="33">
        <f t="shared" ref="S85:X85" si="25">S84/100</f>
        <v>0.26100000000000001</v>
      </c>
      <c r="T85" s="33">
        <f t="shared" si="25"/>
        <v>0.24399999999999999</v>
      </c>
      <c r="U85" s="33">
        <f t="shared" si="25"/>
        <v>0.255</v>
      </c>
      <c r="V85" s="33">
        <f t="shared" si="25"/>
        <v>0.377</v>
      </c>
      <c r="W85" s="33">
        <f t="shared" si="25"/>
        <v>0.38100000000000001</v>
      </c>
      <c r="X85" s="33">
        <f t="shared" si="25"/>
        <v>0.36499999999999999</v>
      </c>
    </row>
    <row r="87" spans="1:24" ht="18.75">
      <c r="E87" s="369">
        <f>SUMPRODUCT($E90:$E93,E46:E49)</f>
        <v>9.4509023882646245E-2</v>
      </c>
      <c r="F87" s="369">
        <f>SUMPRODUCT($E90:$E93,F46:F49)</f>
        <v>0.41795877302038398</v>
      </c>
      <c r="G87" s="369">
        <f>SUMPRODUCT($E90:$E93,G46:G49)</f>
        <v>0.24844761922506364</v>
      </c>
    </row>
    <row r="89" spans="1:24" ht="36">
      <c r="D89" s="150" t="s">
        <v>201</v>
      </c>
      <c r="E89" s="131" t="s">
        <v>1687</v>
      </c>
      <c r="F89" s="131" t="s">
        <v>1688</v>
      </c>
      <c r="G89" s="151" t="s">
        <v>203</v>
      </c>
      <c r="H89" s="151" t="s">
        <v>204</v>
      </c>
      <c r="I89" s="151"/>
      <c r="J89" s="151"/>
      <c r="K89" s="151"/>
      <c r="L89" s="151"/>
      <c r="M89" s="151"/>
    </row>
    <row r="90" spans="1:24" ht="18.75">
      <c r="A90">
        <v>2021</v>
      </c>
      <c r="B90">
        <v>1</v>
      </c>
      <c r="D90" s="29">
        <f>G$90*E46+H$90*F46</f>
        <v>0.19456608788689517</v>
      </c>
      <c r="E90" s="33">
        <v>0.23133109774092706</v>
      </c>
      <c r="F90" s="33">
        <v>0.22</v>
      </c>
      <c r="G90" s="152">
        <v>0.2506234221886664</v>
      </c>
      <c r="H90" s="152">
        <v>0.74937657781133349</v>
      </c>
    </row>
    <row r="91" spans="1:24">
      <c r="A91">
        <v>2021</v>
      </c>
      <c r="B91">
        <v>2</v>
      </c>
      <c r="D91" s="29">
        <f>G$90*E47+H$90*F47</f>
        <v>0.272682465163676</v>
      </c>
      <c r="E91" s="33">
        <v>0.20959899361926879</v>
      </c>
      <c r="F91" s="33">
        <v>0.216</v>
      </c>
    </row>
    <row r="92" spans="1:24">
      <c r="A92">
        <v>2021</v>
      </c>
      <c r="B92">
        <v>3</v>
      </c>
      <c r="D92" s="29">
        <f>G$90*E48+H$90*F48</f>
        <v>0.36045387189293515</v>
      </c>
      <c r="E92" s="33">
        <v>0.27148164994764051</v>
      </c>
      <c r="F92" s="33">
        <v>0.27533156791534202</v>
      </c>
    </row>
    <row r="93" spans="1:24">
      <c r="A93">
        <v>2021</v>
      </c>
      <c r="B93">
        <v>4</v>
      </c>
      <c r="D93" s="29">
        <f>G$90*E49+H$90*F49</f>
        <v>0.47594057478702517</v>
      </c>
      <c r="E93" s="33">
        <v>0.28758825869216365</v>
      </c>
      <c r="F93" s="33">
        <v>0.28917792566022177</v>
      </c>
    </row>
    <row r="95" spans="1:24" ht="21.75">
      <c r="A95" s="153">
        <v>2021</v>
      </c>
      <c r="D95" s="154">
        <f>SUMPRODUCT(D90:D93,E90:E93)</f>
        <v>0.33689468998541849</v>
      </c>
    </row>
    <row r="97" spans="1:18">
      <c r="D97" s="123"/>
    </row>
    <row r="98" spans="1:18">
      <c r="A98">
        <v>2020</v>
      </c>
      <c r="B98" t="s">
        <v>230</v>
      </c>
    </row>
    <row r="99" spans="1:18">
      <c r="B99" t="s">
        <v>231</v>
      </c>
    </row>
    <row r="100" spans="1:18">
      <c r="B100" t="s">
        <v>232</v>
      </c>
    </row>
    <row r="101" spans="1:18">
      <c r="B101" t="s">
        <v>233</v>
      </c>
    </row>
    <row r="102" spans="1:18" ht="63" customHeight="1">
      <c r="A102">
        <v>2021</v>
      </c>
      <c r="B102" t="s">
        <v>230</v>
      </c>
      <c r="E102" s="33">
        <v>7.1165404771739382E-2</v>
      </c>
      <c r="F102" s="29">
        <f t="shared" ref="F102:F109" si="26">F46</f>
        <v>0.23500000000000001</v>
      </c>
      <c r="H102" s="287">
        <f t="shared" ref="H102:H109" si="27">41.77065*F102+36.90601*E102+4.322334</f>
        <v>16.764867890159863</v>
      </c>
      <c r="I102" s="148">
        <f t="shared" ref="I102:I107" si="28">E102/E46</f>
        <v>0.96604621862089657</v>
      </c>
      <c r="J102" s="148"/>
      <c r="K102" s="148"/>
      <c r="L102" s="148"/>
      <c r="M102" s="148"/>
      <c r="O102" s="952" t="s">
        <v>454</v>
      </c>
      <c r="P102" s="952"/>
      <c r="Q102" s="952"/>
      <c r="R102" s="952"/>
    </row>
    <row r="103" spans="1:18">
      <c r="B103" t="s">
        <v>231</v>
      </c>
      <c r="E103" s="33">
        <v>8.8290152849198986E-2</v>
      </c>
      <c r="F103" s="29">
        <f t="shared" si="26"/>
        <v>0.33333333333333331</v>
      </c>
      <c r="H103" s="287">
        <f t="shared" si="27"/>
        <v>21.504321263954068</v>
      </c>
      <c r="I103" s="148">
        <f t="shared" si="28"/>
        <v>0.9666805056481641</v>
      </c>
      <c r="J103" s="148"/>
      <c r="K103" s="148"/>
      <c r="L103" s="148"/>
      <c r="M103" s="148"/>
    </row>
    <row r="104" spans="1:18" ht="18.75">
      <c r="B104" t="s">
        <v>232</v>
      </c>
      <c r="E104" s="33">
        <v>9.7344742643579688E-2</v>
      </c>
      <c r="F104" s="29">
        <f t="shared" si="26"/>
        <v>0.44599999999999995</v>
      </c>
      <c r="H104" s="287">
        <f>41.77065*F104+36.90601*E104+4.322334</f>
        <v>26.544649945451376</v>
      </c>
      <c r="I104" s="148">
        <f t="shared" si="28"/>
        <v>0.93004531188133455</v>
      </c>
      <c r="J104" s="148"/>
      <c r="K104" s="148"/>
      <c r="L104" s="148"/>
      <c r="M104" s="148"/>
      <c r="O104" s="540" t="s">
        <v>453</v>
      </c>
    </row>
    <row r="105" spans="1:18">
      <c r="B105" t="s">
        <v>233</v>
      </c>
      <c r="E105" s="33">
        <v>9.9505446158871358E-2</v>
      </c>
      <c r="F105" s="29">
        <f t="shared" si="26"/>
        <v>0.60033333333333327</v>
      </c>
      <c r="H105" s="287">
        <f t="shared" si="27"/>
        <v>33.070996540993768</v>
      </c>
      <c r="I105" s="148">
        <f t="shared" si="28"/>
        <v>0.95678313614299382</v>
      </c>
      <c r="J105" s="148"/>
      <c r="K105" s="148"/>
      <c r="L105" s="148"/>
      <c r="M105" s="148"/>
    </row>
    <row r="106" spans="1:18">
      <c r="A106">
        <v>2022</v>
      </c>
      <c r="B106" t="s">
        <v>230</v>
      </c>
      <c r="E106" s="33">
        <v>0.10711385230269828</v>
      </c>
      <c r="F106" s="29">
        <f t="shared" si="26"/>
        <v>0.5987304620534567</v>
      </c>
      <c r="H106" s="550">
        <f t="shared" si="27"/>
        <v>33.284839478995124</v>
      </c>
      <c r="I106" s="148">
        <f t="shared" si="28"/>
        <v>0.93413243287236847</v>
      </c>
      <c r="J106" s="148"/>
      <c r="K106" s="148"/>
      <c r="L106" s="148"/>
      <c r="M106" s="148"/>
      <c r="O106" s="551">
        <f>H106/100-H50/100</f>
        <v>-2.787442424447617E-3</v>
      </c>
    </row>
    <row r="107" spans="1:18">
      <c r="B107" t="s">
        <v>231</v>
      </c>
      <c r="E107" s="33">
        <v>0.17351981330947996</v>
      </c>
      <c r="F107" s="29">
        <f t="shared" si="26"/>
        <v>0.61971599669989452</v>
      </c>
      <c r="H107" s="550">
        <f t="shared" si="27"/>
        <v>36.612197962750251</v>
      </c>
      <c r="I107" s="148">
        <f t="shared" si="28"/>
        <v>0.93123334513137723</v>
      </c>
      <c r="J107" s="148"/>
      <c r="K107" s="148"/>
      <c r="L107" s="148"/>
      <c r="M107" s="148"/>
      <c r="O107" s="551">
        <f>H107/100-H51/100</f>
        <v>-4.7289589813553357E-3</v>
      </c>
    </row>
    <row r="108" spans="1:18">
      <c r="B108" t="s">
        <v>232</v>
      </c>
      <c r="E108" s="549">
        <f>E52*AVERAGE(I102:I107)</f>
        <v>0.22297523282832094</v>
      </c>
      <c r="F108" s="29">
        <f t="shared" si="26"/>
        <v>0.70140457155676506</v>
      </c>
      <c r="H108" s="550">
        <f t="shared" si="27"/>
        <v>41.849585039411934</v>
      </c>
      <c r="O108" s="551">
        <f>H108/100-H52/100</f>
        <v>-4.560881808189865E-3</v>
      </c>
    </row>
    <row r="109" spans="1:18">
      <c r="B109" t="s">
        <v>233</v>
      </c>
      <c r="E109" s="549">
        <f>E53*AVERAGE(I103:I107)</f>
        <v>0.25072954407639747</v>
      </c>
      <c r="F109" s="29">
        <f t="shared" si="26"/>
        <v>0.52628589945178506</v>
      </c>
      <c r="H109" s="550">
        <f t="shared" si="27"/>
        <v>35.559065166914671</v>
      </c>
      <c r="O109" s="551">
        <f>H109/100-H53/100</f>
        <v>-5.512695956877034E-3</v>
      </c>
    </row>
    <row r="110" spans="1:18">
      <c r="A110">
        <v>2023</v>
      </c>
      <c r="B110" t="s">
        <v>230</v>
      </c>
      <c r="F110" s="29"/>
    </row>
    <row r="111" spans="1:18">
      <c r="B111" t="s">
        <v>231</v>
      </c>
    </row>
    <row r="112" spans="1:18">
      <c r="B112" t="s">
        <v>232</v>
      </c>
    </row>
    <row r="113" spans="1:17">
      <c r="B113" t="s">
        <v>233</v>
      </c>
    </row>
    <row r="114" spans="1:17">
      <c r="A114">
        <v>2024</v>
      </c>
      <c r="B114" t="s">
        <v>230</v>
      </c>
    </row>
    <row r="115" spans="1:17">
      <c r="B115" t="s">
        <v>231</v>
      </c>
    </row>
    <row r="116" spans="1:17">
      <c r="B116" t="s">
        <v>232</v>
      </c>
    </row>
    <row r="117" spans="1:17" ht="24">
      <c r="B117" t="s">
        <v>233</v>
      </c>
      <c r="P117" s="541" t="s">
        <v>449</v>
      </c>
      <c r="Q117" s="540" t="s">
        <v>441</v>
      </c>
    </row>
    <row r="119" spans="1:17">
      <c r="P119">
        <v>100</v>
      </c>
    </row>
    <row r="120" spans="1:17">
      <c r="A120" s="536">
        <v>2020</v>
      </c>
      <c r="B120" s="497">
        <v>1</v>
      </c>
      <c r="E120" s="33">
        <f>'ІСЦ (Стрим Інфл)'!J98</f>
        <v>3.2000000000000001E-2</v>
      </c>
      <c r="F120" s="33">
        <f>'ІЦВ (Стрим Інфл)+'!J122</f>
        <v>-5.8999999999999997E-2</v>
      </c>
      <c r="H120" s="287">
        <f t="shared" ref="H120:H155" si="29">41.77065*F120+36.90601*E120+4.322334</f>
        <v>3.0388579699999996</v>
      </c>
      <c r="I120" s="288">
        <f>$I$42</f>
        <v>1.8020393087243933</v>
      </c>
      <c r="J120" s="288"/>
      <c r="K120" s="288"/>
      <c r="L120" s="288"/>
      <c r="M120" s="288"/>
      <c r="O120" s="542">
        <f>H120/100*I120</f>
        <v>5.4761415155704124E-2</v>
      </c>
      <c r="P120" s="543">
        <f>(1+O120)*$P$119</f>
        <v>105.4761415155704</v>
      </c>
      <c r="Q120" s="498"/>
    </row>
    <row r="121" spans="1:17">
      <c r="A121" s="537"/>
      <c r="B121" s="497">
        <v>2</v>
      </c>
      <c r="E121" s="33">
        <f>'ІСЦ (Стрим Інфл)'!J99</f>
        <v>2.4E-2</v>
      </c>
      <c r="F121" s="33">
        <f>'ІЦВ (Стрим Інфл)+'!J123</f>
        <v>-6.8000000000000005E-2</v>
      </c>
      <c r="H121" s="287">
        <f t="shared" si="29"/>
        <v>2.3676740399999994</v>
      </c>
      <c r="I121" s="288">
        <f>$I$42</f>
        <v>1.8020393087243933</v>
      </c>
      <c r="J121" s="288"/>
      <c r="K121" s="288"/>
      <c r="L121" s="288"/>
      <c r="M121" s="288"/>
      <c r="O121" s="542">
        <f t="shared" ref="O121:O143" si="30">H121/100*I121</f>
        <v>4.2666416903262901E-2</v>
      </c>
      <c r="P121" s="543">
        <f t="shared" ref="P121:P131" si="31">(1+O121)*$P$119</f>
        <v>104.2666416903263</v>
      </c>
      <c r="Q121" s="542">
        <f>P121/P120-1</f>
        <v>-1.1467046555410421E-2</v>
      </c>
    </row>
    <row r="122" spans="1:17">
      <c r="A122" s="537"/>
      <c r="B122" s="497">
        <v>3</v>
      </c>
      <c r="E122" s="33">
        <f>'ІСЦ (Стрим Інфл)'!J100</f>
        <v>2.3E-2</v>
      </c>
      <c r="F122" s="33">
        <f>'ІЦВ (Стрим Інфл)+'!J124</f>
        <v>-4.2000000000000003E-2</v>
      </c>
      <c r="H122" s="287">
        <f t="shared" si="29"/>
        <v>3.4168049299999996</v>
      </c>
      <c r="I122" s="288">
        <f>$I$42</f>
        <v>1.8020393087243933</v>
      </c>
      <c r="J122" s="288"/>
      <c r="K122" s="288"/>
      <c r="L122" s="288"/>
      <c r="M122" s="288"/>
      <c r="O122" s="542">
        <f t="shared" si="30"/>
        <v>6.1572167941032985E-2</v>
      </c>
      <c r="P122" s="543">
        <f t="shared" si="31"/>
        <v>106.15721679410331</v>
      </c>
      <c r="Q122" s="542">
        <f t="shared" ref="Q122:Q155" si="32">P122/P121-1</f>
        <v>1.8132118510079565E-2</v>
      </c>
    </row>
    <row r="123" spans="1:17">
      <c r="A123" s="537"/>
      <c r="B123" s="497">
        <v>4</v>
      </c>
      <c r="E123" s="33">
        <f>'ІСЦ (Стрим Інфл)'!J101</f>
        <v>2.1000000000000001E-2</v>
      </c>
      <c r="F123" s="33">
        <f>'ІЦВ (Стрим Інфл)+'!J125</f>
        <v>-2.5999999999999999E-2</v>
      </c>
      <c r="H123" s="287">
        <f t="shared" si="29"/>
        <v>4.0113233099999999</v>
      </c>
      <c r="I123" s="288">
        <f>$I$43</f>
        <v>1.6605081795313406</v>
      </c>
      <c r="J123" s="288"/>
      <c r="K123" s="288"/>
      <c r="L123" s="288"/>
      <c r="M123" s="288"/>
      <c r="O123" s="542">
        <f t="shared" si="30"/>
        <v>6.6608351669997318E-2</v>
      </c>
      <c r="P123" s="543">
        <f t="shared" si="31"/>
        <v>106.66083516699973</v>
      </c>
      <c r="Q123" s="542">
        <f t="shared" si="32"/>
        <v>4.7440804130463032E-3</v>
      </c>
    </row>
    <row r="124" spans="1:17">
      <c r="A124" s="537"/>
      <c r="B124" s="497">
        <v>5</v>
      </c>
      <c r="E124" s="33">
        <f>'ІСЦ (Стрим Інфл)'!J102</f>
        <v>1.7000000000000001E-2</v>
      </c>
      <c r="F124" s="33">
        <f>'ІЦВ (Стрим Інфл)+'!J126</f>
        <v>-5.0999999999999941E-2</v>
      </c>
      <c r="H124" s="287">
        <f t="shared" si="29"/>
        <v>2.8194330200000017</v>
      </c>
      <c r="I124" s="288">
        <f>$I$43</f>
        <v>1.6605081795313406</v>
      </c>
      <c r="J124" s="288"/>
      <c r="K124" s="288"/>
      <c r="L124" s="288"/>
      <c r="M124" s="288"/>
      <c r="O124" s="542">
        <f t="shared" si="30"/>
        <v>4.6816915913507527E-2</v>
      </c>
      <c r="P124" s="543">
        <f t="shared" si="31"/>
        <v>104.68169159135074</v>
      </c>
      <c r="Q124" s="542">
        <f t="shared" si="32"/>
        <v>-1.8555485455839849E-2</v>
      </c>
    </row>
    <row r="125" spans="1:17">
      <c r="A125" s="537"/>
      <c r="B125" s="497">
        <v>6</v>
      </c>
      <c r="E125" s="33">
        <f>'ІСЦ (Стрим Інфл)'!J103</f>
        <v>2.4E-2</v>
      </c>
      <c r="F125" s="33">
        <f>'ІЦВ (Стрим Інфл)+'!J127</f>
        <v>-4.5999999999999944E-2</v>
      </c>
      <c r="H125" s="287">
        <f t="shared" si="29"/>
        <v>3.2866283400000018</v>
      </c>
      <c r="I125" s="288">
        <f>$I$43</f>
        <v>1.6605081795313406</v>
      </c>
      <c r="J125" s="288"/>
      <c r="K125" s="288"/>
      <c r="L125" s="288"/>
      <c r="M125" s="288"/>
      <c r="O125" s="542">
        <f t="shared" si="30"/>
        <v>5.4574732416495145E-2</v>
      </c>
      <c r="P125" s="543">
        <f t="shared" si="31"/>
        <v>105.45747324164951</v>
      </c>
      <c r="Q125" s="542">
        <f t="shared" si="32"/>
        <v>7.4108627641136238E-3</v>
      </c>
    </row>
    <row r="126" spans="1:17">
      <c r="A126" s="537"/>
      <c r="B126" s="497">
        <v>7</v>
      </c>
      <c r="E126" s="33">
        <f>'ІСЦ (Стрим Інфл)'!J104</f>
        <v>2.4E-2</v>
      </c>
      <c r="F126" s="33">
        <f>'ІЦВ (Стрим Інфл)+'!J128</f>
        <v>-7.4999999999999997E-2</v>
      </c>
      <c r="H126" s="287">
        <f t="shared" si="29"/>
        <v>2.0752794899999998</v>
      </c>
      <c r="I126" s="288">
        <f>$I$44</f>
        <v>2.5666842990748338</v>
      </c>
      <c r="J126" s="288"/>
      <c r="K126" s="288"/>
      <c r="L126" s="288"/>
      <c r="M126" s="288"/>
      <c r="O126" s="542">
        <f t="shared" si="30"/>
        <v>5.3265872831750272E-2</v>
      </c>
      <c r="P126" s="543">
        <f t="shared" si="31"/>
        <v>105.32658728317503</v>
      </c>
      <c r="Q126" s="542">
        <f t="shared" si="32"/>
        <v>-1.2411254930654314E-3</v>
      </c>
    </row>
    <row r="127" spans="1:17">
      <c r="A127" s="537"/>
      <c r="B127" s="497">
        <v>8</v>
      </c>
      <c r="E127" s="33">
        <f>'ІСЦ (Стрим Інфл)'!J105</f>
        <v>2.5000000000000001E-2</v>
      </c>
      <c r="F127" s="33">
        <f>'ІЦВ (Стрим Інфл)+'!J129</f>
        <v>-4.7E-2</v>
      </c>
      <c r="H127" s="287">
        <f t="shared" si="29"/>
        <v>3.2817636999999995</v>
      </c>
      <c r="I127" s="288">
        <f>$I$44</f>
        <v>2.5666842990748338</v>
      </c>
      <c r="J127" s="288"/>
      <c r="K127" s="288"/>
      <c r="L127" s="288"/>
      <c r="M127" s="288"/>
      <c r="O127" s="542">
        <f t="shared" si="30"/>
        <v>8.4232513620637328E-2</v>
      </c>
      <c r="P127" s="543">
        <f t="shared" si="31"/>
        <v>108.42325136206372</v>
      </c>
      <c r="Q127" s="542">
        <f t="shared" si="32"/>
        <v>2.9400592564184924E-2</v>
      </c>
    </row>
    <row r="128" spans="1:17">
      <c r="A128" s="537"/>
      <c r="B128" s="497">
        <v>9</v>
      </c>
      <c r="E128" s="33">
        <f>'ІСЦ (Стрим Інфл)'!J106</f>
        <v>2.3E-2</v>
      </c>
      <c r="F128" s="33">
        <f>'ІЦВ (Стрим Інфл)+'!J130</f>
        <v>-1.7000000000000001E-2</v>
      </c>
      <c r="H128" s="287">
        <f t="shared" si="29"/>
        <v>4.4610711799999994</v>
      </c>
      <c r="I128" s="288">
        <f>$I$44</f>
        <v>2.5666842990748338</v>
      </c>
      <c r="J128" s="288"/>
      <c r="K128" s="288"/>
      <c r="L128" s="288"/>
      <c r="M128" s="288"/>
      <c r="O128" s="542">
        <f t="shared" si="30"/>
        <v>0.1145016135476124</v>
      </c>
      <c r="P128" s="543">
        <f t="shared" si="31"/>
        <v>111.45016135476125</v>
      </c>
      <c r="Q128" s="542">
        <f t="shared" si="32"/>
        <v>2.7917535719248932E-2</v>
      </c>
    </row>
    <row r="129" spans="1:17">
      <c r="A129" s="537"/>
      <c r="B129" s="497">
        <v>10</v>
      </c>
      <c r="E129" s="33">
        <f>'ІСЦ (Стрим Інфл)'!J107</f>
        <v>2.5999999999999999E-2</v>
      </c>
      <c r="F129" s="33">
        <f>'ІЦВ (Стрим Інфл)+'!J131</f>
        <v>3.2000000000000001E-2</v>
      </c>
      <c r="H129" s="287">
        <f t="shared" si="29"/>
        <v>6.6185510599999997</v>
      </c>
      <c r="I129" s="288">
        <f>$I$45</f>
        <v>1.8643487035286621</v>
      </c>
      <c r="J129" s="288"/>
      <c r="K129" s="288"/>
      <c r="L129" s="288"/>
      <c r="M129" s="288"/>
      <c r="O129" s="542">
        <f t="shared" si="30"/>
        <v>0.12339287087949252</v>
      </c>
      <c r="P129" s="543">
        <f t="shared" si="31"/>
        <v>112.33928708794924</v>
      </c>
      <c r="Q129" s="542">
        <f t="shared" si="32"/>
        <v>7.9777877607354331E-3</v>
      </c>
    </row>
    <row r="130" spans="1:17">
      <c r="A130" s="537"/>
      <c r="B130" s="497">
        <v>11</v>
      </c>
      <c r="E130" s="33">
        <f>'ІСЦ (Стрим Інфл)'!J108</f>
        <v>3.7999999999999999E-2</v>
      </c>
      <c r="F130" s="33">
        <f>'ІЦВ (Стрим Інфл)+'!J132</f>
        <v>8.5999999999999993E-2</v>
      </c>
      <c r="H130" s="287">
        <f t="shared" si="29"/>
        <v>9.3170382800000002</v>
      </c>
      <c r="I130" s="288">
        <f>$I$45</f>
        <v>1.8643487035286621</v>
      </c>
      <c r="J130" s="288"/>
      <c r="K130" s="288"/>
      <c r="L130" s="288"/>
      <c r="M130" s="288"/>
      <c r="O130" s="542">
        <f t="shared" si="30"/>
        <v>0.17370208238044918</v>
      </c>
      <c r="P130" s="543">
        <f t="shared" si="31"/>
        <v>117.37020823804491</v>
      </c>
      <c r="Q130" s="542">
        <f t="shared" si="32"/>
        <v>4.478327467181642E-2</v>
      </c>
    </row>
    <row r="131" spans="1:17">
      <c r="A131" s="538"/>
      <c r="B131" s="497">
        <v>12</v>
      </c>
      <c r="E131" s="33">
        <f>'ІСЦ (Стрим Інфл)'!J109</f>
        <v>0.05</v>
      </c>
      <c r="F131" s="33">
        <f>'ІЦВ (Стрим Інфл)+'!J133</f>
        <v>0.14499999999999999</v>
      </c>
      <c r="H131" s="287">
        <f t="shared" si="29"/>
        <v>12.22437875</v>
      </c>
      <c r="I131" s="288">
        <f>$I$45</f>
        <v>1.8643487035286621</v>
      </c>
      <c r="J131" s="288"/>
      <c r="K131" s="288"/>
      <c r="L131" s="288"/>
      <c r="M131" s="288"/>
      <c r="O131" s="542">
        <f t="shared" si="30"/>
        <v>0.22790504674005826</v>
      </c>
      <c r="P131" s="543">
        <f t="shared" si="31"/>
        <v>122.79050467400583</v>
      </c>
      <c r="Q131" s="542">
        <f t="shared" si="32"/>
        <v>4.61811946773385E-2</v>
      </c>
    </row>
    <row r="132" spans="1:17">
      <c r="A132" s="536">
        <v>2021</v>
      </c>
      <c r="B132" s="497">
        <v>1</v>
      </c>
      <c r="E132" s="33">
        <f>'ІСЦ (Стрим Інфл)'!J110</f>
        <v>6.0999999999999999E-2</v>
      </c>
      <c r="F132" s="33">
        <f>'ІЦВ (Стрим Інфл)+'!J134</f>
        <v>0.17599999999999999</v>
      </c>
      <c r="H132" s="287">
        <f t="shared" si="29"/>
        <v>13.92523501</v>
      </c>
      <c r="I132" s="288">
        <f>$I$46</f>
        <v>1.2872853384021807</v>
      </c>
      <c r="J132" s="288"/>
      <c r="K132" s="288"/>
      <c r="L132" s="288"/>
      <c r="M132" s="288"/>
      <c r="O132" s="542">
        <f t="shared" si="30"/>
        <v>0.17925750862177744</v>
      </c>
      <c r="P132" s="543">
        <f>(1+O132)*P120</f>
        <v>124.38353186268958</v>
      </c>
      <c r="Q132" s="542">
        <f t="shared" si="32"/>
        <v>1.2973537269131974E-2</v>
      </c>
    </row>
    <row r="133" spans="1:17">
      <c r="A133" s="537"/>
      <c r="B133" s="497">
        <v>2</v>
      </c>
      <c r="E133" s="33">
        <f>'ІСЦ (Стрим Інфл)'!J111</f>
        <v>7.4999999999999997E-2</v>
      </c>
      <c r="F133" s="33">
        <f>'ІЦВ (Стрим Інфл)+'!J135</f>
        <v>0.26600000000000001</v>
      </c>
      <c r="H133" s="287">
        <f t="shared" si="29"/>
        <v>18.201277650000002</v>
      </c>
      <c r="I133" s="288">
        <f>$I$46</f>
        <v>1.2872853384021807</v>
      </c>
      <c r="J133" s="288"/>
      <c r="K133" s="288"/>
      <c r="L133" s="288"/>
      <c r="M133" s="288"/>
      <c r="O133" s="542">
        <f t="shared" si="30"/>
        <v>0.23430237859032302</v>
      </c>
      <c r="P133" s="543">
        <f t="shared" ref="P133:P155" si="33">(1+O133)*P121</f>
        <v>128.69656384599469</v>
      </c>
      <c r="Q133" s="542">
        <f t="shared" si="32"/>
        <v>3.4675265436797442E-2</v>
      </c>
    </row>
    <row r="134" spans="1:17">
      <c r="A134" s="537"/>
      <c r="B134" s="497">
        <v>3</v>
      </c>
      <c r="E134" s="33">
        <f>'ІСЦ (Стрим Інфл)'!J112</f>
        <v>8.5000000000000006E-2</v>
      </c>
      <c r="F134" s="33">
        <f>'ІЦВ (Стрим Інфл)+'!J136</f>
        <v>0.26300000000000001</v>
      </c>
      <c r="H134" s="287">
        <f t="shared" si="29"/>
        <v>18.445025800000003</v>
      </c>
      <c r="I134" s="288">
        <f>$I$46</f>
        <v>1.2872853384021807</v>
      </c>
      <c r="J134" s="288"/>
      <c r="K134" s="288"/>
      <c r="L134" s="288"/>
      <c r="M134" s="288"/>
      <c r="O134" s="542">
        <f t="shared" si="30"/>
        <v>0.23744011278789959</v>
      </c>
      <c r="P134" s="543">
        <f t="shared" si="33"/>
        <v>131.3631983229447</v>
      </c>
      <c r="Q134" s="542">
        <f t="shared" si="32"/>
        <v>2.0720323816423303E-2</v>
      </c>
    </row>
    <row r="135" spans="1:17">
      <c r="A135" s="537"/>
      <c r="B135" s="497">
        <v>4</v>
      </c>
      <c r="E135" s="33">
        <f>'ІСЦ (Стрим Інфл)'!J113</f>
        <v>8.4000000000000005E-2</v>
      </c>
      <c r="F135" s="33">
        <f>'ІЦВ (Стрим Інфл)+'!J137</f>
        <v>0.27800000000000002</v>
      </c>
      <c r="H135" s="287">
        <f t="shared" si="29"/>
        <v>19.034679540000003</v>
      </c>
      <c r="I135" s="288">
        <f>$I$47</f>
        <v>1.2629163898675966</v>
      </c>
      <c r="J135" s="288"/>
      <c r="K135" s="288"/>
      <c r="L135" s="288"/>
      <c r="M135" s="288"/>
      <c r="O135" s="542">
        <f t="shared" si="30"/>
        <v>0.24039208766943407</v>
      </c>
      <c r="P135" s="543">
        <f t="shared" si="33"/>
        <v>132.30125600536019</v>
      </c>
      <c r="Q135" s="542">
        <f t="shared" si="32"/>
        <v>7.1409473459176365E-3</v>
      </c>
    </row>
    <row r="136" spans="1:17">
      <c r="A136" s="537"/>
      <c r="B136" s="497">
        <v>5</v>
      </c>
      <c r="E136" s="33">
        <f>'ІСЦ (Стрим Інфл)'!J114</f>
        <v>9.5000000000000001E-2</v>
      </c>
      <c r="F136" s="33">
        <f>'ІЦВ (Стрим Інфл)+'!J138</f>
        <v>0.33100000000000002</v>
      </c>
      <c r="H136" s="287">
        <f t="shared" si="29"/>
        <v>21.654490100000004</v>
      </c>
      <c r="I136" s="288">
        <f>$I$47</f>
        <v>1.2629163898675966</v>
      </c>
      <c r="J136" s="288"/>
      <c r="K136" s="288"/>
      <c r="L136" s="288"/>
      <c r="M136" s="288"/>
      <c r="O136" s="542">
        <f t="shared" si="30"/>
        <v>0.27347810461515615</v>
      </c>
      <c r="P136" s="543">
        <f t="shared" si="33"/>
        <v>133.30984219566167</v>
      </c>
      <c r="Q136" s="542">
        <f t="shared" si="32"/>
        <v>7.6234060110558222E-3</v>
      </c>
    </row>
    <row r="137" spans="1:17">
      <c r="A137" s="537"/>
      <c r="B137" s="497">
        <v>6</v>
      </c>
      <c r="E137" s="33">
        <f>'ІСЦ (Стрим Інфл)'!J115</f>
        <v>9.5000000000000001E-2</v>
      </c>
      <c r="F137" s="33">
        <f>'ІЦВ (Стрим Інфл)+'!J139</f>
        <v>0.39100000000000001</v>
      </c>
      <c r="H137" s="287">
        <f t="shared" si="29"/>
        <v>24.160729100000005</v>
      </c>
      <c r="I137" s="288">
        <f>$I$47</f>
        <v>1.2629163898675966</v>
      </c>
      <c r="J137" s="288"/>
      <c r="K137" s="288"/>
      <c r="L137" s="288"/>
      <c r="M137" s="288"/>
      <c r="O137" s="542">
        <f t="shared" si="30"/>
        <v>0.30512980771540993</v>
      </c>
      <c r="P137" s="543">
        <f t="shared" si="33"/>
        <v>137.63569177402701</v>
      </c>
      <c r="Q137" s="542">
        <f t="shared" si="32"/>
        <v>3.2449588920945516E-2</v>
      </c>
    </row>
    <row r="138" spans="1:17">
      <c r="A138" s="537"/>
      <c r="B138" s="497">
        <v>7</v>
      </c>
      <c r="E138" s="33">
        <f>'ІСЦ (Стрим Інфл)'!J116</f>
        <v>0.10199999999999999</v>
      </c>
      <c r="F138" s="33">
        <f>'ІЦВ (Стрим Інфл)+'!J140</f>
        <v>0.42199999999999988</v>
      </c>
      <c r="H138" s="287">
        <f t="shared" si="29"/>
        <v>25.713961319999996</v>
      </c>
      <c r="I138" s="288">
        <f>$I$48</f>
        <v>0.97334043133120529</v>
      </c>
      <c r="J138" s="288"/>
      <c r="K138" s="288"/>
      <c r="L138" s="288"/>
      <c r="M138" s="288"/>
      <c r="O138" s="542">
        <f t="shared" si="30"/>
        <v>0.25028438202442727</v>
      </c>
      <c r="P138" s="543">
        <f t="shared" si="33"/>
        <v>131.68818709208639</v>
      </c>
      <c r="Q138" s="542">
        <f t="shared" si="32"/>
        <v>-4.3211935837873638E-2</v>
      </c>
    </row>
    <row r="139" spans="1:17">
      <c r="A139" s="537"/>
      <c r="B139" s="497">
        <v>8</v>
      </c>
      <c r="E139" s="33">
        <f>'ІСЦ (Стрим Інфл)'!J117</f>
        <v>0.10199999999999999</v>
      </c>
      <c r="F139" s="33">
        <f>'ІЦВ (Стрим Інфл)+'!J141</f>
        <v>0.46500000000000002</v>
      </c>
      <c r="H139" s="287">
        <f t="shared" si="29"/>
        <v>27.510099270000005</v>
      </c>
      <c r="I139" s="288">
        <f>$I$48</f>
        <v>0.97334043133120529</v>
      </c>
      <c r="J139" s="288"/>
      <c r="K139" s="288"/>
      <c r="L139" s="288"/>
      <c r="M139" s="288"/>
      <c r="O139" s="542">
        <f t="shared" si="30"/>
        <v>0.2677669188942608</v>
      </c>
      <c r="P139" s="543">
        <f t="shared" si="33"/>
        <v>137.4554113157815</v>
      </c>
      <c r="Q139" s="542">
        <f t="shared" si="32"/>
        <v>4.37945449098045E-2</v>
      </c>
    </row>
    <row r="140" spans="1:17">
      <c r="A140" s="537"/>
      <c r="B140" s="497">
        <v>9</v>
      </c>
      <c r="E140" s="33">
        <f>'ІСЦ (Стрим Інфл)'!J118</f>
        <v>0.11</v>
      </c>
      <c r="F140" s="33">
        <f>'ІЦВ (Стрим Інфл)+'!J142</f>
        <v>0.45100000000000001</v>
      </c>
      <c r="H140" s="287">
        <f t="shared" si="29"/>
        <v>27.220558250000003</v>
      </c>
      <c r="I140" s="288">
        <f>$I$48</f>
        <v>0.97334043133120529</v>
      </c>
      <c r="J140" s="288"/>
      <c r="K140" s="288"/>
      <c r="L140" s="288"/>
      <c r="M140" s="288"/>
      <c r="O140" s="542">
        <f t="shared" si="30"/>
        <v>0.26494869908131202</v>
      </c>
      <c r="P140" s="543">
        <f t="shared" si="33"/>
        <v>140.97873661810755</v>
      </c>
      <c r="Q140" s="542">
        <f t="shared" si="32"/>
        <v>2.5632496157112161E-2</v>
      </c>
    </row>
    <row r="141" spans="1:17">
      <c r="A141" s="537"/>
      <c r="B141" s="497">
        <v>10</v>
      </c>
      <c r="E141" s="33">
        <f>'ІСЦ (Стрим Інфл)'!J119</f>
        <v>0.109</v>
      </c>
      <c r="F141" s="33">
        <f>'ІЦВ (Стрим Інфл)+'!J143</f>
        <v>0.57199999999999995</v>
      </c>
      <c r="H141" s="287">
        <f t="shared" si="29"/>
        <v>32.237900889999999</v>
      </c>
      <c r="I141" s="288">
        <f>$I$49</f>
        <v>0.73412442563387403</v>
      </c>
      <c r="J141" s="288"/>
      <c r="K141" s="288"/>
      <c r="L141" s="288"/>
      <c r="M141" s="288"/>
      <c r="O141" s="542">
        <f t="shared" si="30"/>
        <v>0.23666630474513006</v>
      </c>
      <c r="P141" s="543">
        <f t="shared" si="33"/>
        <v>138.9262110407565</v>
      </c>
      <c r="Q141" s="542">
        <f t="shared" si="32"/>
        <v>-1.4559114562865294E-2</v>
      </c>
    </row>
    <row r="142" spans="1:17">
      <c r="A142" s="537"/>
      <c r="B142" s="497">
        <v>11</v>
      </c>
      <c r="E142" s="33">
        <f>'ІСЦ (Стрим Інфл)'!J120</f>
        <v>0.10299999999999999</v>
      </c>
      <c r="F142" s="33">
        <f>'ІЦВ (Стрим Інфл)+'!J144</f>
        <v>0.60699999999999998</v>
      </c>
      <c r="H142" s="287">
        <f t="shared" si="29"/>
        <v>33.478437579999998</v>
      </c>
      <c r="I142" s="288">
        <f>$I$49</f>
        <v>0.73412442563387403</v>
      </c>
      <c r="J142" s="288"/>
      <c r="K142" s="288"/>
      <c r="L142" s="288"/>
      <c r="M142" s="288"/>
      <c r="O142" s="542">
        <f t="shared" si="30"/>
        <v>0.24577338759537001</v>
      </c>
      <c r="P142" s="543">
        <f t="shared" si="33"/>
        <v>146.21668191948322</v>
      </c>
      <c r="Q142" s="542">
        <f t="shared" si="32"/>
        <v>5.2477288656407106E-2</v>
      </c>
    </row>
    <row r="143" spans="1:17">
      <c r="A143" s="538"/>
      <c r="B143" s="497">
        <v>12</v>
      </c>
      <c r="E143" s="33">
        <f>'ІСЦ (Стрим Інфл)'!J121</f>
        <v>0.1</v>
      </c>
      <c r="F143" s="33">
        <f>'ІЦВ (Стрим Інфл)+'!J145</f>
        <v>0.622</v>
      </c>
      <c r="H143" s="287">
        <f t="shared" si="29"/>
        <v>33.994279300000002</v>
      </c>
      <c r="I143" s="288">
        <f>$I$49</f>
        <v>0.73412442563387403</v>
      </c>
      <c r="J143" s="288"/>
      <c r="K143" s="288"/>
      <c r="L143" s="288"/>
      <c r="M143" s="288"/>
      <c r="O143" s="542">
        <f t="shared" si="30"/>
        <v>0.24956030765949994</v>
      </c>
      <c r="P143" s="543">
        <f t="shared" si="33"/>
        <v>153.43414079811598</v>
      </c>
      <c r="Q143" s="542">
        <f t="shared" si="32"/>
        <v>4.936139149024843E-2</v>
      </c>
    </row>
    <row r="144" spans="1:17" ht="18.75">
      <c r="A144" s="536">
        <v>2022</v>
      </c>
      <c r="B144" s="497">
        <v>1</v>
      </c>
      <c r="E144" s="486">
        <f>'ІСЦ (Стрим Інфл)'!R124</f>
        <v>0.1</v>
      </c>
      <c r="F144" s="486">
        <f>'ІЦВ (Стрим Інфл)+'!U148</f>
        <v>0.69099999999999995</v>
      </c>
      <c r="H144" s="287">
        <f t="shared" si="29"/>
        <v>36.876454150000001</v>
      </c>
      <c r="I144" s="539">
        <v>1</v>
      </c>
      <c r="J144" s="539"/>
      <c r="K144" s="539"/>
      <c r="L144" s="539"/>
      <c r="M144" s="539"/>
      <c r="O144" s="544">
        <f>H144/100*$I$144</f>
        <v>0.36876454149999999</v>
      </c>
      <c r="P144" s="543">
        <f t="shared" si="33"/>
        <v>170.25176796018494</v>
      </c>
      <c r="Q144" s="542">
        <f t="shared" si="32"/>
        <v>0.10960811638523849</v>
      </c>
    </row>
    <row r="145" spans="1:21">
      <c r="A145" s="537"/>
      <c r="B145" s="497">
        <v>2</v>
      </c>
      <c r="E145" s="486">
        <f>'ІСЦ (Стрим Інфл)'!R125</f>
        <v>0.10700000000000003</v>
      </c>
      <c r="F145" s="486">
        <f>'ІЦВ (Стрим Інфл)+'!U149</f>
        <v>0.53500000000000003</v>
      </c>
      <c r="H145" s="287">
        <f t="shared" si="29"/>
        <v>30.618574820000006</v>
      </c>
      <c r="O145" s="544">
        <f t="shared" ref="O145:O155" si="34">H145/100*$I$144</f>
        <v>0.30618574820000005</v>
      </c>
      <c r="P145" s="543">
        <f t="shared" si="33"/>
        <v>168.10161753794966</v>
      </c>
      <c r="Q145" s="542">
        <f t="shared" si="32"/>
        <v>-1.2629239907441692E-2</v>
      </c>
    </row>
    <row r="146" spans="1:21">
      <c r="A146" s="537"/>
      <c r="B146" s="497">
        <v>3</v>
      </c>
      <c r="E146" s="486">
        <f>'ІСЦ (Стрим Інфл)'!R126</f>
        <v>0.13700000000000004</v>
      </c>
      <c r="F146" s="486">
        <f>'ІЦВ (Стрим Інфл)+'!U150</f>
        <v>0.57019138616037024</v>
      </c>
      <c r="H146" s="287">
        <f t="shared" si="29"/>
        <v>33.195722194319671</v>
      </c>
      <c r="O146" s="544">
        <f t="shared" si="34"/>
        <v>0.33195722194319671</v>
      </c>
      <c r="P146" s="543">
        <f t="shared" si="33"/>
        <v>174.97016070380263</v>
      </c>
      <c r="Q146" s="542">
        <f t="shared" si="32"/>
        <v>4.0859470994099034E-2</v>
      </c>
      <c r="S146" s="306">
        <f>AVERAGE(P144:P148)</f>
        <v>175.36769212875225</v>
      </c>
    </row>
    <row r="147" spans="1:21">
      <c r="A147" s="537"/>
      <c r="B147" s="497">
        <v>4</v>
      </c>
      <c r="E147" s="486">
        <f>'ІСЦ (Стрим Інфл)'!R127</f>
        <v>0.16400000000000006</v>
      </c>
      <c r="F147" s="486">
        <f>'ІЦВ (Стрим Інфл)+'!U151</f>
        <v>0.62967310526321851</v>
      </c>
      <c r="H147" s="287">
        <f t="shared" si="29"/>
        <v>36.676774534363062</v>
      </c>
      <c r="O147" s="544">
        <f t="shared" si="34"/>
        <v>0.3667677453436306</v>
      </c>
      <c r="P147" s="543">
        <f t="shared" si="33"/>
        <v>180.82508937657661</v>
      </c>
      <c r="Q147" s="542">
        <f t="shared" si="32"/>
        <v>3.3462440962636286E-2</v>
      </c>
      <c r="S147" s="306"/>
    </row>
    <row r="148" spans="1:21">
      <c r="A148" s="537"/>
      <c r="B148" s="497">
        <v>5</v>
      </c>
      <c r="E148" s="486">
        <f>'ІСЦ (Стрим Інфл)'!R128</f>
        <v>0.18</v>
      </c>
      <c r="F148" s="486">
        <f>'ІЦВ (Стрим Інфл)+'!U152</f>
        <v>0.62426841470854244</v>
      </c>
      <c r="H148" s="287">
        <f t="shared" si="29"/>
        <v>37.041513256845377</v>
      </c>
      <c r="O148" s="544">
        <f t="shared" si="34"/>
        <v>0.37041513256845376</v>
      </c>
      <c r="P148" s="543">
        <f t="shared" si="33"/>
        <v>182.68982506524733</v>
      </c>
      <c r="Q148" s="542">
        <f t="shared" si="32"/>
        <v>1.0312372553497484E-2</v>
      </c>
      <c r="S148" s="306"/>
    </row>
    <row r="149" spans="1:21">
      <c r="A149" s="537"/>
      <c r="B149" s="497">
        <v>6</v>
      </c>
      <c r="E149" s="486">
        <f>'ІСЦ (Стрим Інфл)'!R129</f>
        <v>0.215</v>
      </c>
      <c r="F149" s="486">
        <f>'ІЦВ (Стрим Інфл)+'!U153</f>
        <v>0.60520647012792284</v>
      </c>
      <c r="H149" s="287">
        <f t="shared" si="29"/>
        <v>37.536993791448921</v>
      </c>
      <c r="O149" s="544">
        <f t="shared" si="34"/>
        <v>0.37536993791448919</v>
      </c>
      <c r="P149" s="543">
        <f t="shared" si="33"/>
        <v>189.2999928500613</v>
      </c>
      <c r="Q149" s="542">
        <f t="shared" si="32"/>
        <v>3.6182462720368624E-2</v>
      </c>
      <c r="S149" s="306"/>
    </row>
    <row r="150" spans="1:21">
      <c r="A150" s="537"/>
      <c r="B150" s="497">
        <v>7</v>
      </c>
      <c r="E150" s="486">
        <f>'ІСЦ (Стрим Інфл)'!R130</f>
        <v>0.222</v>
      </c>
      <c r="F150" s="486">
        <f>'ІЦВ (Стрим Інфл)+'!U154</f>
        <v>0.70414817775523686</v>
      </c>
      <c r="H150" s="287">
        <f t="shared" si="29"/>
        <v>41.928195301151788</v>
      </c>
      <c r="O150" s="544">
        <f t="shared" si="34"/>
        <v>0.41928195301151788</v>
      </c>
      <c r="P150" s="543">
        <f t="shared" si="33"/>
        <v>186.90266736460254</v>
      </c>
      <c r="Q150" s="542">
        <f t="shared" si="32"/>
        <v>-1.2664160464906149E-2</v>
      </c>
      <c r="S150" s="306"/>
    </row>
    <row r="151" spans="1:21">
      <c r="A151" s="537"/>
      <c r="B151" s="497">
        <v>8</v>
      </c>
      <c r="E151" s="486">
        <f>'ІСЦ (Стрим Інфл)'!R131</f>
        <v>0.23799999999999999</v>
      </c>
      <c r="F151" s="486">
        <f>'ІЦВ (Стрим Інфл)+'!U155</f>
        <v>0.71958968373921817</v>
      </c>
      <c r="H151" s="287">
        <f t="shared" si="29"/>
        <v>43.163693203081571</v>
      </c>
      <c r="O151" s="544">
        <f t="shared" si="34"/>
        <v>0.43163693203081571</v>
      </c>
      <c r="P151" s="543">
        <f t="shared" si="33"/>
        <v>196.78624334715931</v>
      </c>
      <c r="Q151" s="542">
        <f t="shared" si="32"/>
        <v>5.2880871749552361E-2</v>
      </c>
      <c r="S151" s="306"/>
    </row>
    <row r="152" spans="1:21">
      <c r="A152" s="537"/>
      <c r="B152" s="497">
        <v>9</v>
      </c>
      <c r="E152" s="486">
        <f>'ІСЦ (Стрим Інфл)'!R132</f>
        <v>0.246</v>
      </c>
      <c r="F152" s="486">
        <f>'ІЦВ (Стрим Інфл)+'!U156</f>
        <v>0.68047585317584036</v>
      </c>
      <c r="H152" s="287">
        <f t="shared" si="29"/>
        <v>41.825131156459413</v>
      </c>
      <c r="O152" s="544">
        <f t="shared" si="34"/>
        <v>0.41825131156459411</v>
      </c>
      <c r="P152" s="543">
        <f t="shared" si="33"/>
        <v>199.94327811135048</v>
      </c>
      <c r="Q152" s="542">
        <f t="shared" si="32"/>
        <v>1.6042964744348076E-2</v>
      </c>
      <c r="S152" s="306">
        <f>AVERAGE(P149:P155)</f>
        <v>195.64330749312225</v>
      </c>
      <c r="U152" s="33">
        <f>S152/S146-1</f>
        <v>0.11561773504713724</v>
      </c>
    </row>
    <row r="153" spans="1:21">
      <c r="A153" s="537"/>
      <c r="B153" s="497">
        <v>10</v>
      </c>
      <c r="E153" s="486">
        <f>'ІСЦ (Стрим Інфл)'!R133</f>
        <v>0.26600000000000001</v>
      </c>
      <c r="F153" s="486">
        <f>'ІЦВ (Стрим Інфл)+'!U157</f>
        <v>0.58804126527813017</v>
      </c>
      <c r="H153" s="287">
        <f t="shared" si="29"/>
        <v>38.702198537489927</v>
      </c>
      <c r="O153" s="544">
        <f t="shared" si="34"/>
        <v>0.38702198537489929</v>
      </c>
      <c r="P153" s="543">
        <f t="shared" si="33"/>
        <v>192.69370905836234</v>
      </c>
      <c r="Q153" s="542">
        <f t="shared" si="32"/>
        <v>-3.6258128412552937E-2</v>
      </c>
    </row>
    <row r="154" spans="1:21">
      <c r="A154" s="537"/>
      <c r="B154" s="497">
        <v>11</v>
      </c>
      <c r="E154" s="486">
        <f>'ІСЦ (Стрим Інфл)'!R134</f>
        <v>0.26500000000000001</v>
      </c>
      <c r="F154" s="486">
        <f>'ІЦВ (Стрим Інфл)+'!U158</f>
        <v>0.52742962154455708</v>
      </c>
      <c r="H154" s="287">
        <f t="shared" si="29"/>
        <v>36.133504771170152</v>
      </c>
      <c r="O154" s="544">
        <f t="shared" si="34"/>
        <v>0.3613350477117015</v>
      </c>
      <c r="P154" s="543">
        <f t="shared" si="33"/>
        <v>199.04989365710637</v>
      </c>
      <c r="Q154" s="542">
        <f t="shared" si="32"/>
        <v>3.2985947646162472E-2</v>
      </c>
    </row>
    <row r="155" spans="1:21">
      <c r="A155" s="538"/>
      <c r="B155" s="497">
        <v>12</v>
      </c>
      <c r="E155" s="486">
        <f>'ІСЦ (Стрим Інфл)'!R135</f>
        <v>0.26600000000000001</v>
      </c>
      <c r="F155" s="486">
        <f>'ІЦВ (Стрим Інфл)+'!U159</f>
        <v>0.46338681153266803</v>
      </c>
      <c r="H155" s="287">
        <f t="shared" si="29"/>
        <v>33.495300979147039</v>
      </c>
      <c r="O155" s="544">
        <f t="shared" si="34"/>
        <v>0.33495300979147041</v>
      </c>
      <c r="P155" s="543">
        <f t="shared" si="33"/>
        <v>204.82736806321316</v>
      </c>
      <c r="Q155" s="542">
        <f t="shared" si="32"/>
        <v>2.9025257436506635E-2</v>
      </c>
    </row>
    <row r="157" spans="1:21">
      <c r="P157" s="33">
        <f>P155/AVERAGE(P144:P155)-1</f>
        <v>9.4191730424901587E-2</v>
      </c>
    </row>
  </sheetData>
  <mergeCells count="3">
    <mergeCell ref="Q80:T80"/>
    <mergeCell ref="U80:X80"/>
    <mergeCell ref="O102:R102"/>
  </mergeCells>
  <conditionalFormatting sqref="I18:M53">
    <cfRule type="colorScale" priority="2">
      <colorScale>
        <cfvo type="min"/>
        <cfvo type="percentile" val="50"/>
        <cfvo type="max"/>
        <color rgb="FFF8696B"/>
        <color rgb="FFFCFCFF"/>
        <color rgb="FF63BE7B"/>
      </colorScale>
    </cfRule>
  </conditionalFormatting>
  <conditionalFormatting sqref="I42:M53">
    <cfRule type="colorScale" priority="4">
      <colorScale>
        <cfvo type="min"/>
        <cfvo type="percentile" val="50"/>
        <cfvo type="max"/>
        <color rgb="FFF8696B"/>
        <color rgb="FFFCFCFF"/>
        <color rgb="FF63BE7B"/>
      </colorScale>
    </cfRule>
  </conditionalFormatting>
  <conditionalFormatting sqref="L54:L61">
    <cfRule type="colorScale" priority="1">
      <colorScale>
        <cfvo type="min"/>
        <cfvo type="percentile" val="50"/>
        <cfvo type="max"/>
        <color rgb="FFF8696B"/>
        <color rgb="FFFCFCFF"/>
        <color rgb="FF63BE7B"/>
      </colorScale>
    </cfRule>
  </conditionalFormatting>
  <conditionalFormatting sqref="Q144:Q155">
    <cfRule type="colorScale" priority="3">
      <colorScale>
        <cfvo type="min"/>
        <cfvo type="percentile" val="50"/>
        <cfvo type="max"/>
        <color rgb="FFF8696B"/>
        <color rgb="FFFCFCFF"/>
        <color rgb="FF63BE7B"/>
      </colorScale>
    </cfRule>
  </conditionalFormatting>
  <conditionalFormatting sqref="AA6:AA42">
    <cfRule type="colorScale" priority="6">
      <colorScale>
        <cfvo type="min"/>
        <cfvo type="percentile" val="50"/>
        <cfvo type="max"/>
        <color rgb="FFF8696B"/>
        <color rgb="FFFCFCFF"/>
        <color rgb="FF63BE7B"/>
      </colorScale>
    </cfRule>
  </conditionalFormatting>
  <conditionalFormatting sqref="AB6:AB42">
    <cfRule type="colorScale" priority="5">
      <colorScale>
        <cfvo type="min"/>
        <cfvo type="percentile" val="50"/>
        <cfvo type="max"/>
        <color rgb="FFF8696B"/>
        <color rgb="FFFCFCFF"/>
        <color rgb="FF63BE7B"/>
      </colorScale>
    </cfRule>
  </conditionalFormatting>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tint="0.59999389629810485"/>
  </sheetPr>
  <dimension ref="A1:BN151"/>
  <sheetViews>
    <sheetView zoomScale="70" zoomScaleNormal="70" workbookViewId="0">
      <pane xSplit="2" ySplit="1" topLeftCell="C53" activePane="bottomRight" state="frozen"/>
      <selection pane="topRight" activeCell="C1" sqref="C1"/>
      <selection pane="bottomLeft" activeCell="A2" sqref="A2"/>
      <selection pane="bottomRight" activeCell="H12" sqref="H12"/>
    </sheetView>
  </sheetViews>
  <sheetFormatPr defaultColWidth="8.69921875" defaultRowHeight="18"/>
  <cols>
    <col min="2" max="3" width="9.69921875" customWidth="1"/>
    <col min="4" max="4" width="32.3984375" customWidth="1"/>
    <col min="5" max="5" width="14" customWidth="1"/>
    <col min="6" max="9" width="11.19921875" customWidth="1"/>
    <col min="10" max="10" width="13.69921875" customWidth="1"/>
    <col min="21" max="21" width="13.69921875" customWidth="1"/>
    <col min="26" max="26" width="12.59765625" customWidth="1"/>
    <col min="27" max="27" width="12.09765625" customWidth="1"/>
    <col min="28" max="28" width="17.69921875" customWidth="1"/>
    <col min="29" max="29" width="13.59765625" customWidth="1"/>
    <col min="30" max="30" width="20" customWidth="1"/>
    <col min="31" max="31" width="13.69921875" customWidth="1"/>
    <col min="32" max="32" width="14.59765625" customWidth="1"/>
    <col min="33" max="33" width="8.69921875" customWidth="1"/>
    <col min="34" max="34" width="8.3984375" customWidth="1"/>
    <col min="35" max="35" width="9" customWidth="1"/>
    <col min="36" max="36" width="12.59765625" customWidth="1"/>
  </cols>
  <sheetData>
    <row r="1" spans="1:66" s="86" customFormat="1" ht="54" customHeight="1">
      <c r="B1" s="87"/>
      <c r="C1" s="87"/>
      <c r="D1" s="128" t="s">
        <v>181</v>
      </c>
      <c r="E1" s="6" t="s">
        <v>257</v>
      </c>
      <c r="F1" s="6" t="s">
        <v>256</v>
      </c>
      <c r="G1" s="6" t="str">
        <f>INDEX(BN2:BN4,MATCH('Чарти 5-7'!$B$1,$BM$2:$BM$4,0),1)</f>
        <v>Дефлятор</v>
      </c>
      <c r="H1" s="6" t="s">
        <v>284</v>
      </c>
      <c r="I1" s="284" t="s">
        <v>285</v>
      </c>
      <c r="J1" s="25" t="s">
        <v>0</v>
      </c>
      <c r="K1" s="88" t="s">
        <v>140</v>
      </c>
      <c r="L1" s="88" t="s">
        <v>141</v>
      </c>
      <c r="M1" s="25" t="s">
        <v>10</v>
      </c>
      <c r="N1" s="89" t="s">
        <v>140</v>
      </c>
      <c r="O1" s="89" t="s">
        <v>141</v>
      </c>
      <c r="P1" s="26" t="s">
        <v>138</v>
      </c>
      <c r="Q1" s="89" t="s">
        <v>140</v>
      </c>
      <c r="R1" s="89" t="s">
        <v>141</v>
      </c>
      <c r="T1" s="91" t="s">
        <v>171</v>
      </c>
      <c r="U1" s="91" t="s">
        <v>172</v>
      </c>
      <c r="V1" s="92" t="s">
        <v>166</v>
      </c>
      <c r="W1" s="90" t="s">
        <v>169</v>
      </c>
      <c r="X1" s="90" t="s">
        <v>170</v>
      </c>
      <c r="Y1" s="86" t="s">
        <v>11</v>
      </c>
      <c r="Z1" s="86" t="s">
        <v>5</v>
      </c>
      <c r="AA1" s="86" t="s">
        <v>12</v>
      </c>
      <c r="AB1" s="86" t="s">
        <v>13</v>
      </c>
      <c r="AC1" s="86" t="s">
        <v>14</v>
      </c>
      <c r="AD1" s="86" t="s">
        <v>139</v>
      </c>
      <c r="AE1" s="86" t="s">
        <v>153</v>
      </c>
      <c r="AF1" s="86" t="s">
        <v>15</v>
      </c>
      <c r="AG1" s="86" t="s">
        <v>16</v>
      </c>
      <c r="AH1" s="86" t="s">
        <v>17</v>
      </c>
      <c r="AI1" s="86" t="s">
        <v>4</v>
      </c>
      <c r="AJ1" s="86" t="s">
        <v>0</v>
      </c>
      <c r="AK1" s="86" t="s">
        <v>10</v>
      </c>
      <c r="AL1" s="86" t="s">
        <v>168</v>
      </c>
    </row>
    <row r="2" spans="1:66" ht="21.75">
      <c r="A2">
        <v>2010</v>
      </c>
      <c r="B2">
        <v>1</v>
      </c>
      <c r="D2" t="s">
        <v>26</v>
      </c>
      <c r="F2" s="74"/>
      <c r="G2" s="74"/>
      <c r="H2" s="74"/>
      <c r="I2" s="74"/>
      <c r="J2" s="74"/>
      <c r="K2" s="74"/>
      <c r="L2" s="74"/>
      <c r="M2" s="74"/>
      <c r="N2" s="74"/>
      <c r="O2" s="74"/>
      <c r="P2" s="74"/>
      <c r="Q2" s="74"/>
      <c r="R2" s="74"/>
      <c r="S2" s="74"/>
      <c r="T2" s="74"/>
      <c r="U2" s="74"/>
      <c r="V2" s="96">
        <v>0.1</v>
      </c>
      <c r="W2" s="33"/>
      <c r="Y2">
        <v>94.730805196105507</v>
      </c>
      <c r="Z2">
        <v>7.9881105606758842</v>
      </c>
      <c r="AA2">
        <f>Y2*Z2</f>
        <v>756.72014540834027</v>
      </c>
      <c r="AB2">
        <v>1993.3333333333333</v>
      </c>
      <c r="AC2">
        <v>191991.79905780833</v>
      </c>
      <c r="AD2">
        <v>4.4999999999999998E-2</v>
      </c>
      <c r="AJ2" s="83">
        <v>0.11199999999999999</v>
      </c>
      <c r="AK2" s="83">
        <v>0.17100000000000001</v>
      </c>
      <c r="BM2" s="6" t="s">
        <v>500</v>
      </c>
      <c r="BN2" t="s">
        <v>138</v>
      </c>
    </row>
    <row r="3" spans="1:66" ht="21.75">
      <c r="A3">
        <v>2010</v>
      </c>
      <c r="B3">
        <v>2</v>
      </c>
      <c r="D3" t="s">
        <v>27</v>
      </c>
      <c r="F3" s="74"/>
      <c r="G3" s="74"/>
      <c r="H3" s="74"/>
      <c r="I3" s="74"/>
      <c r="J3" s="74"/>
      <c r="K3" s="74"/>
      <c r="L3" s="74"/>
      <c r="M3" s="74"/>
      <c r="N3" s="74"/>
      <c r="O3" s="74"/>
      <c r="P3" s="74"/>
      <c r="Q3" s="74"/>
      <c r="R3" s="74"/>
      <c r="S3" s="74"/>
      <c r="T3" s="74"/>
      <c r="U3" s="74"/>
      <c r="V3" s="96">
        <v>0.13800000000000001</v>
      </c>
      <c r="W3" s="33"/>
      <c r="Y3">
        <v>99.016440801199792</v>
      </c>
      <c r="Z3">
        <v>7.9223897491039432</v>
      </c>
      <c r="AA3">
        <f>Y3*Z3</f>
        <v>784.44683559618272</v>
      </c>
      <c r="AB3">
        <v>2227</v>
      </c>
      <c r="AC3">
        <v>203817.58147434832</v>
      </c>
      <c r="AD3">
        <v>5.4000000000000006E-2</v>
      </c>
      <c r="AJ3" s="83">
        <v>8.3666666666666709E-2</v>
      </c>
      <c r="AK3" s="83">
        <v>0.25033333333333335</v>
      </c>
      <c r="BM3" s="6" t="s">
        <v>501</v>
      </c>
      <c r="BN3" t="s">
        <v>255</v>
      </c>
    </row>
    <row r="4" spans="1:66" ht="21.75">
      <c r="A4">
        <v>2010</v>
      </c>
      <c r="B4">
        <v>3</v>
      </c>
      <c r="D4" t="s">
        <v>28</v>
      </c>
      <c r="F4" s="74"/>
      <c r="G4" s="74"/>
      <c r="H4" s="74"/>
      <c r="I4" s="74"/>
      <c r="J4" s="74"/>
      <c r="K4" s="74"/>
      <c r="L4" s="74"/>
      <c r="M4" s="74"/>
      <c r="N4" s="74"/>
      <c r="O4" s="74"/>
      <c r="P4" s="74"/>
      <c r="Q4" s="74"/>
      <c r="R4" s="74"/>
      <c r="S4" s="74"/>
      <c r="T4" s="74"/>
      <c r="U4" s="74"/>
      <c r="V4" s="96">
        <v>0.16500000000000001</v>
      </c>
      <c r="W4" s="33"/>
      <c r="Y4">
        <v>96.641156213138927</v>
      </c>
      <c r="Z4">
        <v>7.9007316487455173</v>
      </c>
      <c r="AA4">
        <f>Y4*Z4</f>
        <v>763.53584146450623</v>
      </c>
      <c r="AB4">
        <v>2332</v>
      </c>
      <c r="AC4">
        <v>220776.74951861499</v>
      </c>
      <c r="AD4">
        <v>3.3000000000000002E-2</v>
      </c>
      <c r="AF4" s="48"/>
      <c r="AJ4" s="83">
        <v>8.5333333333333317E-2</v>
      </c>
      <c r="AK4" s="83">
        <v>0.223</v>
      </c>
      <c r="BM4" s="6" t="s">
        <v>502</v>
      </c>
      <c r="BN4" t="s">
        <v>138</v>
      </c>
    </row>
    <row r="5" spans="1:66" ht="21.75">
      <c r="A5">
        <v>2010</v>
      </c>
      <c r="B5">
        <v>4</v>
      </c>
      <c r="D5" t="s">
        <v>29</v>
      </c>
      <c r="F5" s="74"/>
      <c r="G5" s="74"/>
      <c r="H5" s="74"/>
      <c r="I5" s="74"/>
      <c r="J5" s="74"/>
      <c r="K5" s="74"/>
      <c r="L5" s="74"/>
      <c r="M5" s="74"/>
      <c r="N5" s="74"/>
      <c r="O5" s="74"/>
      <c r="P5" s="74"/>
      <c r="Q5" s="74"/>
      <c r="R5" s="74"/>
      <c r="S5" s="74"/>
      <c r="T5" s="74"/>
      <c r="U5" s="74"/>
      <c r="V5" s="96">
        <v>0.14000000000000001</v>
      </c>
      <c r="W5" s="33"/>
      <c r="Y5">
        <v>109.6115977895558</v>
      </c>
      <c r="Z5">
        <v>7.9313300358422945</v>
      </c>
      <c r="AA5">
        <f>Y5*Z5</f>
        <v>869.3657578249688</v>
      </c>
      <c r="AB5">
        <v>2434.6666666666665</v>
      </c>
      <c r="AC5">
        <v>219501.2628322267</v>
      </c>
      <c r="AD5">
        <v>3.7000000000000005E-2</v>
      </c>
      <c r="AF5" s="48"/>
      <c r="AJ5" s="83">
        <v>9.4666666666666635E-2</v>
      </c>
      <c r="AK5" s="83">
        <v>0.19133333333333336</v>
      </c>
    </row>
    <row r="6" spans="1:66">
      <c r="A6">
        <v>2011</v>
      </c>
      <c r="B6">
        <v>1</v>
      </c>
      <c r="D6" s="21">
        <v>12.9</v>
      </c>
      <c r="E6" s="21"/>
      <c r="F6" s="21"/>
      <c r="G6" s="21"/>
      <c r="H6" s="21"/>
      <c r="I6" s="21"/>
      <c r="J6" s="21"/>
      <c r="K6" s="21"/>
      <c r="L6" s="21"/>
      <c r="M6" s="21"/>
      <c r="N6" s="21"/>
      <c r="O6" s="21"/>
      <c r="P6" s="21"/>
      <c r="Q6" s="21"/>
      <c r="R6" s="21"/>
      <c r="S6" s="21"/>
      <c r="T6" s="95">
        <f>0.4177065*AK6+0.360601*AJ6+0.0432334</f>
        <v>0.15412327049999999</v>
      </c>
      <c r="U6" s="93">
        <f>0.383829*AJ6+0.3291765*AK6+0.0710852*AF6+0.0471218</f>
        <v>0.16440339584947294</v>
      </c>
      <c r="V6" s="96">
        <v>0.129</v>
      </c>
      <c r="W6" s="94">
        <f>V6-U6</f>
        <v>-3.5403395849472941E-2</v>
      </c>
      <c r="X6" s="95">
        <f t="shared" ref="X6:X41" si="0">V6-T6</f>
        <v>-2.5123270499999989E-2</v>
      </c>
      <c r="Y6">
        <v>125.02103590955046</v>
      </c>
      <c r="Z6">
        <v>7.9448180491551481</v>
      </c>
      <c r="AA6">
        <v>993.26453776567303</v>
      </c>
      <c r="AB6">
        <v>2388.6666666666665</v>
      </c>
      <c r="AC6">
        <v>221268.12831914166</v>
      </c>
      <c r="AD6" s="5">
        <v>5.0999999999999997E-2</v>
      </c>
      <c r="AE6" s="81">
        <f>Y6/Y2-1</f>
        <v>0.31975058853073302</v>
      </c>
      <c r="AF6" s="81">
        <f t="shared" ref="AF6:AH45" si="1">AA6/AA2-1</f>
        <v>0.31259164143131013</v>
      </c>
      <c r="AG6" s="81">
        <f t="shared" si="1"/>
        <v>0.19832775919732448</v>
      </c>
      <c r="AH6" s="81">
        <f t="shared" si="1"/>
        <v>0.15248739480022411</v>
      </c>
      <c r="AI6" s="81">
        <f>(AH6+1)/(AD6+1)-1</f>
        <v>9.6562697240936357E-2</v>
      </c>
      <c r="AJ6" s="83">
        <v>7.7000000000000027E-2</v>
      </c>
      <c r="AK6" s="83">
        <v>0.19899999999999998</v>
      </c>
      <c r="AL6">
        <f>Z6/Z2-1</f>
        <v>-5.4196184682092641E-3</v>
      </c>
    </row>
    <row r="7" spans="1:66">
      <c r="A7">
        <v>2011</v>
      </c>
      <c r="B7">
        <v>2</v>
      </c>
      <c r="D7" s="21">
        <v>16.3</v>
      </c>
      <c r="E7" s="21"/>
      <c r="F7" s="21"/>
      <c r="G7" s="21"/>
      <c r="H7" s="21"/>
      <c r="I7" s="21"/>
      <c r="J7" s="21"/>
      <c r="K7" s="21"/>
      <c r="L7" s="21"/>
      <c r="M7" s="21"/>
      <c r="N7" s="21"/>
      <c r="O7" s="21"/>
      <c r="P7" s="21"/>
      <c r="Q7" s="21"/>
      <c r="R7" s="21"/>
      <c r="S7" s="21"/>
      <c r="T7" s="95">
        <f t="shared" ref="T7:T40" si="2">0.4177065*AK7+0.360601*AJ7+0.0432334</f>
        <v>0.16504246566666667</v>
      </c>
      <c r="U7" s="93">
        <f t="shared" ref="U7:U40" si="3">0.383829*AJ7+0.3291765*AK7+0.0710852*AF7+0.0471218</f>
        <v>0.17670850490871201</v>
      </c>
      <c r="V7" s="96">
        <v>0.16600000000000001</v>
      </c>
      <c r="W7" s="94">
        <f t="shared" ref="W7:W41" si="4">V7-U7</f>
        <v>-1.0708504908712002E-2</v>
      </c>
      <c r="X7" s="95">
        <f t="shared" si="0"/>
        <v>9.5753433333334304E-4</v>
      </c>
      <c r="Y7">
        <v>130.06922027303122</v>
      </c>
      <c r="Z7">
        <v>7.970932258064515</v>
      </c>
      <c r="AA7">
        <v>1036.7659626477844</v>
      </c>
      <c r="AB7">
        <v>2604.6666666666665</v>
      </c>
      <c r="AC7">
        <v>227767.02637276668</v>
      </c>
      <c r="AD7" s="5">
        <v>3.9E-2</v>
      </c>
      <c r="AE7" s="81">
        <f t="shared" ref="AE7:AE40" si="5">Y7/Y3-1</f>
        <v>0.31361235791314312</v>
      </c>
      <c r="AF7" s="81">
        <f t="shared" si="1"/>
        <v>0.32165229764721803</v>
      </c>
      <c r="AG7" s="81">
        <f t="shared" si="1"/>
        <v>0.16958539140847173</v>
      </c>
      <c r="AH7" s="81">
        <f t="shared" si="1"/>
        <v>0.11750431304883557</v>
      </c>
      <c r="AI7" s="81">
        <f>(AH7+1)/(AD7+1)-1</f>
        <v>7.5557567900708111E-2</v>
      </c>
      <c r="AJ7">
        <v>0.1076666666666667</v>
      </c>
      <c r="AK7">
        <v>0.19866666666666663</v>
      </c>
      <c r="AL7">
        <f t="shared" ref="AL7:AL40" si="6">Z7/Z3-1</f>
        <v>6.127255853079161E-3</v>
      </c>
    </row>
    <row r="8" spans="1:66">
      <c r="A8">
        <v>2011</v>
      </c>
      <c r="B8">
        <v>3</v>
      </c>
      <c r="D8" s="21">
        <v>14.9</v>
      </c>
      <c r="E8" s="21"/>
      <c r="F8" s="21"/>
      <c r="G8" s="21"/>
      <c r="H8" s="21"/>
      <c r="I8" s="21"/>
      <c r="K8" s="21"/>
      <c r="L8" s="21"/>
      <c r="M8" s="21"/>
      <c r="N8" s="21"/>
      <c r="O8" s="21"/>
      <c r="P8" s="21"/>
      <c r="Q8" s="21"/>
      <c r="R8" s="21"/>
      <c r="S8" s="21"/>
      <c r="T8" s="95">
        <f t="shared" si="2"/>
        <v>0.15939411716666665</v>
      </c>
      <c r="U8" s="93">
        <f t="shared" si="3"/>
        <v>0.17346564927786925</v>
      </c>
      <c r="V8" s="96">
        <v>0.152</v>
      </c>
      <c r="W8" s="94">
        <f t="shared" si="4"/>
        <v>-2.1465649277869259E-2</v>
      </c>
      <c r="X8" s="95">
        <f t="shared" si="0"/>
        <v>-7.3941171666666583E-3</v>
      </c>
      <c r="Y8">
        <v>131.30514166327899</v>
      </c>
      <c r="Z8">
        <v>7.9717186021505384</v>
      </c>
      <c r="AA8">
        <v>1046.7274622702992</v>
      </c>
      <c r="AB8">
        <v>2726.6666666666665</v>
      </c>
      <c r="AC8">
        <v>235648.5684417733</v>
      </c>
      <c r="AD8" s="5">
        <v>6.5000000000000002E-2</v>
      </c>
      <c r="AE8" s="81">
        <f t="shared" si="5"/>
        <v>0.35868761103902536</v>
      </c>
      <c r="AF8" s="81">
        <f t="shared" si="1"/>
        <v>0.37089499330197118</v>
      </c>
      <c r="AG8" s="81">
        <f t="shared" si="1"/>
        <v>0.1692395654659804</v>
      </c>
      <c r="AH8" s="81">
        <f t="shared" si="1"/>
        <v>6.7361345592708677E-2</v>
      </c>
      <c r="AI8" s="81">
        <f t="shared" ref="AI8:AI41" si="7">(AH8+1)/(AD8+1)-1</f>
        <v>2.2172259086465917E-3</v>
      </c>
      <c r="AJ8">
        <v>8.4666666666666682E-2</v>
      </c>
      <c r="AK8">
        <v>0.20499999999999999</v>
      </c>
      <c r="AL8">
        <f t="shared" si="6"/>
        <v>8.9848581828864127E-3</v>
      </c>
    </row>
    <row r="9" spans="1:66">
      <c r="A9">
        <v>2011</v>
      </c>
      <c r="B9">
        <v>4</v>
      </c>
      <c r="D9" s="21">
        <v>12.7</v>
      </c>
      <c r="E9" s="21"/>
      <c r="F9" s="21"/>
      <c r="G9" s="21"/>
      <c r="H9" s="21"/>
      <c r="I9" s="21"/>
      <c r="J9" s="21"/>
      <c r="K9" s="21"/>
      <c r="L9" s="21"/>
      <c r="M9" s="21"/>
      <c r="N9" s="21"/>
      <c r="O9" s="21"/>
      <c r="P9" s="21"/>
      <c r="Q9" s="21"/>
      <c r="R9" s="21"/>
      <c r="S9" s="21"/>
      <c r="T9" s="95">
        <f t="shared" si="2"/>
        <v>0.12805841966666667</v>
      </c>
      <c r="U9" s="93">
        <f t="shared" si="3"/>
        <v>0.12634437770707602</v>
      </c>
      <c r="V9" s="96">
        <v>0.126</v>
      </c>
      <c r="W9" s="94">
        <f t="shared" si="4"/>
        <v>-3.4437770707601567E-4</v>
      </c>
      <c r="X9" s="95">
        <f t="shared" si="0"/>
        <v>-2.0584196666666721E-3</v>
      </c>
      <c r="Y9">
        <v>120.13139723510209</v>
      </c>
      <c r="Z9">
        <v>7.9827819354838709</v>
      </c>
      <c r="AA9">
        <v>958.96763149003436</v>
      </c>
      <c r="AB9">
        <v>2836.6666666666665</v>
      </c>
      <c r="AC9">
        <v>234117.85235303667</v>
      </c>
      <c r="AD9" s="5">
        <v>5.000000000000001E-2</v>
      </c>
      <c r="AE9" s="81">
        <f t="shared" si="5"/>
        <v>9.5973415748790813E-2</v>
      </c>
      <c r="AF9" s="81">
        <f t="shared" si="1"/>
        <v>0.10306579579259822</v>
      </c>
      <c r="AG9" s="81">
        <f t="shared" si="1"/>
        <v>0.16511500547645119</v>
      </c>
      <c r="AH9" s="81">
        <f t="shared" si="1"/>
        <v>6.6590001953574118E-2</v>
      </c>
      <c r="AI9" s="81">
        <f t="shared" si="7"/>
        <v>1.5800001860546642E-2</v>
      </c>
      <c r="AJ9">
        <v>5.0666666666666672E-2</v>
      </c>
      <c r="AK9">
        <v>0.15933333333333333</v>
      </c>
      <c r="AL9">
        <f t="shared" si="6"/>
        <v>6.4871716860932516E-3</v>
      </c>
    </row>
    <row r="10" spans="1:66">
      <c r="A10">
        <v>2012</v>
      </c>
      <c r="B10">
        <v>1</v>
      </c>
      <c r="D10" s="21">
        <v>10.4</v>
      </c>
      <c r="E10" s="21"/>
      <c r="F10" s="21"/>
      <c r="G10" s="21"/>
      <c r="H10" s="21"/>
      <c r="I10" s="21"/>
      <c r="J10" s="21"/>
      <c r="K10" s="21"/>
      <c r="L10" s="21"/>
      <c r="M10" s="21"/>
      <c r="N10" s="21"/>
      <c r="O10" s="21"/>
      <c r="P10" s="21"/>
      <c r="Q10" s="21"/>
      <c r="R10" s="21"/>
      <c r="S10" s="21"/>
      <c r="T10" s="95">
        <f t="shared" si="2"/>
        <v>8.9493387666666674E-2</v>
      </c>
      <c r="U10" s="93">
        <f t="shared" si="3"/>
        <v>8.5816472923620962E-2</v>
      </c>
      <c r="V10" s="96">
        <v>0.109</v>
      </c>
      <c r="W10" s="94">
        <f t="shared" si="4"/>
        <v>2.3183527076379037E-2</v>
      </c>
      <c r="X10" s="95">
        <f t="shared" si="0"/>
        <v>1.9506612333333326E-2</v>
      </c>
      <c r="Y10">
        <v>123.26224103838098</v>
      </c>
      <c r="Z10">
        <v>7.9881612532443489</v>
      </c>
      <c r="AA10">
        <v>984.63483386884457</v>
      </c>
      <c r="AB10">
        <v>2814.6666666666665</v>
      </c>
      <c r="AC10">
        <v>231642.60637568333</v>
      </c>
      <c r="AD10" s="5">
        <v>2.5000000000000005E-2</v>
      </c>
      <c r="AE10" s="81">
        <f t="shared" si="5"/>
        <v>-1.4067991505380961E-2</v>
      </c>
      <c r="AF10" s="81">
        <f t="shared" si="1"/>
        <v>-8.6882230953707618E-3</v>
      </c>
      <c r="AG10" s="81">
        <f t="shared" si="1"/>
        <v>0.17834217136477815</v>
      </c>
      <c r="AH10" s="81">
        <f t="shared" si="1"/>
        <v>4.6886454616628104E-2</v>
      </c>
      <c r="AI10" s="81">
        <f t="shared" si="7"/>
        <v>2.1352638650369071E-2</v>
      </c>
      <c r="AJ10">
        <v>2.8666666666666698E-2</v>
      </c>
      <c r="AK10">
        <v>8.5999999999999979E-2</v>
      </c>
      <c r="AL10">
        <f t="shared" si="6"/>
        <v>5.4555313691306839E-3</v>
      </c>
    </row>
    <row r="11" spans="1:66">
      <c r="A11">
        <v>2012</v>
      </c>
      <c r="B11">
        <v>2</v>
      </c>
      <c r="D11" s="21">
        <v>8.1999999999999993</v>
      </c>
      <c r="E11" s="21"/>
      <c r="F11" s="21"/>
      <c r="G11" s="21"/>
      <c r="H11" s="21"/>
      <c r="I11" s="21"/>
      <c r="J11" s="21"/>
      <c r="K11" s="21"/>
      <c r="L11" s="21"/>
      <c r="M11" s="21"/>
      <c r="N11" s="21"/>
      <c r="O11" s="21"/>
      <c r="P11" s="21"/>
      <c r="Q11" s="21"/>
      <c r="R11" s="21"/>
      <c r="S11" s="21"/>
      <c r="T11" s="95">
        <f t="shared" si="2"/>
        <v>6.3771169833333322E-2</v>
      </c>
      <c r="U11" s="93">
        <f t="shared" si="3"/>
        <v>5.8604941443242228E-2</v>
      </c>
      <c r="V11" s="96">
        <v>8.5000000000000006E-2</v>
      </c>
      <c r="W11" s="94">
        <f t="shared" si="4"/>
        <v>2.6395058556757778E-2</v>
      </c>
      <c r="X11" s="95">
        <f t="shared" si="0"/>
        <v>2.1228830166666685E-2</v>
      </c>
      <c r="Y11">
        <v>121.8435434408123</v>
      </c>
      <c r="Z11">
        <v>7.989999139784949</v>
      </c>
      <c r="AA11">
        <v>973.5204407269797</v>
      </c>
      <c r="AB11">
        <v>3022</v>
      </c>
      <c r="AC11">
        <v>237339.25178580833</v>
      </c>
      <c r="AD11" s="5">
        <v>3.1E-2</v>
      </c>
      <c r="AE11" s="81">
        <f t="shared" si="5"/>
        <v>-6.3240763763726893E-2</v>
      </c>
      <c r="AF11" s="81">
        <f t="shared" si="1"/>
        <v>-6.1002698969092939E-2</v>
      </c>
      <c r="AG11" s="81">
        <f t="shared" si="1"/>
        <v>0.16022523675454314</v>
      </c>
      <c r="AH11" s="81">
        <f t="shared" si="1"/>
        <v>4.2026387952115662E-2</v>
      </c>
      <c r="AI11" s="81">
        <f t="shared" si="7"/>
        <v>1.0694847674215024E-2</v>
      </c>
      <c r="AJ11">
        <v>-3.6666666666666952E-3</v>
      </c>
      <c r="AK11">
        <v>5.2333333333333343E-2</v>
      </c>
      <c r="AL11">
        <f t="shared" si="6"/>
        <v>2.3920516575890449E-3</v>
      </c>
    </row>
    <row r="12" spans="1:66">
      <c r="A12">
        <v>2012</v>
      </c>
      <c r="B12">
        <v>3</v>
      </c>
      <c r="D12" s="21">
        <v>6.4</v>
      </c>
      <c r="E12" s="21"/>
      <c r="F12" s="21"/>
      <c r="G12" s="21"/>
      <c r="H12" s="21"/>
      <c r="I12" s="21"/>
      <c r="J12" s="21"/>
      <c r="K12" s="21"/>
      <c r="L12" s="21"/>
      <c r="M12" s="21"/>
      <c r="N12" s="21"/>
      <c r="O12" s="21"/>
      <c r="P12" s="21"/>
      <c r="Q12" s="21"/>
      <c r="R12" s="21"/>
      <c r="S12" s="21"/>
      <c r="T12" s="95">
        <f t="shared" si="2"/>
        <v>4.7429500166666687E-2</v>
      </c>
      <c r="U12" s="93">
        <f t="shared" si="3"/>
        <v>4.3462071895892788E-2</v>
      </c>
      <c r="V12" s="96">
        <v>6.6000000000000003E-2</v>
      </c>
      <c r="W12" s="94">
        <f t="shared" si="4"/>
        <v>2.2537928104107215E-2</v>
      </c>
      <c r="X12" s="95">
        <f t="shared" si="0"/>
        <v>1.8570499833333316E-2</v>
      </c>
      <c r="Y12">
        <v>118.18345119254793</v>
      </c>
      <c r="Z12">
        <v>7.9929569892473085</v>
      </c>
      <c r="AA12">
        <v>944.63518457666203</v>
      </c>
      <c r="AB12">
        <v>3096</v>
      </c>
      <c r="AC12">
        <v>246793.90251091166</v>
      </c>
      <c r="AD12" s="5">
        <v>-1.3000000000000003E-2</v>
      </c>
      <c r="AE12" s="81">
        <f t="shared" si="5"/>
        <v>-9.9932800075571482E-2</v>
      </c>
      <c r="AF12" s="81">
        <f t="shared" si="1"/>
        <v>-9.7534727399053889E-2</v>
      </c>
      <c r="AG12" s="81">
        <f t="shared" si="1"/>
        <v>0.13545232273838637</v>
      </c>
      <c r="AH12" s="81">
        <f t="shared" si="1"/>
        <v>4.7296421713218573E-2</v>
      </c>
      <c r="AI12" s="81">
        <f t="shared" si="7"/>
        <v>6.1090599506807175E-2</v>
      </c>
      <c r="AJ12">
        <v>-3.333333333333144E-4</v>
      </c>
      <c r="AK12">
        <v>1.0333333333333363E-2</v>
      </c>
      <c r="AL12">
        <f t="shared" si="6"/>
        <v>2.6642168592152515E-3</v>
      </c>
    </row>
    <row r="13" spans="1:66">
      <c r="A13">
        <v>2012</v>
      </c>
      <c r="B13">
        <v>4</v>
      </c>
      <c r="D13" s="21">
        <v>7.2</v>
      </c>
      <c r="E13" s="21"/>
      <c r="F13" s="21"/>
      <c r="G13" s="21"/>
      <c r="H13" s="21"/>
      <c r="I13" s="21"/>
      <c r="J13" s="21"/>
      <c r="K13" s="21"/>
      <c r="L13" s="21"/>
      <c r="M13" s="21"/>
      <c r="N13" s="21"/>
      <c r="O13" s="21"/>
      <c r="P13" s="21"/>
      <c r="Q13" s="21"/>
      <c r="R13" s="21"/>
      <c r="S13" s="21"/>
      <c r="T13" s="95">
        <f t="shared" si="2"/>
        <v>4.4005718166666645E-2</v>
      </c>
      <c r="U13" s="93">
        <f t="shared" si="3"/>
        <v>4.7881246191728948E-2</v>
      </c>
      <c r="V13" s="96">
        <v>7.2999999999999995E-2</v>
      </c>
      <c r="W13" s="94">
        <f t="shared" si="4"/>
        <v>2.5118753808271048E-2</v>
      </c>
      <c r="X13" s="95">
        <f t="shared" si="0"/>
        <v>2.899428183333335E-2</v>
      </c>
      <c r="Y13">
        <v>120.45473599599109</v>
      </c>
      <c r="Z13">
        <v>7.9929999999999977</v>
      </c>
      <c r="AA13">
        <v>962.79470481595638</v>
      </c>
      <c r="AB13">
        <v>3195</v>
      </c>
      <c r="AC13">
        <v>245288.56352256332</v>
      </c>
      <c r="AD13" s="5">
        <v>-2.3000000000000003E-2</v>
      </c>
      <c r="AE13" s="81">
        <f t="shared" si="5"/>
        <v>2.6915424970561652E-3</v>
      </c>
      <c r="AF13" s="81">
        <f t="shared" si="1"/>
        <v>3.9908263848025261E-3</v>
      </c>
      <c r="AG13" s="81">
        <f t="shared" si="1"/>
        <v>0.12632197414806123</v>
      </c>
      <c r="AH13" s="81">
        <f t="shared" si="1"/>
        <v>4.7714051095436583E-2</v>
      </c>
      <c r="AI13" s="81">
        <f t="shared" si="7"/>
        <v>7.237876263606613E-2</v>
      </c>
      <c r="AJ13">
        <v>-1.3333333333333522E-3</v>
      </c>
      <c r="AK13">
        <v>2.9999999999999714E-3</v>
      </c>
      <c r="AL13">
        <f t="shared" si="6"/>
        <v>1.2800129827807982E-3</v>
      </c>
    </row>
    <row r="14" spans="1:66">
      <c r="A14">
        <v>2013</v>
      </c>
      <c r="B14">
        <v>1</v>
      </c>
      <c r="D14" s="21">
        <v>5.3</v>
      </c>
      <c r="E14" s="21"/>
      <c r="F14" s="21"/>
      <c r="G14" s="21"/>
      <c r="H14" s="21"/>
      <c r="I14" s="21"/>
      <c r="J14" s="21"/>
      <c r="K14" s="21"/>
      <c r="L14" s="21"/>
      <c r="M14" s="21"/>
      <c r="N14" s="21"/>
      <c r="O14" s="21"/>
      <c r="P14" s="21"/>
      <c r="Q14" s="21"/>
      <c r="R14" s="21"/>
      <c r="S14" s="21"/>
      <c r="T14" s="95">
        <f t="shared" si="2"/>
        <v>4.2544278999999997E-2</v>
      </c>
      <c r="U14" s="93">
        <f t="shared" si="3"/>
        <v>4.7300142829951895E-2</v>
      </c>
      <c r="V14" s="96">
        <v>4.5999999999999999E-2</v>
      </c>
      <c r="W14" s="94">
        <f t="shared" si="4"/>
        <v>-1.3001428299518961E-3</v>
      </c>
      <c r="X14" s="95">
        <f t="shared" si="0"/>
        <v>3.4557210000000019E-3</v>
      </c>
      <c r="Y14">
        <v>125.30079485998897</v>
      </c>
      <c r="Z14">
        <v>7.9929999999999977</v>
      </c>
      <c r="AA14">
        <v>1001.5292533158913</v>
      </c>
      <c r="AB14">
        <v>3085.3333333333335</v>
      </c>
      <c r="AC14">
        <v>254148.84342702167</v>
      </c>
      <c r="AD14" s="5">
        <v>-1.2000000000000002E-2</v>
      </c>
      <c r="AE14" s="81">
        <f t="shared" si="5"/>
        <v>1.6538347870644676E-2</v>
      </c>
      <c r="AF14" s="81">
        <f t="shared" si="1"/>
        <v>1.7158055825289953E-2</v>
      </c>
      <c r="AG14" s="81">
        <f t="shared" si="1"/>
        <v>9.6162955945049866E-2</v>
      </c>
      <c r="AH14" s="81">
        <f t="shared" si="1"/>
        <v>9.7159315393115619E-2</v>
      </c>
      <c r="AI14" s="81">
        <f t="shared" si="7"/>
        <v>0.11048513703756635</v>
      </c>
      <c r="AJ14">
        <v>-5.0000000000000001E-3</v>
      </c>
      <c r="AK14">
        <v>2.666666666666657E-3</v>
      </c>
      <c r="AL14">
        <f t="shared" si="6"/>
        <v>6.0573974438526967E-4</v>
      </c>
    </row>
    <row r="15" spans="1:66">
      <c r="A15">
        <v>2013</v>
      </c>
      <c r="B15">
        <v>2</v>
      </c>
      <c r="D15" s="21">
        <v>3.8</v>
      </c>
      <c r="E15" s="21"/>
      <c r="F15" s="21"/>
      <c r="G15" s="21"/>
      <c r="H15" s="21"/>
      <c r="I15" s="21"/>
      <c r="J15" s="21"/>
      <c r="K15" s="21"/>
      <c r="L15" s="21"/>
      <c r="M15" s="21"/>
      <c r="N15" s="21"/>
      <c r="O15" s="21"/>
      <c r="P15" s="21"/>
      <c r="Q15" s="21"/>
      <c r="R15" s="21"/>
      <c r="S15" s="21"/>
      <c r="T15" s="95">
        <f t="shared" si="2"/>
        <v>4.0696147166666682E-2</v>
      </c>
      <c r="U15" s="93">
        <f t="shared" si="3"/>
        <v>4.1892391685980732E-2</v>
      </c>
      <c r="V15" s="96">
        <v>2.7999999999999997E-2</v>
      </c>
      <c r="W15" s="94">
        <f t="shared" si="4"/>
        <v>-1.3892391685980734E-2</v>
      </c>
      <c r="X15" s="95">
        <f t="shared" si="0"/>
        <v>-1.2696147166666685E-2</v>
      </c>
      <c r="Y15">
        <v>117.00244230725855</v>
      </c>
      <c r="Z15">
        <v>7.9929999999999977</v>
      </c>
      <c r="AA15">
        <v>935.20052136191714</v>
      </c>
      <c r="AB15">
        <v>3288.6666666666665</v>
      </c>
      <c r="AC15">
        <v>267968.54753835336</v>
      </c>
      <c r="AD15" s="5">
        <v>-1.3000000000000003E-2</v>
      </c>
      <c r="AE15" s="81">
        <f t="shared" si="5"/>
        <v>-3.9732110515198538E-2</v>
      </c>
      <c r="AF15" s="81">
        <f t="shared" si="1"/>
        <v>-3.9362213428664194E-2</v>
      </c>
      <c r="AG15" s="81">
        <f t="shared" si="1"/>
        <v>8.8241782484006048E-2</v>
      </c>
      <c r="AH15" s="81">
        <f t="shared" si="1"/>
        <v>0.12905280320082535</v>
      </c>
      <c r="AI15" s="81">
        <f t="shared" si="7"/>
        <v>0.14392381276679367</v>
      </c>
      <c r="AJ15">
        <v>-4.3333333333333236E-3</v>
      </c>
      <c r="AK15">
        <v>-2.3333333333332954E-3</v>
      </c>
      <c r="AL15">
        <f t="shared" si="6"/>
        <v>3.7557703856383462E-4</v>
      </c>
    </row>
    <row r="16" spans="1:66">
      <c r="A16">
        <v>2013</v>
      </c>
      <c r="B16">
        <v>3</v>
      </c>
      <c r="D16" s="21">
        <v>4</v>
      </c>
      <c r="E16" s="21"/>
      <c r="F16" s="21"/>
      <c r="G16" s="21"/>
      <c r="H16" s="21"/>
      <c r="I16" s="21"/>
      <c r="J16" s="21"/>
      <c r="K16" s="21"/>
      <c r="L16" s="21"/>
      <c r="M16" s="21"/>
      <c r="N16" s="21"/>
      <c r="O16" s="21"/>
      <c r="P16" s="21"/>
      <c r="Q16" s="21"/>
      <c r="R16" s="21"/>
      <c r="S16" s="21"/>
      <c r="T16" s="95">
        <f t="shared" si="2"/>
        <v>3.7417589999999987E-2</v>
      </c>
      <c r="U16" s="93">
        <f t="shared" si="3"/>
        <v>3.9381087277471125E-2</v>
      </c>
      <c r="V16" s="96">
        <v>2.6000000000000002E-2</v>
      </c>
      <c r="W16" s="94">
        <f t="shared" si="4"/>
        <v>-1.3381087277471122E-2</v>
      </c>
      <c r="X16" s="95">
        <f t="shared" si="0"/>
        <v>-1.1417589999999984E-2</v>
      </c>
      <c r="Y16">
        <v>113.43030685102111</v>
      </c>
      <c r="Z16">
        <v>7.9929999999999977</v>
      </c>
      <c r="AA16">
        <v>906.64844266021146</v>
      </c>
      <c r="AB16">
        <v>3331.3333333333335</v>
      </c>
      <c r="AC16">
        <v>280905.95566775999</v>
      </c>
      <c r="AD16" s="5">
        <v>-1.2000000000000002E-2</v>
      </c>
      <c r="AE16" s="81">
        <f t="shared" si="5"/>
        <v>-4.0218357930526638E-2</v>
      </c>
      <c r="AF16" s="81">
        <f t="shared" si="1"/>
        <v>-4.0213134696517105E-2</v>
      </c>
      <c r="AG16" s="81">
        <f t="shared" si="1"/>
        <v>7.6012058570198215E-2</v>
      </c>
      <c r="AH16" s="81">
        <f t="shared" si="1"/>
        <v>0.13822081019744847</v>
      </c>
      <c r="AI16" s="81">
        <f t="shared" si="7"/>
        <v>0.15204535445085887</v>
      </c>
      <c r="AJ16">
        <v>-3.0000000000000187E-3</v>
      </c>
      <c r="AK16">
        <v>-1.1333333333333353E-2</v>
      </c>
      <c r="AL16">
        <f t="shared" si="6"/>
        <v>5.3810814630850246E-6</v>
      </c>
    </row>
    <row r="17" spans="1:38">
      <c r="A17">
        <v>2013</v>
      </c>
      <c r="B17">
        <v>4</v>
      </c>
      <c r="D17" s="21">
        <v>4.3</v>
      </c>
      <c r="E17" s="21"/>
      <c r="F17" s="21"/>
      <c r="G17" s="21"/>
      <c r="H17" s="21"/>
      <c r="I17" s="21"/>
      <c r="J17" s="21"/>
      <c r="K17" s="21"/>
      <c r="L17" s="21"/>
      <c r="M17" s="21"/>
      <c r="N17" s="21"/>
      <c r="O17" s="21"/>
      <c r="P17" s="21"/>
      <c r="Q17" s="21"/>
      <c r="R17" s="21"/>
      <c r="S17" s="21"/>
      <c r="T17" s="95">
        <f t="shared" si="2"/>
        <v>4.6739312000000005E-2</v>
      </c>
      <c r="U17" s="93">
        <f t="shared" si="3"/>
        <v>4.516738710204949E-2</v>
      </c>
      <c r="V17" s="96">
        <v>2.7000000000000003E-2</v>
      </c>
      <c r="W17" s="94">
        <f t="shared" si="4"/>
        <v>-1.8167387102049487E-2</v>
      </c>
      <c r="X17" s="95">
        <f t="shared" si="0"/>
        <v>-1.9739312000000002E-2</v>
      </c>
      <c r="Y17">
        <v>112.12352986496012</v>
      </c>
      <c r="Z17">
        <v>7.9929999999999977</v>
      </c>
      <c r="AA17">
        <v>896.20337421062595</v>
      </c>
      <c r="AB17">
        <v>3390</v>
      </c>
      <c r="AC17">
        <v>290859.34285346669</v>
      </c>
      <c r="AD17" s="5">
        <v>3.3000000000000002E-2</v>
      </c>
      <c r="AE17" s="81">
        <f t="shared" si="5"/>
        <v>-6.916462073610985E-2</v>
      </c>
      <c r="AF17" s="81">
        <f t="shared" si="1"/>
        <v>-6.916462073610985E-2</v>
      </c>
      <c r="AG17" s="81">
        <f t="shared" si="1"/>
        <v>6.1032863849765251E-2</v>
      </c>
      <c r="AH17" s="81">
        <f t="shared" si="1"/>
        <v>0.18578436220778571</v>
      </c>
      <c r="AI17" s="81">
        <f t="shared" si="7"/>
        <v>0.14790354521566873</v>
      </c>
      <c r="AJ17">
        <v>2.0000000000000282E-3</v>
      </c>
      <c r="AK17">
        <v>6.6666666666666671E-3</v>
      </c>
      <c r="AL17">
        <f t="shared" si="6"/>
        <v>0</v>
      </c>
    </row>
    <row r="18" spans="1:38">
      <c r="A18">
        <v>2014</v>
      </c>
      <c r="B18">
        <v>1</v>
      </c>
      <c r="D18" s="21">
        <v>5.3</v>
      </c>
      <c r="E18" s="27">
        <f>AVERAGEIFS('ІСЦ (Стрим Інфл)'!$J:$J,'ІСЦ (Стрим Інфл)'!$A:$A,'Дефлятор модель (CPI-PPI) (С-2)'!$A18,'ІСЦ (Стрим Інфл)'!$B:$B,'Дефлятор модель (CPI-PPI) (С-2)'!$B18)</f>
        <v>1.7000000000000029E-2</v>
      </c>
      <c r="F18" s="27">
        <f>AVERAGEIFS('ІЦВ (Стрим Інфл)+'!$J:$J,'ІЦВ (Стрим Інфл)+'!$A:$A,'Дефлятор модель (CPI-PPI) (С-2)'!$A18,'ІЦВ (Стрим Інфл)+'!$B:$B,'Дефлятор модель (CPI-PPI) (С-2)'!$B18)</f>
        <v>3.0666666666666675E-2</v>
      </c>
      <c r="G18" s="27"/>
      <c r="H18" s="287">
        <f t="shared" ref="H18:H48" si="8">41.77065*F18+36.90601*E18+4.322334</f>
        <v>6.2307027700000006</v>
      </c>
      <c r="I18" s="288">
        <f t="shared" ref="I18:I49" si="9">D18/H18</f>
        <v>0.85062635719341162</v>
      </c>
      <c r="J18" s="21"/>
      <c r="K18" s="28">
        <f>E18</f>
        <v>1.7000000000000029E-2</v>
      </c>
      <c r="L18" s="21"/>
      <c r="M18" s="21"/>
      <c r="N18" s="28">
        <f>F18</f>
        <v>3.0666666666666675E-2</v>
      </c>
      <c r="O18" s="21"/>
      <c r="P18" s="21"/>
      <c r="Q18" s="27">
        <f t="shared" ref="Q18:Q40" si="10">D18/100</f>
        <v>5.2999999999999999E-2</v>
      </c>
      <c r="R18" s="21"/>
      <c r="S18" s="21"/>
      <c r="T18" s="95">
        <f t="shared" si="2"/>
        <v>6.217328300000001E-2</v>
      </c>
      <c r="U18" s="93">
        <f t="shared" si="3"/>
        <v>5.8716652132005553E-2</v>
      </c>
      <c r="V18" s="96">
        <v>5.2999999999999999E-2</v>
      </c>
      <c r="W18" s="94">
        <f t="shared" si="4"/>
        <v>-5.7166521320055549E-3</v>
      </c>
      <c r="X18" s="95">
        <f t="shared" si="0"/>
        <v>-9.1732830000000112E-3</v>
      </c>
      <c r="Y18">
        <v>105.18761551084394</v>
      </c>
      <c r="Z18">
        <v>8.8559703917050658</v>
      </c>
      <c r="AA18">
        <v>930.73151558954817</v>
      </c>
      <c r="AB18">
        <v>3263.6666666666665</v>
      </c>
      <c r="AC18">
        <v>306994.74808900664</v>
      </c>
      <c r="AD18" s="5">
        <v>-0.01</v>
      </c>
      <c r="AE18" s="81">
        <f t="shared" si="5"/>
        <v>-0.16051916806768451</v>
      </c>
      <c r="AF18" s="81">
        <f t="shared" si="1"/>
        <v>-7.0689635367058967E-2</v>
      </c>
      <c r="AG18" s="81">
        <f t="shared" si="1"/>
        <v>5.7800345721694013E-2</v>
      </c>
      <c r="AH18" s="81">
        <f t="shared" si="1"/>
        <v>0.20793289455656949</v>
      </c>
      <c r="AI18" s="81">
        <f t="shared" si="7"/>
        <v>0.22013423692582768</v>
      </c>
      <c r="AJ18">
        <v>1.7000000000000029E-2</v>
      </c>
      <c r="AK18">
        <v>3.0666666666666675E-2</v>
      </c>
      <c r="AL18">
        <f t="shared" si="6"/>
        <v>0.10796576901101829</v>
      </c>
    </row>
    <row r="19" spans="1:38">
      <c r="A19">
        <v>2014</v>
      </c>
      <c r="B19">
        <v>2</v>
      </c>
      <c r="D19" s="21">
        <v>12.6</v>
      </c>
      <c r="E19" s="27">
        <f>AVERAGEIFS('ІСЦ (Стрим Інфл)'!$J:$J,'ІСЦ (Стрим Інфл)'!$A:$A,'Дефлятор модель (CPI-PPI) (С-2)'!$A19,'ІСЦ (Стрим Інфл)'!$B:$B,'Дефлятор модель (CPI-PPI) (С-2)'!$B19)</f>
        <v>9.9333333333333371E-2</v>
      </c>
      <c r="F19" s="27">
        <f>AVERAGEIFS('ІЦВ (Стрим Інфл)+'!$J:$J,'ІЦВ (Стрим Інфл)+'!$A:$A,'Дефлятор модель (CPI-PPI) (С-2)'!$A19,'ІЦВ (Стрим Інфл)+'!$B:$B,'Дефлятор модель (CPI-PPI) (С-2)'!$B19)</f>
        <v>0.10733333333333335</v>
      </c>
      <c r="G19" s="27"/>
      <c r="H19" s="287">
        <f t="shared" si="8"/>
        <v>12.471714093333336</v>
      </c>
      <c r="I19" s="288">
        <f t="shared" si="9"/>
        <v>1.0102861487768739</v>
      </c>
      <c r="J19" s="21"/>
      <c r="K19" s="28">
        <f t="shared" ref="K19:K38" si="11">E19</f>
        <v>9.9333333333333371E-2</v>
      </c>
      <c r="L19" s="21"/>
      <c r="M19" s="21"/>
      <c r="N19" s="28">
        <f t="shared" ref="N19:N40" si="12">F19</f>
        <v>0.10733333333333335</v>
      </c>
      <c r="O19" s="21"/>
      <c r="P19" s="21"/>
      <c r="Q19" s="27">
        <f t="shared" si="10"/>
        <v>0.126</v>
      </c>
      <c r="R19" s="21"/>
      <c r="S19" s="21"/>
      <c r="T19" s="95">
        <f t="shared" si="2"/>
        <v>0.12388693033333337</v>
      </c>
      <c r="U19" s="93">
        <f t="shared" si="3"/>
        <v>0.14056317174266117</v>
      </c>
      <c r="V19" s="96">
        <v>0.126</v>
      </c>
      <c r="W19" s="94">
        <f t="shared" si="4"/>
        <v>-1.4563171742661168E-2</v>
      </c>
      <c r="X19" s="95">
        <f t="shared" si="0"/>
        <v>2.1130696666666338E-3</v>
      </c>
      <c r="Y19">
        <v>99.140916209858133</v>
      </c>
      <c r="Z19">
        <v>12.070866002867383</v>
      </c>
      <c r="AA19">
        <v>1198.0945579824777</v>
      </c>
      <c r="AB19">
        <v>3487.6666666666665</v>
      </c>
      <c r="AC19">
        <v>340610.60670551832</v>
      </c>
      <c r="AD19" s="5">
        <v>-4.3000000000000003E-2</v>
      </c>
      <c r="AE19" s="81">
        <f t="shared" si="5"/>
        <v>-0.15265942953989375</v>
      </c>
      <c r="AF19" s="81">
        <f t="shared" si="1"/>
        <v>0.28110980545403486</v>
      </c>
      <c r="AG19" s="81">
        <f t="shared" si="1"/>
        <v>6.0510845327387042E-2</v>
      </c>
      <c r="AH19" s="81">
        <f t="shared" si="1"/>
        <v>0.27108427401080704</v>
      </c>
      <c r="AI19" s="81">
        <f t="shared" si="7"/>
        <v>0.32819673355361245</v>
      </c>
      <c r="AJ19">
        <v>9.9333333333333371E-2</v>
      </c>
      <c r="AK19">
        <v>0.10733333333333335</v>
      </c>
      <c r="AL19">
        <f t="shared" si="6"/>
        <v>0.51017965755878736</v>
      </c>
    </row>
    <row r="20" spans="1:38">
      <c r="A20">
        <v>2014</v>
      </c>
      <c r="B20">
        <v>3</v>
      </c>
      <c r="D20" s="21">
        <v>16.8</v>
      </c>
      <c r="E20" s="27">
        <f>AVERAGEIFS('ІСЦ (Стрим Інфл)'!$J:$J,'ІСЦ (Стрим Інфл)'!$A:$A,'Дефлятор модель (CPI-PPI) (С-2)'!$A20,'ІСЦ (Стрим Інфл)'!$B:$B,'Дефлятор модель (CPI-PPI) (С-2)'!$B20)</f>
        <v>0.14766666666666664</v>
      </c>
      <c r="F20" s="27">
        <f>AVERAGEIFS('ІЦВ (Стрим Інфл)+'!$J:$J,'ІЦВ (Стрим Інфл)+'!$A:$A,'Дефлятор модель (CPI-PPI) (С-2)'!$A20,'ІЦВ (Стрим Інфл)+'!$B:$B,'Дефлятор модель (CPI-PPI) (С-2)'!$B20)</f>
        <v>0.24533333333333338</v>
      </c>
      <c r="G20" s="27"/>
      <c r="H20" s="287">
        <f t="shared" si="8"/>
        <v>20.019854276666671</v>
      </c>
      <c r="I20" s="288">
        <f t="shared" si="9"/>
        <v>0.83916694736287667</v>
      </c>
      <c r="J20" s="21"/>
      <c r="K20" s="28">
        <f t="shared" si="11"/>
        <v>0.14766666666666664</v>
      </c>
      <c r="L20" s="21"/>
      <c r="M20" s="21"/>
      <c r="N20" s="28">
        <f t="shared" si="12"/>
        <v>0.24533333333333338</v>
      </c>
      <c r="O20" s="21"/>
      <c r="P20" s="21"/>
      <c r="Q20" s="27">
        <f t="shared" si="10"/>
        <v>0.16800000000000001</v>
      </c>
      <c r="R20" s="21"/>
      <c r="S20" s="21"/>
      <c r="T20" s="95">
        <f t="shared" si="2"/>
        <v>0.19895947566666666</v>
      </c>
      <c r="U20" s="93">
        <f t="shared" si="3"/>
        <v>0.19988092141245636</v>
      </c>
      <c r="V20" s="96">
        <v>0.16800000000000001</v>
      </c>
      <c r="W20" s="94">
        <f t="shared" si="4"/>
        <v>-3.1880921412456353E-2</v>
      </c>
      <c r="X20" s="95">
        <f t="shared" si="0"/>
        <v>-3.0959475666666653E-2</v>
      </c>
      <c r="Y20">
        <v>87.719134292217973</v>
      </c>
      <c r="Z20">
        <v>12.581832520430106</v>
      </c>
      <c r="AA20">
        <v>1102.0763812235625</v>
      </c>
      <c r="AB20">
        <v>3462.6666666666665</v>
      </c>
      <c r="AC20">
        <v>347131.83157775662</v>
      </c>
      <c r="AD20" s="5">
        <v>-5.2999999999999999E-2</v>
      </c>
      <c r="AE20" s="81">
        <f t="shared" si="5"/>
        <v>-0.22666933796249078</v>
      </c>
      <c r="AF20" s="81">
        <f t="shared" si="1"/>
        <v>0.21554985302786478</v>
      </c>
      <c r="AG20" s="81">
        <f t="shared" si="1"/>
        <v>3.9423654192515478E-2</v>
      </c>
      <c r="AH20" s="81">
        <f t="shared" si="1"/>
        <v>0.23575817662023835</v>
      </c>
      <c r="AI20" s="81">
        <f t="shared" si="7"/>
        <v>0.30491887710690424</v>
      </c>
      <c r="AJ20">
        <v>0.14766666666666664</v>
      </c>
      <c r="AK20">
        <v>0.24533333333333338</v>
      </c>
      <c r="AL20">
        <f t="shared" si="6"/>
        <v>0.57410640816090464</v>
      </c>
    </row>
    <row r="21" spans="1:38">
      <c r="A21">
        <v>2014</v>
      </c>
      <c r="B21">
        <v>4</v>
      </c>
      <c r="D21" s="21">
        <v>27.8</v>
      </c>
      <c r="E21" s="27">
        <f>AVERAGEIFS('ІСЦ (Стрим Інфл)'!$J:$J,'ІСЦ (Стрим Інфл)'!$A:$A,'Дефлятор модель (CPI-PPI) (С-2)'!$A21,'ІСЦ (Стрим Інфл)'!$B:$B,'Дефлятор модель (CPI-PPI) (С-2)'!$B21)</f>
        <v>0.22166666666666668</v>
      </c>
      <c r="F21" s="27">
        <f>AVERAGEIFS('ІЦВ (Стрим Інфл)+'!$J:$J,'ІЦВ (Стрим Інфл)+'!$A:$A,'Дефлятор модель (CPI-PPI) (С-2)'!$A21,'ІЦВ (Стрим Інфл)+'!$B:$B,'Дефлятор модель (CPI-PPI) (С-2)'!$B21)</f>
        <v>0.30166666666666675</v>
      </c>
      <c r="G21" s="27"/>
      <c r="H21" s="287">
        <f t="shared" si="8"/>
        <v>25.103978966666674</v>
      </c>
      <c r="I21" s="288">
        <f t="shared" si="9"/>
        <v>1.107394171932391</v>
      </c>
      <c r="J21" s="21"/>
      <c r="K21" s="28">
        <f t="shared" si="11"/>
        <v>0.22166666666666668</v>
      </c>
      <c r="L21" s="21"/>
      <c r="M21" s="21"/>
      <c r="N21" s="28">
        <f t="shared" si="12"/>
        <v>0.30166666666666675</v>
      </c>
      <c r="O21" s="21"/>
      <c r="P21" s="21"/>
      <c r="Q21" s="27">
        <f t="shared" si="10"/>
        <v>0.27800000000000002</v>
      </c>
      <c r="R21" s="21"/>
      <c r="S21" s="21"/>
      <c r="T21" s="95">
        <f t="shared" si="2"/>
        <v>0.24917474916666674</v>
      </c>
      <c r="U21" s="93">
        <f t="shared" si="3"/>
        <v>0.25055709299044243</v>
      </c>
      <c r="V21" s="96">
        <v>0.27800000000000002</v>
      </c>
      <c r="W21" s="94">
        <f t="shared" si="4"/>
        <v>2.7442907009557593E-2</v>
      </c>
      <c r="X21" s="95">
        <f t="shared" si="0"/>
        <v>2.8825250833333288E-2</v>
      </c>
      <c r="Y21">
        <v>78.897313453793686</v>
      </c>
      <c r="Z21">
        <v>14.436797887096775</v>
      </c>
      <c r="AA21">
        <v>1136.395799183965</v>
      </c>
      <c r="AB21">
        <v>3685</v>
      </c>
      <c r="AC21">
        <v>334404.86917568499</v>
      </c>
      <c r="AD21" s="5">
        <v>-0.14400000000000002</v>
      </c>
      <c r="AE21" s="81">
        <f t="shared" si="5"/>
        <v>-0.29633580436848161</v>
      </c>
      <c r="AF21" s="81">
        <f t="shared" si="1"/>
        <v>0.26801106968036126</v>
      </c>
      <c r="AG21" s="81">
        <f t="shared" si="1"/>
        <v>8.7020648967551573E-2</v>
      </c>
      <c r="AH21" s="81">
        <f t="shared" si="1"/>
        <v>0.14971334905393197</v>
      </c>
      <c r="AI21" s="81">
        <f t="shared" si="7"/>
        <v>0.34312307132468689</v>
      </c>
      <c r="AJ21">
        <v>0.22166666666666668</v>
      </c>
      <c r="AK21">
        <v>0.30166666666666675</v>
      </c>
      <c r="AL21">
        <f t="shared" si="6"/>
        <v>0.80618014351267098</v>
      </c>
    </row>
    <row r="22" spans="1:38">
      <c r="A22">
        <v>2015</v>
      </c>
      <c r="B22">
        <v>1</v>
      </c>
      <c r="D22" s="21">
        <v>41.2</v>
      </c>
      <c r="E22" s="27">
        <f>AVERAGEIFS('ІСЦ (Стрим Інфл)'!$J:$J,'ІСЦ (Стрим Інфл)'!$A:$A,'Дефлятор модель (CPI-PPI) (С-2)'!$A22,'ІСЦ (Стрим Інфл)'!$B:$B,'Дефлятор модель (CPI-PPI) (С-2)'!$B22)</f>
        <v>0.36266666666666669</v>
      </c>
      <c r="F22" s="27">
        <f>AVERAGEIFS('ІЦВ (Стрим Інфл)+'!$J:$J,'ІЦВ (Стрим Інфл)+'!$A:$A,'Дефлятор модель (CPI-PPI) (С-2)'!$A22,'ІЦВ (Стрим Інфл)+'!$B:$B,'Дефлятор модель (CPI-PPI) (С-2)'!$B22)</f>
        <v>0.42266666666666658</v>
      </c>
      <c r="G22" s="27"/>
      <c r="H22" s="287">
        <f t="shared" si="8"/>
        <v>35.361975026666663</v>
      </c>
      <c r="I22" s="288">
        <f t="shared" si="9"/>
        <v>1.1650932949568245</v>
      </c>
      <c r="J22" s="21"/>
      <c r="K22" s="28">
        <f>E22</f>
        <v>0.36266666666666669</v>
      </c>
      <c r="L22" s="21"/>
      <c r="M22" s="21"/>
      <c r="N22" s="28">
        <f t="shared" si="12"/>
        <v>0.42266666666666658</v>
      </c>
      <c r="O22" s="21"/>
      <c r="P22" s="21"/>
      <c r="Q22" s="27">
        <f t="shared" si="10"/>
        <v>0.41200000000000003</v>
      </c>
      <c r="R22" s="21"/>
      <c r="S22" s="21"/>
      <c r="T22" s="95">
        <f t="shared" si="2"/>
        <v>0.35056197666666666</v>
      </c>
      <c r="U22" s="93">
        <f t="shared" si="3"/>
        <v>0.37275166366559576</v>
      </c>
      <c r="V22" s="96">
        <v>0.41200000000000003</v>
      </c>
      <c r="W22" s="94">
        <f t="shared" si="4"/>
        <v>3.9248336334404277E-2</v>
      </c>
      <c r="X22" s="95">
        <f t="shared" si="0"/>
        <v>6.1438023333333369E-2</v>
      </c>
      <c r="Y22">
        <v>73.209676589962925</v>
      </c>
      <c r="Z22">
        <v>21.2308742265745</v>
      </c>
      <c r="AA22">
        <v>1549.9859763012144</v>
      </c>
      <c r="AB22">
        <v>3650.3333333333335</v>
      </c>
      <c r="AC22">
        <v>330310.82714344998</v>
      </c>
      <c r="AD22" s="5">
        <v>-0.16</v>
      </c>
      <c r="AE22" s="81">
        <f t="shared" si="5"/>
        <v>-0.30400859231935307</v>
      </c>
      <c r="AF22" s="81">
        <f t="shared" si="1"/>
        <v>0.66534166979337228</v>
      </c>
      <c r="AG22" s="81">
        <f t="shared" si="1"/>
        <v>0.11847615156776636</v>
      </c>
      <c r="AH22" s="81">
        <f t="shared" si="1"/>
        <v>7.5949439524884976E-2</v>
      </c>
      <c r="AI22" s="81">
        <f t="shared" si="7"/>
        <v>0.28089218991057741</v>
      </c>
      <c r="AJ22">
        <v>0.36266666666666669</v>
      </c>
      <c r="AK22">
        <v>0.42266666666666658</v>
      </c>
      <c r="AL22">
        <f t="shared" si="6"/>
        <v>1.3973515365928022</v>
      </c>
    </row>
    <row r="23" spans="1:38">
      <c r="A23">
        <v>2015</v>
      </c>
      <c r="B23">
        <v>2</v>
      </c>
      <c r="D23" s="21">
        <v>39.700000000000003</v>
      </c>
      <c r="E23" s="27">
        <f>AVERAGEIFS('ІСЦ (Стрим Інфл)'!$J:$J,'ІСЦ (Стрим Інфл)'!$A:$A,'Дефлятор модель (CPI-PPI) (С-2)'!$A23,'ІСЦ (Стрим Інфл)'!$B:$B,'Дефлятор модель (CPI-PPI) (С-2)'!$B23)</f>
        <v>0.58933333333333338</v>
      </c>
      <c r="F23" s="27">
        <f>AVERAGEIFS('ІЦВ (Стрим Інфл)+'!$J:$J,'ІЦВ (Стрим Інфл)+'!$A:$A,'Дефлятор модель (CPI-PPI) (С-2)'!$A23,'ІЦВ (Стрим Інфл)+'!$B:$B,'Дефлятор модель (CPI-PPI) (С-2)'!$B23)</f>
        <v>0.42833333333333329</v>
      </c>
      <c r="G23" s="27"/>
      <c r="H23" s="287">
        <f t="shared" si="8"/>
        <v>43.964037643333334</v>
      </c>
      <c r="I23" s="288">
        <f t="shared" si="9"/>
        <v>0.90301078172286742</v>
      </c>
      <c r="J23" s="21"/>
      <c r="K23" s="28">
        <f t="shared" si="11"/>
        <v>0.58933333333333338</v>
      </c>
      <c r="L23" s="21"/>
      <c r="M23" s="21"/>
      <c r="N23" s="28">
        <f t="shared" si="12"/>
        <v>0.42833333333333329</v>
      </c>
      <c r="O23" s="21"/>
      <c r="P23" s="21"/>
      <c r="Q23" s="27">
        <f t="shared" si="10"/>
        <v>0.39700000000000002</v>
      </c>
      <c r="R23" s="21"/>
      <c r="S23" s="21"/>
      <c r="T23" s="95">
        <f t="shared" si="2"/>
        <v>0.43466520683333332</v>
      </c>
      <c r="U23" s="93">
        <f t="shared" si="3"/>
        <v>0.4319397995895477</v>
      </c>
      <c r="V23" s="96">
        <v>0.39700000000000002</v>
      </c>
      <c r="W23" s="94">
        <f t="shared" si="4"/>
        <v>-3.4939799589547682E-2</v>
      </c>
      <c r="X23" s="95">
        <f t="shared" si="0"/>
        <v>-3.7665206833333298E-2</v>
      </c>
      <c r="Y23">
        <v>69.190544535974638</v>
      </c>
      <c r="Z23">
        <v>21.619186881362008</v>
      </c>
      <c r="AA23">
        <v>1495.0261354036484</v>
      </c>
      <c r="AB23">
        <v>4113</v>
      </c>
      <c r="AC23">
        <v>330388.03023854335</v>
      </c>
      <c r="AD23" s="5">
        <v>-0.14499999999999999</v>
      </c>
      <c r="AE23" s="81">
        <f t="shared" si="5"/>
        <v>-0.30209900028042469</v>
      </c>
      <c r="AF23" s="81">
        <f t="shared" si="1"/>
        <v>0.24783651293866682</v>
      </c>
      <c r="AG23" s="81">
        <f t="shared" si="1"/>
        <v>0.17929848035936158</v>
      </c>
      <c r="AH23" s="81">
        <f t="shared" si="1"/>
        <v>-3.0012501859089546E-2</v>
      </c>
      <c r="AI23" s="81">
        <f t="shared" si="7"/>
        <v>0.13448830191919359</v>
      </c>
      <c r="AJ23">
        <v>0.58933333333333338</v>
      </c>
      <c r="AK23">
        <v>0.42833333333333329</v>
      </c>
      <c r="AL23">
        <f t="shared" si="6"/>
        <v>0.79102202577896752</v>
      </c>
    </row>
    <row r="24" spans="1:38">
      <c r="A24">
        <v>2015</v>
      </c>
      <c r="B24">
        <v>3</v>
      </c>
      <c r="D24" s="21">
        <v>38.4</v>
      </c>
      <c r="E24" s="27">
        <f>AVERAGEIFS('ІСЦ (Стрим Інфл)'!$J:$J,'ІСЦ (Стрим Інфл)'!$A:$A,'Дефлятор модель (CPI-PPI) (С-2)'!$A24,'ІСЦ (Стрим Інфл)'!$B:$B,'Дефлятор модель (CPI-PPI) (С-2)'!$B24)</f>
        <v>0.53333333333333355</v>
      </c>
      <c r="F24" s="27">
        <f>AVERAGEIFS('ІЦВ (Стрим Інфл)+'!$J:$J,'ІЦВ (Стрим Інфл)+'!$A:$A,'Дефлятор модель (CPI-PPI) (С-2)'!$A24,'ІЦВ (Стрим Інфл)+'!$B:$B,'Дефлятор модель (CPI-PPI) (С-2)'!$B24)</f>
        <v>0.34166666666666662</v>
      </c>
      <c r="G24" s="27"/>
      <c r="H24" s="287">
        <f t="shared" si="8"/>
        <v>38.277178083333339</v>
      </c>
      <c r="I24" s="288">
        <f t="shared" si="9"/>
        <v>1.0032087505614773</v>
      </c>
      <c r="J24" s="21"/>
      <c r="K24" s="28">
        <f t="shared" si="11"/>
        <v>0.53333333333333355</v>
      </c>
      <c r="L24" s="21"/>
      <c r="M24" s="21"/>
      <c r="N24" s="28">
        <f t="shared" si="12"/>
        <v>0.34166666666666662</v>
      </c>
      <c r="O24" s="21"/>
      <c r="P24" s="21"/>
      <c r="Q24" s="27">
        <f t="shared" si="10"/>
        <v>0.38400000000000001</v>
      </c>
      <c r="R24" s="21"/>
      <c r="S24" s="21"/>
      <c r="T24" s="95">
        <f t="shared" si="2"/>
        <v>0.37827032083333334</v>
      </c>
      <c r="U24" s="93">
        <f t="shared" si="3"/>
        <v>0.38498419577657644</v>
      </c>
      <c r="V24" s="96">
        <v>0.38400000000000001</v>
      </c>
      <c r="W24" s="94">
        <f t="shared" si="4"/>
        <v>-9.8419577657643531E-4</v>
      </c>
      <c r="X24" s="95">
        <f t="shared" si="0"/>
        <v>5.729679166666668E-3</v>
      </c>
      <c r="Y24">
        <v>65.494986104012767</v>
      </c>
      <c r="Z24">
        <v>21.722553238709679</v>
      </c>
      <c r="AA24">
        <v>1422.7676638423036</v>
      </c>
      <c r="AB24">
        <v>4312.666666666667</v>
      </c>
      <c r="AC24">
        <v>328965.17657010001</v>
      </c>
      <c r="AD24" s="5">
        <v>-7.0000000000000007E-2</v>
      </c>
      <c r="AE24" s="81">
        <f t="shared" si="5"/>
        <v>-0.2533557628848695</v>
      </c>
      <c r="AF24" s="81">
        <f t="shared" si="1"/>
        <v>0.2909882546096294</v>
      </c>
      <c r="AG24" s="81">
        <f t="shared" si="1"/>
        <v>0.24547554871005017</v>
      </c>
      <c r="AH24" s="81">
        <f t="shared" si="1"/>
        <v>-5.2333590166845023E-2</v>
      </c>
      <c r="AI24" s="81">
        <f t="shared" si="7"/>
        <v>1.8996139605543139E-2</v>
      </c>
      <c r="AJ24">
        <v>0.53333333333333355</v>
      </c>
      <c r="AK24">
        <v>0.34166666666666662</v>
      </c>
      <c r="AL24">
        <f t="shared" si="6"/>
        <v>0.72650154128479039</v>
      </c>
    </row>
    <row r="25" spans="1:38">
      <c r="A25">
        <v>2015</v>
      </c>
      <c r="B25">
        <v>4</v>
      </c>
      <c r="D25" s="21">
        <v>35</v>
      </c>
      <c r="E25" s="27">
        <f>AVERAGEIFS('ІСЦ (Стрим Інфл)'!$J:$J,'ІСЦ (Стрим Інфл)'!$A:$A,'Дефлятор модель (CPI-PPI) (С-2)'!$A25,'ІСЦ (Стрим Інфл)'!$B:$B,'Дефлятор модель (CPI-PPI) (С-2)'!$B25)</f>
        <v>0.45433333333333342</v>
      </c>
      <c r="F25" s="27">
        <f>AVERAGEIFS('ІЦВ (Стрим Інфл)+'!$J:$J,'ІЦВ (Стрим Інфл)+'!$A:$A,'Дефлятор модель (CPI-PPI) (С-2)'!$A25,'ІЦВ (Стрим Інфл)+'!$B:$B,'Дефлятор модель (CPI-PPI) (С-2)'!$B25)</f>
        <v>0.26899999999999996</v>
      </c>
      <c r="G25" s="27"/>
      <c r="H25" s="287">
        <f t="shared" si="8"/>
        <v>32.326269393333334</v>
      </c>
      <c r="I25" s="288">
        <f t="shared" si="9"/>
        <v>1.0827107691931217</v>
      </c>
      <c r="J25" s="21"/>
      <c r="K25" s="28">
        <f t="shared" si="11"/>
        <v>0.45433333333333342</v>
      </c>
      <c r="L25" s="21"/>
      <c r="M25" s="21"/>
      <c r="N25" s="28">
        <f t="shared" si="12"/>
        <v>0.26899999999999996</v>
      </c>
      <c r="O25" s="21"/>
      <c r="P25" s="21"/>
      <c r="Q25" s="27">
        <f t="shared" si="10"/>
        <v>0.35</v>
      </c>
      <c r="R25" s="21"/>
      <c r="S25" s="21"/>
      <c r="T25" s="95">
        <f t="shared" si="2"/>
        <v>0.31942950283333332</v>
      </c>
      <c r="U25" s="93">
        <f t="shared" si="3"/>
        <v>0.32580146655946085</v>
      </c>
      <c r="V25" s="96">
        <v>0.35</v>
      </c>
      <c r="W25" s="94">
        <f t="shared" si="4"/>
        <v>2.4198533440539127E-2</v>
      </c>
      <c r="X25" s="95">
        <f t="shared" si="0"/>
        <v>3.0570497166666655E-2</v>
      </c>
      <c r="Y25">
        <v>60.815863631141575</v>
      </c>
      <c r="Z25">
        <v>22.854106237634408</v>
      </c>
      <c r="AA25">
        <v>1388.0995915603096</v>
      </c>
      <c r="AB25">
        <v>4753.333333333333</v>
      </c>
      <c r="AC25">
        <v>322729.83036133501</v>
      </c>
      <c r="AD25" s="5">
        <v>-2.4000000000000004E-2</v>
      </c>
      <c r="AE25" s="81">
        <f t="shared" si="5"/>
        <v>-0.22917700275360497</v>
      </c>
      <c r="AF25" s="81">
        <f t="shared" si="1"/>
        <v>0.22149306831043436</v>
      </c>
      <c r="AG25" s="81">
        <f t="shared" si="1"/>
        <v>0.28991406603346892</v>
      </c>
      <c r="AH25" s="81">
        <f t="shared" si="1"/>
        <v>-3.4912885219432366E-2</v>
      </c>
      <c r="AI25" s="81">
        <f t="shared" si="7"/>
        <v>-1.1181234855975775E-2</v>
      </c>
      <c r="AJ25">
        <v>0.45433333333333342</v>
      </c>
      <c r="AK25">
        <v>0.26899999999999996</v>
      </c>
      <c r="AL25">
        <f t="shared" si="6"/>
        <v>0.58304538280339835</v>
      </c>
    </row>
    <row r="26" spans="1:38">
      <c r="A26">
        <v>2016</v>
      </c>
      <c r="B26">
        <v>1</v>
      </c>
      <c r="D26" s="21">
        <v>20.9</v>
      </c>
      <c r="E26" s="27">
        <f>AVERAGEIFS('ІСЦ (Стрим Інфл)'!$J:$J,'ІСЦ (Стрим Інфл)'!$A:$A,'Дефлятор модель (CPI-PPI) (С-2)'!$A26,'ІСЦ (Стрим Інфл)'!$B:$B,'Дефлятор модель (CPI-PPI) (С-2)'!$B26)</f>
        <v>0.313</v>
      </c>
      <c r="F26" s="27">
        <f>AVERAGEIFS('ІЦВ (Стрим Інфл)+'!$J:$J,'ІЦВ (Стрим Інфл)+'!$A:$A,'Дефлятор модель (CPI-PPI) (С-2)'!$A26,'ІЦВ (Стрим Інфл)+'!$B:$B,'Дефлятор модель (CPI-PPI) (С-2)'!$B26)</f>
        <v>0.16366666666666668</v>
      </c>
      <c r="G26" s="27"/>
      <c r="H26" s="287">
        <f t="shared" si="8"/>
        <v>22.710378179999999</v>
      </c>
      <c r="I26" s="288">
        <f t="shared" si="9"/>
        <v>0.92028410246403036</v>
      </c>
      <c r="J26" s="21"/>
      <c r="K26" s="28">
        <f t="shared" si="11"/>
        <v>0.313</v>
      </c>
      <c r="L26" s="21"/>
      <c r="M26" s="21"/>
      <c r="N26" s="28">
        <f t="shared" si="12"/>
        <v>0.16366666666666668</v>
      </c>
      <c r="O26" s="21"/>
      <c r="P26" s="21"/>
      <c r="Q26" s="27">
        <f t="shared" si="10"/>
        <v>0.20899999999999999</v>
      </c>
      <c r="R26" s="21"/>
      <c r="S26" s="21"/>
      <c r="T26" s="95">
        <f t="shared" si="2"/>
        <v>0.22446614350000002</v>
      </c>
      <c r="U26" s="93">
        <f t="shared" si="3"/>
        <v>0.21805111116268411</v>
      </c>
      <c r="V26" s="96">
        <v>0.20899999999999999</v>
      </c>
      <c r="W26" s="94">
        <f t="shared" si="4"/>
        <v>-9.0511111626841168E-3</v>
      </c>
      <c r="X26" s="95">
        <f t="shared" si="0"/>
        <v>-1.5466143500000029E-2</v>
      </c>
      <c r="Y26">
        <v>57.727197592771404</v>
      </c>
      <c r="Z26">
        <v>25.669635638857994</v>
      </c>
      <c r="AA26">
        <v>1482.7320954886866</v>
      </c>
      <c r="AB26">
        <v>4622.333333333333</v>
      </c>
      <c r="AC26">
        <v>331732.91779812664</v>
      </c>
      <c r="AD26" s="5">
        <v>1E-3</v>
      </c>
      <c r="AE26" s="81">
        <f t="shared" si="5"/>
        <v>-0.2114813193876911</v>
      </c>
      <c r="AF26" s="81">
        <f t="shared" si="1"/>
        <v>-4.3389993097239565E-2</v>
      </c>
      <c r="AG26" s="81">
        <f t="shared" si="1"/>
        <v>0.26627705232398857</v>
      </c>
      <c r="AH26" s="81">
        <f t="shared" si="1"/>
        <v>4.305310446451216E-3</v>
      </c>
      <c r="AI26" s="81">
        <f t="shared" si="7"/>
        <v>3.3020084380133152E-3</v>
      </c>
      <c r="AJ26">
        <v>0.313</v>
      </c>
      <c r="AK26">
        <v>0.16366666666666668</v>
      </c>
      <c r="AL26">
        <f t="shared" si="6"/>
        <v>0.20907106155466426</v>
      </c>
    </row>
    <row r="27" spans="1:38">
      <c r="A27">
        <v>2016</v>
      </c>
      <c r="B27">
        <v>2</v>
      </c>
      <c r="D27" s="21">
        <v>15.3</v>
      </c>
      <c r="E27" s="27">
        <f>AVERAGEIFS('ІСЦ (Стрим Інфл)'!$J:$J,'ІСЦ (Стрим Інфл)'!$A:$A,'Дефлятор модель (CPI-PPI) (С-2)'!$A27,'ІСЦ (Стрим Інфл)'!$B:$B,'Дефлятор модель (CPI-PPI) (С-2)'!$B27)</f>
        <v>8.0666666666666678E-2</v>
      </c>
      <c r="F27" s="27">
        <f>AVERAGEIFS('ІЦВ (Стрим Інфл)+'!$J:$J,'ІЦВ (Стрим Інфл)+'!$A:$A,'Дефлятор модель (CPI-PPI) (С-2)'!$A27,'ІЦВ (Стрим Інфл)+'!$B:$B,'Дефлятор модель (CPI-PPI) (С-2)'!$B27)</f>
        <v>0.14066666666666669</v>
      </c>
      <c r="G27" s="27"/>
      <c r="H27" s="287">
        <f t="shared" si="8"/>
        <v>13.175156906666668</v>
      </c>
      <c r="I27" s="288">
        <f t="shared" si="9"/>
        <v>1.1612764924460335</v>
      </c>
      <c r="J27" s="21"/>
      <c r="K27" s="28">
        <f t="shared" si="11"/>
        <v>8.0666666666666678E-2</v>
      </c>
      <c r="L27" s="21"/>
      <c r="M27" s="21"/>
      <c r="N27" s="28">
        <f t="shared" si="12"/>
        <v>0.14066666666666669</v>
      </c>
      <c r="O27" s="21"/>
      <c r="P27" s="21"/>
      <c r="Q27" s="27">
        <f t="shared" si="10"/>
        <v>0.153</v>
      </c>
      <c r="R27" s="21"/>
      <c r="S27" s="21"/>
      <c r="T27" s="95">
        <f t="shared" si="2"/>
        <v>0.13107926166666667</v>
      </c>
      <c r="U27" s="93">
        <f t="shared" si="3"/>
        <v>0.12900815931946363</v>
      </c>
      <c r="V27" s="96">
        <v>0.153</v>
      </c>
      <c r="W27" s="94">
        <f t="shared" si="4"/>
        <v>2.3991840680536364E-2</v>
      </c>
      <c r="X27" s="95">
        <f t="shared" si="0"/>
        <v>2.1920738333333328E-2</v>
      </c>
      <c r="Y27">
        <v>63.032488909992544</v>
      </c>
      <c r="Z27">
        <v>25.262438794623659</v>
      </c>
      <c r="AA27">
        <v>1592.1913577419446</v>
      </c>
      <c r="AB27">
        <v>5072</v>
      </c>
      <c r="AC27">
        <v>337735.73980871501</v>
      </c>
      <c r="AD27" s="5">
        <v>1.7000000000000001E-2</v>
      </c>
      <c r="AE27" s="81">
        <f t="shared" si="5"/>
        <v>-8.9001404271074946E-2</v>
      </c>
      <c r="AF27" s="81">
        <f t="shared" si="1"/>
        <v>6.4992323570358224E-2</v>
      </c>
      <c r="AG27" s="81">
        <f t="shared" si="1"/>
        <v>0.23316314125942128</v>
      </c>
      <c r="AH27" s="81">
        <f t="shared" si="1"/>
        <v>2.2239636117769024E-2</v>
      </c>
      <c r="AI27" s="81">
        <f t="shared" si="7"/>
        <v>5.1520512465772494E-3</v>
      </c>
      <c r="AJ27">
        <v>8.0666666666666678E-2</v>
      </c>
      <c r="AK27">
        <v>0.14066666666666669</v>
      </c>
      <c r="AL27">
        <f t="shared" si="6"/>
        <v>0.16851937740556355</v>
      </c>
    </row>
    <row r="28" spans="1:38">
      <c r="A28">
        <v>2016</v>
      </c>
      <c r="B28">
        <v>3</v>
      </c>
      <c r="D28" s="21">
        <v>15.3</v>
      </c>
      <c r="E28" s="27">
        <f>AVERAGEIFS('ІСЦ (Стрим Інфл)'!$J:$J,'ІСЦ (Стрим Інфл)'!$A:$A,'Дефлятор модель (CPI-PPI) (С-2)'!$A28,'ІСЦ (Стрим Інфл)'!$B:$B,'Дефлятор модель (CPI-PPI) (С-2)'!$B28)</f>
        <v>8.066666666666672E-2</v>
      </c>
      <c r="F28" s="27">
        <f>AVERAGEIFS('ІЦВ (Стрим Інфл)+'!$J:$J,'ІЦВ (Стрим Інфл)+'!$A:$A,'Дефлятор модель (CPI-PPI) (С-2)'!$A28,'ІЦВ (Стрим Інфл)+'!$B:$B,'Дефлятор модель (CPI-PPI) (С-2)'!$B28)</f>
        <v>0.18933333333333333</v>
      </c>
      <c r="G28" s="27"/>
      <c r="H28" s="287">
        <f t="shared" si="8"/>
        <v>15.207995206666668</v>
      </c>
      <c r="I28" s="288">
        <f t="shared" si="9"/>
        <v>1.0060497647509121</v>
      </c>
      <c r="J28" s="21"/>
      <c r="K28" s="28">
        <f t="shared" si="11"/>
        <v>8.066666666666672E-2</v>
      </c>
      <c r="L28" s="21"/>
      <c r="M28" s="21"/>
      <c r="N28" s="28">
        <f t="shared" si="12"/>
        <v>0.18933333333333333</v>
      </c>
      <c r="O28" s="21"/>
      <c r="P28" s="21"/>
      <c r="Q28" s="27">
        <f t="shared" si="10"/>
        <v>0.153</v>
      </c>
      <c r="R28" s="21"/>
      <c r="S28" s="21"/>
      <c r="T28" s="95">
        <f t="shared" si="2"/>
        <v>0.15140764466666667</v>
      </c>
      <c r="U28" s="93">
        <f t="shared" si="3"/>
        <v>0.14650947124911254</v>
      </c>
      <c r="V28" s="96">
        <v>0.153</v>
      </c>
      <c r="W28" s="94">
        <f t="shared" si="4"/>
        <v>6.4905287508874587E-3</v>
      </c>
      <c r="X28" s="95">
        <f t="shared" si="0"/>
        <v>1.5923553333333229E-3</v>
      </c>
      <c r="Y28">
        <v>60.875215760700605</v>
      </c>
      <c r="Z28">
        <v>25.385684131182796</v>
      </c>
      <c r="AA28">
        <v>1544.886585165041</v>
      </c>
      <c r="AB28">
        <v>5311.333333333333</v>
      </c>
      <c r="AC28">
        <v>355410.64953295002</v>
      </c>
      <c r="AD28" s="5">
        <v>2.7000000000000007E-2</v>
      </c>
      <c r="AE28" s="81">
        <f t="shared" si="5"/>
        <v>-7.0536244346635857E-2</v>
      </c>
      <c r="AF28" s="81">
        <f t="shared" si="1"/>
        <v>8.5831948832000515E-2</v>
      </c>
      <c r="AG28" s="81">
        <f t="shared" si="1"/>
        <v>0.23156592981913726</v>
      </c>
      <c r="AH28" s="81">
        <f t="shared" si="1"/>
        <v>8.0389885758058943E-2</v>
      </c>
      <c r="AI28" s="81">
        <f t="shared" si="7"/>
        <v>5.1986256823816079E-2</v>
      </c>
      <c r="AJ28">
        <v>8.066666666666672E-2</v>
      </c>
      <c r="AK28">
        <v>0.18933333333333333</v>
      </c>
      <c r="AL28">
        <f t="shared" si="6"/>
        <v>0.16863261202395874</v>
      </c>
    </row>
    <row r="29" spans="1:38">
      <c r="A29">
        <v>2016</v>
      </c>
      <c r="B29">
        <v>4</v>
      </c>
      <c r="D29" s="21">
        <v>17.399999999999999</v>
      </c>
      <c r="E29" s="27">
        <f>AVERAGEIFS('ІСЦ (Стрим Інфл)'!$J:$J,'ІСЦ (Стрим Інфл)'!$A:$A,'Дефлятор модель (CPI-PPI) (С-2)'!$A29,'ІСЦ (Стрим Інфл)'!$B:$B,'Дефлятор модель (CPI-PPI) (С-2)'!$B29)</f>
        <v>0.12300000000000001</v>
      </c>
      <c r="F29" s="27">
        <f>AVERAGEIFS('ІЦВ (Стрим Інфл)+'!$J:$J,'ІЦВ (Стрим Інфл)+'!$A:$A,'Дефлятор модель (CPI-PPI) (С-2)'!$A29,'ІЦВ (Стрим Інфл)+'!$B:$B,'Дефлятор модель (CPI-PPI) (С-2)'!$B29)</f>
        <v>0.3229999999999999</v>
      </c>
      <c r="G29" s="27"/>
      <c r="H29" s="287">
        <f t="shared" si="8"/>
        <v>22.353693179999993</v>
      </c>
      <c r="I29" s="288">
        <f t="shared" si="9"/>
        <v>0.7783948656666676</v>
      </c>
      <c r="J29" s="21"/>
      <c r="K29" s="28">
        <f t="shared" si="11"/>
        <v>0.12300000000000001</v>
      </c>
      <c r="L29" s="21"/>
      <c r="M29" s="21"/>
      <c r="N29" s="28">
        <f t="shared" si="12"/>
        <v>0.3229999999999999</v>
      </c>
      <c r="O29" s="21"/>
      <c r="P29" s="21"/>
      <c r="Q29" s="27">
        <f t="shared" si="10"/>
        <v>0.17399999999999999</v>
      </c>
      <c r="R29" s="21"/>
      <c r="S29" s="21"/>
      <c r="T29" s="95">
        <f t="shared" si="2"/>
        <v>0.22250652249999994</v>
      </c>
      <c r="U29" s="93">
        <f t="shared" si="3"/>
        <v>0.21739648557649094</v>
      </c>
      <c r="V29" s="96">
        <v>0.17399999999999999</v>
      </c>
      <c r="W29" s="94">
        <f t="shared" si="4"/>
        <v>-4.3396485576490951E-2</v>
      </c>
      <c r="X29" s="95">
        <f t="shared" si="0"/>
        <v>-4.8506522499999954E-2</v>
      </c>
      <c r="Y29">
        <v>66.234315955768537</v>
      </c>
      <c r="Z29">
        <v>25.887578374193549</v>
      </c>
      <c r="AA29">
        <v>1714.9803393378436</v>
      </c>
      <c r="AB29">
        <v>5743.666666666667</v>
      </c>
      <c r="AC29">
        <v>360205.31619122002</v>
      </c>
      <c r="AD29" s="5">
        <v>4.6000000000000006E-2</v>
      </c>
      <c r="AE29" s="81">
        <f t="shared" si="5"/>
        <v>8.9096035164291765E-2</v>
      </c>
      <c r="AF29" s="81">
        <f t="shared" si="1"/>
        <v>0.23548796481533429</v>
      </c>
      <c r="AG29" s="81">
        <f t="shared" si="1"/>
        <v>0.20834502103786834</v>
      </c>
      <c r="AH29" s="81">
        <f t="shared" si="1"/>
        <v>0.11612030343748114</v>
      </c>
      <c r="AI29" s="81">
        <f t="shared" si="7"/>
        <v>6.7036618965087058E-2</v>
      </c>
      <c r="AJ29">
        <v>0.12300000000000001</v>
      </c>
      <c r="AK29">
        <v>0.3229999999999999</v>
      </c>
      <c r="AL29">
        <f t="shared" si="6"/>
        <v>0.13273203970513836</v>
      </c>
    </row>
    <row r="30" spans="1:38">
      <c r="A30">
        <v>2017</v>
      </c>
      <c r="B30">
        <v>1</v>
      </c>
      <c r="D30" s="21">
        <v>26.6</v>
      </c>
      <c r="E30" s="27">
        <f>AVERAGEIFS('ІСЦ (Стрим Інфл)'!$J:$J,'ІСЦ (Стрим Інфл)'!$A:$A,'Дефлятор модель (CPI-PPI) (С-2)'!$A30,'ІСЦ (Стрим Інфл)'!$B:$B,'Дефлятор модель (CPI-PPI) (С-2)'!$B30)</f>
        <v>0.13966666666666663</v>
      </c>
      <c r="F30" s="27">
        <f>AVERAGEIFS('ІЦВ (Стрим Інфл)+'!$J:$J,'ІЦВ (Стрим Інфл)+'!$A:$A,'Дефлятор модель (CPI-PPI) (С-2)'!$A30,'ІЦВ (Стрим Інфл)+'!$B:$B,'Дефлятор модель (CPI-PPI) (С-2)'!$B30)</f>
        <v>0.38000000000000006</v>
      </c>
      <c r="G30" s="27"/>
      <c r="H30" s="287">
        <f t="shared" si="8"/>
        <v>25.349720396666669</v>
      </c>
      <c r="I30" s="288">
        <f t="shared" si="9"/>
        <v>1.0493212384108874</v>
      </c>
      <c r="J30" s="21"/>
      <c r="K30" s="28">
        <f t="shared" si="11"/>
        <v>0.13966666666666663</v>
      </c>
      <c r="L30" s="21"/>
      <c r="M30" s="21"/>
      <c r="N30" s="28">
        <f t="shared" si="12"/>
        <v>0.38000000000000006</v>
      </c>
      <c r="O30" s="21"/>
      <c r="P30" s="21"/>
      <c r="Q30" s="27">
        <f t="shared" si="10"/>
        <v>0.26600000000000001</v>
      </c>
      <c r="R30" s="21"/>
      <c r="S30" s="21"/>
      <c r="T30" s="95">
        <f t="shared" si="2"/>
        <v>0.25232580966666668</v>
      </c>
      <c r="U30" s="93">
        <f t="shared" si="3"/>
        <v>0.24802548195963992</v>
      </c>
      <c r="V30" s="96">
        <v>0.26200000000000001</v>
      </c>
      <c r="W30" s="94">
        <f t="shared" si="4"/>
        <v>1.3974518040360095E-2</v>
      </c>
      <c r="X30" s="95">
        <f t="shared" si="0"/>
        <v>9.6741903333333323E-3</v>
      </c>
      <c r="Y30">
        <v>71.913105870063021</v>
      </c>
      <c r="Z30">
        <v>27.059981798003069</v>
      </c>
      <c r="AA30">
        <v>1945.9684410171067</v>
      </c>
      <c r="AB30">
        <v>6323</v>
      </c>
      <c r="AC30">
        <v>364243.22864574502</v>
      </c>
      <c r="AD30" s="5">
        <v>2.7999999999999997E-2</v>
      </c>
      <c r="AE30" s="81">
        <f t="shared" si="5"/>
        <v>0.24574046322782128</v>
      </c>
      <c r="AF30" s="81">
        <f t="shared" si="1"/>
        <v>0.31242079869846218</v>
      </c>
      <c r="AG30" s="81">
        <f t="shared" si="1"/>
        <v>0.36792384798442357</v>
      </c>
      <c r="AH30" s="81">
        <f t="shared" si="1"/>
        <v>9.8001461728324024E-2</v>
      </c>
      <c r="AI30" s="81">
        <f t="shared" si="7"/>
        <v>6.8094807128719737E-2</v>
      </c>
      <c r="AJ30">
        <v>0.13966666666666663</v>
      </c>
      <c r="AK30">
        <v>0.38000000000000006</v>
      </c>
      <c r="AL30">
        <f t="shared" si="6"/>
        <v>5.4163065604266203E-2</v>
      </c>
    </row>
    <row r="31" spans="1:38">
      <c r="A31">
        <v>2017</v>
      </c>
      <c r="B31">
        <v>2</v>
      </c>
      <c r="D31" s="21">
        <v>20.9</v>
      </c>
      <c r="E31" s="27">
        <f>AVERAGEIFS('ІСЦ (Стрим Інфл)'!$J:$J,'ІСЦ (Стрим Інфл)'!$A:$A,'Дефлятор модель (CPI-PPI) (С-2)'!$A31,'ІСЦ (Стрим Інфл)'!$B:$B,'Дефлятор модель (CPI-PPI) (С-2)'!$B31)</f>
        <v>0.13766666666666663</v>
      </c>
      <c r="F31" s="27">
        <f>AVERAGEIFS('ІЦВ (Стрим Інфл)+'!$J:$J,'ІЦВ (Стрим Інфл)+'!$A:$A,'Дефлятор модель (CPI-PPI) (С-2)'!$A31,'ІЦВ (Стрим Інфл)+'!$B:$B,'Дефлятор модель (CPI-PPI) (С-2)'!$B31)</f>
        <v>0.29666666666666663</v>
      </c>
      <c r="G31" s="27"/>
      <c r="H31" s="287">
        <f t="shared" si="8"/>
        <v>21.795020876666662</v>
      </c>
      <c r="I31" s="288">
        <f t="shared" si="9"/>
        <v>0.95893461714345707</v>
      </c>
      <c r="J31" s="21"/>
      <c r="K31" s="28">
        <f>E31</f>
        <v>0.13766666666666663</v>
      </c>
      <c r="L31" s="21"/>
      <c r="M31" s="21"/>
      <c r="N31" s="28">
        <f>F31</f>
        <v>0.29666666666666663</v>
      </c>
      <c r="O31" s="21"/>
      <c r="P31" s="21"/>
      <c r="Q31" s="27">
        <f t="shared" si="10"/>
        <v>0.20899999999999999</v>
      </c>
      <c r="R31" s="21"/>
      <c r="S31" s="21"/>
      <c r="T31" s="95">
        <f t="shared" si="2"/>
        <v>0.21679573266666663</v>
      </c>
      <c r="U31" s="93">
        <f t="shared" si="3"/>
        <v>0.20240933163986569</v>
      </c>
      <c r="V31" s="96">
        <v>0.20899999999999999</v>
      </c>
      <c r="W31" s="94">
        <f t="shared" si="4"/>
        <v>6.5906683601343052E-3</v>
      </c>
      <c r="X31" s="95">
        <f t="shared" si="0"/>
        <v>-7.7957326666666382E-3</v>
      </c>
      <c r="Y31">
        <v>64.204964156478169</v>
      </c>
      <c r="Z31">
        <v>26.463126088888888</v>
      </c>
      <c r="AA31">
        <v>1699.5103224472871</v>
      </c>
      <c r="AB31">
        <v>6953</v>
      </c>
      <c r="AC31">
        <v>368648.816115305</v>
      </c>
      <c r="AD31" s="5">
        <v>2.6000000000000006E-2</v>
      </c>
      <c r="AE31" s="81">
        <f t="shared" si="5"/>
        <v>1.8601125653785688E-2</v>
      </c>
      <c r="AF31" s="81">
        <f t="shared" si="1"/>
        <v>6.7403308141015694E-2</v>
      </c>
      <c r="AG31" s="81">
        <f t="shared" si="1"/>
        <v>0.37085962145110418</v>
      </c>
      <c r="AH31" s="81">
        <f t="shared" si="1"/>
        <v>9.153036727501318E-2</v>
      </c>
      <c r="AI31" s="81">
        <f t="shared" si="7"/>
        <v>6.3869753679349994E-2</v>
      </c>
      <c r="AJ31">
        <v>0.13766666666666663</v>
      </c>
      <c r="AK31">
        <v>0.29666666666666663</v>
      </c>
      <c r="AL31">
        <f t="shared" si="6"/>
        <v>4.7528558268917331E-2</v>
      </c>
    </row>
    <row r="32" spans="1:38">
      <c r="A32">
        <v>2017</v>
      </c>
      <c r="B32">
        <v>3</v>
      </c>
      <c r="D32" s="21">
        <v>21.5</v>
      </c>
      <c r="E32" s="27">
        <f>AVERAGEIFS('ІСЦ (Стрим Інфл)'!$J:$J,'ІСЦ (Стрим Інфл)'!$A:$A,'Дефлятор модель (CPI-PPI) (С-2)'!$A32,'ІСЦ (Стрим Інфл)'!$B:$B,'Дефлятор модель (CPI-PPI) (С-2)'!$B32)</f>
        <v>0.16166666666666671</v>
      </c>
      <c r="F32" s="27">
        <f>AVERAGEIFS('ІЦВ (Стрим Інфл)+'!$J:$J,'ІЦВ (Стрим Інфл)+'!$A:$A,'Дефлятор модель (CPI-PPI) (С-2)'!$A32,'ІЦВ (Стрим Інфл)+'!$B:$B,'Дефлятор модель (CPI-PPI) (С-2)'!$B32)</f>
        <v>0.23099999999999998</v>
      </c>
      <c r="G32" s="27"/>
      <c r="H32" s="287">
        <f t="shared" si="8"/>
        <v>19.93782576666667</v>
      </c>
      <c r="I32" s="288">
        <f t="shared" si="9"/>
        <v>1.0783522863333008</v>
      </c>
      <c r="J32" s="21"/>
      <c r="K32" s="28">
        <f t="shared" si="11"/>
        <v>0.16166666666666671</v>
      </c>
      <c r="L32" s="21"/>
      <c r="M32" s="21"/>
      <c r="N32" s="28">
        <f t="shared" si="12"/>
        <v>0.23099999999999998</v>
      </c>
      <c r="O32" s="21"/>
      <c r="P32" s="21"/>
      <c r="Q32" s="27">
        <f t="shared" si="10"/>
        <v>0.215</v>
      </c>
      <c r="R32" s="21"/>
      <c r="S32" s="21"/>
      <c r="T32" s="95">
        <f t="shared" si="2"/>
        <v>0.19802076316666667</v>
      </c>
      <c r="U32" s="93">
        <f t="shared" si="3"/>
        <v>0.19502786046971879</v>
      </c>
      <c r="V32" s="96">
        <v>0.21100000000000002</v>
      </c>
      <c r="W32" s="94">
        <f t="shared" si="4"/>
        <v>1.5972139530281232E-2</v>
      </c>
      <c r="X32" s="95">
        <f t="shared" si="0"/>
        <v>1.2979236833333352E-2</v>
      </c>
      <c r="Y32">
        <v>67.870345644271211</v>
      </c>
      <c r="Z32">
        <v>25.904397915053753</v>
      </c>
      <c r="AA32">
        <v>1758.1716984869993</v>
      </c>
      <c r="AB32">
        <v>7268</v>
      </c>
      <c r="AC32">
        <v>378713.75901810831</v>
      </c>
      <c r="AD32" s="5">
        <v>2.4000000000000004E-2</v>
      </c>
      <c r="AE32" s="81">
        <f t="shared" si="5"/>
        <v>0.11490932387111918</v>
      </c>
      <c r="AF32" s="81">
        <f t="shared" si="1"/>
        <v>0.13805875160678727</v>
      </c>
      <c r="AG32" s="81">
        <f t="shared" si="1"/>
        <v>0.36839462783983934</v>
      </c>
      <c r="AH32" s="81">
        <f t="shared" si="1"/>
        <v>6.5566717023761711E-2</v>
      </c>
      <c r="AI32" s="81">
        <f t="shared" si="7"/>
        <v>4.0592497093517199E-2</v>
      </c>
      <c r="AJ32">
        <v>0.16166666666666671</v>
      </c>
      <c r="AK32">
        <v>0.23099999999999998</v>
      </c>
      <c r="AL32">
        <f t="shared" si="6"/>
        <v>2.0433319078204004E-2</v>
      </c>
    </row>
    <row r="33" spans="1:38">
      <c r="A33">
        <v>2017</v>
      </c>
      <c r="B33">
        <v>4</v>
      </c>
      <c r="D33" s="21">
        <v>20.8</v>
      </c>
      <c r="E33" s="27">
        <f>AVERAGEIFS('ІСЦ (Стрим Інфл)'!$J:$J,'ІСЦ (Стрим Інфл)'!$A:$A,'Дефлятор модель (CPI-PPI) (С-2)'!$A33,'ІСЦ (Стрим Інфл)'!$B:$B,'Дефлятор модель (CPI-PPI) (С-2)'!$B33)</f>
        <v>0.13966666666666663</v>
      </c>
      <c r="F33" s="27">
        <f>AVERAGEIFS('ІЦВ (Стрим Інфл)+'!$J:$J,'ІЦВ (Стрим Інфл)+'!$A:$A,'Дефлятор модель (CPI-PPI) (С-2)'!$A33,'ІЦВ (Стрим Інфл)+'!$B:$B,'Дефлятор модель (CPI-PPI) (С-2)'!$B33)</f>
        <v>0.17900000000000002</v>
      </c>
      <c r="G33" s="27"/>
      <c r="H33" s="287">
        <f t="shared" si="8"/>
        <v>16.953819746666667</v>
      </c>
      <c r="I33" s="288">
        <f t="shared" si="9"/>
        <v>1.2268621650344926</v>
      </c>
      <c r="J33" s="21"/>
      <c r="K33" s="28">
        <f t="shared" si="11"/>
        <v>0.13966666666666663</v>
      </c>
      <c r="L33" s="21"/>
      <c r="M33" s="21"/>
      <c r="N33" s="28">
        <f t="shared" si="12"/>
        <v>0.17900000000000002</v>
      </c>
      <c r="O33" s="21"/>
      <c r="P33" s="21"/>
      <c r="Q33" s="27">
        <f t="shared" si="10"/>
        <v>0.20800000000000002</v>
      </c>
      <c r="R33" s="21"/>
      <c r="S33" s="21"/>
      <c r="T33" s="95">
        <f t="shared" si="2"/>
        <v>0.16836680316666666</v>
      </c>
      <c r="U33" s="93">
        <f t="shared" si="3"/>
        <v>0.16690924834786974</v>
      </c>
      <c r="V33" s="96">
        <v>0.20899999999999999</v>
      </c>
      <c r="W33" s="94">
        <f t="shared" si="4"/>
        <v>4.2090751652130248E-2</v>
      </c>
      <c r="X33" s="95">
        <f t="shared" si="0"/>
        <v>4.0633196833333329E-2</v>
      </c>
      <c r="Y33">
        <v>70.082109609092825</v>
      </c>
      <c r="Z33">
        <v>26.958919888530474</v>
      </c>
      <c r="AA33">
        <v>1890.0542328744086</v>
      </c>
      <c r="AB33">
        <v>7877.666666666667</v>
      </c>
      <c r="AC33">
        <v>380530.58714297833</v>
      </c>
      <c r="AD33" s="5">
        <v>2.2000000000000002E-2</v>
      </c>
      <c r="AE33" s="81">
        <f t="shared" si="5"/>
        <v>5.8093657310416713E-2</v>
      </c>
      <c r="AF33" s="81">
        <f t="shared" si="1"/>
        <v>0.102085073234228</v>
      </c>
      <c r="AG33" s="81">
        <f t="shared" si="1"/>
        <v>0.37153966687946149</v>
      </c>
      <c r="AH33" s="81">
        <f t="shared" si="1"/>
        <v>5.642690442960685E-2</v>
      </c>
      <c r="AI33" s="81">
        <f t="shared" si="7"/>
        <v>3.3685816467325713E-2</v>
      </c>
      <c r="AJ33">
        <v>0.13966666666666663</v>
      </c>
      <c r="AK33">
        <v>0.17900000000000002</v>
      </c>
      <c r="AL33">
        <f t="shared" si="6"/>
        <v>4.1384385161530091E-2</v>
      </c>
    </row>
    <row r="34" spans="1:38">
      <c r="A34">
        <v>2018</v>
      </c>
      <c r="B34">
        <v>1</v>
      </c>
      <c r="D34" s="24">
        <v>15.1</v>
      </c>
      <c r="E34" s="27">
        <f>AVERAGEIFS('ІСЦ (Стрим Інфл)'!$J:$J,'ІСЦ (Стрим Інфл)'!$A:$A,'Дефлятор модель (CPI-PPI) (С-2)'!$A34,'ІСЦ (Стрим Інфл)'!$B:$B,'Дефлятор модель (CPI-PPI) (С-2)'!$B34)</f>
        <v>0.13766666666666663</v>
      </c>
      <c r="F34" s="27">
        <f>AVERAGEIFS('ІЦВ (Стрим Інфл)+'!$J:$J,'ІЦВ (Стрим Інфл)+'!$A:$A,'Дефлятор модель (CPI-PPI) (С-2)'!$A34,'ІЦВ (Стрим Інфл)+'!$B:$B,'Дефлятор модель (CPI-PPI) (С-2)'!$B34)</f>
        <v>0.19166666666666665</v>
      </c>
      <c r="G34" s="27"/>
      <c r="H34" s="287">
        <f t="shared" si="8"/>
        <v>17.409102626666666</v>
      </c>
      <c r="I34" s="288">
        <f t="shared" si="9"/>
        <v>0.8673623404844738</v>
      </c>
      <c r="J34" s="24"/>
      <c r="K34" s="28">
        <f>E34</f>
        <v>0.13766666666666663</v>
      </c>
      <c r="L34" s="24"/>
      <c r="M34" s="24"/>
      <c r="N34" s="28">
        <f t="shared" si="12"/>
        <v>0.19166666666666665</v>
      </c>
      <c r="O34" s="24"/>
      <c r="P34" s="24"/>
      <c r="Q34" s="27">
        <f t="shared" si="10"/>
        <v>0.151</v>
      </c>
      <c r="R34" s="24"/>
      <c r="S34" s="24"/>
      <c r="T34" s="95">
        <f t="shared" si="2"/>
        <v>0.17293655016666665</v>
      </c>
      <c r="U34" s="93">
        <f t="shared" si="3"/>
        <v>0.16658986358800598</v>
      </c>
      <c r="V34" s="96">
        <v>0.14899999999999999</v>
      </c>
      <c r="W34" s="94">
        <f t="shared" si="4"/>
        <v>-1.7589863588005988E-2</v>
      </c>
      <c r="X34" s="95">
        <f t="shared" si="0"/>
        <v>-2.3936550166666654E-2</v>
      </c>
      <c r="Y34">
        <v>74.787652596821502</v>
      </c>
      <c r="Z34">
        <v>27.315527582565281</v>
      </c>
      <c r="AA34">
        <v>2042.7517197910754</v>
      </c>
      <c r="AB34">
        <v>7973.8566666666666</v>
      </c>
      <c r="AC34">
        <v>397765.58172843495</v>
      </c>
      <c r="AD34" s="5">
        <v>3.1E-2</v>
      </c>
      <c r="AE34" s="81">
        <f t="shared" si="5"/>
        <v>3.9972501423487294E-2</v>
      </c>
      <c r="AF34" s="81">
        <f t="shared" si="1"/>
        <v>4.9735276654015337E-2</v>
      </c>
      <c r="AG34" s="81">
        <f t="shared" si="1"/>
        <v>0.26108756392008003</v>
      </c>
      <c r="AH34" s="81">
        <f t="shared" si="1"/>
        <v>9.2032879258526989E-2</v>
      </c>
      <c r="AI34" s="81">
        <f t="shared" si="7"/>
        <v>5.9197749038338632E-2</v>
      </c>
      <c r="AJ34">
        <v>0.13766666666666663</v>
      </c>
      <c r="AK34">
        <v>0.19166666666666665</v>
      </c>
      <c r="AL34">
        <f t="shared" si="6"/>
        <v>9.4436791003706944E-3</v>
      </c>
    </row>
    <row r="35" spans="1:38">
      <c r="A35">
        <v>2018</v>
      </c>
      <c r="B35">
        <v>2</v>
      </c>
      <c r="D35" s="24">
        <v>17.399999999999999</v>
      </c>
      <c r="E35" s="27">
        <f>AVERAGEIFS('ІСЦ (Стрим Інфл)'!$J:$J,'ІСЦ (Стрим Інфл)'!$A:$A,'Дефлятор модель (CPI-PPI) (С-2)'!$A35,'ІСЦ (Стрим Інфл)'!$B:$B,'Дефлятор модель (CPI-PPI) (С-2)'!$B35)</f>
        <v>0.1156666666666667</v>
      </c>
      <c r="F35" s="27">
        <f>AVERAGEIFS('ІЦВ (Стрим Інфл)+'!$J:$J,'ІЦВ (Стрим Інфл)+'!$A:$A,'Дефлятор модель (CPI-PPI) (С-2)'!$A35,'ІЦВ (Стрим Інфл)+'!$B:$B,'Дефлятор модель (CPI-PPI) (С-2)'!$B35)</f>
        <v>0.16333333333333333</v>
      </c>
      <c r="G35" s="27"/>
      <c r="H35" s="287">
        <f t="shared" si="8"/>
        <v>15.413668656666667</v>
      </c>
      <c r="I35" s="288">
        <f t="shared" si="9"/>
        <v>1.1288681745779068</v>
      </c>
      <c r="J35" s="24"/>
      <c r="K35" s="28">
        <f t="shared" si="11"/>
        <v>0.1156666666666667</v>
      </c>
      <c r="L35" s="24"/>
      <c r="M35" s="24"/>
      <c r="N35" s="28">
        <f t="shared" si="12"/>
        <v>0.16333333333333333</v>
      </c>
      <c r="O35" s="24"/>
      <c r="P35" s="24"/>
      <c r="Q35" s="27">
        <f t="shared" si="10"/>
        <v>0.17399999999999999</v>
      </c>
      <c r="R35" s="24"/>
      <c r="S35" s="24"/>
      <c r="T35" s="95">
        <f t="shared" si="2"/>
        <v>0.15316831066666667</v>
      </c>
      <c r="U35" s="93">
        <f t="shared" si="3"/>
        <v>0.15822315131559567</v>
      </c>
      <c r="V35" s="96">
        <v>0.17</v>
      </c>
      <c r="W35" s="94">
        <f t="shared" si="4"/>
        <v>1.1776848684404345E-2</v>
      </c>
      <c r="X35" s="95">
        <f t="shared" si="0"/>
        <v>1.6831689333333344E-2</v>
      </c>
      <c r="Y35">
        <v>76.737400498457831</v>
      </c>
      <c r="Z35">
        <v>26.178381204659498</v>
      </c>
      <c r="AA35">
        <v>2008.8720994073053</v>
      </c>
      <c r="AB35">
        <v>8782.0533333333315</v>
      </c>
      <c r="AC35">
        <v>408689.05783451506</v>
      </c>
      <c r="AD35" s="5">
        <v>3.7999999999999999E-2</v>
      </c>
      <c r="AE35" s="81">
        <f t="shared" si="5"/>
        <v>0.19519419575464658</v>
      </c>
      <c r="AF35" s="81">
        <f t="shared" si="1"/>
        <v>0.18202994878815359</v>
      </c>
      <c r="AG35" s="81">
        <f t="shared" si="1"/>
        <v>0.26305959058439976</v>
      </c>
      <c r="AH35" s="81">
        <f t="shared" si="1"/>
        <v>0.10861350957569971</v>
      </c>
      <c r="AI35" s="81">
        <f t="shared" si="7"/>
        <v>6.8028429263679913E-2</v>
      </c>
      <c r="AJ35">
        <v>0.1156666666666667</v>
      </c>
      <c r="AK35">
        <v>0.16333333333333333</v>
      </c>
      <c r="AL35">
        <f t="shared" si="6"/>
        <v>-1.0760062256928382E-2</v>
      </c>
    </row>
    <row r="36" spans="1:38">
      <c r="A36">
        <v>2018</v>
      </c>
      <c r="B36">
        <v>3</v>
      </c>
      <c r="D36" s="24">
        <v>16</v>
      </c>
      <c r="E36" s="27">
        <f>AVERAGEIFS('ІСЦ (Стрим Інфл)'!$J:$J,'ІСЦ (Стрим Інфл)'!$A:$A,'Дефлятор модель (CPI-PPI) (С-2)'!$A36,'ІСЦ (Стрим Інфл)'!$B:$B,'Дефлятор модель (CPI-PPI) (С-2)'!$B36)</f>
        <v>8.9333333333333376E-2</v>
      </c>
      <c r="F36" s="27">
        <f>AVERAGEIFS('ІЦВ (Стрим Інфл)+'!$J:$J,'ІЦВ (Стрим Інфл)+'!$A:$A,'Дефлятор модель (CPI-PPI) (С-2)'!$A36,'ІЦВ (Стрим Інфл)+'!$B:$B,'Дефлятор модель (CPI-PPI) (С-2)'!$B36)</f>
        <v>0.18766666666666665</v>
      </c>
      <c r="G36" s="27"/>
      <c r="H36" s="287">
        <f t="shared" si="8"/>
        <v>15.458229543333333</v>
      </c>
      <c r="I36" s="288">
        <f t="shared" si="9"/>
        <v>1.0350473807590932</v>
      </c>
      <c r="J36" s="24"/>
      <c r="K36" s="28">
        <f t="shared" si="11"/>
        <v>8.9333333333333376E-2</v>
      </c>
      <c r="L36" s="24"/>
      <c r="M36" s="24"/>
      <c r="N36" s="28">
        <f t="shared" si="12"/>
        <v>0.18766666666666665</v>
      </c>
      <c r="O36" s="24"/>
      <c r="P36" s="24"/>
      <c r="Q36" s="27">
        <f t="shared" si="10"/>
        <v>0.16</v>
      </c>
      <c r="R36" s="24"/>
      <c r="S36" s="24"/>
      <c r="T36" s="95">
        <f t="shared" si="2"/>
        <v>0.15383667583333333</v>
      </c>
      <c r="U36" s="93">
        <f t="shared" si="3"/>
        <v>0.15743973229038696</v>
      </c>
      <c r="V36" s="96">
        <v>0.161</v>
      </c>
      <c r="W36" s="94">
        <f t="shared" si="4"/>
        <v>3.5602677096130408E-3</v>
      </c>
      <c r="X36" s="95">
        <f t="shared" si="0"/>
        <v>7.1633241666666791E-3</v>
      </c>
      <c r="Y36">
        <v>77.123936702931786</v>
      </c>
      <c r="Z36">
        <v>27.358054294982086</v>
      </c>
      <c r="AA36">
        <v>2110.7140419722359</v>
      </c>
      <c r="AB36">
        <v>9063.1866666666665</v>
      </c>
      <c r="AC36">
        <v>421546.78408538835</v>
      </c>
      <c r="AD36" s="5">
        <v>2.8000000000000001E-2</v>
      </c>
      <c r="AE36" s="81">
        <f t="shared" si="5"/>
        <v>0.13634218259564213</v>
      </c>
      <c r="AF36" s="81">
        <f t="shared" si="1"/>
        <v>0.20051644773295929</v>
      </c>
      <c r="AG36" s="81">
        <f t="shared" si="1"/>
        <v>0.24699871583195732</v>
      </c>
      <c r="AH36" s="81">
        <f t="shared" si="1"/>
        <v>0.11310131741274287</v>
      </c>
      <c r="AI36" s="81">
        <f t="shared" si="7"/>
        <v>8.2783382697220631E-2</v>
      </c>
      <c r="AJ36">
        <v>8.9333333333333376E-2</v>
      </c>
      <c r="AK36">
        <v>0.18766666666666665</v>
      </c>
      <c r="AL36">
        <f t="shared" si="6"/>
        <v>5.6116200218016887E-2</v>
      </c>
    </row>
    <row r="37" spans="1:38">
      <c r="A37">
        <v>2018</v>
      </c>
      <c r="B37">
        <v>4</v>
      </c>
      <c r="D37" s="24">
        <v>13.5</v>
      </c>
      <c r="E37" s="27">
        <f>AVERAGEIFS('ІСЦ (Стрим Інфл)'!$J:$J,'ІСЦ (Стрим Інфл)'!$A:$A,'Дефлятор модель (CPI-PPI) (С-2)'!$A37,'ІСЦ (Стрим Інфл)'!$B:$B,'Дефлятор модель (CPI-PPI) (С-2)'!$B37)</f>
        <v>9.7666666666666679E-2</v>
      </c>
      <c r="F37" s="27">
        <f>AVERAGEIFS('ІЦВ (Стрим Інфл)+'!$J:$J,'ІЦВ (Стрим Інфл)+'!$A:$A,'Дефлятор модель (CPI-PPI) (С-2)'!$A37,'ІЦВ (Стрим Інфл)+'!$B:$B,'Дефлятор модель (CPI-PPI) (С-2)'!$B37)</f>
        <v>0.15766666666666665</v>
      </c>
      <c r="G37" s="27"/>
      <c r="H37" s="287">
        <f t="shared" si="8"/>
        <v>14.512660126666667</v>
      </c>
      <c r="I37" s="288">
        <f t="shared" si="9"/>
        <v>0.93022229433968984</v>
      </c>
      <c r="J37" s="24"/>
      <c r="K37" s="28">
        <f t="shared" si="11"/>
        <v>9.7666666666666679E-2</v>
      </c>
      <c r="L37" s="24"/>
      <c r="M37" s="24"/>
      <c r="N37" s="28">
        <f t="shared" si="12"/>
        <v>0.15766666666666665</v>
      </c>
      <c r="O37" s="24"/>
      <c r="P37" s="24"/>
      <c r="Q37" s="27">
        <f t="shared" si="10"/>
        <v>0.13500000000000001</v>
      </c>
      <c r="R37" s="24"/>
      <c r="S37" s="24"/>
      <c r="T37" s="95">
        <f t="shared" si="2"/>
        <v>0.14431048916666667</v>
      </c>
      <c r="U37" s="93">
        <f t="shared" si="3"/>
        <v>0.14576187268316251</v>
      </c>
      <c r="V37" s="96">
        <v>0.13500000000000001</v>
      </c>
      <c r="W37" s="94">
        <f t="shared" si="4"/>
        <v>-1.0761872683162504E-2</v>
      </c>
      <c r="X37" s="95">
        <f t="shared" si="0"/>
        <v>-9.3104891666666578E-3</v>
      </c>
      <c r="Y37">
        <v>76.412271631495784</v>
      </c>
      <c r="Z37">
        <v>27.950006420788537</v>
      </c>
      <c r="AA37">
        <v>2136.0680138292578</v>
      </c>
      <c r="AB37">
        <v>9650.6666666666661</v>
      </c>
      <c r="AC37">
        <v>429207.60610917833</v>
      </c>
      <c r="AD37" s="5">
        <v>3.3000000000000002E-2</v>
      </c>
      <c r="AE37" s="81">
        <f t="shared" si="5"/>
        <v>9.0324935389525685E-2</v>
      </c>
      <c r="AF37" s="81">
        <f t="shared" si="1"/>
        <v>0.13016228670894248</v>
      </c>
      <c r="AG37" s="81">
        <f t="shared" si="1"/>
        <v>0.22506664409935251</v>
      </c>
      <c r="AH37" s="81">
        <f t="shared" si="1"/>
        <v>0.12791880760930896</v>
      </c>
      <c r="AI37" s="81">
        <f t="shared" si="7"/>
        <v>9.1886551412690309E-2</v>
      </c>
      <c r="AJ37">
        <v>9.7666666666666679E-2</v>
      </c>
      <c r="AK37">
        <v>0.15766666666666665</v>
      </c>
      <c r="AL37">
        <f t="shared" si="6"/>
        <v>3.6762842738358836E-2</v>
      </c>
    </row>
    <row r="38" spans="1:38">
      <c r="A38">
        <v>2019</v>
      </c>
      <c r="B38">
        <v>1</v>
      </c>
      <c r="D38" s="6">
        <v>11.700000000000001</v>
      </c>
      <c r="E38" s="27">
        <f>AVERAGEIFS('ІСЦ (Стрим Інфл)'!$J:$J,'ІСЦ (Стрим Інфл)'!$A:$A,'Дефлятор модель (CPI-PPI) (С-2)'!$A38,'ІСЦ (Стрим Інфл)'!$B:$B,'Дефлятор модель (CPI-PPI) (С-2)'!$B38)</f>
        <v>8.8666666666666671E-2</v>
      </c>
      <c r="F38" s="27">
        <f>AVERAGEIFS('ІЦВ (Стрим Інфл)+'!$J:$J,'ІЦВ (Стрим Інфл)+'!$A:$A,'Дефлятор модель (CPI-PPI) (С-2)'!$A38,'ІЦВ (Стрим Інфл)+'!$B:$B,'Дефлятор модель (CPI-PPI) (С-2)'!$B38)</f>
        <v>9.8333333333333328E-2</v>
      </c>
      <c r="G38" s="27"/>
      <c r="H38" s="287">
        <f t="shared" si="8"/>
        <v>11.702114136666667</v>
      </c>
      <c r="I38" s="288">
        <f t="shared" si="9"/>
        <v>0.99981933720334837</v>
      </c>
      <c r="J38" s="24"/>
      <c r="K38" s="28">
        <f t="shared" si="11"/>
        <v>8.8666666666666671E-2</v>
      </c>
      <c r="L38" s="24"/>
      <c r="M38" s="24"/>
      <c r="N38" s="28">
        <f t="shared" si="12"/>
        <v>9.8333333333333328E-2</v>
      </c>
      <c r="O38" s="24"/>
      <c r="P38" s="24"/>
      <c r="Q38" s="27">
        <f t="shared" si="10"/>
        <v>0.11700000000000001</v>
      </c>
      <c r="R38" s="24"/>
      <c r="S38" s="24"/>
      <c r="T38" s="95">
        <f t="shared" si="2"/>
        <v>0.11628116116666667</v>
      </c>
      <c r="U38" s="102">
        <f>0.383829*AJ38+0.3291765*AK38+0.0710852*AF38+0.0471218</f>
        <v>0.11530173384809253</v>
      </c>
      <c r="V38" s="96">
        <v>0.11700000000000001</v>
      </c>
      <c r="W38" s="94">
        <f t="shared" si="4"/>
        <v>1.6982661519074765E-3</v>
      </c>
      <c r="X38" s="95">
        <f t="shared" si="0"/>
        <v>7.1883883333333232E-4</v>
      </c>
      <c r="Y38">
        <v>76.268103371401381</v>
      </c>
      <c r="Z38">
        <v>27.622351348310289</v>
      </c>
      <c r="AA38">
        <v>2093.8476214658363</v>
      </c>
      <c r="AB38">
        <v>9629.6666666666661</v>
      </c>
      <c r="AC38">
        <v>427303.32920686173</v>
      </c>
      <c r="AD38" s="5">
        <v>2.5000000000000005E-2</v>
      </c>
      <c r="AE38" s="81">
        <f t="shared" si="5"/>
        <v>1.9795390324134798E-2</v>
      </c>
      <c r="AF38" s="81">
        <f t="shared" si="1"/>
        <v>2.5013270668051035E-2</v>
      </c>
      <c r="AG38" s="81">
        <f t="shared" si="1"/>
        <v>0.20765484874111517</v>
      </c>
      <c r="AH38" s="81">
        <f t="shared" si="1"/>
        <v>7.4259183889351599E-2</v>
      </c>
      <c r="AI38" s="81">
        <f t="shared" si="7"/>
        <v>4.8057740379855218E-2</v>
      </c>
      <c r="AJ38">
        <v>8.8666666666666671E-2</v>
      </c>
      <c r="AK38">
        <v>9.8333333333333328E-2</v>
      </c>
      <c r="AL38">
        <f t="shared" si="6"/>
        <v>1.1232576958932539E-2</v>
      </c>
    </row>
    <row r="39" spans="1:38">
      <c r="A39">
        <v>2019</v>
      </c>
      <c r="B39">
        <v>2</v>
      </c>
      <c r="D39" s="6">
        <v>9.4</v>
      </c>
      <c r="E39" s="27">
        <f>AVERAGEIFS('ІСЦ (Стрим Інфл)'!$J:$J,'ІСЦ (Стрим Інфл)'!$A:$A,'Дефлятор модель (CPI-PPI) (С-2)'!$A39,'ІСЦ (Стрим Інфл)'!$B:$B,'Дефлятор модель (CPI-PPI) (С-2)'!$B39)</f>
        <v>9.1333333333333336E-2</v>
      </c>
      <c r="F39" s="27">
        <f>AVERAGEIFS('ІЦВ (Стрим Інфл)+'!$J:$J,'ІЦВ (Стрим Інфл)+'!$A:$A,'Дефлятор модель (CPI-PPI) (С-2)'!$A39,'ІЦВ (Стрим Інфл)+'!$B:$B,'Дефлятор модель (CPI-PPI) (С-2)'!$B39)</f>
        <v>6.7666666666666667E-2</v>
      </c>
      <c r="G39" s="27"/>
      <c r="H39" s="287">
        <f t="shared" si="8"/>
        <v>10.519563563333334</v>
      </c>
      <c r="I39" s="288">
        <f t="shared" si="9"/>
        <v>0.89357319278571123</v>
      </c>
      <c r="J39" s="24"/>
      <c r="K39" s="28">
        <f>E39</f>
        <v>9.1333333333333336E-2</v>
      </c>
      <c r="L39" s="29"/>
      <c r="M39" s="24"/>
      <c r="N39" s="28">
        <f t="shared" si="12"/>
        <v>6.7666666666666667E-2</v>
      </c>
      <c r="O39" s="24"/>
      <c r="P39" s="24"/>
      <c r="Q39" s="27">
        <f t="shared" si="10"/>
        <v>9.4E-2</v>
      </c>
      <c r="R39" s="24"/>
      <c r="S39" s="24"/>
      <c r="T39" s="95">
        <f t="shared" si="2"/>
        <v>0.10443309783333332</v>
      </c>
      <c r="U39" s="102">
        <f t="shared" si="3"/>
        <v>0.1076914246554225</v>
      </c>
      <c r="V39" s="96">
        <v>9.4E-2</v>
      </c>
      <c r="W39" s="94">
        <f t="shared" si="4"/>
        <v>-1.3691424655422502E-2</v>
      </c>
      <c r="X39" s="95">
        <f t="shared" si="0"/>
        <v>-1.0433097833333321E-2</v>
      </c>
      <c r="Y39">
        <v>79.250279257575428</v>
      </c>
      <c r="Z39">
        <v>26.563484547670253</v>
      </c>
      <c r="AA39">
        <v>2100.4054810472649</v>
      </c>
      <c r="AB39">
        <v>10430.333333333334</v>
      </c>
      <c r="AC39">
        <v>433363.98631208338</v>
      </c>
      <c r="AD39" s="5">
        <v>4.6000000000000006E-2</v>
      </c>
      <c r="AE39" s="81">
        <f t="shared" si="5"/>
        <v>3.2746467078567543E-2</v>
      </c>
      <c r="AF39" s="81">
        <f t="shared" si="1"/>
        <v>4.5564564148690812E-2</v>
      </c>
      <c r="AG39" s="81">
        <f t="shared" si="1"/>
        <v>0.18768731382486137</v>
      </c>
      <c r="AH39" s="81">
        <f t="shared" si="1"/>
        <v>6.0375799167002864E-2</v>
      </c>
      <c r="AI39" s="81">
        <f t="shared" si="7"/>
        <v>1.3743593849907088E-2</v>
      </c>
      <c r="AJ39">
        <v>9.1333333333333336E-2</v>
      </c>
      <c r="AK39">
        <v>6.7666666666666667E-2</v>
      </c>
      <c r="AL39">
        <f t="shared" si="6"/>
        <v>1.4710739369255155E-2</v>
      </c>
    </row>
    <row r="40" spans="1:38">
      <c r="A40">
        <v>2019</v>
      </c>
      <c r="B40">
        <v>3</v>
      </c>
      <c r="D40" s="6">
        <v>6.8000000000000007</v>
      </c>
      <c r="E40" s="27">
        <f>AVERAGEIFS('ІСЦ (Стрим Інфл)'!$J:$J,'ІСЦ (Стрим Інфл)'!$A:$A,'Дефлятор модель (CPI-PPI) (С-2)'!$A40,'ІСЦ (Стрим Інфл)'!$B:$B,'Дефлятор модель (CPI-PPI) (С-2)'!$B40)</f>
        <v>8.4666666666666668E-2</v>
      </c>
      <c r="F40" s="27">
        <f>AVERAGEIFS('ІЦВ (Стрим Інфл)+'!$J:$J,'ІЦВ (Стрим Інфл)+'!$A:$A,'Дефлятор модель (CPI-PPI) (С-2)'!$A40,'ІЦВ (Стрим Інфл)+'!$B:$B,'Дефлятор модель (CPI-PPI) (С-2)'!$B40)</f>
        <v>4.3000000000000003E-2</v>
      </c>
      <c r="G40" s="27"/>
      <c r="H40" s="287">
        <f t="shared" si="8"/>
        <v>9.2431807966666675</v>
      </c>
      <c r="I40" s="288">
        <f t="shared" si="9"/>
        <v>0.73567748479530537</v>
      </c>
      <c r="K40" s="28">
        <f>E40</f>
        <v>8.4666666666666668E-2</v>
      </c>
      <c r="L40" s="29">
        <f t="shared" ref="L40:L45" si="13">E40</f>
        <v>8.4666666666666668E-2</v>
      </c>
      <c r="N40" s="28">
        <f t="shared" si="12"/>
        <v>4.3000000000000003E-2</v>
      </c>
      <c r="O40" s="29">
        <f t="shared" ref="O40:O45" si="14">F40</f>
        <v>4.3000000000000003E-2</v>
      </c>
      <c r="Q40" s="27">
        <f t="shared" si="10"/>
        <v>6.8000000000000005E-2</v>
      </c>
      <c r="R40" s="29">
        <f>Q40</f>
        <v>6.8000000000000005E-2</v>
      </c>
      <c r="T40" s="95">
        <f t="shared" si="2"/>
        <v>9.1725664166666665E-2</v>
      </c>
      <c r="U40" s="102">
        <f t="shared" si="3"/>
        <v>8.8158246473903967E-2</v>
      </c>
      <c r="V40" s="96">
        <v>6.8000000000000005E-2</v>
      </c>
      <c r="W40" s="94">
        <f t="shared" si="4"/>
        <v>-2.0158246473903962E-2</v>
      </c>
      <c r="X40" s="95">
        <f t="shared" si="0"/>
        <v>-2.372566416666666E-2</v>
      </c>
      <c r="Y40">
        <v>76.970534172677233</v>
      </c>
      <c r="Z40">
        <v>25.256023055555556</v>
      </c>
      <c r="AA40">
        <f t="shared" ref="AA40:AA45" si="15">Y40*Z40</f>
        <v>1943.9695856635631</v>
      </c>
      <c r="AB40">
        <v>10731.686666666666</v>
      </c>
      <c r="AC40">
        <v>441708.19055919669</v>
      </c>
      <c r="AD40" s="5">
        <v>4.1000000000000002E-2</v>
      </c>
      <c r="AE40" s="81">
        <f t="shared" si="5"/>
        <v>-1.9890391597284784E-3</v>
      </c>
      <c r="AF40" s="81">
        <f t="shared" si="1"/>
        <v>-7.899907471732559E-2</v>
      </c>
      <c r="AG40" s="81">
        <f t="shared" si="1"/>
        <v>0.18409639582251414</v>
      </c>
      <c r="AH40" s="81">
        <f t="shared" si="1"/>
        <v>4.7827209778273261E-2</v>
      </c>
      <c r="AI40" s="81">
        <f t="shared" si="7"/>
        <v>6.5583187111175612E-3</v>
      </c>
      <c r="AJ40">
        <v>8.4666666666666668E-2</v>
      </c>
      <c r="AK40">
        <v>4.3000000000000003E-2</v>
      </c>
      <c r="AL40">
        <f t="shared" si="6"/>
        <v>-7.6834091224538437E-2</v>
      </c>
    </row>
    <row r="41" spans="1:38">
      <c r="A41">
        <v>2019</v>
      </c>
      <c r="B41">
        <v>4</v>
      </c>
      <c r="D41" s="6">
        <v>4.8</v>
      </c>
      <c r="E41" s="27">
        <f>AVERAGEIFS('ІСЦ (Стрим Інфл)'!$J:$J,'ІСЦ (Стрим Інфл)'!$A:$A,'Дефлятор модель (CPI-PPI) (С-2)'!$A41,'ІСЦ (Стрим Інфл)'!$B:$B,'Дефлятор модель (CPI-PPI) (С-2)'!$B41)</f>
        <v>5.2333333333333322E-2</v>
      </c>
      <c r="F41" s="27">
        <f>AVERAGEIFS('ІЦВ (Стрим Інфл)+'!$J:$J,'ІЦВ (Стрим Інфл)+'!$A:$A,'Дефлятор модель (CPI-PPI) (С-2)'!$A41,'ІЦВ (Стрим Інфл)+'!$B:$B,'Дефлятор модель (CPI-PPI) (С-2)'!$B41)</f>
        <v>-3.9E-2</v>
      </c>
      <c r="G41" s="27"/>
      <c r="H41" s="287">
        <f t="shared" si="8"/>
        <v>4.6246931733333323</v>
      </c>
      <c r="I41" s="288">
        <f t="shared" si="9"/>
        <v>1.0379066935029362</v>
      </c>
      <c r="L41" s="29">
        <f t="shared" si="13"/>
        <v>5.2333333333333322E-2</v>
      </c>
      <c r="O41" s="29">
        <f t="shared" si="14"/>
        <v>-3.9E-2</v>
      </c>
      <c r="R41" s="29">
        <f>D41/100</f>
        <v>4.8000000000000001E-2</v>
      </c>
      <c r="T41" s="110">
        <f>0.4177065*AK41+0.360601*AJ41+0.0432334</f>
        <v>4.5814298833333329E-2</v>
      </c>
      <c r="U41" s="111">
        <f>0.383829*AJ41+0.3291765*AK41+0.0710852*AF41+0.0471218</f>
        <v>4.4875014288454154E-2</v>
      </c>
      <c r="V41" s="96">
        <v>4.8000000000000001E-2</v>
      </c>
      <c r="W41" s="94">
        <f t="shared" si="4"/>
        <v>3.1249857115458468E-3</v>
      </c>
      <c r="X41" s="95">
        <f t="shared" si="0"/>
        <v>2.1857011666666717E-3</v>
      </c>
      <c r="Y41">
        <v>76.281494313574967</v>
      </c>
      <c r="Z41">
        <v>24.261720092831535</v>
      </c>
      <c r="AA41">
        <f t="shared" si="15"/>
        <v>1850.7202632988763</v>
      </c>
      <c r="AB41">
        <v>11223.3633333333</v>
      </c>
      <c r="AC41">
        <v>449271.20099622826</v>
      </c>
      <c r="AD41" s="5">
        <v>1.4999999999999999E-2</v>
      </c>
      <c r="AE41" s="81">
        <f>Y41/Y37-1</f>
        <v>-1.7114700967340024E-3</v>
      </c>
      <c r="AF41" s="81">
        <f t="shared" si="1"/>
        <v>-0.13358551726021506</v>
      </c>
      <c r="AG41" s="81">
        <f t="shared" si="1"/>
        <v>0.16296248963801818</v>
      </c>
      <c r="AH41" s="81">
        <f t="shared" si="1"/>
        <v>4.6745664805265097E-2</v>
      </c>
      <c r="AI41" s="81">
        <f t="shared" si="7"/>
        <v>3.127651704952239E-2</v>
      </c>
      <c r="AJ41">
        <v>5.2333333333333322E-2</v>
      </c>
      <c r="AK41">
        <v>-3.9E-2</v>
      </c>
      <c r="AL41">
        <f>Z41/Z37-1</f>
        <v>-0.1319601245319838</v>
      </c>
    </row>
    <row r="42" spans="1:38">
      <c r="A42">
        <v>2020</v>
      </c>
      <c r="B42">
        <v>1</v>
      </c>
      <c r="D42" s="6">
        <v>5.3</v>
      </c>
      <c r="E42" s="97">
        <f>AVERAGEIFS('ІСЦ (Стрим Інфл)'!$J:$J,'ІСЦ (Стрим Інфл)'!$A:$A,'Дефлятор модель (CPI-PPI) (С-2)'!$A42,'ІСЦ (Стрим Інфл)'!$B:$B,'Дефлятор модель (CPI-PPI) (С-2)'!$B42)</f>
        <v>2.6333333333333334E-2</v>
      </c>
      <c r="F42" s="97">
        <f>AVERAGEIFS('ІЦВ (Стрим Інфл)+'!$J:$J,'ІЦВ (Стрим Інфл)+'!$A:$A,'Дефлятор модель (CPI-PPI) (С-2)'!$A42,'ІЦВ (Стрим Інфл)+'!$B:$B,'Дефлятор модель (CPI-PPI) (С-2)'!$B42)</f>
        <v>-5.6333333333333339E-2</v>
      </c>
      <c r="G42" s="97">
        <f>D42/100</f>
        <v>5.2999999999999999E-2</v>
      </c>
      <c r="H42" s="287">
        <f t="shared" si="8"/>
        <v>2.9411123133333326</v>
      </c>
      <c r="I42" s="288">
        <f t="shared" si="9"/>
        <v>1.8020393087243933</v>
      </c>
      <c r="L42" s="29">
        <f t="shared" si="13"/>
        <v>2.6333333333333334E-2</v>
      </c>
      <c r="O42" s="29">
        <f t="shared" si="14"/>
        <v>-5.6333333333333339E-2</v>
      </c>
      <c r="R42" s="29">
        <f>D42/100</f>
        <v>5.2999999999999999E-2</v>
      </c>
      <c r="T42" s="95">
        <f>0.4177065*AK42+0.360601*AJ42+0.0432334</f>
        <v>3.8824455151381429E-2</v>
      </c>
      <c r="U42" s="102">
        <f>0.383829*AJ42+0.3291765*AK42+0.0710852*AF42+0.0471218</f>
        <v>4.127109616067344E-2</v>
      </c>
      <c r="V42" s="126">
        <v>5.0999999999999997E-2</v>
      </c>
      <c r="W42" s="94">
        <f>V42-U42</f>
        <v>9.7289038393265567E-3</v>
      </c>
      <c r="X42" s="127">
        <f>V42-T42</f>
        <v>1.2175544848618568E-2</v>
      </c>
      <c r="Y42" s="36">
        <f>AVERAGEIFS('ІЦВ (Стрим Інфл)+'!AF:AF,'ІЦВ (Стрим Інфл)+'!$B:$B,'Дефлятор модель (CPI-PPI) (С-2)'!$B42,'ІЦВ (Стрим Інфл)+'!$A:$A,'Дефлятор модель (CPI-PPI) (С-2)'!$A42)</f>
        <v>74.600465911743228</v>
      </c>
      <c r="Z42" s="36">
        <f>AVERAGEIFS('ІЦВ (Стрим Інфл)+'!$AH:$AH,'ІЦВ (Стрим Інфл)+'!$B:$B,'Дефлятор модель (CPI-PPI) (С-2)'!$B42,'ІЦВ (Стрим Інфл)+'!$A:$A,'Дефлятор модель (CPI-PPI) (С-2)'!$A42)</f>
        <v>25.042723099740456</v>
      </c>
      <c r="AA42">
        <f t="shared" si="15"/>
        <v>1868.1988109394126</v>
      </c>
      <c r="AB42" s="36">
        <f>AB41*$AB$46</f>
        <v>11412.678374819001</v>
      </c>
      <c r="AC42" s="36">
        <f>AVERAGEIFS('ІЦВ (Стрим Інфл)+'!$AK:$AK,'ІЦВ (Стрим Інфл)+'!$B:$B,'Дефлятор модель (CPI-PPI) (С-2)'!$B42,'ІЦВ (Стрим Інфл)+'!$A:$A,'Дефлятор модель (CPI-PPI) (С-2)'!$A42)</f>
        <v>471654.81047587999</v>
      </c>
      <c r="AD42" s="109">
        <f>AVERAGEIFS('ІЦВ (Стрим Інфл)+'!AO:AO,'ІЦВ (Стрим Інфл)+'!$B:$B,'Дефлятор модель (CPI-PPI) (С-2)'!$B42,'ІЦВ (Стрим Інфл)+'!$A:$A,'Дефлятор модель (CPI-PPI) (С-2)'!$A42)</f>
        <v>-1.4000000000000004E-2</v>
      </c>
      <c r="AE42" s="81">
        <f>Y42/Y38-1</f>
        <v>-2.1865463882552394E-2</v>
      </c>
      <c r="AF42" s="81">
        <f t="shared" si="1"/>
        <v>-0.10776754154079948</v>
      </c>
      <c r="AG42" s="81">
        <f t="shared" si="1"/>
        <v>0.18515819600737315</v>
      </c>
      <c r="AH42" s="81">
        <f t="shared" si="1"/>
        <v>0.10379390526009047</v>
      </c>
      <c r="AI42" s="81">
        <f>(AH42+1)/(AD42+1)-1</f>
        <v>0.11946643535506141</v>
      </c>
      <c r="AJ42" s="36">
        <f>AVERAGEIFS('ІСЦ (Стрим Інфл)'!$K:$K,'ІСЦ (Стрим Інфл)'!$B:$B,'Дефлятор модель (CPI-PPI) (С-2)'!$B42,'ІСЦ (Стрим Інфл)'!$A:$A,'Дефлятор модель (CPI-PPI) (С-2)'!$A42)</f>
        <v>5.3027736061135256E-2</v>
      </c>
      <c r="AK42" s="36">
        <f>AVERAGEIFS('ІЦВ (Стрим Інфл)+'!$J:$J,'ІЦВ (Стрим Інфл)+'!$B:$B,'Дефлятор модель (CPI-PPI) (С-2)'!$B42,'ІЦВ (Стрим Інфл)+'!$A:$A,'Дефлятор модель (CPI-PPI) (С-2)'!$A42)</f>
        <v>-5.6333333333333339E-2</v>
      </c>
      <c r="AL42">
        <f>Z42/Z38-1</f>
        <v>-9.3389162133282078E-2</v>
      </c>
    </row>
    <row r="43" spans="1:38">
      <c r="A43">
        <v>2020</v>
      </c>
      <c r="B43">
        <v>2</v>
      </c>
      <c r="D43" s="6">
        <v>5.6</v>
      </c>
      <c r="E43" s="97">
        <f>AVERAGEIFS('ІСЦ (Стрим Інфл)'!$J:$J,'ІСЦ (Стрим Інфл)'!$A:$A,'Дефлятор модель (CPI-PPI) (С-2)'!$A43,'ІСЦ (Стрим Інфл)'!$B:$B,'Дефлятор модель (CPI-PPI) (С-2)'!$B43)</f>
        <v>2.066666666666667E-2</v>
      </c>
      <c r="F43" s="97">
        <f>AVERAGEIFS('ІЦВ (Стрим Інфл)+'!$J:$J,'ІЦВ (Стрим Інфл)+'!$A:$A,'Дефлятор модель (CPI-PPI) (С-2)'!$A43,'ІЦВ (Стрим Інфл)+'!$B:$B,'Дефлятор модель (CPI-PPI) (С-2)'!$B43)</f>
        <v>-4.099999999999996E-2</v>
      </c>
      <c r="G43" s="97">
        <f t="shared" ref="G43:G49" si="16">D43/100</f>
        <v>5.5999999999999994E-2</v>
      </c>
      <c r="H43" s="287">
        <f t="shared" si="8"/>
        <v>3.3724615566666678</v>
      </c>
      <c r="I43" s="288">
        <f t="shared" si="9"/>
        <v>1.6605081795313406</v>
      </c>
      <c r="L43" s="29">
        <f t="shared" si="13"/>
        <v>2.066666666666667E-2</v>
      </c>
      <c r="O43" s="29">
        <f t="shared" si="14"/>
        <v>-4.099999999999996E-2</v>
      </c>
      <c r="R43" s="29">
        <f>D43/100</f>
        <v>5.5999999999999994E-2</v>
      </c>
      <c r="T43" s="95">
        <f>0.4177065*AK43+0.360601*AJ43+0.0432334</f>
        <v>2.6971621528851027E-2</v>
      </c>
      <c r="U43" s="102">
        <f>0.383829*AJ43+0.3291765*AK43+0.0710852*AF43+0.0471218</f>
        <v>1.9335194728161555E-2</v>
      </c>
      <c r="Y43" s="36">
        <f>AVERAGEIFS('ІЦВ (Стрим Інфл)+'!AF:AF,'ІЦВ (Стрим Інфл)+'!$B:$B,'Дефлятор модель (CPI-PPI) (С-2)'!$B43,'ІЦВ (Стрим Інфл)+'!$A:$A,'Дефлятор модель (CPI-PPI) (С-2)'!$A43)</f>
        <v>61.339438279764686</v>
      </c>
      <c r="Z43" s="36">
        <f>AVERAGEIFS('ІЦВ (Стрим Інфл)+'!$AH:$AH,'ІЦВ (Стрим Інфл)+'!$B:$B,'Дефлятор модель (CPI-PPI) (С-2)'!$B43,'ІЦВ (Стрим Інфл)+'!$A:$A,'Дефлятор модель (CPI-PPI) (С-2)'!$A43)</f>
        <v>26.915441899641568</v>
      </c>
      <c r="AA43">
        <f t="shared" si="15"/>
        <v>1650.9780871756564</v>
      </c>
      <c r="AB43" s="36">
        <f>AB42*$AB$46</f>
        <v>11605.186771439727</v>
      </c>
      <c r="AC43" s="36">
        <f>AVERAGEIFS('ІЦВ (Стрим Інфл)+'!$AK:$AK,'ІЦВ (Стрим Інфл)+'!$B:$B,'Дефлятор модель (CPI-PPI) (С-2)'!$B43,'ІЦВ (Стрим Інфл)+'!$A:$A,'Дефлятор модель (CPI-PPI) (С-2)'!$A43)</f>
        <v>521439.22556072334</v>
      </c>
      <c r="AD43" s="109">
        <f>AVERAGEIFS('ІЦВ (Стрим Інфл)+'!AO:AO,'ІЦВ (Стрим Інфл)+'!$B:$B,'Дефлятор модель (CPI-PPI) (С-2)'!$B43,'ІЦВ (Стрим Інфл)+'!$A:$A,'Дефлятор модель (CPI-PPI) (С-2)'!$A43)</f>
        <v>-0.11375586206871902</v>
      </c>
      <c r="AE43" s="81">
        <f>Y43/Y39-1</f>
        <v>-0.22600350617816489</v>
      </c>
      <c r="AF43" s="81">
        <f t="shared" si="1"/>
        <v>-0.21397172970979084</v>
      </c>
      <c r="AG43" s="81">
        <f t="shared" si="1"/>
        <v>0.11263814880697898</v>
      </c>
      <c r="AH43" s="81">
        <f t="shared" si="1"/>
        <v>0.20323617566415253</v>
      </c>
      <c r="AI43" s="81">
        <f>(AH43+1)/(AD43+1)-1</f>
        <v>0.35768026457451274</v>
      </c>
      <c r="AJ43" s="36">
        <f>AVERAGEIFS('ІСЦ (Стрим Інфл)'!$K:$K,'ІСЦ (Стрим Інфл)'!$B:$B,'Дефлятор модель (CPI-PPI) (С-2)'!$B43,'ІСЦ (Стрим Інфл)'!$A:$A,'Дефлятор модель (CPI-PPI) (С-2)'!$A43)</f>
        <v>2.3965214429549804E-3</v>
      </c>
      <c r="AK43" s="36">
        <f>AVERAGEIFS('ІЦВ (Стрим Інфл)+'!$J:$J,'ІЦВ (Стрим Інфл)+'!$B:$B,'Дефлятор модель (CPI-PPI) (С-2)'!$B43,'ІЦВ (Стрим Інфл)+'!$A:$A,'Дефлятор модель (CPI-PPI) (С-2)'!$A43)</f>
        <v>-4.099999999999996E-2</v>
      </c>
      <c r="AL43">
        <f>Z43/Z39-1</f>
        <v>1.3249668029798656E-2</v>
      </c>
    </row>
    <row r="44" spans="1:38">
      <c r="A44">
        <v>2020</v>
      </c>
      <c r="B44">
        <v>3</v>
      </c>
      <c r="D44" s="6">
        <v>8.4</v>
      </c>
      <c r="E44" s="97">
        <f>AVERAGEIFS('ІСЦ (Стрим Інфл)'!$J:$J,'ІСЦ (Стрим Інфл)'!$A:$A,'Дефлятор модель (CPI-PPI) (С-2)'!$A44,'ІСЦ (Стрим Інфл)'!$B:$B,'Дефлятор модель (CPI-PPI) (С-2)'!$B44)</f>
        <v>2.4000000000000004E-2</v>
      </c>
      <c r="F44" s="97">
        <f>AVERAGEIFS('ІЦВ (Стрим Інфл)+'!$J:$J,'ІЦВ (Стрим Інфл)+'!$A:$A,'Дефлятор модель (CPI-PPI) (С-2)'!$A44,'ІЦВ (Стрим Інфл)+'!$B:$B,'Дефлятор модель (CPI-PPI) (С-2)'!$B44)</f>
        <v>-4.6333333333333337E-2</v>
      </c>
      <c r="G44" s="97">
        <f t="shared" si="16"/>
        <v>8.4000000000000005E-2</v>
      </c>
      <c r="H44" s="287">
        <f t="shared" si="8"/>
        <v>3.2727047899999997</v>
      </c>
      <c r="I44" s="288">
        <f t="shared" si="9"/>
        <v>2.5666842990748338</v>
      </c>
      <c r="L44" s="29">
        <f t="shared" si="13"/>
        <v>2.4000000000000004E-2</v>
      </c>
      <c r="O44" s="29">
        <f t="shared" si="14"/>
        <v>-4.6333333333333337E-2</v>
      </c>
      <c r="R44" s="29">
        <f>D44/100</f>
        <v>8.4000000000000005E-2</v>
      </c>
      <c r="T44" s="95">
        <f>0.4177065*AK44+0.360601*AJ44+0.0432334</f>
        <v>3.5316815342288338E-2</v>
      </c>
      <c r="U44" s="102">
        <f>0.383829*AJ44+0.3291765*AK44+0.0710852*AF44+0.0471218</f>
        <v>3.3940185041992817E-2</v>
      </c>
      <c r="Y44" s="36">
        <f>AVERAGEIFS('ІЦВ (Стрим Інфл)+'!AF:AF,'ІЦВ (Стрим Інфл)+'!$B:$B,'Дефлятор модель (CPI-PPI) (С-2)'!$B44,'ІЦВ (Стрим Інфл)+'!$A:$A,'Дефлятор модель (CPI-PPI) (С-2)'!$A44)</f>
        <v>60.414635475680598</v>
      </c>
      <c r="Z44" s="36">
        <f>AVERAGEIFS('ІЦВ (Стрим Інфл)+'!$AH:$AH,'ІЦВ (Стрим Інфл)+'!$B:$B,'Дефлятор модель (CPI-PPI) (С-2)'!$B44,'ІЦВ (Стрим Інфл)+'!$A:$A,'Дефлятор модель (CPI-PPI) (С-2)'!$A44)</f>
        <v>27.603658243727597</v>
      </c>
      <c r="AA44">
        <f t="shared" si="15"/>
        <v>1667.6649505900684</v>
      </c>
      <c r="AB44" s="36">
        <f>AB43*$AB$46</f>
        <v>11800.942388524603</v>
      </c>
      <c r="AC44" s="36">
        <f>AVERAGEIFS('ІЦВ (Стрим Інфл)+'!$AK:$AK,'ІЦВ (Стрим Інфл)+'!$B:$B,'Дефлятор модель (CPI-PPI) (С-2)'!$B44,'ІЦВ (Стрим Інфл)+'!$A:$A,'Дефлятор модель (CPI-PPI) (С-2)'!$A44)</f>
        <v>559703.06099776679</v>
      </c>
      <c r="AD44" s="109">
        <f>AVERAGEIFS('ІЦВ (Стрим Інфл)+'!AO:AO,'ІЦВ (Стрим Інфл)+'!$B:$B,'Дефлятор модель (CPI-PPI) (С-2)'!$B44,'ІЦВ (Стрим Інфл)+'!$A:$A,'Дефлятор модель (CPI-PPI) (С-2)'!$A44)</f>
        <v>-3.2587451065569893E-2</v>
      </c>
      <c r="AE44" s="81">
        <f>Y44/Y40-1</f>
        <v>-0.21509398206662822</v>
      </c>
      <c r="AF44" s="81">
        <f t="shared" si="1"/>
        <v>-0.14213423765021493</v>
      </c>
      <c r="AG44" s="81">
        <f t="shared" si="1"/>
        <v>9.9635383986667936E-2</v>
      </c>
      <c r="AH44" s="81">
        <f t="shared" si="1"/>
        <v>0.26713308233924793</v>
      </c>
      <c r="AI44" s="81">
        <f>(AH44+1)/(AD44+1)-1</f>
        <v>0.30981666894330573</v>
      </c>
      <c r="AJ44" s="36">
        <f>AVERAGEIFS('ІСЦ (Стрим Інфл)'!$K:$K,'ІСЦ (Стрим Інфл)'!$B:$B,'Дефлятор модель (CPI-PPI) (С-2)'!$B44,'ІСЦ (Стрим Інфл)'!$A:$A,'Дефлятор модель (CPI-PPI) (С-2)'!$A44)</f>
        <v>3.1716911052072347E-2</v>
      </c>
      <c r="AK44" s="36">
        <f>AVERAGEIFS('ІЦВ (Стрим Інфл)+'!$J:$J,'ІЦВ (Стрим Інфл)+'!$B:$B,'Дефлятор модель (CPI-PPI) (С-2)'!$B44,'ІЦВ (Стрим Інфл)+'!$A:$A,'Дефлятор модель (CPI-PPI) (С-2)'!$A44)</f>
        <v>-4.6333333333333337E-2</v>
      </c>
      <c r="AL44">
        <f>Z44/Z40-1</f>
        <v>9.2953478186488914E-2</v>
      </c>
    </row>
    <row r="45" spans="1:38">
      <c r="A45">
        <v>2020</v>
      </c>
      <c r="B45">
        <v>4</v>
      </c>
      <c r="D45" s="6">
        <v>17.5</v>
      </c>
      <c r="E45" s="97">
        <f>AVERAGEIFS('ІСЦ (Стрим Інфл)'!$J:$J,'ІСЦ (Стрим Інфл)'!$A:$A,'Дефлятор модель (CPI-PPI) (С-2)'!$A45,'ІСЦ (Стрим Інфл)'!$B:$B,'Дефлятор модель (CPI-PPI) (С-2)'!$B45)</f>
        <v>3.7999999999999999E-2</v>
      </c>
      <c r="F45" s="97">
        <f>AVERAGEIFS('ІЦВ (Стрим Інфл)+'!$J:$J,'ІЦВ (Стрим Інфл)+'!$A:$A,'Дефлятор модель (CPI-PPI) (С-2)'!$A45,'ІЦВ (Стрим Інфл)+'!$B:$B,'Дефлятор модель (CPI-PPI) (С-2)'!$B45)</f>
        <v>8.7666666666666671E-2</v>
      </c>
      <c r="G45" s="97">
        <f>D45/100</f>
        <v>0.17499999999999999</v>
      </c>
      <c r="H45" s="287">
        <f t="shared" si="8"/>
        <v>9.386656030000001</v>
      </c>
      <c r="I45" s="288">
        <f t="shared" si="9"/>
        <v>1.8643487035286621</v>
      </c>
      <c r="L45" s="29">
        <f t="shared" si="13"/>
        <v>3.7999999999999999E-2</v>
      </c>
      <c r="O45" s="29">
        <f t="shared" si="14"/>
        <v>8.7666666666666671E-2</v>
      </c>
      <c r="R45" s="29">
        <f>D45/100</f>
        <v>0.17499999999999999</v>
      </c>
      <c r="T45" s="95">
        <f>0.4177065*AK45+0.360601*AJ45+0.0432334</f>
        <v>9.7969180147238238E-2</v>
      </c>
      <c r="U45" s="102">
        <f>0.383829*AJ45+0.3291765*AK45+0.0710852*AF45+0.0471218</f>
        <v>9.0484079465397133E-2</v>
      </c>
      <c r="Y45" s="36">
        <f>AVERAGEIFS('ІЦВ (Стрим Інфл)+'!AF:AF,'ІЦВ (Стрим Інфл)+'!$B:$B,'Дефлятор модель (CPI-PPI) (С-2)'!$B45,'ІЦВ (Стрим Інфл)+'!$A:$A,'Дефлятор модель (CPI-PPI) (С-2)'!$A45)</f>
        <v>61.068050783983814</v>
      </c>
      <c r="Z45" s="36">
        <f>AVERAGEIFS('ІЦВ (Стрим Інфл)+'!$AH:$AH,'ІЦВ (Стрим Інфл)+'!$B:$B,'Дефлятор модель (CPI-PPI) (С-2)'!$B45,'ІЦВ (Стрим Інфл)+'!$A:$A,'Дефлятор модель (CPI-PPI) (С-2)'!$A45)</f>
        <v>28.26827476702509</v>
      </c>
      <c r="AA45">
        <f t="shared" si="15"/>
        <v>1726.2884390482964</v>
      </c>
      <c r="AB45" s="36">
        <v>12000</v>
      </c>
      <c r="AC45" s="36">
        <f>AVERAGEIFS('ІЦВ (Стрим Інфл)+'!$AK:$AK,'ІЦВ (Стрим Інфл)+'!$B:$B,'Дефлятор модель (CPI-PPI) (С-2)'!$B45,'ІЦВ (Стрим Інфл)+'!$A:$A,'Дефлятор модель (CPI-PPI) (С-2)'!$A45)</f>
        <v>587995.05625159002</v>
      </c>
      <c r="AD45" s="109">
        <f>AVERAGEIFS('ІЦВ (Стрим Інфл)+'!AO:AO,'ІЦВ (Стрим Інфл)+'!$B:$B,'Дефлятор модель (CPI-PPI) (С-2)'!$B45,'ІЦВ (Стрим Інфл)+'!$A:$A,'Дефлятор модель (CPI-PPI) (С-2)'!$A45)</f>
        <v>-1.2162599149813998E-2</v>
      </c>
      <c r="AE45" s="81">
        <f>Y45/Y41-1</f>
        <v>-0.19943819489235914</v>
      </c>
      <c r="AF45" s="81">
        <f t="shared" si="1"/>
        <v>-6.7234269121137946E-2</v>
      </c>
      <c r="AG45" s="81">
        <f t="shared" si="1"/>
        <v>6.9198211231395801E-2</v>
      </c>
      <c r="AH45" s="81">
        <f t="shared" si="1"/>
        <v>0.30877531198917496</v>
      </c>
      <c r="AI45" s="81">
        <f>(AH45+1)/(AD45+1)-1</f>
        <v>0.32488941081069878</v>
      </c>
      <c r="AJ45" s="36">
        <f>AVERAGEIFS('ІСЦ (Стрим Інфл)'!$K:$K,'ІСЦ (Стрим Інфл)'!$B:$B,'Дефлятор модель (CPI-PPI) (С-2)'!$B45,'ІСЦ (Стрим Інфл)'!$A:$A,'Дефлятор модель (CPI-PPI) (С-2)'!$A45)</f>
        <v>5.0240691643224054E-2</v>
      </c>
      <c r="AK45" s="36">
        <f>AVERAGEIFS('ІЦВ (Стрим Інфл)+'!$J:$J,'ІЦВ (Стрим Інфл)+'!$B:$B,'Дефлятор модель (CPI-PPI) (С-2)'!$B45,'ІЦВ (Стрим Інфл)+'!$A:$A,'Дефлятор модель (CPI-PPI) (С-2)'!$A45)</f>
        <v>8.7666666666666671E-2</v>
      </c>
      <c r="AL45">
        <f>Z45/Z41-1</f>
        <v>0.16513893734094087</v>
      </c>
    </row>
    <row r="46" spans="1:38">
      <c r="A46">
        <v>2021</v>
      </c>
      <c r="B46">
        <v>1</v>
      </c>
      <c r="D46">
        <v>21.7</v>
      </c>
      <c r="E46" s="148">
        <f>AVERAGEIFS('ІСЦ (Стрим Інфл)'!J:J,'ІСЦ (Стрим Інфл)'!A:A,'Дефлятор модель (CPI-PPI) (С-2)'!A46,'ІСЦ (Стрим Інфл)'!B:B,'Дефлятор модель (CPI-PPI) (С-2)'!B46)</f>
        <v>7.3666666666666672E-2</v>
      </c>
      <c r="F46" s="148">
        <f>AVERAGEIFS('ІЦВ (Стрим Інфл)+'!J:J,'ІЦВ (Стрим Інфл)+'!A:A,'Дефлятор модель (CPI-PPI) (С-2)'!A46,'ІЦВ (Стрим Інфл)+'!B:B,'Дефлятор модель (CPI-PPI) (С-2)'!B46)</f>
        <v>0.23500000000000001</v>
      </c>
      <c r="G46" s="148">
        <f>D46/100</f>
        <v>0.217</v>
      </c>
      <c r="H46" s="287">
        <f>41.77065*F46+36.90601*E46+4.322334</f>
        <v>16.857179486666666</v>
      </c>
      <c r="I46" s="288">
        <f t="shared" si="9"/>
        <v>1.2872853384021807</v>
      </c>
      <c r="L46" s="29">
        <v>7.6000000000000068E-2</v>
      </c>
      <c r="AB46">
        <f>(AB45/AB41)^(1/4)</f>
        <v>1.0168679419763091</v>
      </c>
    </row>
    <row r="47" spans="1:38">
      <c r="A47">
        <v>2021</v>
      </c>
      <c r="B47">
        <v>2</v>
      </c>
      <c r="D47">
        <v>27.3</v>
      </c>
      <c r="E47" s="148">
        <f>AVERAGEIFS('ІСЦ (Стрим Інфл)'!J:J,'ІСЦ (Стрим Інфл)'!A:A,'Дефлятор модель (CPI-PPI) (С-2)'!A47,'ІСЦ (Стрим Інфл)'!B:B,'Дефлятор модель (CPI-PPI) (С-2)'!B47)</f>
        <v>9.1333333333333336E-2</v>
      </c>
      <c r="F47" s="148">
        <f>AVERAGEIFS('ІЦВ (Стрим Інфл)+'!J:J,'ІЦВ (Стрим Інфл)+'!A:A,'Дефлятор модель (CPI-PPI) (С-2)'!A47,'ІЦВ (Стрим Інфл)+'!B:B,'Дефлятор модель (CPI-PPI) (С-2)'!B47)</f>
        <v>0.33333333333333331</v>
      </c>
      <c r="G47" s="148">
        <f t="shared" si="16"/>
        <v>0.27300000000000002</v>
      </c>
      <c r="H47" s="287">
        <f>41.77065*F47+36.90601*E47+4.322334</f>
        <v>21.616632913333333</v>
      </c>
      <c r="I47" s="288">
        <f t="shared" si="9"/>
        <v>1.2629163898675966</v>
      </c>
      <c r="L47" s="29">
        <v>8.4000000000000075E-2</v>
      </c>
    </row>
    <row r="48" spans="1:38">
      <c r="A48">
        <v>2021</v>
      </c>
      <c r="B48">
        <v>3</v>
      </c>
      <c r="D48">
        <v>26.1</v>
      </c>
      <c r="E48" s="148">
        <f>AVERAGEIFS('ІСЦ (Стрим Інфл)'!J:J,'ІСЦ (Стрим Інфл)'!A:A,'Дефлятор модель (CPI-PPI) (С-2)'!A48,'ІСЦ (Стрим Інфл)'!B:B,'Дефлятор модель (CPI-PPI) (С-2)'!B48)</f>
        <v>0.10466666666666667</v>
      </c>
      <c r="F48" s="148">
        <f>AVERAGEIFS('ІЦВ (Стрим Інфл)+'!J:J,'ІЦВ (Стрим Інфл)+'!A:A,'Дефлятор модель (CPI-PPI) (С-2)'!A48,'ІЦВ (Стрим Інфл)+'!B:B,'Дефлятор модель (CPI-PPI) (С-2)'!B48)</f>
        <v>0.44599999999999995</v>
      </c>
      <c r="G48" s="148">
        <f t="shared" si="16"/>
        <v>0.26100000000000001</v>
      </c>
      <c r="H48" s="287">
        <f t="shared" si="8"/>
        <v>26.814872946666668</v>
      </c>
      <c r="I48" s="288">
        <f t="shared" si="9"/>
        <v>0.97334043133120529</v>
      </c>
      <c r="L48" s="29">
        <v>8.2999999999999963E-2</v>
      </c>
    </row>
    <row r="49" spans="1:12">
      <c r="A49">
        <v>2021</v>
      </c>
      <c r="B49">
        <v>4</v>
      </c>
      <c r="D49">
        <v>24.4</v>
      </c>
      <c r="E49" s="148">
        <f>AVERAGEIFS('ІСЦ (Стрим Інфл)'!J:J,'ІСЦ (Стрим Інфл)'!A:A,'Дефлятор модель (CPI-PPI) (С-2)'!A49,'ІСЦ (Стрим Інфл)'!B:B,'Дефлятор модель (CPI-PPI) (С-2)'!B49)</f>
        <v>0.104</v>
      </c>
      <c r="F49" s="148">
        <f>AVERAGEIFS('ІЦВ (Стрим Інфл)+'!J:J,'ІЦВ (Стрим Інфл)+'!A:A,'Дефлятор модель (CPI-PPI) (С-2)'!A49,'ІЦВ (Стрим Інфл)+'!B:B,'Дефлятор модель (CPI-PPI) (С-2)'!B49)</f>
        <v>0.60033333333333327</v>
      </c>
      <c r="G49" s="148">
        <f t="shared" si="16"/>
        <v>0.24399999999999999</v>
      </c>
      <c r="H49" s="287">
        <f>41.77065*F49+36.90601*E49+4.322334</f>
        <v>33.236872589999997</v>
      </c>
      <c r="I49" s="288">
        <f t="shared" si="9"/>
        <v>0.73412442563387403</v>
      </c>
      <c r="L49" s="29">
        <v>7.0000000000000062E-2</v>
      </c>
    </row>
    <row r="50" spans="1:12">
      <c r="A50">
        <v>2022</v>
      </c>
      <c r="B50">
        <v>1</v>
      </c>
      <c r="D50" s="149">
        <f>H50*$I$50</f>
        <v>33.56358372143989</v>
      </c>
      <c r="E50" s="496">
        <f>AVERAGEIFS('ІСЦ (Стрим Інфл)'!R:R,'ІСЦ (Стрим Інфл)'!A:A,'Дефлятор модель (CPI-PPI) (С-2)'!A50,'ІСЦ (Стрим Інфл)'!B:B,'Дефлятор модель (CPI-PPI) (С-2)'!B50)</f>
        <v>0.11466666666666669</v>
      </c>
      <c r="F50" s="496">
        <f>AVERAGEIFS('ІЦВ (Стрим Інфл)+'!U:U,'ІЦВ (Стрим Інфл)+'!A:A,'Дефлятор модель (CPI-PPI) (С-2)'!A50,'ІЦВ (Стрим Інфл)+'!B:B,'Дефлятор модель (CPI-PPI) (С-2)'!B50)</f>
        <v>0.5987304620534567</v>
      </c>
      <c r="G50" s="496">
        <f t="array" ref="G50:G53">TRANSPOSE(Q79:T79)</f>
        <v>0.33563583721439888</v>
      </c>
      <c r="H50" s="287">
        <f t="shared" ref="H50:H62" si="17">41.77065*F50+36.90601*E50+4.322334</f>
        <v>33.56358372143989</v>
      </c>
      <c r="I50" s="98">
        <v>1</v>
      </c>
    </row>
    <row r="51" spans="1:12">
      <c r="A51">
        <v>2022</v>
      </c>
      <c r="B51">
        <v>2</v>
      </c>
      <c r="D51" s="149">
        <f>H51*$I$50</f>
        <v>37.085093860885785</v>
      </c>
      <c r="E51" s="496">
        <f>AVERAGEIFS('ІСЦ (Стрим Інфл)'!R:R,'ІСЦ (Стрим Інфл)'!A:A,'Дефлятор модель (CPI-PPI) (С-2)'!A51,'ІСЦ (Стрим Інфл)'!B:B,'Дефлятор модель (CPI-PPI) (С-2)'!B51)</f>
        <v>0.18633333333333335</v>
      </c>
      <c r="F51" s="496">
        <f>AVERAGEIFS('ІЦВ (Стрим Інфл)+'!U:U,'ІЦВ (Стрим Інфл)+'!A:A,'Дефлятор модель (CPI-PPI) (С-2)'!A51,'ІЦВ (Стрим Інфл)+'!B:B,'Дефлятор модель (CPI-PPI) (С-2)'!B51)</f>
        <v>0.61971599669989452</v>
      </c>
      <c r="G51" s="496">
        <v>0.37085093860885787</v>
      </c>
      <c r="H51" s="287">
        <f>41.77065*F51+36.90601*E51+4.322334</f>
        <v>37.085093860885785</v>
      </c>
    </row>
    <row r="52" spans="1:12">
      <c r="A52">
        <v>2022</v>
      </c>
      <c r="B52">
        <v>3</v>
      </c>
      <c r="D52" s="149">
        <f>H52*$I$50</f>
        <v>42.305673220230922</v>
      </c>
      <c r="E52" s="496">
        <f>AVERAGEIFS('ІСЦ (Стрим Інфл)'!R:R,'ІСЦ (Стрим Інфл)'!A:A,'Дефлятор модель (CPI-PPI) (С-2)'!A52,'ІСЦ (Стрим Інфл)'!B:B,'Дефлятор модель (CPI-PPI) (С-2)'!B52)</f>
        <v>0.23533333333333331</v>
      </c>
      <c r="F52" s="496">
        <f>AVERAGEIFS('ІЦВ (Стрим Інфл)+'!U:U,'ІЦВ (Стрим Інфл)+'!A:A,'Дефлятор модель (CPI-PPI) (С-2)'!A52,'ІЦВ (Стрим Інфл)+'!B:B,'Дефлятор модель (CPI-PPI) (С-2)'!B52)</f>
        <v>0.70140457155676506</v>
      </c>
      <c r="G52" s="496">
        <v>0.42305673220230922</v>
      </c>
      <c r="H52" s="287">
        <f t="shared" si="17"/>
        <v>42.305673220230922</v>
      </c>
    </row>
    <row r="53" spans="1:12">
      <c r="A53">
        <v>2022</v>
      </c>
      <c r="B53">
        <v>4</v>
      </c>
      <c r="D53" s="149">
        <f>H53*$I$50</f>
        <v>36.110334762602378</v>
      </c>
      <c r="E53" s="496">
        <f>AVERAGEIFS('ІСЦ (Стрим Інфл)'!R:R,'ІСЦ (Стрим Інфл)'!A:A,'Дефлятор модель (CPI-PPI) (С-2)'!A53,'ІСЦ (Стрим Інфл)'!B:B,'Дефлятор модель (CPI-PPI) (С-2)'!B53)</f>
        <v>0.26566666666666666</v>
      </c>
      <c r="F53" s="496">
        <f>AVERAGEIFS('ІЦВ (Стрим Інфл)+'!U:U,'ІЦВ (Стрим Інфл)+'!A:A,'Дефлятор модель (CPI-PPI) (С-2)'!A53,'ІЦВ (Стрим Інфл)+'!B:B,'Дефлятор модель (CPI-PPI) (С-2)'!B53)</f>
        <v>0.52628589945178506</v>
      </c>
      <c r="G53" s="496">
        <v>0.36110334762602375</v>
      </c>
      <c r="H53" s="287">
        <f t="shared" si="17"/>
        <v>36.110334762602378</v>
      </c>
    </row>
    <row r="54" spans="1:12" ht="18.75">
      <c r="A54" s="584">
        <v>2023</v>
      </c>
      <c r="B54">
        <v>1</v>
      </c>
      <c r="C54" s="35">
        <f>D54/100</f>
        <v>0.33207970371023804</v>
      </c>
      <c r="D54" s="585">
        <f>D59</f>
        <v>33.207970371023805</v>
      </c>
      <c r="E54" s="601">
        <f>E59</f>
        <v>0.24066666666666667</v>
      </c>
      <c r="F54" s="601">
        <f>AVERAGEIFS('ІЦВ (Стрим Інфл)+'!U:U,'ІЦВ (Стрим Інфл)+'!A:A,'Дефлятор модель (CPI-PPI) (С-2)'!A54,'ІЦВ (Стрим Інфл)+'!B:B,'Дефлятор модель (CPI-PPI) (С-2)'!B54)</f>
        <v>0.36623879864348213</v>
      </c>
      <c r="G54" s="615">
        <f>C54</f>
        <v>0.33207970371023804</v>
      </c>
      <c r="H54" s="586">
        <f t="shared" si="17"/>
        <v>28.502413081224034</v>
      </c>
      <c r="I54" s="98">
        <f>I22</f>
        <v>1.1650932949568245</v>
      </c>
    </row>
    <row r="55" spans="1:12" ht="18.75">
      <c r="A55" s="584">
        <v>2023</v>
      </c>
      <c r="B55">
        <v>2</v>
      </c>
      <c r="C55" s="35">
        <f t="shared" ref="C55:C62" si="18">D55/100</f>
        <v>0.24231782756379081</v>
      </c>
      <c r="D55" s="585">
        <f t="shared" ref="D55:E57" si="19">D60</f>
        <v>24.231782756379079</v>
      </c>
      <c r="E55" s="601">
        <f t="shared" si="19"/>
        <v>0.15333333333333332</v>
      </c>
      <c r="F55" s="601">
        <f>AVERAGEIFS('ІЦВ (Стрим Інфл)+'!U:U,'ІЦВ (Стрим Інфл)+'!A:A,'Дефлятор модель (CPI-PPI) (С-2)'!A55,'ІЦВ (Стрим Інфл)+'!B:B,'Дефлятор модель (CPI-PPI) (С-2)'!B55)</f>
        <v>0.28842351942229133</v>
      </c>
      <c r="G55" s="615">
        <f t="shared" ref="G55:G62" si="20">C55</f>
        <v>0.24231782756379081</v>
      </c>
      <c r="H55" s="586">
        <f t="shared" si="17"/>
        <v>22.028893414890071</v>
      </c>
      <c r="I55" s="98">
        <v>1.1100000000000001</v>
      </c>
    </row>
    <row r="56" spans="1:12" ht="18.75">
      <c r="A56" s="584">
        <v>2023</v>
      </c>
      <c r="B56">
        <v>3</v>
      </c>
      <c r="C56" s="35">
        <f t="shared" si="18"/>
        <v>0.15841527567376892</v>
      </c>
      <c r="D56" s="585">
        <f t="shared" si="19"/>
        <v>15.841527567376891</v>
      </c>
      <c r="E56" s="601">
        <f t="shared" si="19"/>
        <v>9.0000000000000011E-2</v>
      </c>
      <c r="F56" s="601">
        <f>AVERAGEIFS('ІЦВ (Стрим Інфл)+'!U:U,'ІЦВ (Стрим Інфл)+'!A:A,'Дефлятор модель (CPI-PPI) (С-2)'!A56,'ІЦВ (Стрим Інфл)+'!B:B,'Дефлятор модель (CPI-PPI) (С-2)'!B56)</f>
        <v>0.16493965570810051</v>
      </c>
      <c r="G56" s="615">
        <f t="shared" si="20"/>
        <v>0.15841527567376892</v>
      </c>
      <c r="H56" s="586">
        <f t="shared" si="17"/>
        <v>14.533511529703569</v>
      </c>
      <c r="I56" s="98">
        <v>1.1000000000000001</v>
      </c>
    </row>
    <row r="57" spans="1:12" ht="18.75">
      <c r="A57" s="584">
        <v>2023</v>
      </c>
      <c r="B57">
        <v>4</v>
      </c>
      <c r="C57" s="35">
        <f t="shared" si="18"/>
        <v>0.13251319552386781</v>
      </c>
      <c r="D57" s="585">
        <f t="shared" si="19"/>
        <v>13.25131955238678</v>
      </c>
      <c r="E57" s="601">
        <f t="shared" si="19"/>
        <v>5.1666666666666666E-2</v>
      </c>
      <c r="F57" s="601">
        <f>AVERAGEIFS('ІЦВ (Стрим Інфл)+'!U:U,'ІЦВ (Стрим Інфл)+'!A:A,'Дефлятор модель (CPI-PPI) (С-2)'!A57,'ІЦВ (Стрим Інфл)+'!B:B,'Дефлятор модель (CPI-PPI) (С-2)'!B57)</f>
        <v>0.15300599389618763</v>
      </c>
      <c r="G57" s="615">
        <f t="shared" si="20"/>
        <v>0.13251319552386781</v>
      </c>
      <c r="H57" s="586">
        <f t="shared" si="17"/>
        <v>12.620304335606457</v>
      </c>
      <c r="I57" s="98">
        <v>1.06</v>
      </c>
    </row>
    <row r="58" spans="1:12">
      <c r="A58" s="614" t="s">
        <v>496</v>
      </c>
      <c r="B58" s="605" t="s">
        <v>491</v>
      </c>
      <c r="G58" s="287"/>
      <c r="H58" s="287"/>
    </row>
    <row r="59" spans="1:12">
      <c r="A59">
        <v>2023</v>
      </c>
      <c r="B59">
        <v>1</v>
      </c>
      <c r="C59" s="35">
        <f t="shared" si="18"/>
        <v>0.33207970371023804</v>
      </c>
      <c r="D59" s="585">
        <f>H59*$I59</f>
        <v>33.207970371023805</v>
      </c>
      <c r="E59" s="601">
        <f>AVERAGEIFS('ІСЦ (Стрим Інфл)'!Q:Q,'ІСЦ (Стрим Інфл)'!A:A,'Дефлятор модель (CPI-PPI) (С-2)'!A59,'ІСЦ (Стрим Інфл)'!B:B,'Дефлятор модель (CPI-PPI) (С-2)'!B59)</f>
        <v>0.24066666666666667</v>
      </c>
      <c r="F59" s="601">
        <f>AVERAGEIFS('ІЦВ (Стрим Інфл)+'!U:U,'ІЦВ (Стрим Інфл)+'!A:A,'Дефлятор модель (CPI-PPI) (С-2)'!A59,'ІЦВ (Стрим Інфл)+'!B:B,'Дефлятор модель (CPI-PPI) (С-2)'!B59)</f>
        <v>0.36623879864348213</v>
      </c>
      <c r="G59" s="615">
        <f t="shared" si="20"/>
        <v>0.33207970371023804</v>
      </c>
      <c r="H59" s="586">
        <f t="shared" si="17"/>
        <v>28.502413081224034</v>
      </c>
      <c r="I59" s="98">
        <v>1.1650932949568245</v>
      </c>
    </row>
    <row r="60" spans="1:12">
      <c r="A60">
        <v>2023</v>
      </c>
      <c r="B60">
        <v>2</v>
      </c>
      <c r="C60" s="35">
        <f t="shared" si="18"/>
        <v>0.24231782756379081</v>
      </c>
      <c r="D60" s="585">
        <f>H60*$I60</f>
        <v>24.231782756379079</v>
      </c>
      <c r="E60" s="601">
        <f>AVERAGEIFS('ІСЦ (Стрим Інфл)'!Q:Q,'ІСЦ (Стрим Інфл)'!A:A,'Дефлятор модель (CPI-PPI) (С-2)'!A60,'ІСЦ (Стрим Інфл)'!B:B,'Дефлятор модель (CPI-PPI) (С-2)'!B60)</f>
        <v>0.15333333333333332</v>
      </c>
      <c r="F60" s="601">
        <f>AVERAGEIFS('ІЦВ (Стрим Інфл)+'!U:U,'ІЦВ (Стрим Інфл)+'!A:A,'Дефлятор модель (CPI-PPI) (С-2)'!A60,'ІЦВ (Стрим Інфл)+'!B:B,'Дефлятор модель (CPI-PPI) (С-2)'!B60)</f>
        <v>0.28842351942229133</v>
      </c>
      <c r="G60" s="615">
        <f t="shared" si="20"/>
        <v>0.24231782756379081</v>
      </c>
      <c r="H60" s="586">
        <f t="shared" si="17"/>
        <v>22.028893414890071</v>
      </c>
      <c r="I60" s="98">
        <v>1.1000000000000001</v>
      </c>
    </row>
    <row r="61" spans="1:12">
      <c r="A61">
        <v>2023</v>
      </c>
      <c r="B61">
        <v>3</v>
      </c>
      <c r="C61" s="35">
        <f t="shared" si="18"/>
        <v>0.15841527567376892</v>
      </c>
      <c r="D61" s="585">
        <f>H61*$I61</f>
        <v>15.841527567376891</v>
      </c>
      <c r="E61" s="601">
        <f>AVERAGEIFS('ІСЦ (Стрим Інфл)'!Q:Q,'ІСЦ (Стрим Інфл)'!A:A,'Дефлятор модель (CPI-PPI) (С-2)'!A61,'ІСЦ (Стрим Інфл)'!B:B,'Дефлятор модель (CPI-PPI) (С-2)'!B61)</f>
        <v>9.0000000000000011E-2</v>
      </c>
      <c r="F61" s="601">
        <f>AVERAGEIFS('ІЦВ (Стрим Інфл)+'!U:U,'ІЦВ (Стрим Інфл)+'!A:A,'Дефлятор модель (CPI-PPI) (С-2)'!A61,'ІЦВ (Стрим Інфл)+'!B:B,'Дефлятор модель (CPI-PPI) (С-2)'!B61)</f>
        <v>0.16493965570810051</v>
      </c>
      <c r="G61" s="615">
        <f t="shared" si="20"/>
        <v>0.15841527567376892</v>
      </c>
      <c r="H61" s="586">
        <f t="shared" si="17"/>
        <v>14.533511529703569</v>
      </c>
      <c r="I61" s="98">
        <v>1.0900000000000001</v>
      </c>
    </row>
    <row r="62" spans="1:12">
      <c r="A62">
        <v>2023</v>
      </c>
      <c r="B62">
        <v>4</v>
      </c>
      <c r="C62" s="35">
        <f t="shared" si="18"/>
        <v>0.13251319552386781</v>
      </c>
      <c r="D62" s="585">
        <f>H62*$I62</f>
        <v>13.25131955238678</v>
      </c>
      <c r="E62" s="601">
        <f>AVERAGEIFS('ІСЦ (Стрим Інфл)'!Q:Q,'ІСЦ (Стрим Інфл)'!A:A,'Дефлятор модель (CPI-PPI) (С-2)'!A62,'ІСЦ (Стрим Інфл)'!B:B,'Дефлятор модель (CPI-PPI) (С-2)'!B62)</f>
        <v>5.1666666666666666E-2</v>
      </c>
      <c r="F62" s="601">
        <f>AVERAGEIFS('ІЦВ (Стрим Інфл)+'!U:U,'ІЦВ (Стрим Інфл)+'!A:A,'Дефлятор модель (CPI-PPI) (С-2)'!A62,'ІЦВ (Стрим Інфл)+'!B:B,'Дефлятор модель (CPI-PPI) (С-2)'!B62)</f>
        <v>0.15300599389618763</v>
      </c>
      <c r="G62" s="615">
        <f t="shared" si="20"/>
        <v>0.13251319552386781</v>
      </c>
      <c r="H62" s="586">
        <f t="shared" si="17"/>
        <v>12.620304335606457</v>
      </c>
      <c r="I62" s="98">
        <v>1.05</v>
      </c>
    </row>
    <row r="64" spans="1:12" ht="19.5" customHeight="1"/>
    <row r="65" spans="1:20" ht="21.75">
      <c r="A65" s="153">
        <v>2020</v>
      </c>
      <c r="D65" s="155">
        <f>SUMPRODUCT(D42:D45,E84:E87)</f>
        <v>9.8749137465167713</v>
      </c>
    </row>
    <row r="66" spans="1:20" ht="21.75">
      <c r="A66" s="153">
        <v>2021</v>
      </c>
      <c r="D66" s="155">
        <f>SUMPRODUCT(D46:D49,E84:E87)</f>
        <v>25.021012441006754</v>
      </c>
      <c r="F66" s="29"/>
      <c r="G66" s="29"/>
      <c r="H66" s="29"/>
      <c r="I66" s="29"/>
    </row>
    <row r="67" spans="1:20" ht="21.75">
      <c r="A67" s="153">
        <v>2022</v>
      </c>
      <c r="D67" s="323">
        <f>SUMPRODUCT(D74:D77,E84:E87)</f>
        <v>0.37569794978693921</v>
      </c>
      <c r="G67">
        <f>SUMPRODUCT(C46:C49,E84:E87)</f>
        <v>0</v>
      </c>
    </row>
    <row r="68" spans="1:20" ht="21.75">
      <c r="A68" s="153" t="s">
        <v>497</v>
      </c>
      <c r="D68" s="323">
        <f>SUMPRODUCT(C54:C57,E84:E87)</f>
        <v>0.20345835658857914</v>
      </c>
      <c r="F68" s="563">
        <v>0.21702359716912972</v>
      </c>
      <c r="G68" s="29"/>
      <c r="H68" s="29"/>
      <c r="I68" s="29"/>
    </row>
    <row r="69" spans="1:20" ht="21.75">
      <c r="A69" s="153"/>
      <c r="D69" s="323"/>
      <c r="F69" s="563"/>
      <c r="G69" s="29"/>
      <c r="H69" s="29"/>
      <c r="I69" s="29"/>
    </row>
    <row r="70" spans="1:20" ht="21.75">
      <c r="A70" s="153"/>
      <c r="G70" s="29"/>
      <c r="H70" s="29"/>
      <c r="I70" s="29"/>
    </row>
    <row r="71" spans="1:20" ht="21.75">
      <c r="A71" s="153"/>
      <c r="G71" s="29"/>
      <c r="H71" s="29"/>
      <c r="I71" s="29"/>
    </row>
    <row r="72" spans="1:20">
      <c r="D72" s="156"/>
      <c r="E72" s="29">
        <f t="shared" ref="E72:F77" si="21">(E38+1)</f>
        <v>1.0886666666666667</v>
      </c>
      <c r="F72" s="29">
        <f t="shared" si="21"/>
        <v>1.0983333333333334</v>
      </c>
      <c r="G72" s="29"/>
      <c r="H72" s="29"/>
      <c r="I72" s="29"/>
    </row>
    <row r="73" spans="1:20">
      <c r="E73" s="29">
        <f t="shared" si="21"/>
        <v>1.0913333333333333</v>
      </c>
      <c r="F73" s="29">
        <f t="shared" si="21"/>
        <v>1.0676666666666668</v>
      </c>
      <c r="G73" s="29"/>
      <c r="H73" s="29"/>
      <c r="I73" s="29"/>
    </row>
    <row r="74" spans="1:20">
      <c r="A74">
        <v>2022</v>
      </c>
      <c r="B74">
        <v>1</v>
      </c>
      <c r="D74" s="33">
        <f>D50/100</f>
        <v>0.33563583721439888</v>
      </c>
      <c r="E74" s="29">
        <f t="shared" si="21"/>
        <v>1.0846666666666667</v>
      </c>
      <c r="F74" s="29">
        <f t="shared" si="21"/>
        <v>1.0429999999999999</v>
      </c>
      <c r="G74" s="29"/>
      <c r="H74" s="29"/>
      <c r="I74" s="29"/>
      <c r="L74" s="504"/>
      <c r="M74" s="949">
        <v>2021</v>
      </c>
      <c r="N74" s="950"/>
      <c r="O74" s="950"/>
      <c r="P74" s="951"/>
      <c r="Q74" s="949">
        <v>2022</v>
      </c>
      <c r="R74" s="950"/>
      <c r="S74" s="950"/>
      <c r="T74" s="951"/>
    </row>
    <row r="75" spans="1:20">
      <c r="A75">
        <v>2022</v>
      </c>
      <c r="B75">
        <v>2</v>
      </c>
      <c r="D75" s="33">
        <f>D51/100</f>
        <v>0.37085093860885787</v>
      </c>
      <c r="E75" s="29">
        <f t="shared" si="21"/>
        <v>1.0523333333333333</v>
      </c>
      <c r="F75" s="29">
        <f t="shared" si="21"/>
        <v>0.96099999999999997</v>
      </c>
      <c r="G75" s="29"/>
      <c r="H75" s="29"/>
      <c r="I75" s="29"/>
      <c r="L75" s="504"/>
      <c r="M75" s="503">
        <v>1</v>
      </c>
      <c r="N75" s="503">
        <v>2</v>
      </c>
      <c r="O75" s="503">
        <v>3</v>
      </c>
      <c r="P75" s="503">
        <v>4</v>
      </c>
      <c r="Q75" s="503">
        <v>1</v>
      </c>
      <c r="R75" s="503">
        <v>2</v>
      </c>
      <c r="S75" s="503">
        <v>3</v>
      </c>
      <c r="T75" s="503">
        <v>4</v>
      </c>
    </row>
    <row r="76" spans="1:20">
      <c r="A76">
        <v>2022</v>
      </c>
      <c r="B76">
        <v>3</v>
      </c>
      <c r="D76" s="33">
        <f>D52/100</f>
        <v>0.42305673220230922</v>
      </c>
      <c r="E76" s="29">
        <f t="shared" si="21"/>
        <v>1.0263333333333333</v>
      </c>
      <c r="F76" s="29">
        <f t="shared" si="21"/>
        <v>0.94366666666666665</v>
      </c>
      <c r="I76" s="99">
        <f>PRODUCT(E72:E77)</f>
        <v>1.4206082515187477</v>
      </c>
      <c r="J76" s="99">
        <f>PRODUCT(F72:F77)</f>
        <v>1.0636892400263858</v>
      </c>
      <c r="L76" s="498" t="s">
        <v>256</v>
      </c>
      <c r="M76" s="499">
        <f t="array" ref="M76:T76">TRANSPOSE(F46:F53)</f>
        <v>0.23500000000000001</v>
      </c>
      <c r="N76" s="499">
        <v>0.33333333333333331</v>
      </c>
      <c r="O76" s="499">
        <v>0.44599999999999995</v>
      </c>
      <c r="P76" s="499">
        <v>0.60033333333333327</v>
      </c>
      <c r="Q76" s="500">
        <v>0.5987304620534567</v>
      </c>
      <c r="R76" s="500">
        <v>0.61971599669989452</v>
      </c>
      <c r="S76" s="500">
        <v>0.70140457155676506</v>
      </c>
      <c r="T76" s="500">
        <v>0.52628589945178506</v>
      </c>
    </row>
    <row r="77" spans="1:20">
      <c r="A77">
        <v>2022</v>
      </c>
      <c r="B77">
        <v>4</v>
      </c>
      <c r="D77" s="33">
        <f>D53/100</f>
        <v>0.36110334762602375</v>
      </c>
      <c r="E77" s="29">
        <f t="shared" si="21"/>
        <v>1.0206666666666666</v>
      </c>
      <c r="F77" s="29">
        <f t="shared" si="21"/>
        <v>0.95900000000000007</v>
      </c>
      <c r="L77" s="498" t="s">
        <v>257</v>
      </c>
      <c r="M77" s="499">
        <f t="array" ref="M77:T77">TRANSPOSE(E46:E53)</f>
        <v>7.3666666666666672E-2</v>
      </c>
      <c r="N77" s="499">
        <v>9.1333333333333336E-2</v>
      </c>
      <c r="O77" s="499">
        <v>0.10466666666666667</v>
      </c>
      <c r="P77" s="499">
        <v>0.104</v>
      </c>
      <c r="Q77" s="500">
        <v>0.11466666666666669</v>
      </c>
      <c r="R77" s="500">
        <v>0.18633333333333335</v>
      </c>
      <c r="S77" s="500">
        <v>0.23533333333333331</v>
      </c>
      <c r="T77" s="500">
        <v>0.26566666666666666</v>
      </c>
    </row>
    <row r="78" spans="1:20" ht="18.75">
      <c r="A78" s="584">
        <v>2023</v>
      </c>
      <c r="B78">
        <v>1</v>
      </c>
      <c r="D78" s="33">
        <f>D54/100</f>
        <v>0.33207970371023804</v>
      </c>
      <c r="E78" s="29"/>
      <c r="F78" s="29"/>
      <c r="L78" s="497" t="s">
        <v>255</v>
      </c>
      <c r="M78" s="501">
        <f t="array" ref="M78:T78">TRANSPOSE(D46:D53)</f>
        <v>21.7</v>
      </c>
      <c r="N78" s="501">
        <v>27.3</v>
      </c>
      <c r="O78" s="501">
        <v>26.1</v>
      </c>
      <c r="P78" s="501">
        <v>24.4</v>
      </c>
      <c r="Q78" s="502">
        <v>33.56358372143989</v>
      </c>
      <c r="R78" s="502">
        <v>37.085093860885785</v>
      </c>
      <c r="S78" s="502">
        <v>42.305673220230922</v>
      </c>
      <c r="T78" s="502">
        <v>36.110334762602378</v>
      </c>
    </row>
    <row r="79" spans="1:20">
      <c r="D79" s="33"/>
      <c r="E79" s="29"/>
      <c r="F79" s="29"/>
      <c r="M79" s="33">
        <f>M78/100</f>
        <v>0.217</v>
      </c>
      <c r="N79" s="33">
        <f>N78/100</f>
        <v>0.27300000000000002</v>
      </c>
      <c r="O79" s="33">
        <f t="shared" ref="O79:T79" si="22">O78/100</f>
        <v>0.26100000000000001</v>
      </c>
      <c r="P79" s="33">
        <f t="shared" si="22"/>
        <v>0.24399999999999999</v>
      </c>
      <c r="Q79" s="33">
        <f t="shared" si="22"/>
        <v>0.33563583721439888</v>
      </c>
      <c r="R79" s="33">
        <f t="shared" si="22"/>
        <v>0.37085093860885787</v>
      </c>
      <c r="S79" s="33">
        <f t="shared" si="22"/>
        <v>0.42305673220230922</v>
      </c>
      <c r="T79" s="33">
        <f t="shared" si="22"/>
        <v>0.36110334762602375</v>
      </c>
    </row>
    <row r="81" spans="1:14" ht="18.75">
      <c r="E81" s="369">
        <f>SUMPRODUCT($E84:$E87,E46:E49)</f>
        <v>9.5425239510018037E-2</v>
      </c>
      <c r="F81" s="369">
        <f>SUMPRODUCT($E84:$E87,F46:F49)</f>
        <v>0.42548468001426604</v>
      </c>
      <c r="G81" s="369">
        <f>SUMPRODUCT($E84:$E87,G46:G49)</f>
        <v>0.25021012441006751</v>
      </c>
    </row>
    <row r="83" spans="1:14" ht="36">
      <c r="D83" s="150" t="s">
        <v>201</v>
      </c>
      <c r="E83" s="131" t="s">
        <v>202</v>
      </c>
      <c r="F83" s="151" t="s">
        <v>203</v>
      </c>
      <c r="G83" s="151" t="s">
        <v>204</v>
      </c>
      <c r="H83" s="151"/>
      <c r="I83" s="151"/>
    </row>
    <row r="84" spans="1:14" ht="18.75">
      <c r="A84">
        <v>2021</v>
      </c>
      <c r="B84">
        <v>1</v>
      </c>
      <c r="D84" s="29">
        <f>F$84*E46+G$84*F46</f>
        <v>0.19456608788689517</v>
      </c>
      <c r="E84" s="33">
        <v>0.19266532411555995</v>
      </c>
      <c r="F84" s="152">
        <v>0.2506234221886664</v>
      </c>
      <c r="G84" s="152">
        <v>0.74937657781133349</v>
      </c>
    </row>
    <row r="85" spans="1:14">
      <c r="A85">
        <v>2021</v>
      </c>
      <c r="B85">
        <v>2</v>
      </c>
      <c r="D85" s="29">
        <f>F$84*E47+G$84*F47</f>
        <v>0.272682465163676</v>
      </c>
      <c r="E85" s="33">
        <v>0.23023253537597185</v>
      </c>
    </row>
    <row r="86" spans="1:14">
      <c r="A86">
        <v>2021</v>
      </c>
      <c r="B86">
        <v>3</v>
      </c>
      <c r="D86" s="29">
        <f>F$84*E48+G$84*F48</f>
        <v>0.36045387189293515</v>
      </c>
      <c r="E86" s="33">
        <v>0.27854968442849809</v>
      </c>
    </row>
    <row r="87" spans="1:14">
      <c r="A87">
        <v>2021</v>
      </c>
      <c r="B87">
        <v>4</v>
      </c>
      <c r="D87" s="29">
        <f>F$84*E49+G$84*F49</f>
        <v>0.47594057478702517</v>
      </c>
      <c r="E87" s="33">
        <v>0.29855245607997011</v>
      </c>
    </row>
    <row r="89" spans="1:14" ht="21.75">
      <c r="A89" s="153">
        <v>2021</v>
      </c>
      <c r="D89" s="154">
        <f>SUMPRODUCT(D84:D87,E84:E87)</f>
        <v>0.34276405350941486</v>
      </c>
    </row>
    <row r="91" spans="1:14">
      <c r="D91" s="123"/>
    </row>
    <row r="92" spans="1:14">
      <c r="A92">
        <v>2020</v>
      </c>
      <c r="B92" t="s">
        <v>230</v>
      </c>
    </row>
    <row r="93" spans="1:14">
      <c r="B93" t="s">
        <v>231</v>
      </c>
    </row>
    <row r="94" spans="1:14">
      <c r="B94" t="s">
        <v>232</v>
      </c>
    </row>
    <row r="95" spans="1:14">
      <c r="B95" t="s">
        <v>233</v>
      </c>
    </row>
    <row r="96" spans="1:14" ht="63" customHeight="1">
      <c r="A96">
        <v>2021</v>
      </c>
      <c r="B96" t="s">
        <v>230</v>
      </c>
      <c r="E96" s="33">
        <v>7.1165404771739382E-2</v>
      </c>
      <c r="F96" s="29">
        <f t="shared" ref="F96:F103" si="23">F46</f>
        <v>0.23500000000000001</v>
      </c>
      <c r="H96" s="287">
        <f t="shared" ref="H96:H103" si="24">41.77065*F96+36.90601*E96+4.322334</f>
        <v>16.764867890159863</v>
      </c>
      <c r="I96" s="148">
        <f t="shared" ref="I96:I101" si="25">E96/E46</f>
        <v>0.96604621862089657</v>
      </c>
      <c r="K96" s="952" t="s">
        <v>454</v>
      </c>
      <c r="L96" s="952"/>
      <c r="M96" s="952"/>
      <c r="N96" s="952"/>
    </row>
    <row r="97" spans="1:13">
      <c r="B97" t="s">
        <v>231</v>
      </c>
      <c r="E97" s="33">
        <v>8.8290152849198986E-2</v>
      </c>
      <c r="F97" s="29">
        <f t="shared" si="23"/>
        <v>0.33333333333333331</v>
      </c>
      <c r="H97" s="287">
        <f t="shared" si="24"/>
        <v>21.504321263954068</v>
      </c>
      <c r="I97" s="148">
        <f t="shared" si="25"/>
        <v>0.9666805056481641</v>
      </c>
    </row>
    <row r="98" spans="1:13" ht="18.75">
      <c r="B98" t="s">
        <v>232</v>
      </c>
      <c r="E98" s="33">
        <v>9.7344742643579688E-2</v>
      </c>
      <c r="F98" s="29">
        <f t="shared" si="23"/>
        <v>0.44599999999999995</v>
      </c>
      <c r="H98" s="287">
        <f t="shared" si="24"/>
        <v>26.544649945451376</v>
      </c>
      <c r="I98" s="148">
        <f t="shared" si="25"/>
        <v>0.93004531188133455</v>
      </c>
      <c r="K98" s="540" t="s">
        <v>453</v>
      </c>
    </row>
    <row r="99" spans="1:13">
      <c r="B99" t="s">
        <v>233</v>
      </c>
      <c r="E99" s="33">
        <v>9.9505446158871358E-2</v>
      </c>
      <c r="F99" s="29">
        <f t="shared" si="23"/>
        <v>0.60033333333333327</v>
      </c>
      <c r="H99" s="287">
        <f t="shared" si="24"/>
        <v>33.070996540993768</v>
      </c>
      <c r="I99" s="148">
        <f t="shared" si="25"/>
        <v>0.95678313614299382</v>
      </c>
    </row>
    <row r="100" spans="1:13">
      <c r="A100">
        <v>2022</v>
      </c>
      <c r="B100" t="s">
        <v>230</v>
      </c>
      <c r="E100" s="33">
        <v>0.10711385230269828</v>
      </c>
      <c r="F100" s="29">
        <f t="shared" si="23"/>
        <v>0.5987304620534567</v>
      </c>
      <c r="H100" s="550">
        <f t="shared" si="24"/>
        <v>33.284839478995124</v>
      </c>
      <c r="I100" s="148">
        <f t="shared" si="25"/>
        <v>0.93413243287236847</v>
      </c>
      <c r="K100" s="551">
        <f>H100/100-H50/100</f>
        <v>-2.787442424447617E-3</v>
      </c>
    </row>
    <row r="101" spans="1:13">
      <c r="B101" t="s">
        <v>231</v>
      </c>
      <c r="E101" s="33">
        <v>0.17351981330947996</v>
      </c>
      <c r="F101" s="29">
        <f t="shared" si="23"/>
        <v>0.61971599669989452</v>
      </c>
      <c r="H101" s="550">
        <f t="shared" si="24"/>
        <v>36.612197962750251</v>
      </c>
      <c r="I101" s="148">
        <f t="shared" si="25"/>
        <v>0.93123334513137723</v>
      </c>
      <c r="K101" s="551">
        <f>H101/100-H51/100</f>
        <v>-4.7289589813553357E-3</v>
      </c>
    </row>
    <row r="102" spans="1:13">
      <c r="B102" t="s">
        <v>232</v>
      </c>
      <c r="E102" s="549">
        <f>E52*AVERAGE(I96:I101)</f>
        <v>0.22297523282832094</v>
      </c>
      <c r="F102" s="29">
        <f t="shared" si="23"/>
        <v>0.70140457155676506</v>
      </c>
      <c r="H102" s="550">
        <f t="shared" si="24"/>
        <v>41.849585039411934</v>
      </c>
      <c r="K102" s="551">
        <f>H102/100-H52/100</f>
        <v>-4.560881808189865E-3</v>
      </c>
    </row>
    <row r="103" spans="1:13">
      <c r="B103" t="s">
        <v>233</v>
      </c>
      <c r="E103" s="549">
        <f>E53*AVERAGE(I97:I101)</f>
        <v>0.25072954407639747</v>
      </c>
      <c r="F103" s="29">
        <f t="shared" si="23"/>
        <v>0.52628589945178506</v>
      </c>
      <c r="H103" s="550">
        <f t="shared" si="24"/>
        <v>35.559065166914671</v>
      </c>
      <c r="K103" s="551">
        <f>H103/100-H53/100</f>
        <v>-5.512695956877034E-3</v>
      </c>
    </row>
    <row r="104" spans="1:13">
      <c r="A104">
        <v>2023</v>
      </c>
      <c r="B104" t="s">
        <v>230</v>
      </c>
      <c r="F104" s="29"/>
    </row>
    <row r="105" spans="1:13">
      <c r="B105" t="s">
        <v>231</v>
      </c>
    </row>
    <row r="106" spans="1:13">
      <c r="B106" t="s">
        <v>232</v>
      </c>
    </row>
    <row r="107" spans="1:13">
      <c r="B107" t="s">
        <v>233</v>
      </c>
    </row>
    <row r="111" spans="1:13" ht="24">
      <c r="L111" s="541" t="s">
        <v>449</v>
      </c>
      <c r="M111" s="540" t="s">
        <v>441</v>
      </c>
    </row>
    <row r="113" spans="1:13">
      <c r="L113">
        <v>100</v>
      </c>
    </row>
    <row r="114" spans="1:13">
      <c r="A114" s="536">
        <v>2020</v>
      </c>
      <c r="B114" s="497">
        <v>1</v>
      </c>
      <c r="E114" s="33">
        <f>'ІСЦ (Стрим Інфл)'!J98</f>
        <v>3.2000000000000001E-2</v>
      </c>
      <c r="F114" s="33">
        <f>'ІЦВ (Стрим Інфл)+'!J122</f>
        <v>-5.8999999999999997E-2</v>
      </c>
      <c r="H114" s="287">
        <f t="shared" ref="H114:H149" si="26">41.77065*F114+36.90601*E114+4.322334</f>
        <v>3.0388579699999996</v>
      </c>
      <c r="I114" s="288">
        <f>$I$42</f>
        <v>1.8020393087243933</v>
      </c>
      <c r="K114" s="542">
        <f>H114/100*I114</f>
        <v>5.4761415155704124E-2</v>
      </c>
      <c r="L114" s="543">
        <f>(1+K114)*$L$113</f>
        <v>105.4761415155704</v>
      </c>
      <c r="M114" s="498"/>
    </row>
    <row r="115" spans="1:13">
      <c r="A115" s="537"/>
      <c r="B115" s="497">
        <v>2</v>
      </c>
      <c r="E115" s="33">
        <f>'ІСЦ (Стрим Інфл)'!J99</f>
        <v>2.4E-2</v>
      </c>
      <c r="F115" s="33">
        <f>'ІЦВ (Стрим Інфл)+'!J123</f>
        <v>-6.8000000000000005E-2</v>
      </c>
      <c r="H115" s="287">
        <f t="shared" si="26"/>
        <v>2.3676740399999994</v>
      </c>
      <c r="I115" s="288">
        <f>$I$42</f>
        <v>1.8020393087243933</v>
      </c>
      <c r="K115" s="542">
        <f t="shared" ref="K115:K137" si="27">H115/100*I115</f>
        <v>4.2666416903262901E-2</v>
      </c>
      <c r="L115" s="543">
        <f t="shared" ref="L115:L125" si="28">(1+K115)*$L$113</f>
        <v>104.2666416903263</v>
      </c>
      <c r="M115" s="542">
        <f>L115/L114-1</f>
        <v>-1.1467046555410421E-2</v>
      </c>
    </row>
    <row r="116" spans="1:13">
      <c r="A116" s="537"/>
      <c r="B116" s="497">
        <v>3</v>
      </c>
      <c r="E116" s="33">
        <f>'ІСЦ (Стрим Інфл)'!J100</f>
        <v>2.3E-2</v>
      </c>
      <c r="F116" s="33">
        <f>'ІЦВ (Стрим Інфл)+'!J124</f>
        <v>-4.2000000000000003E-2</v>
      </c>
      <c r="H116" s="287">
        <f t="shared" si="26"/>
        <v>3.4168049299999996</v>
      </c>
      <c r="I116" s="288">
        <f>$I$42</f>
        <v>1.8020393087243933</v>
      </c>
      <c r="K116" s="542">
        <f t="shared" si="27"/>
        <v>6.1572167941032985E-2</v>
      </c>
      <c r="L116" s="543">
        <f t="shared" si="28"/>
        <v>106.15721679410331</v>
      </c>
      <c r="M116" s="542">
        <f t="shared" ref="M116:M149" si="29">L116/L115-1</f>
        <v>1.8132118510079565E-2</v>
      </c>
    </row>
    <row r="117" spans="1:13">
      <c r="A117" s="537"/>
      <c r="B117" s="497">
        <v>4</v>
      </c>
      <c r="E117" s="33">
        <f>'ІСЦ (Стрим Інфл)'!J101</f>
        <v>2.1000000000000001E-2</v>
      </c>
      <c r="F117" s="33">
        <f>'ІЦВ (Стрим Інфл)+'!J125</f>
        <v>-2.5999999999999999E-2</v>
      </c>
      <c r="H117" s="287">
        <f t="shared" si="26"/>
        <v>4.0113233099999999</v>
      </c>
      <c r="I117" s="288">
        <f>$I$43</f>
        <v>1.6605081795313406</v>
      </c>
      <c r="K117" s="542">
        <f t="shared" si="27"/>
        <v>6.6608351669997318E-2</v>
      </c>
      <c r="L117" s="543">
        <f t="shared" si="28"/>
        <v>106.66083516699973</v>
      </c>
      <c r="M117" s="542">
        <f t="shared" si="29"/>
        <v>4.7440804130463032E-3</v>
      </c>
    </row>
    <row r="118" spans="1:13">
      <c r="A118" s="537"/>
      <c r="B118" s="497">
        <v>5</v>
      </c>
      <c r="E118" s="33">
        <f>'ІСЦ (Стрим Інфл)'!J102</f>
        <v>1.7000000000000001E-2</v>
      </c>
      <c r="F118" s="33">
        <f>'ІЦВ (Стрим Інфл)+'!J126</f>
        <v>-5.0999999999999941E-2</v>
      </c>
      <c r="H118" s="287">
        <f t="shared" si="26"/>
        <v>2.8194330200000017</v>
      </c>
      <c r="I118" s="288">
        <f>$I$43</f>
        <v>1.6605081795313406</v>
      </c>
      <c r="K118" s="542">
        <f t="shared" si="27"/>
        <v>4.6816915913507527E-2</v>
      </c>
      <c r="L118" s="543">
        <f t="shared" si="28"/>
        <v>104.68169159135074</v>
      </c>
      <c r="M118" s="542">
        <f t="shared" si="29"/>
        <v>-1.8555485455839849E-2</v>
      </c>
    </row>
    <row r="119" spans="1:13">
      <c r="A119" s="537"/>
      <c r="B119" s="497">
        <v>6</v>
      </c>
      <c r="E119" s="33">
        <f>'ІСЦ (Стрим Інфл)'!J103</f>
        <v>2.4E-2</v>
      </c>
      <c r="F119" s="33">
        <f>'ІЦВ (Стрим Інфл)+'!J127</f>
        <v>-4.5999999999999944E-2</v>
      </c>
      <c r="H119" s="287">
        <f t="shared" si="26"/>
        <v>3.2866283400000018</v>
      </c>
      <c r="I119" s="288">
        <f>$I$43</f>
        <v>1.6605081795313406</v>
      </c>
      <c r="K119" s="542">
        <f t="shared" si="27"/>
        <v>5.4574732416495145E-2</v>
      </c>
      <c r="L119" s="543">
        <f t="shared" si="28"/>
        <v>105.45747324164951</v>
      </c>
      <c r="M119" s="542">
        <f t="shared" si="29"/>
        <v>7.4108627641136238E-3</v>
      </c>
    </row>
    <row r="120" spans="1:13">
      <c r="A120" s="537"/>
      <c r="B120" s="497">
        <v>7</v>
      </c>
      <c r="E120" s="33">
        <f>'ІСЦ (Стрим Інфл)'!J104</f>
        <v>2.4E-2</v>
      </c>
      <c r="F120" s="33">
        <f>'ІЦВ (Стрим Інфл)+'!J128</f>
        <v>-7.4999999999999997E-2</v>
      </c>
      <c r="H120" s="287">
        <f t="shared" si="26"/>
        <v>2.0752794899999998</v>
      </c>
      <c r="I120" s="288">
        <f>$I$44</f>
        <v>2.5666842990748338</v>
      </c>
      <c r="K120" s="542">
        <f t="shared" si="27"/>
        <v>5.3265872831750272E-2</v>
      </c>
      <c r="L120" s="543">
        <f t="shared" si="28"/>
        <v>105.32658728317503</v>
      </c>
      <c r="M120" s="542">
        <f t="shared" si="29"/>
        <v>-1.2411254930654314E-3</v>
      </c>
    </row>
    <row r="121" spans="1:13">
      <c r="A121" s="537"/>
      <c r="B121" s="497">
        <v>8</v>
      </c>
      <c r="E121" s="33">
        <f>'ІСЦ (Стрим Інфл)'!J105</f>
        <v>2.5000000000000001E-2</v>
      </c>
      <c r="F121" s="33">
        <f>'ІЦВ (Стрим Інфл)+'!J129</f>
        <v>-4.7E-2</v>
      </c>
      <c r="H121" s="287">
        <f t="shared" si="26"/>
        <v>3.2817636999999995</v>
      </c>
      <c r="I121" s="288">
        <f>$I$44</f>
        <v>2.5666842990748338</v>
      </c>
      <c r="K121" s="542">
        <f t="shared" si="27"/>
        <v>8.4232513620637328E-2</v>
      </c>
      <c r="L121" s="543">
        <f t="shared" si="28"/>
        <v>108.42325136206372</v>
      </c>
      <c r="M121" s="542">
        <f t="shared" si="29"/>
        <v>2.9400592564184924E-2</v>
      </c>
    </row>
    <row r="122" spans="1:13">
      <c r="A122" s="537"/>
      <c r="B122" s="497">
        <v>9</v>
      </c>
      <c r="E122" s="33">
        <f>'ІСЦ (Стрим Інфл)'!J106</f>
        <v>2.3E-2</v>
      </c>
      <c r="F122" s="33">
        <f>'ІЦВ (Стрим Інфл)+'!J130</f>
        <v>-1.7000000000000001E-2</v>
      </c>
      <c r="H122" s="287">
        <f t="shared" si="26"/>
        <v>4.4610711799999994</v>
      </c>
      <c r="I122" s="288">
        <f>$I$44</f>
        <v>2.5666842990748338</v>
      </c>
      <c r="K122" s="542">
        <f t="shared" si="27"/>
        <v>0.1145016135476124</v>
      </c>
      <c r="L122" s="543">
        <f t="shared" si="28"/>
        <v>111.45016135476125</v>
      </c>
      <c r="M122" s="542">
        <f t="shared" si="29"/>
        <v>2.7917535719248932E-2</v>
      </c>
    </row>
    <row r="123" spans="1:13">
      <c r="A123" s="537"/>
      <c r="B123" s="497">
        <v>10</v>
      </c>
      <c r="E123" s="33">
        <f>'ІСЦ (Стрим Інфл)'!J107</f>
        <v>2.5999999999999999E-2</v>
      </c>
      <c r="F123" s="33">
        <f>'ІЦВ (Стрим Інфл)+'!J131</f>
        <v>3.2000000000000001E-2</v>
      </c>
      <c r="H123" s="287">
        <f t="shared" si="26"/>
        <v>6.6185510599999997</v>
      </c>
      <c r="I123" s="288">
        <f>$I$45</f>
        <v>1.8643487035286621</v>
      </c>
      <c r="K123" s="542">
        <f t="shared" si="27"/>
        <v>0.12339287087949252</v>
      </c>
      <c r="L123" s="543">
        <f t="shared" si="28"/>
        <v>112.33928708794924</v>
      </c>
      <c r="M123" s="542">
        <f t="shared" si="29"/>
        <v>7.9777877607354331E-3</v>
      </c>
    </row>
    <row r="124" spans="1:13">
      <c r="A124" s="537"/>
      <c r="B124" s="497">
        <v>11</v>
      </c>
      <c r="E124" s="33">
        <f>'ІСЦ (Стрим Інфл)'!J108</f>
        <v>3.7999999999999999E-2</v>
      </c>
      <c r="F124" s="33">
        <f>'ІЦВ (Стрим Інфл)+'!J132</f>
        <v>8.5999999999999993E-2</v>
      </c>
      <c r="H124" s="287">
        <f t="shared" si="26"/>
        <v>9.3170382800000002</v>
      </c>
      <c r="I124" s="288">
        <f>$I$45</f>
        <v>1.8643487035286621</v>
      </c>
      <c r="K124" s="542">
        <f t="shared" si="27"/>
        <v>0.17370208238044918</v>
      </c>
      <c r="L124" s="543">
        <f t="shared" si="28"/>
        <v>117.37020823804491</v>
      </c>
      <c r="M124" s="542">
        <f t="shared" si="29"/>
        <v>4.478327467181642E-2</v>
      </c>
    </row>
    <row r="125" spans="1:13">
      <c r="A125" s="538"/>
      <c r="B125" s="497">
        <v>12</v>
      </c>
      <c r="E125" s="33">
        <f>'ІСЦ (Стрим Інфл)'!J109</f>
        <v>0.05</v>
      </c>
      <c r="F125" s="33">
        <f>'ІЦВ (Стрим Інфл)+'!J133</f>
        <v>0.14499999999999999</v>
      </c>
      <c r="H125" s="287">
        <f t="shared" si="26"/>
        <v>12.22437875</v>
      </c>
      <c r="I125" s="288">
        <f>$I$45</f>
        <v>1.8643487035286621</v>
      </c>
      <c r="K125" s="542">
        <f t="shared" si="27"/>
        <v>0.22790504674005826</v>
      </c>
      <c r="L125" s="543">
        <f t="shared" si="28"/>
        <v>122.79050467400583</v>
      </c>
      <c r="M125" s="542">
        <f t="shared" si="29"/>
        <v>4.61811946773385E-2</v>
      </c>
    </row>
    <row r="126" spans="1:13">
      <c r="A126" s="536">
        <v>2021</v>
      </c>
      <c r="B126" s="497">
        <v>1</v>
      </c>
      <c r="E126" s="33">
        <f>'ІСЦ (Стрим Інфл)'!J110</f>
        <v>6.0999999999999999E-2</v>
      </c>
      <c r="F126" s="33">
        <f>'ІЦВ (Стрим Інфл)+'!J134</f>
        <v>0.17599999999999999</v>
      </c>
      <c r="H126" s="287">
        <f t="shared" si="26"/>
        <v>13.92523501</v>
      </c>
      <c r="I126" s="288">
        <f>$I$46</f>
        <v>1.2872853384021807</v>
      </c>
      <c r="K126" s="542">
        <f t="shared" si="27"/>
        <v>0.17925750862177744</v>
      </c>
      <c r="L126" s="543">
        <f>(1+K126)*L114</f>
        <v>124.38353186268958</v>
      </c>
      <c r="M126" s="542">
        <f t="shared" si="29"/>
        <v>1.2973537269131974E-2</v>
      </c>
    </row>
    <row r="127" spans="1:13">
      <c r="A127" s="537"/>
      <c r="B127" s="497">
        <v>2</v>
      </c>
      <c r="E127" s="33">
        <f>'ІСЦ (Стрим Інфл)'!J111</f>
        <v>7.4999999999999997E-2</v>
      </c>
      <c r="F127" s="33">
        <f>'ІЦВ (Стрим Інфл)+'!J135</f>
        <v>0.26600000000000001</v>
      </c>
      <c r="H127" s="287">
        <f t="shared" si="26"/>
        <v>18.201277650000002</v>
      </c>
      <c r="I127" s="288">
        <f>$I$46</f>
        <v>1.2872853384021807</v>
      </c>
      <c r="K127" s="542">
        <f t="shared" si="27"/>
        <v>0.23430237859032302</v>
      </c>
      <c r="L127" s="543">
        <f t="shared" ref="L127:L149" si="30">(1+K127)*L115</f>
        <v>128.69656384599469</v>
      </c>
      <c r="M127" s="542">
        <f t="shared" si="29"/>
        <v>3.4675265436797442E-2</v>
      </c>
    </row>
    <row r="128" spans="1:13">
      <c r="A128" s="537"/>
      <c r="B128" s="497">
        <v>3</v>
      </c>
      <c r="E128" s="33">
        <f>'ІСЦ (Стрим Інфл)'!J112</f>
        <v>8.5000000000000006E-2</v>
      </c>
      <c r="F128" s="33">
        <f>'ІЦВ (Стрим Інфл)+'!J136</f>
        <v>0.26300000000000001</v>
      </c>
      <c r="H128" s="287">
        <f t="shared" si="26"/>
        <v>18.445025800000003</v>
      </c>
      <c r="I128" s="288">
        <f>$I$46</f>
        <v>1.2872853384021807</v>
      </c>
      <c r="K128" s="542">
        <f t="shared" si="27"/>
        <v>0.23744011278789959</v>
      </c>
      <c r="L128" s="543">
        <f t="shared" si="30"/>
        <v>131.3631983229447</v>
      </c>
      <c r="M128" s="542">
        <f t="shared" si="29"/>
        <v>2.0720323816423303E-2</v>
      </c>
    </row>
    <row r="129" spans="1:15">
      <c r="A129" s="537"/>
      <c r="B129" s="497">
        <v>4</v>
      </c>
      <c r="E129" s="33">
        <f>'ІСЦ (Стрим Інфл)'!J113</f>
        <v>8.4000000000000005E-2</v>
      </c>
      <c r="F129" s="33">
        <f>'ІЦВ (Стрим Інфл)+'!J137</f>
        <v>0.27800000000000002</v>
      </c>
      <c r="H129" s="287">
        <f t="shared" si="26"/>
        <v>19.034679540000003</v>
      </c>
      <c r="I129" s="288">
        <f>$I$47</f>
        <v>1.2629163898675966</v>
      </c>
      <c r="K129" s="542">
        <f t="shared" si="27"/>
        <v>0.24039208766943407</v>
      </c>
      <c r="L129" s="543">
        <f t="shared" si="30"/>
        <v>132.30125600536019</v>
      </c>
      <c r="M129" s="542">
        <f t="shared" si="29"/>
        <v>7.1409473459176365E-3</v>
      </c>
    </row>
    <row r="130" spans="1:15">
      <c r="A130" s="537"/>
      <c r="B130" s="497">
        <v>5</v>
      </c>
      <c r="E130" s="33">
        <f>'ІСЦ (Стрим Інфл)'!J114</f>
        <v>9.5000000000000001E-2</v>
      </c>
      <c r="F130" s="33">
        <f>'ІЦВ (Стрим Інфл)+'!J138</f>
        <v>0.33100000000000002</v>
      </c>
      <c r="H130" s="287">
        <f t="shared" si="26"/>
        <v>21.654490100000004</v>
      </c>
      <c r="I130" s="288">
        <f>$I$47</f>
        <v>1.2629163898675966</v>
      </c>
      <c r="K130" s="542">
        <f t="shared" si="27"/>
        <v>0.27347810461515615</v>
      </c>
      <c r="L130" s="543">
        <f t="shared" si="30"/>
        <v>133.30984219566167</v>
      </c>
      <c r="M130" s="542">
        <f t="shared" si="29"/>
        <v>7.6234060110558222E-3</v>
      </c>
    </row>
    <row r="131" spans="1:15">
      <c r="A131" s="537"/>
      <c r="B131" s="497">
        <v>6</v>
      </c>
      <c r="E131" s="33">
        <f>'ІСЦ (Стрим Інфл)'!J115</f>
        <v>9.5000000000000001E-2</v>
      </c>
      <c r="F131" s="33">
        <f>'ІЦВ (Стрим Інфл)+'!J139</f>
        <v>0.39100000000000001</v>
      </c>
      <c r="H131" s="287">
        <f t="shared" si="26"/>
        <v>24.160729100000005</v>
      </c>
      <c r="I131" s="288">
        <f>$I$47</f>
        <v>1.2629163898675966</v>
      </c>
      <c r="K131" s="542">
        <f t="shared" si="27"/>
        <v>0.30512980771540993</v>
      </c>
      <c r="L131" s="543">
        <f t="shared" si="30"/>
        <v>137.63569177402701</v>
      </c>
      <c r="M131" s="542">
        <f t="shared" si="29"/>
        <v>3.2449588920945516E-2</v>
      </c>
    </row>
    <row r="132" spans="1:15">
      <c r="A132" s="537"/>
      <c r="B132" s="497">
        <v>7</v>
      </c>
      <c r="E132" s="33">
        <f>'ІСЦ (Стрим Інфл)'!J116</f>
        <v>0.10199999999999999</v>
      </c>
      <c r="F132" s="33">
        <f>'ІЦВ (Стрим Інфл)+'!J140</f>
        <v>0.42199999999999988</v>
      </c>
      <c r="H132" s="287">
        <f t="shared" si="26"/>
        <v>25.713961319999996</v>
      </c>
      <c r="I132" s="288">
        <f>$I$48</f>
        <v>0.97334043133120529</v>
      </c>
      <c r="K132" s="542">
        <f t="shared" si="27"/>
        <v>0.25028438202442727</v>
      </c>
      <c r="L132" s="543">
        <f t="shared" si="30"/>
        <v>131.68818709208639</v>
      </c>
      <c r="M132" s="542">
        <f t="shared" si="29"/>
        <v>-4.3211935837873638E-2</v>
      </c>
    </row>
    <row r="133" spans="1:15">
      <c r="A133" s="537"/>
      <c r="B133" s="497">
        <v>8</v>
      </c>
      <c r="E133" s="33">
        <f>'ІСЦ (Стрим Інфл)'!J117</f>
        <v>0.10199999999999999</v>
      </c>
      <c r="F133" s="33">
        <f>'ІЦВ (Стрим Інфл)+'!J141</f>
        <v>0.46500000000000002</v>
      </c>
      <c r="H133" s="287">
        <f t="shared" si="26"/>
        <v>27.510099270000005</v>
      </c>
      <c r="I133" s="288">
        <f>$I$48</f>
        <v>0.97334043133120529</v>
      </c>
      <c r="K133" s="542">
        <f t="shared" si="27"/>
        <v>0.2677669188942608</v>
      </c>
      <c r="L133" s="543">
        <f t="shared" si="30"/>
        <v>137.4554113157815</v>
      </c>
      <c r="M133" s="542">
        <f t="shared" si="29"/>
        <v>4.37945449098045E-2</v>
      </c>
    </row>
    <row r="134" spans="1:15">
      <c r="A134" s="537"/>
      <c r="B134" s="497">
        <v>9</v>
      </c>
      <c r="E134" s="33">
        <f>'ІСЦ (Стрим Інфл)'!J118</f>
        <v>0.11</v>
      </c>
      <c r="F134" s="33">
        <f>'ІЦВ (Стрим Інфл)+'!J142</f>
        <v>0.45100000000000001</v>
      </c>
      <c r="H134" s="287">
        <f t="shared" si="26"/>
        <v>27.220558250000003</v>
      </c>
      <c r="I134" s="288">
        <f>$I$48</f>
        <v>0.97334043133120529</v>
      </c>
      <c r="K134" s="542">
        <f t="shared" si="27"/>
        <v>0.26494869908131202</v>
      </c>
      <c r="L134" s="543">
        <f t="shared" si="30"/>
        <v>140.97873661810755</v>
      </c>
      <c r="M134" s="542">
        <f t="shared" si="29"/>
        <v>2.5632496157112161E-2</v>
      </c>
    </row>
    <row r="135" spans="1:15">
      <c r="A135" s="537"/>
      <c r="B135" s="497">
        <v>10</v>
      </c>
      <c r="E135" s="33">
        <f>'ІСЦ (Стрим Інфл)'!J119</f>
        <v>0.109</v>
      </c>
      <c r="F135" s="33">
        <f>'ІЦВ (Стрим Інфл)+'!J143</f>
        <v>0.57199999999999995</v>
      </c>
      <c r="H135" s="287">
        <f t="shared" si="26"/>
        <v>32.237900889999999</v>
      </c>
      <c r="I135" s="288">
        <f>$I$49</f>
        <v>0.73412442563387403</v>
      </c>
      <c r="K135" s="542">
        <f t="shared" si="27"/>
        <v>0.23666630474513006</v>
      </c>
      <c r="L135" s="543">
        <f t="shared" si="30"/>
        <v>138.9262110407565</v>
      </c>
      <c r="M135" s="542">
        <f t="shared" si="29"/>
        <v>-1.4559114562865294E-2</v>
      </c>
    </row>
    <row r="136" spans="1:15">
      <c r="A136" s="537"/>
      <c r="B136" s="497">
        <v>11</v>
      </c>
      <c r="E136" s="33">
        <f>'ІСЦ (Стрим Інфл)'!J120</f>
        <v>0.10299999999999999</v>
      </c>
      <c r="F136" s="33">
        <f>'ІЦВ (Стрим Інфл)+'!J144</f>
        <v>0.60699999999999998</v>
      </c>
      <c r="H136" s="287">
        <f t="shared" si="26"/>
        <v>33.478437579999998</v>
      </c>
      <c r="I136" s="288">
        <f>$I$49</f>
        <v>0.73412442563387403</v>
      </c>
      <c r="K136" s="542">
        <f t="shared" si="27"/>
        <v>0.24577338759537001</v>
      </c>
      <c r="L136" s="543">
        <f t="shared" si="30"/>
        <v>146.21668191948322</v>
      </c>
      <c r="M136" s="542">
        <f t="shared" si="29"/>
        <v>5.2477288656407106E-2</v>
      </c>
    </row>
    <row r="137" spans="1:15">
      <c r="A137" s="538"/>
      <c r="B137" s="497">
        <v>12</v>
      </c>
      <c r="E137" s="33">
        <f>'ІСЦ (Стрим Інфл)'!J121</f>
        <v>0.1</v>
      </c>
      <c r="F137" s="33">
        <f>'ІЦВ (Стрим Інфл)+'!J145</f>
        <v>0.622</v>
      </c>
      <c r="H137" s="287">
        <f t="shared" si="26"/>
        <v>33.994279300000002</v>
      </c>
      <c r="I137" s="288">
        <f>$I$49</f>
        <v>0.73412442563387403</v>
      </c>
      <c r="K137" s="542">
        <f t="shared" si="27"/>
        <v>0.24956030765949994</v>
      </c>
      <c r="L137" s="543">
        <f t="shared" si="30"/>
        <v>153.43414079811598</v>
      </c>
      <c r="M137" s="542">
        <f t="shared" si="29"/>
        <v>4.936139149024843E-2</v>
      </c>
    </row>
    <row r="138" spans="1:15" ht="18.75">
      <c r="A138" s="536">
        <v>2022</v>
      </c>
      <c r="B138" s="497">
        <v>1</v>
      </c>
      <c r="E138" s="486">
        <f>'ІСЦ (Стрим Інфл)'!R124</f>
        <v>0.1</v>
      </c>
      <c r="F138" s="486">
        <f>'ІЦВ (Стрим Інфл)+'!U148</f>
        <v>0.69099999999999995</v>
      </c>
      <c r="H138" s="287">
        <f t="shared" si="26"/>
        <v>36.876454150000001</v>
      </c>
      <c r="I138" s="539">
        <v>1</v>
      </c>
      <c r="K138" s="544">
        <f>H138/100*$I$138</f>
        <v>0.36876454149999999</v>
      </c>
      <c r="L138" s="543">
        <f t="shared" si="30"/>
        <v>170.25176796018494</v>
      </c>
      <c r="M138" s="542">
        <f t="shared" si="29"/>
        <v>0.10960811638523849</v>
      </c>
    </row>
    <row r="139" spans="1:15">
      <c r="A139" s="537"/>
      <c r="B139" s="497">
        <v>2</v>
      </c>
      <c r="E139" s="486">
        <f>'ІСЦ (Стрим Інфл)'!R125</f>
        <v>0.10700000000000003</v>
      </c>
      <c r="F139" s="486">
        <f>'ІЦВ (Стрим Інфл)+'!U149</f>
        <v>0.53500000000000003</v>
      </c>
      <c r="H139" s="287">
        <f t="shared" si="26"/>
        <v>30.618574820000006</v>
      </c>
      <c r="K139" s="544">
        <f t="shared" ref="K139:K149" si="31">H139/100*$I$138</f>
        <v>0.30618574820000005</v>
      </c>
      <c r="L139" s="543">
        <f t="shared" si="30"/>
        <v>168.10161753794966</v>
      </c>
      <c r="M139" s="542">
        <f t="shared" si="29"/>
        <v>-1.2629239907441692E-2</v>
      </c>
    </row>
    <row r="140" spans="1:15">
      <c r="A140" s="537"/>
      <c r="B140" s="497">
        <v>3</v>
      </c>
      <c r="E140" s="486">
        <f>'ІСЦ (Стрим Інфл)'!R126</f>
        <v>0.13700000000000004</v>
      </c>
      <c r="F140" s="486">
        <f>'ІЦВ (Стрим Інфл)+'!U150</f>
        <v>0.57019138616037024</v>
      </c>
      <c r="H140" s="287">
        <f t="shared" si="26"/>
        <v>33.195722194319671</v>
      </c>
      <c r="K140" s="544">
        <f t="shared" si="31"/>
        <v>0.33195722194319671</v>
      </c>
      <c r="L140" s="543">
        <f t="shared" si="30"/>
        <v>174.97016070380263</v>
      </c>
      <c r="M140" s="542">
        <f t="shared" si="29"/>
        <v>4.0859470994099034E-2</v>
      </c>
      <c r="O140" s="306">
        <f>AVERAGE(L138:L142)</f>
        <v>175.36769212875225</v>
      </c>
    </row>
    <row r="141" spans="1:15">
      <c r="A141" s="537"/>
      <c r="B141" s="497">
        <v>4</v>
      </c>
      <c r="E141" s="486">
        <f>'ІСЦ (Стрим Інфл)'!R127</f>
        <v>0.16400000000000006</v>
      </c>
      <c r="F141" s="486">
        <f>'ІЦВ (Стрим Інфл)+'!U151</f>
        <v>0.62967310526321851</v>
      </c>
      <c r="H141" s="287">
        <f t="shared" si="26"/>
        <v>36.676774534363062</v>
      </c>
      <c r="K141" s="544">
        <f t="shared" si="31"/>
        <v>0.3667677453436306</v>
      </c>
      <c r="L141" s="543">
        <f t="shared" si="30"/>
        <v>180.82508937657661</v>
      </c>
      <c r="M141" s="542">
        <f t="shared" si="29"/>
        <v>3.3462440962636286E-2</v>
      </c>
      <c r="O141" s="306"/>
    </row>
    <row r="142" spans="1:15">
      <c r="A142" s="537"/>
      <c r="B142" s="497">
        <v>5</v>
      </c>
      <c r="E142" s="486">
        <f>'ІСЦ (Стрим Інфл)'!R128</f>
        <v>0.18</v>
      </c>
      <c r="F142" s="486">
        <f>'ІЦВ (Стрим Інфл)+'!U152</f>
        <v>0.62426841470854244</v>
      </c>
      <c r="H142" s="287">
        <f t="shared" si="26"/>
        <v>37.041513256845377</v>
      </c>
      <c r="K142" s="544">
        <f t="shared" si="31"/>
        <v>0.37041513256845376</v>
      </c>
      <c r="L142" s="543">
        <f t="shared" si="30"/>
        <v>182.68982506524733</v>
      </c>
      <c r="M142" s="542">
        <f t="shared" si="29"/>
        <v>1.0312372553497484E-2</v>
      </c>
      <c r="O142" s="306"/>
    </row>
    <row r="143" spans="1:15">
      <c r="A143" s="537"/>
      <c r="B143" s="497">
        <v>6</v>
      </c>
      <c r="E143" s="486">
        <f>'ІСЦ (Стрим Інфл)'!R129</f>
        <v>0.215</v>
      </c>
      <c r="F143" s="486">
        <f>'ІЦВ (Стрим Інфл)+'!U153</f>
        <v>0.60520647012792284</v>
      </c>
      <c r="H143" s="287">
        <f t="shared" si="26"/>
        <v>37.536993791448921</v>
      </c>
      <c r="K143" s="544">
        <f t="shared" si="31"/>
        <v>0.37536993791448919</v>
      </c>
      <c r="L143" s="543">
        <f t="shared" si="30"/>
        <v>189.2999928500613</v>
      </c>
      <c r="M143" s="542">
        <f t="shared" si="29"/>
        <v>3.6182462720368624E-2</v>
      </c>
      <c r="O143" s="306"/>
    </row>
    <row r="144" spans="1:15">
      <c r="A144" s="537"/>
      <c r="B144" s="497">
        <v>7</v>
      </c>
      <c r="E144" s="486">
        <f>'ІСЦ (Стрим Інфл)'!R130</f>
        <v>0.222</v>
      </c>
      <c r="F144" s="486">
        <f>'ІЦВ (Стрим Інфл)+'!U154</f>
        <v>0.70414817775523686</v>
      </c>
      <c r="H144" s="287">
        <f t="shared" si="26"/>
        <v>41.928195301151788</v>
      </c>
      <c r="K144" s="544">
        <f t="shared" si="31"/>
        <v>0.41928195301151788</v>
      </c>
      <c r="L144" s="543">
        <f t="shared" si="30"/>
        <v>186.90266736460254</v>
      </c>
      <c r="M144" s="542">
        <f t="shared" si="29"/>
        <v>-1.2664160464906149E-2</v>
      </c>
      <c r="O144" s="306"/>
    </row>
    <row r="145" spans="1:17">
      <c r="A145" s="537"/>
      <c r="B145" s="497">
        <v>8</v>
      </c>
      <c r="E145" s="486">
        <f>'ІСЦ (Стрим Інфл)'!R131</f>
        <v>0.23799999999999999</v>
      </c>
      <c r="F145" s="486">
        <f>'ІЦВ (Стрим Інфл)+'!U155</f>
        <v>0.71958968373921817</v>
      </c>
      <c r="H145" s="287">
        <f t="shared" si="26"/>
        <v>43.163693203081571</v>
      </c>
      <c r="K145" s="544">
        <f t="shared" si="31"/>
        <v>0.43163693203081571</v>
      </c>
      <c r="L145" s="543">
        <f t="shared" si="30"/>
        <v>196.78624334715931</v>
      </c>
      <c r="M145" s="542">
        <f t="shared" si="29"/>
        <v>5.2880871749552361E-2</v>
      </c>
      <c r="O145" s="306"/>
    </row>
    <row r="146" spans="1:17">
      <c r="A146" s="537"/>
      <c r="B146" s="497">
        <v>9</v>
      </c>
      <c r="E146" s="486">
        <f>'ІСЦ (Стрим Інфл)'!R132</f>
        <v>0.246</v>
      </c>
      <c r="F146" s="486">
        <f>'ІЦВ (Стрим Інфл)+'!U156</f>
        <v>0.68047585317584036</v>
      </c>
      <c r="H146" s="287">
        <f t="shared" si="26"/>
        <v>41.825131156459413</v>
      </c>
      <c r="K146" s="544">
        <f t="shared" si="31"/>
        <v>0.41825131156459411</v>
      </c>
      <c r="L146" s="543">
        <f t="shared" si="30"/>
        <v>199.94327811135048</v>
      </c>
      <c r="M146" s="542">
        <f t="shared" si="29"/>
        <v>1.6042964744348076E-2</v>
      </c>
      <c r="O146" s="306">
        <f>AVERAGE(L143:L149)</f>
        <v>195.64330749312225</v>
      </c>
      <c r="Q146" s="33">
        <f>O146/O140-1</f>
        <v>0.11561773504713724</v>
      </c>
    </row>
    <row r="147" spans="1:17">
      <c r="A147" s="537"/>
      <c r="B147" s="497">
        <v>10</v>
      </c>
      <c r="E147" s="486">
        <f>'ІСЦ (Стрим Інфл)'!R133</f>
        <v>0.26600000000000001</v>
      </c>
      <c r="F147" s="486">
        <f>'ІЦВ (Стрим Інфл)+'!U157</f>
        <v>0.58804126527813017</v>
      </c>
      <c r="H147" s="287">
        <f t="shared" si="26"/>
        <v>38.702198537489927</v>
      </c>
      <c r="K147" s="544">
        <f t="shared" si="31"/>
        <v>0.38702198537489929</v>
      </c>
      <c r="L147" s="543">
        <f t="shared" si="30"/>
        <v>192.69370905836234</v>
      </c>
      <c r="M147" s="542">
        <f t="shared" si="29"/>
        <v>-3.6258128412552937E-2</v>
      </c>
    </row>
    <row r="148" spans="1:17">
      <c r="A148" s="537"/>
      <c r="B148" s="497">
        <v>11</v>
      </c>
      <c r="E148" s="486">
        <f>'ІСЦ (Стрим Інфл)'!R134</f>
        <v>0.26500000000000001</v>
      </c>
      <c r="F148" s="486">
        <f>'ІЦВ (Стрим Інфл)+'!U158</f>
        <v>0.52742962154455708</v>
      </c>
      <c r="H148" s="287">
        <f t="shared" si="26"/>
        <v>36.133504771170152</v>
      </c>
      <c r="K148" s="544">
        <f t="shared" si="31"/>
        <v>0.3613350477117015</v>
      </c>
      <c r="L148" s="543">
        <f t="shared" si="30"/>
        <v>199.04989365710637</v>
      </c>
      <c r="M148" s="542">
        <f t="shared" si="29"/>
        <v>3.2985947646162472E-2</v>
      </c>
    </row>
    <row r="149" spans="1:17">
      <c r="A149" s="538"/>
      <c r="B149" s="497">
        <v>12</v>
      </c>
      <c r="E149" s="486">
        <f>'ІСЦ (Стрим Інфл)'!R135</f>
        <v>0.26600000000000001</v>
      </c>
      <c r="F149" s="486">
        <f>'ІЦВ (Стрим Інфл)+'!U159</f>
        <v>0.46338681153266803</v>
      </c>
      <c r="H149" s="287">
        <f t="shared" si="26"/>
        <v>33.495300979147039</v>
      </c>
      <c r="K149" s="544">
        <f t="shared" si="31"/>
        <v>0.33495300979147041</v>
      </c>
      <c r="L149" s="543">
        <f t="shared" si="30"/>
        <v>204.82736806321316</v>
      </c>
      <c r="M149" s="542">
        <f t="shared" si="29"/>
        <v>2.9025257436506635E-2</v>
      </c>
    </row>
    <row r="151" spans="1:17">
      <c r="L151" s="33">
        <f>L149/AVERAGE(L138:L149)-1</f>
        <v>9.4191730424901587E-2</v>
      </c>
    </row>
  </sheetData>
  <mergeCells count="3">
    <mergeCell ref="M74:P74"/>
    <mergeCell ref="Q74:T74"/>
    <mergeCell ref="K96:N96"/>
  </mergeCells>
  <conditionalFormatting sqref="I18:I49">
    <cfRule type="colorScale" priority="1">
      <colorScale>
        <cfvo type="min"/>
        <cfvo type="percentile" val="50"/>
        <cfvo type="max"/>
        <color rgb="FFF8696B"/>
        <color rgb="FFFCFCFF"/>
        <color rgb="FF63BE7B"/>
      </colorScale>
    </cfRule>
  </conditionalFormatting>
  <conditionalFormatting sqref="I42:I49">
    <cfRule type="colorScale" priority="3">
      <colorScale>
        <cfvo type="min"/>
        <cfvo type="percentile" val="50"/>
        <cfvo type="max"/>
        <color rgb="FFF8696B"/>
        <color rgb="FFFCFCFF"/>
        <color rgb="FF63BE7B"/>
      </colorScale>
    </cfRule>
  </conditionalFormatting>
  <conditionalFormatting sqref="M138:M149">
    <cfRule type="colorScale" priority="2">
      <colorScale>
        <cfvo type="min"/>
        <cfvo type="percentile" val="50"/>
        <cfvo type="max"/>
        <color rgb="FFF8696B"/>
        <color rgb="FFFCFCFF"/>
        <color rgb="FF63BE7B"/>
      </colorScale>
    </cfRule>
  </conditionalFormatting>
  <conditionalFormatting sqref="W6:W42">
    <cfRule type="colorScale" priority="5">
      <colorScale>
        <cfvo type="min"/>
        <cfvo type="percentile" val="50"/>
        <cfvo type="max"/>
        <color rgb="FFF8696B"/>
        <color rgb="FFFCFCFF"/>
        <color rgb="FF63BE7B"/>
      </colorScale>
    </cfRule>
  </conditionalFormatting>
  <conditionalFormatting sqref="X6:X42">
    <cfRule type="colorScale" priority="4">
      <colorScale>
        <cfvo type="min"/>
        <cfvo type="percentile" val="50"/>
        <cfvo type="max"/>
        <color rgb="FFF8696B"/>
        <color rgb="FFFCFCFF"/>
        <color rgb="FF63BE7B"/>
      </colorScale>
    </cfRule>
  </conditionalFormatting>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59999389629810485"/>
  </sheetPr>
  <dimension ref="A1:AX83"/>
  <sheetViews>
    <sheetView zoomScale="85" zoomScaleNormal="85" workbookViewId="0">
      <pane xSplit="1" ySplit="5" topLeftCell="Q60" activePane="bottomRight" state="frozen"/>
      <selection pane="topRight" activeCell="B1" sqref="B1"/>
      <selection pane="bottomLeft" activeCell="A4" sqref="A4"/>
      <selection pane="bottomRight" activeCell="V78" sqref="V78"/>
    </sheetView>
  </sheetViews>
  <sheetFormatPr defaultRowHeight="18"/>
  <cols>
    <col min="1" max="1" width="14.796875" customWidth="1"/>
    <col min="2" max="2" width="5.3984375" customWidth="1"/>
    <col min="3" max="3" width="10.8984375" customWidth="1"/>
    <col min="4" max="12" width="6.3984375" customWidth="1"/>
    <col min="13" max="13" width="10.59765625" customWidth="1"/>
    <col min="14" max="14" width="17" customWidth="1"/>
    <col min="15" max="27" width="11.19921875" bestFit="1" customWidth="1"/>
    <col min="28" max="28" width="13.8984375" customWidth="1"/>
    <col min="29" max="38" width="11.19921875" bestFit="1" customWidth="1"/>
  </cols>
  <sheetData>
    <row r="1" spans="1:50" ht="12.75" customHeight="1">
      <c r="A1" t="s">
        <v>457</v>
      </c>
      <c r="C1" s="554">
        <v>1</v>
      </c>
      <c r="D1" s="554">
        <v>1</v>
      </c>
      <c r="E1" s="554">
        <v>1</v>
      </c>
      <c r="F1" s="554">
        <v>2</v>
      </c>
      <c r="G1" s="554">
        <v>2</v>
      </c>
      <c r="H1" s="554">
        <v>2</v>
      </c>
      <c r="I1" s="554">
        <v>3</v>
      </c>
      <c r="J1" s="554">
        <v>3</v>
      </c>
      <c r="K1" s="554">
        <v>3</v>
      </c>
      <c r="L1" s="554">
        <v>4</v>
      </c>
      <c r="M1" s="554">
        <v>4</v>
      </c>
      <c r="N1" s="554">
        <v>4</v>
      </c>
      <c r="O1" s="554">
        <v>1</v>
      </c>
      <c r="P1" s="554">
        <v>1</v>
      </c>
      <c r="Q1" s="554">
        <v>1</v>
      </c>
      <c r="R1" s="554">
        <v>2</v>
      </c>
      <c r="S1" s="554">
        <v>2</v>
      </c>
      <c r="T1" s="554">
        <v>2</v>
      </c>
      <c r="U1" s="554">
        <v>3</v>
      </c>
      <c r="V1" s="554">
        <v>3</v>
      </c>
      <c r="W1" s="554">
        <v>3</v>
      </c>
      <c r="X1" s="554">
        <v>4</v>
      </c>
      <c r="Y1" s="554">
        <v>4</v>
      </c>
      <c r="Z1" s="554">
        <v>4</v>
      </c>
      <c r="AA1" s="554">
        <v>1</v>
      </c>
      <c r="AB1" s="554">
        <v>1</v>
      </c>
      <c r="AC1" s="554">
        <v>1</v>
      </c>
      <c r="AD1" s="554">
        <v>2</v>
      </c>
      <c r="AE1" s="554">
        <v>2</v>
      </c>
      <c r="AF1" s="554">
        <v>2</v>
      </c>
      <c r="AG1" s="554">
        <v>3</v>
      </c>
      <c r="AH1" s="554">
        <v>3</v>
      </c>
      <c r="AI1" s="554">
        <v>3</v>
      </c>
      <c r="AJ1" s="554">
        <v>4</v>
      </c>
      <c r="AK1" s="554">
        <v>4</v>
      </c>
      <c r="AL1" s="554">
        <v>4</v>
      </c>
      <c r="AM1" s="554">
        <v>1</v>
      </c>
      <c r="AN1" s="554">
        <v>1</v>
      </c>
      <c r="AO1" s="554">
        <v>1</v>
      </c>
      <c r="AP1" s="554">
        <v>2</v>
      </c>
      <c r="AQ1" s="554">
        <v>2</v>
      </c>
      <c r="AR1" s="554">
        <v>2</v>
      </c>
      <c r="AS1" s="554">
        <v>3</v>
      </c>
      <c r="AT1" s="554">
        <v>3</v>
      </c>
      <c r="AU1" s="554">
        <v>3</v>
      </c>
      <c r="AV1" s="554">
        <v>4</v>
      </c>
      <c r="AW1" s="554">
        <v>4</v>
      </c>
      <c r="AX1" s="554">
        <v>4</v>
      </c>
    </row>
    <row r="2" spans="1:50" ht="12.75" customHeight="1">
      <c r="A2" t="s">
        <v>458</v>
      </c>
      <c r="C2" s="554">
        <f>C5</f>
        <v>1</v>
      </c>
      <c r="D2" s="554">
        <f t="shared" ref="D2:N2" si="0">D5</f>
        <v>2</v>
      </c>
      <c r="E2" s="554">
        <f t="shared" si="0"/>
        <v>3</v>
      </c>
      <c r="F2" s="554">
        <f t="shared" si="0"/>
        <v>4</v>
      </c>
      <c r="G2" s="554">
        <f t="shared" si="0"/>
        <v>5</v>
      </c>
      <c r="H2" s="554">
        <f t="shared" si="0"/>
        <v>6</v>
      </c>
      <c r="I2" s="554">
        <f t="shared" si="0"/>
        <v>7</v>
      </c>
      <c r="J2" s="554">
        <f t="shared" si="0"/>
        <v>8</v>
      </c>
      <c r="K2" s="554">
        <f t="shared" si="0"/>
        <v>9</v>
      </c>
      <c r="L2" s="554">
        <f t="shared" si="0"/>
        <v>10</v>
      </c>
      <c r="M2" s="554">
        <f t="shared" si="0"/>
        <v>11</v>
      </c>
      <c r="N2" s="554">
        <f t="shared" si="0"/>
        <v>12</v>
      </c>
      <c r="O2" s="554">
        <f>O5</f>
        <v>1</v>
      </c>
      <c r="P2" s="554">
        <f t="shared" ref="P2:Z2" si="1">P5</f>
        <v>2</v>
      </c>
      <c r="Q2" s="554">
        <f t="shared" si="1"/>
        <v>3</v>
      </c>
      <c r="R2" s="554">
        <f t="shared" si="1"/>
        <v>4</v>
      </c>
      <c r="S2" s="554">
        <f t="shared" si="1"/>
        <v>5</v>
      </c>
      <c r="T2" s="554">
        <f t="shared" si="1"/>
        <v>6</v>
      </c>
      <c r="U2" s="554">
        <f t="shared" si="1"/>
        <v>7</v>
      </c>
      <c r="V2" s="554">
        <f t="shared" si="1"/>
        <v>8</v>
      </c>
      <c r="W2" s="554">
        <f t="shared" si="1"/>
        <v>9</v>
      </c>
      <c r="X2" s="554">
        <f t="shared" si="1"/>
        <v>10</v>
      </c>
      <c r="Y2" s="554">
        <f t="shared" si="1"/>
        <v>11</v>
      </c>
      <c r="Z2" s="554">
        <f t="shared" si="1"/>
        <v>12</v>
      </c>
      <c r="AA2" s="554">
        <f>AA5</f>
        <v>1</v>
      </c>
      <c r="AB2" s="554">
        <f t="shared" ref="AB2:AL2" si="2">AB5</f>
        <v>2</v>
      </c>
      <c r="AC2" s="554">
        <f t="shared" si="2"/>
        <v>3</v>
      </c>
      <c r="AD2" s="554">
        <f t="shared" si="2"/>
        <v>4</v>
      </c>
      <c r="AE2" s="554">
        <f t="shared" si="2"/>
        <v>5</v>
      </c>
      <c r="AF2" s="554">
        <f t="shared" si="2"/>
        <v>6</v>
      </c>
      <c r="AG2" s="554">
        <f t="shared" si="2"/>
        <v>7</v>
      </c>
      <c r="AH2" s="554">
        <f t="shared" si="2"/>
        <v>8</v>
      </c>
      <c r="AI2" s="554">
        <f t="shared" si="2"/>
        <v>9</v>
      </c>
      <c r="AJ2" s="554">
        <f t="shared" si="2"/>
        <v>10</v>
      </c>
      <c r="AK2" s="554">
        <f t="shared" si="2"/>
        <v>11</v>
      </c>
      <c r="AL2" s="554">
        <f t="shared" si="2"/>
        <v>12</v>
      </c>
      <c r="AM2" s="554">
        <f>AM5</f>
        <v>1</v>
      </c>
      <c r="AN2" s="554">
        <f t="shared" ref="AN2:AX2" si="3">AN5</f>
        <v>2</v>
      </c>
      <c r="AO2" s="554">
        <f t="shared" si="3"/>
        <v>3</v>
      </c>
      <c r="AP2" s="554">
        <f t="shared" si="3"/>
        <v>4</v>
      </c>
      <c r="AQ2" s="554">
        <f t="shared" si="3"/>
        <v>5</v>
      </c>
      <c r="AR2" s="554">
        <f t="shared" si="3"/>
        <v>6</v>
      </c>
      <c r="AS2" s="554">
        <f t="shared" si="3"/>
        <v>7</v>
      </c>
      <c r="AT2" s="554">
        <f t="shared" si="3"/>
        <v>8</v>
      </c>
      <c r="AU2" s="554">
        <f t="shared" si="3"/>
        <v>9</v>
      </c>
      <c r="AV2" s="554">
        <f t="shared" si="3"/>
        <v>10</v>
      </c>
      <c r="AW2" s="554">
        <f t="shared" si="3"/>
        <v>11</v>
      </c>
      <c r="AX2" s="554">
        <f t="shared" si="3"/>
        <v>12</v>
      </c>
    </row>
    <row r="3" spans="1:50" ht="12.75" customHeight="1">
      <c r="A3" t="s">
        <v>459</v>
      </c>
      <c r="C3" s="554">
        <f>C4</f>
        <v>2019</v>
      </c>
      <c r="D3" s="554">
        <f>C3</f>
        <v>2019</v>
      </c>
      <c r="E3" s="554">
        <f t="shared" ref="E3:N3" si="4">D3</f>
        <v>2019</v>
      </c>
      <c r="F3" s="554">
        <f t="shared" si="4"/>
        <v>2019</v>
      </c>
      <c r="G3" s="554">
        <f t="shared" si="4"/>
        <v>2019</v>
      </c>
      <c r="H3" s="554">
        <f t="shared" si="4"/>
        <v>2019</v>
      </c>
      <c r="I3" s="554">
        <f t="shared" si="4"/>
        <v>2019</v>
      </c>
      <c r="J3" s="554">
        <f t="shared" si="4"/>
        <v>2019</v>
      </c>
      <c r="K3" s="554">
        <f t="shared" si="4"/>
        <v>2019</v>
      </c>
      <c r="L3" s="554">
        <f t="shared" si="4"/>
        <v>2019</v>
      </c>
      <c r="M3" s="554">
        <f t="shared" si="4"/>
        <v>2019</v>
      </c>
      <c r="N3" s="554">
        <f t="shared" si="4"/>
        <v>2019</v>
      </c>
      <c r="O3" s="554">
        <f>O4</f>
        <v>2020</v>
      </c>
      <c r="P3" s="554">
        <f>O3</f>
        <v>2020</v>
      </c>
      <c r="Q3" s="554">
        <f t="shared" ref="Q3:Z3" si="5">P3</f>
        <v>2020</v>
      </c>
      <c r="R3" s="554">
        <f t="shared" si="5"/>
        <v>2020</v>
      </c>
      <c r="S3" s="554">
        <f t="shared" si="5"/>
        <v>2020</v>
      </c>
      <c r="T3" s="554">
        <f t="shared" si="5"/>
        <v>2020</v>
      </c>
      <c r="U3" s="554">
        <f t="shared" si="5"/>
        <v>2020</v>
      </c>
      <c r="V3" s="554">
        <f t="shared" si="5"/>
        <v>2020</v>
      </c>
      <c r="W3" s="554">
        <f t="shared" si="5"/>
        <v>2020</v>
      </c>
      <c r="X3" s="554">
        <f t="shared" si="5"/>
        <v>2020</v>
      </c>
      <c r="Y3" s="554">
        <f t="shared" si="5"/>
        <v>2020</v>
      </c>
      <c r="Z3" s="554">
        <f t="shared" si="5"/>
        <v>2020</v>
      </c>
      <c r="AA3" s="554">
        <f>AA4</f>
        <v>2021</v>
      </c>
      <c r="AB3" s="554">
        <f>AA3</f>
        <v>2021</v>
      </c>
      <c r="AC3" s="554">
        <f t="shared" ref="AC3:AL3" si="6">AB3</f>
        <v>2021</v>
      </c>
      <c r="AD3" s="554">
        <f t="shared" si="6"/>
        <v>2021</v>
      </c>
      <c r="AE3" s="554">
        <f t="shared" si="6"/>
        <v>2021</v>
      </c>
      <c r="AF3" s="554">
        <f t="shared" si="6"/>
        <v>2021</v>
      </c>
      <c r="AG3" s="554">
        <f t="shared" si="6"/>
        <v>2021</v>
      </c>
      <c r="AH3" s="554">
        <f t="shared" si="6"/>
        <v>2021</v>
      </c>
      <c r="AI3" s="554">
        <f t="shared" si="6"/>
        <v>2021</v>
      </c>
      <c r="AJ3" s="554">
        <f t="shared" si="6"/>
        <v>2021</v>
      </c>
      <c r="AK3" s="554">
        <f t="shared" si="6"/>
        <v>2021</v>
      </c>
      <c r="AL3" s="554">
        <f t="shared" si="6"/>
        <v>2021</v>
      </c>
      <c r="AM3" s="554">
        <f>AM4</f>
        <v>2022</v>
      </c>
      <c r="AN3" s="554">
        <f>AM3</f>
        <v>2022</v>
      </c>
      <c r="AO3" s="554">
        <f t="shared" ref="AO3:AX3" si="7">AN3</f>
        <v>2022</v>
      </c>
      <c r="AP3" s="554">
        <f t="shared" si="7"/>
        <v>2022</v>
      </c>
      <c r="AQ3" s="554">
        <f t="shared" si="7"/>
        <v>2022</v>
      </c>
      <c r="AR3" s="554">
        <f t="shared" si="7"/>
        <v>2022</v>
      </c>
      <c r="AS3" s="554">
        <f t="shared" si="7"/>
        <v>2022</v>
      </c>
      <c r="AT3" s="554">
        <f t="shared" si="7"/>
        <v>2022</v>
      </c>
      <c r="AU3" s="554">
        <f t="shared" si="7"/>
        <v>2022</v>
      </c>
      <c r="AV3" s="554">
        <f t="shared" si="7"/>
        <v>2022</v>
      </c>
      <c r="AW3" s="554">
        <f t="shared" si="7"/>
        <v>2022</v>
      </c>
      <c r="AX3" s="554">
        <f t="shared" si="7"/>
        <v>2022</v>
      </c>
    </row>
    <row r="4" spans="1:50">
      <c r="A4" s="953" t="s">
        <v>455</v>
      </c>
      <c r="B4" s="497">
        <v>2018</v>
      </c>
      <c r="C4" s="555">
        <v>2019</v>
      </c>
      <c r="D4" s="555"/>
      <c r="E4" s="555"/>
      <c r="F4" s="555"/>
      <c r="G4" s="555"/>
      <c r="H4" s="555"/>
      <c r="I4" s="555"/>
      <c r="J4" s="555"/>
      <c r="K4" s="555"/>
      <c r="L4" s="555"/>
      <c r="M4" s="555"/>
      <c r="N4" s="555"/>
      <c r="O4" s="555">
        <v>2020</v>
      </c>
      <c r="P4" s="555"/>
      <c r="Q4" s="555"/>
      <c r="R4" s="555"/>
      <c r="S4" s="555"/>
      <c r="T4" s="555"/>
      <c r="U4" s="555"/>
      <c r="V4" s="555"/>
      <c r="W4" s="555"/>
      <c r="X4" s="555"/>
      <c r="Y4" s="555"/>
      <c r="Z4" s="555"/>
      <c r="AA4" s="555">
        <v>2021</v>
      </c>
      <c r="AB4" s="555"/>
      <c r="AC4" s="555"/>
      <c r="AD4" s="555"/>
      <c r="AE4" s="555"/>
      <c r="AF4" s="555"/>
      <c r="AG4" s="555"/>
      <c r="AH4" s="555"/>
      <c r="AI4" s="555"/>
      <c r="AJ4" s="555"/>
      <c r="AK4" s="555"/>
      <c r="AL4" s="555"/>
      <c r="AM4" s="555">
        <v>2022</v>
      </c>
      <c r="AN4" s="555"/>
      <c r="AO4" s="555"/>
      <c r="AP4" s="555"/>
      <c r="AQ4" s="555"/>
      <c r="AR4" s="555"/>
      <c r="AS4" s="555"/>
      <c r="AT4" s="555"/>
      <c r="AU4" s="555"/>
      <c r="AV4" s="555"/>
      <c r="AW4" s="555"/>
      <c r="AX4" s="555"/>
    </row>
    <row r="5" spans="1:50">
      <c r="A5" s="954"/>
      <c r="B5" s="497">
        <v>12</v>
      </c>
      <c r="C5" s="555">
        <v>1</v>
      </c>
      <c r="D5" s="555">
        <v>2</v>
      </c>
      <c r="E5" s="555">
        <v>3</v>
      </c>
      <c r="F5" s="555">
        <v>4</v>
      </c>
      <c r="G5" s="555">
        <v>5</v>
      </c>
      <c r="H5" s="555">
        <v>6</v>
      </c>
      <c r="I5" s="555">
        <v>7</v>
      </c>
      <c r="J5" s="555">
        <v>8</v>
      </c>
      <c r="K5" s="555">
        <v>9</v>
      </c>
      <c r="L5" s="555">
        <v>10</v>
      </c>
      <c r="M5" s="555">
        <v>11</v>
      </c>
      <c r="N5" s="555">
        <v>12</v>
      </c>
      <c r="O5" s="555">
        <v>1</v>
      </c>
      <c r="P5" s="555">
        <v>2</v>
      </c>
      <c r="Q5" s="555">
        <v>3</v>
      </c>
      <c r="R5" s="555">
        <v>4</v>
      </c>
      <c r="S5" s="555">
        <v>5</v>
      </c>
      <c r="T5" s="555">
        <v>6</v>
      </c>
      <c r="U5" s="555">
        <v>7</v>
      </c>
      <c r="V5" s="555">
        <v>8</v>
      </c>
      <c r="W5" s="555">
        <v>9</v>
      </c>
      <c r="X5" s="555">
        <v>10</v>
      </c>
      <c r="Y5" s="555">
        <v>11</v>
      </c>
      <c r="Z5" s="555">
        <v>12</v>
      </c>
      <c r="AA5" s="555">
        <v>1</v>
      </c>
      <c r="AB5" s="555">
        <v>2</v>
      </c>
      <c r="AC5" s="555">
        <v>3</v>
      </c>
      <c r="AD5" s="555">
        <v>4</v>
      </c>
      <c r="AE5" s="555">
        <v>5</v>
      </c>
      <c r="AF5" s="555">
        <v>6</v>
      </c>
      <c r="AG5" s="555">
        <v>7</v>
      </c>
      <c r="AH5" s="555">
        <v>8</v>
      </c>
      <c r="AI5" s="555">
        <v>9</v>
      </c>
      <c r="AJ5" s="555">
        <v>10</v>
      </c>
      <c r="AK5" s="555">
        <v>11</v>
      </c>
      <c r="AL5" s="555">
        <v>12</v>
      </c>
      <c r="AM5" s="555">
        <v>1</v>
      </c>
      <c r="AN5" s="555">
        <v>2</v>
      </c>
      <c r="AO5" s="555">
        <v>3</v>
      </c>
      <c r="AP5" s="555">
        <v>4</v>
      </c>
      <c r="AQ5" s="555">
        <v>5</v>
      </c>
      <c r="AR5" s="555">
        <v>6</v>
      </c>
      <c r="AS5" s="555">
        <v>7</v>
      </c>
      <c r="AT5" s="555">
        <v>8</v>
      </c>
      <c r="AU5" s="555">
        <v>9</v>
      </c>
      <c r="AV5" s="555">
        <v>10</v>
      </c>
      <c r="AW5" s="555">
        <v>11</v>
      </c>
      <c r="AX5" s="555">
        <v>12</v>
      </c>
    </row>
    <row r="6" spans="1:50">
      <c r="A6" s="497" t="s">
        <v>452</v>
      </c>
      <c r="B6" s="497"/>
      <c r="C6" s="560">
        <v>1.0090000000000001</v>
      </c>
      <c r="D6" s="560">
        <v>1.002</v>
      </c>
      <c r="E6" s="560">
        <v>1.0090000000000001</v>
      </c>
      <c r="F6" s="560">
        <v>1.0090000000000001</v>
      </c>
      <c r="G6" s="560">
        <v>1</v>
      </c>
      <c r="H6" s="560">
        <v>0.998</v>
      </c>
      <c r="I6" s="560">
        <v>0.998</v>
      </c>
      <c r="J6" s="560">
        <v>0.99900000000000011</v>
      </c>
      <c r="K6" s="560">
        <v>1.008</v>
      </c>
      <c r="L6" s="560">
        <v>1.01</v>
      </c>
      <c r="M6" s="560">
        <v>1.002</v>
      </c>
      <c r="N6" s="560">
        <v>0.99900000000000011</v>
      </c>
      <c r="O6" s="560">
        <v>1.0029999999999999</v>
      </c>
      <c r="P6" s="560">
        <v>0.99900000000000011</v>
      </c>
      <c r="Q6" s="560">
        <v>0.99900000000000011</v>
      </c>
      <c r="R6" s="560">
        <v>1.0070000000000001</v>
      </c>
      <c r="S6" s="560">
        <v>1.004</v>
      </c>
      <c r="T6" s="560">
        <v>1.002</v>
      </c>
      <c r="U6" s="560">
        <v>1</v>
      </c>
      <c r="V6" s="560">
        <v>1.0009999999999999</v>
      </c>
      <c r="W6" s="560">
        <v>1.006</v>
      </c>
      <c r="X6" s="560">
        <v>1.008</v>
      </c>
      <c r="Y6" s="560">
        <v>1.0109999999999999</v>
      </c>
      <c r="Z6" s="560">
        <v>1.008</v>
      </c>
      <c r="AA6" s="560">
        <v>1.0109999999999999</v>
      </c>
      <c r="AB6" s="560">
        <v>1.012</v>
      </c>
      <c r="AC6" s="560">
        <v>1.012</v>
      </c>
      <c r="AD6" s="560">
        <v>1.006</v>
      </c>
      <c r="AE6" s="560">
        <v>1.0090000000000001</v>
      </c>
      <c r="AF6" s="560">
        <v>1.004</v>
      </c>
      <c r="AG6" s="560">
        <v>1.004</v>
      </c>
      <c r="AH6" s="560">
        <v>0.99900000000000011</v>
      </c>
      <c r="AI6" s="560">
        <v>1.014</v>
      </c>
      <c r="AJ6" s="560">
        <v>1.008</v>
      </c>
      <c r="AK6" s="560">
        <v>1.0070000000000001</v>
      </c>
      <c r="AL6" s="560">
        <v>1.008</v>
      </c>
      <c r="AM6" s="560">
        <f>AM15/100</f>
        <v>1.0109999999999999</v>
      </c>
      <c r="AN6" s="560">
        <f t="shared" ref="AN6:AU6" si="8">AN15/100</f>
        <v>1.0149999999999999</v>
      </c>
      <c r="AO6" s="560">
        <f t="shared" si="8"/>
        <v>1.0309999999999999</v>
      </c>
      <c r="AP6" s="560">
        <f t="shared" si="8"/>
        <v>1.036</v>
      </c>
      <c r="AQ6" s="560">
        <f t="shared" si="8"/>
        <v>1.0229999999999999</v>
      </c>
      <c r="AR6" s="560">
        <f t="shared" si="8"/>
        <v>1.032</v>
      </c>
      <c r="AS6" s="560">
        <f t="shared" si="8"/>
        <v>1.01</v>
      </c>
      <c r="AT6" s="560">
        <f t="shared" si="8"/>
        <v>1.0170000000000001</v>
      </c>
      <c r="AU6" s="560">
        <f t="shared" si="8"/>
        <v>1.02</v>
      </c>
      <c r="AV6" s="575">
        <f t="shared" ref="AV6:AV13" si="9">AV15/100</f>
        <v>1.0190000000000001</v>
      </c>
      <c r="AW6" s="563">
        <f t="shared" ref="AW6:AX13" si="10">AW26/AV26</f>
        <v>1.0152400286250185</v>
      </c>
      <c r="AX6" s="563">
        <f t="shared" si="10"/>
        <v>1.0051561554645918</v>
      </c>
    </row>
    <row r="7" spans="1:50">
      <c r="A7" s="497" t="s">
        <v>465</v>
      </c>
      <c r="B7" s="497"/>
      <c r="C7" s="560">
        <v>1.0109999999999999</v>
      </c>
      <c r="D7" s="560">
        <v>1.006</v>
      </c>
      <c r="E7" s="560">
        <v>1.0090000000000001</v>
      </c>
      <c r="F7" s="560">
        <v>1.0109999999999999</v>
      </c>
      <c r="G7" s="560">
        <v>1.0109999999999999</v>
      </c>
      <c r="H7" s="560">
        <v>0.995</v>
      </c>
      <c r="I7" s="560">
        <v>0.99299999999999999</v>
      </c>
      <c r="J7" s="560">
        <v>0.995</v>
      </c>
      <c r="K7" s="560">
        <v>1.006</v>
      </c>
      <c r="L7" s="560">
        <v>1.006</v>
      </c>
      <c r="M7" s="560">
        <v>1.0029999999999999</v>
      </c>
      <c r="N7" s="560">
        <v>0.998</v>
      </c>
      <c r="O7" s="560">
        <v>1.0029999999999999</v>
      </c>
      <c r="P7" s="560">
        <v>0.997</v>
      </c>
      <c r="Q7" s="560">
        <v>1.0090000000000001</v>
      </c>
      <c r="R7" s="560">
        <v>1.0070000000000001</v>
      </c>
      <c r="S7" s="560">
        <v>1.004</v>
      </c>
      <c r="T7" s="560">
        <v>1.0029999999999999</v>
      </c>
      <c r="U7" s="560">
        <v>0.997</v>
      </c>
      <c r="V7" s="560">
        <v>1.002</v>
      </c>
      <c r="W7" s="560">
        <v>1.004</v>
      </c>
      <c r="X7" s="560">
        <v>1.0129999999999999</v>
      </c>
      <c r="Y7" s="560">
        <v>1.008</v>
      </c>
      <c r="Z7" s="560">
        <v>1.008</v>
      </c>
      <c r="AA7" s="560">
        <v>1.012</v>
      </c>
      <c r="AB7" s="560">
        <v>1.01</v>
      </c>
      <c r="AC7" s="560">
        <v>1.016</v>
      </c>
      <c r="AD7" s="560">
        <v>1.0070000000000001</v>
      </c>
      <c r="AE7" s="560">
        <v>1.0109999999999999</v>
      </c>
      <c r="AF7" s="560">
        <v>1.0029999999999999</v>
      </c>
      <c r="AG7" s="560">
        <v>1.004</v>
      </c>
      <c r="AH7" s="560">
        <v>0.997</v>
      </c>
      <c r="AI7" s="560">
        <v>1.012</v>
      </c>
      <c r="AJ7" s="560">
        <v>1.0090000000000001</v>
      </c>
      <c r="AK7" s="560">
        <v>1.0070000000000001</v>
      </c>
      <c r="AL7" s="560">
        <v>1.01</v>
      </c>
      <c r="AM7" s="560">
        <f t="shared" ref="AM7:AU13" si="11">AM16/100</f>
        <v>1.014</v>
      </c>
      <c r="AN7" s="560">
        <f t="shared" si="11"/>
        <v>1.0170000000000001</v>
      </c>
      <c r="AO7" s="560">
        <f t="shared" si="11"/>
        <v>1.036</v>
      </c>
      <c r="AP7" s="560">
        <f t="shared" si="11"/>
        <v>1.0290000000000001</v>
      </c>
      <c r="AQ7" s="560">
        <f t="shared" si="11"/>
        <v>1.0290000000000001</v>
      </c>
      <c r="AR7" s="560">
        <f t="shared" si="11"/>
        <v>1.0309999999999999</v>
      </c>
      <c r="AS7" s="560">
        <f t="shared" si="11"/>
        <v>1.014</v>
      </c>
      <c r="AT7" s="560">
        <f t="shared" si="11"/>
        <v>1.01</v>
      </c>
      <c r="AU7" s="560">
        <f t="shared" si="11"/>
        <v>1.0170000000000001</v>
      </c>
      <c r="AV7" s="575">
        <f t="shared" si="9"/>
        <v>1.022</v>
      </c>
      <c r="AW7" s="563">
        <f t="shared" si="10"/>
        <v>1.0276641444958845</v>
      </c>
      <c r="AX7" s="563">
        <f t="shared" si="10"/>
        <v>1.0078647033847103</v>
      </c>
    </row>
    <row r="8" spans="1:50">
      <c r="A8" s="497" t="s">
        <v>466</v>
      </c>
      <c r="B8" s="497"/>
      <c r="C8" s="560">
        <v>1.008</v>
      </c>
      <c r="D8" s="560">
        <v>1.006</v>
      </c>
      <c r="E8" s="560">
        <v>1.0070000000000001</v>
      </c>
      <c r="F8" s="560">
        <v>1.0090000000000001</v>
      </c>
      <c r="G8" s="560">
        <v>1.008</v>
      </c>
      <c r="H8" s="560">
        <v>0.996</v>
      </c>
      <c r="I8" s="560">
        <v>0.99400000000000011</v>
      </c>
      <c r="J8" s="560">
        <v>0.997</v>
      </c>
      <c r="K8" s="560">
        <v>1.0090000000000001</v>
      </c>
      <c r="L8" s="560">
        <v>1.006</v>
      </c>
      <c r="M8" s="560">
        <v>1.0029999999999999</v>
      </c>
      <c r="N8" s="560">
        <v>0.998</v>
      </c>
      <c r="O8" s="560">
        <v>1.006</v>
      </c>
      <c r="P8" s="560">
        <v>0.998</v>
      </c>
      <c r="Q8" s="560">
        <v>1.0029999999999999</v>
      </c>
      <c r="R8" s="560">
        <v>1.0029999999999999</v>
      </c>
      <c r="S8" s="560">
        <v>1.0070000000000001</v>
      </c>
      <c r="T8" s="560">
        <v>1.0009999999999999</v>
      </c>
      <c r="U8" s="560">
        <v>0.995</v>
      </c>
      <c r="V8" s="560">
        <v>0.998</v>
      </c>
      <c r="W8" s="560">
        <v>1.006</v>
      </c>
      <c r="X8" s="560">
        <v>1.0109999999999999</v>
      </c>
      <c r="Y8" s="560">
        <v>1.0149999999999999</v>
      </c>
      <c r="Z8" s="560">
        <v>1.0090000000000001</v>
      </c>
      <c r="AA8" s="560">
        <v>1.0109999999999999</v>
      </c>
      <c r="AB8" s="560">
        <v>1.0129999999999999</v>
      </c>
      <c r="AC8" s="560">
        <v>1.016</v>
      </c>
      <c r="AD8" s="560">
        <v>1.002</v>
      </c>
      <c r="AE8" s="560">
        <v>1.0149999999999999</v>
      </c>
      <c r="AF8" s="560">
        <v>0.998</v>
      </c>
      <c r="AG8" s="560">
        <v>1</v>
      </c>
      <c r="AH8" s="560">
        <v>0.996</v>
      </c>
      <c r="AI8" s="560">
        <v>1.0090000000000001</v>
      </c>
      <c r="AJ8" s="560">
        <v>1.01</v>
      </c>
      <c r="AK8" s="560">
        <v>1.0049999999999999</v>
      </c>
      <c r="AL8" s="560">
        <v>1.0109999999999999</v>
      </c>
      <c r="AM8" s="560">
        <f t="shared" si="11"/>
        <v>1.016</v>
      </c>
      <c r="AN8" s="560">
        <f t="shared" si="11"/>
        <v>1.016</v>
      </c>
      <c r="AO8" s="560">
        <f t="shared" si="11"/>
        <v>1.034</v>
      </c>
      <c r="AP8" s="560">
        <f t="shared" si="11"/>
        <v>1.0249999999999999</v>
      </c>
      <c r="AQ8" s="560">
        <f t="shared" si="11"/>
        <v>1.0309999999999999</v>
      </c>
      <c r="AR8" s="560">
        <f t="shared" si="11"/>
        <v>1.0369999999999999</v>
      </c>
      <c r="AS8" s="560">
        <f t="shared" si="11"/>
        <v>1.0029999999999999</v>
      </c>
      <c r="AT8" s="560">
        <f t="shared" si="11"/>
        <v>1.0149999999999999</v>
      </c>
      <c r="AU8" s="560">
        <f t="shared" si="11"/>
        <v>1.0170000000000001</v>
      </c>
      <c r="AV8" s="575">
        <f t="shared" si="9"/>
        <v>1.024</v>
      </c>
      <c r="AW8" s="563">
        <f t="shared" si="10"/>
        <v>1.002569894917946</v>
      </c>
      <c r="AX8" s="563">
        <f t="shared" si="10"/>
        <v>1.0132654708318019</v>
      </c>
    </row>
    <row r="9" spans="1:50">
      <c r="A9" s="497" t="s">
        <v>467</v>
      </c>
      <c r="B9" s="497"/>
      <c r="C9" s="560">
        <v>1.0109999999999999</v>
      </c>
      <c r="D9" s="560">
        <v>1.0009999999999999</v>
      </c>
      <c r="E9" s="560">
        <v>1.008</v>
      </c>
      <c r="F9" s="560">
        <v>1.0129999999999999</v>
      </c>
      <c r="G9" s="560">
        <v>1.0029999999999999</v>
      </c>
      <c r="H9" s="560">
        <v>0.996</v>
      </c>
      <c r="I9" s="560">
        <v>0.99900000000000011</v>
      </c>
      <c r="J9" s="560">
        <v>0.997</v>
      </c>
      <c r="K9" s="560">
        <v>1.0090000000000001</v>
      </c>
      <c r="L9" s="560">
        <v>1.006</v>
      </c>
      <c r="M9" s="560">
        <v>1.002</v>
      </c>
      <c r="N9" s="560">
        <v>0.996</v>
      </c>
      <c r="O9" s="560">
        <v>1.002</v>
      </c>
      <c r="P9" s="560">
        <v>0.99900000000000011</v>
      </c>
      <c r="Q9" s="560">
        <v>1.0109999999999999</v>
      </c>
      <c r="R9" s="560">
        <v>0.99900000000000011</v>
      </c>
      <c r="S9" s="560">
        <v>1.0029999999999999</v>
      </c>
      <c r="T9" s="560">
        <v>0.99099999999999999</v>
      </c>
      <c r="U9" s="560">
        <v>0.997</v>
      </c>
      <c r="V9" s="560">
        <v>0.997</v>
      </c>
      <c r="W9" s="560">
        <v>1.006</v>
      </c>
      <c r="X9" s="560">
        <v>1.0090000000000001</v>
      </c>
      <c r="Y9" s="560">
        <v>1.0149999999999999</v>
      </c>
      <c r="Z9" s="560">
        <v>1.008</v>
      </c>
      <c r="AA9" s="560">
        <v>1.008</v>
      </c>
      <c r="AB9" s="560">
        <v>1.012</v>
      </c>
      <c r="AC9" s="560">
        <v>1.014</v>
      </c>
      <c r="AD9" s="560">
        <v>1.0049999999999999</v>
      </c>
      <c r="AE9" s="560">
        <v>1.0109999999999999</v>
      </c>
      <c r="AF9" s="560">
        <v>1.004</v>
      </c>
      <c r="AG9" s="560">
        <v>1.0009999999999999</v>
      </c>
      <c r="AH9" s="560">
        <v>1</v>
      </c>
      <c r="AI9" s="560">
        <v>1.0109999999999999</v>
      </c>
      <c r="AJ9" s="560">
        <v>1.0109999999999999</v>
      </c>
      <c r="AK9" s="560">
        <v>1.0070000000000001</v>
      </c>
      <c r="AL9" s="560">
        <v>1.0070000000000001</v>
      </c>
      <c r="AM9" s="560">
        <f t="shared" si="11"/>
        <v>1.008</v>
      </c>
      <c r="AN9" s="560">
        <f t="shared" si="11"/>
        <v>1.0149999999999999</v>
      </c>
      <c r="AO9" s="560">
        <f t="shared" si="11"/>
        <v>1.0270000000000001</v>
      </c>
      <c r="AP9" s="560">
        <f t="shared" si="11"/>
        <v>1.0309999999999999</v>
      </c>
      <c r="AQ9" s="560">
        <f t="shared" si="11"/>
        <v>1.034</v>
      </c>
      <c r="AR9" s="560">
        <f t="shared" si="11"/>
        <v>1.0290000000000001</v>
      </c>
      <c r="AS9" s="560">
        <f t="shared" si="11"/>
        <v>1.0109999999999999</v>
      </c>
      <c r="AT9" s="560">
        <f t="shared" si="11"/>
        <v>1.0149999999999999</v>
      </c>
      <c r="AU9" s="560">
        <f t="shared" si="11"/>
        <v>1.0149999999999999</v>
      </c>
      <c r="AV9" s="575">
        <f t="shared" si="9"/>
        <v>1.024</v>
      </c>
      <c r="AW9" s="563">
        <f t="shared" si="10"/>
        <v>0.97785170356176343</v>
      </c>
      <c r="AX9" s="563">
        <f t="shared" si="10"/>
        <v>1.0193957151443869</v>
      </c>
    </row>
    <row r="10" spans="1:50">
      <c r="A10" s="497" t="s">
        <v>468</v>
      </c>
      <c r="B10" s="497"/>
      <c r="C10" s="560">
        <v>1.0090000000000001</v>
      </c>
      <c r="D10" s="560">
        <v>1.006</v>
      </c>
      <c r="E10" s="560">
        <v>1.008</v>
      </c>
      <c r="F10" s="560">
        <v>1.0070000000000001</v>
      </c>
      <c r="G10" s="560">
        <v>1.0070000000000001</v>
      </c>
      <c r="H10" s="560">
        <v>0.996</v>
      </c>
      <c r="I10" s="560">
        <v>0.99900000000000011</v>
      </c>
      <c r="J10" s="560">
        <v>1</v>
      </c>
      <c r="K10" s="560">
        <v>1.0070000000000001</v>
      </c>
      <c r="L10" s="560">
        <v>1.0029999999999999</v>
      </c>
      <c r="M10" s="560">
        <v>1.0029999999999999</v>
      </c>
      <c r="N10" s="560">
        <v>0.998</v>
      </c>
      <c r="O10" s="560">
        <v>1.004</v>
      </c>
      <c r="P10" s="560">
        <v>0.997</v>
      </c>
      <c r="Q10" s="560">
        <v>1.004</v>
      </c>
      <c r="R10" s="560">
        <v>1.006</v>
      </c>
      <c r="S10" s="560">
        <v>1.004</v>
      </c>
      <c r="T10" s="560">
        <v>1</v>
      </c>
      <c r="U10" s="560">
        <v>0.998</v>
      </c>
      <c r="V10" s="560">
        <v>1.0009999999999999</v>
      </c>
      <c r="W10" s="560">
        <v>1.006</v>
      </c>
      <c r="X10" s="560">
        <v>1.0129999999999999</v>
      </c>
      <c r="Y10" s="560">
        <v>1.01</v>
      </c>
      <c r="Z10" s="560">
        <v>1.0090000000000001</v>
      </c>
      <c r="AA10" s="560">
        <v>1.0109999999999999</v>
      </c>
      <c r="AB10" s="560">
        <v>1.012</v>
      </c>
      <c r="AC10" s="560">
        <v>1.016</v>
      </c>
      <c r="AD10" s="560">
        <v>1.0090000000000001</v>
      </c>
      <c r="AE10" s="560">
        <v>1.0070000000000001</v>
      </c>
      <c r="AF10" s="560">
        <v>1.0029999999999999</v>
      </c>
      <c r="AG10" s="560">
        <v>1.004</v>
      </c>
      <c r="AH10" s="560">
        <v>0.99900000000000011</v>
      </c>
      <c r="AI10" s="560">
        <v>1.0070000000000001</v>
      </c>
      <c r="AJ10" s="560">
        <v>1.01</v>
      </c>
      <c r="AK10" s="560">
        <v>1.008</v>
      </c>
      <c r="AL10" s="560">
        <v>1.006</v>
      </c>
      <c r="AM10" s="560">
        <f t="shared" si="11"/>
        <v>1.01</v>
      </c>
      <c r="AN10" s="560">
        <f t="shared" si="11"/>
        <v>1.0170000000000001</v>
      </c>
      <c r="AO10" s="560">
        <f t="shared" si="11"/>
        <v>1.0290000000000001</v>
      </c>
      <c r="AP10" s="560">
        <f t="shared" si="11"/>
        <v>1.0290000000000001</v>
      </c>
      <c r="AQ10" s="560">
        <f t="shared" si="11"/>
        <v>1.0249999999999999</v>
      </c>
      <c r="AR10" s="560">
        <f t="shared" si="11"/>
        <v>1.028</v>
      </c>
      <c r="AS10" s="560">
        <f t="shared" si="11"/>
        <v>1.008</v>
      </c>
      <c r="AT10" s="560">
        <f t="shared" si="11"/>
        <v>1.014</v>
      </c>
      <c r="AU10" s="560">
        <f t="shared" si="11"/>
        <v>1.0249999999999999</v>
      </c>
      <c r="AV10" s="575">
        <f t="shared" si="9"/>
        <v>1.026</v>
      </c>
      <c r="AW10" s="563">
        <f t="shared" si="10"/>
        <v>1.0270089708424917</v>
      </c>
      <c r="AX10" s="563">
        <f t="shared" si="10"/>
        <v>1.0029042499507606</v>
      </c>
    </row>
    <row r="11" spans="1:50">
      <c r="A11" s="497" t="s">
        <v>469</v>
      </c>
      <c r="B11" s="497"/>
      <c r="C11" s="560">
        <v>1.008</v>
      </c>
      <c r="D11" s="560">
        <v>1.0049999999999999</v>
      </c>
      <c r="E11" s="560">
        <v>1.0070000000000001</v>
      </c>
      <c r="F11" s="560">
        <v>1.01</v>
      </c>
      <c r="G11" s="560">
        <v>1.0049999999999999</v>
      </c>
      <c r="H11" s="560">
        <v>0.99900000000000011</v>
      </c>
      <c r="I11" s="560">
        <v>0.995</v>
      </c>
      <c r="J11" s="560">
        <v>1.0009999999999999</v>
      </c>
      <c r="K11" s="560">
        <v>1.006</v>
      </c>
      <c r="L11" s="560">
        <v>1.0090000000000001</v>
      </c>
      <c r="M11" s="560">
        <v>1.0029999999999999</v>
      </c>
      <c r="N11" s="560">
        <v>1</v>
      </c>
      <c r="O11" s="560">
        <v>1.0009999999999999</v>
      </c>
      <c r="P11" s="560">
        <v>1</v>
      </c>
      <c r="Q11" s="560">
        <v>1.004</v>
      </c>
      <c r="R11" s="560">
        <v>1.0070000000000001</v>
      </c>
      <c r="S11" s="560">
        <v>1.002</v>
      </c>
      <c r="T11" s="560">
        <v>1.0029999999999999</v>
      </c>
      <c r="U11" s="560">
        <v>1</v>
      </c>
      <c r="V11" s="560">
        <v>0.99900000000000011</v>
      </c>
      <c r="W11" s="560">
        <v>1.006</v>
      </c>
      <c r="X11" s="560">
        <v>1.0109999999999999</v>
      </c>
      <c r="Y11" s="560">
        <v>1.0149999999999999</v>
      </c>
      <c r="Z11" s="560">
        <v>1.0090000000000001</v>
      </c>
      <c r="AA11" s="560">
        <v>1.012</v>
      </c>
      <c r="AB11" s="560">
        <v>1.014</v>
      </c>
      <c r="AC11" s="560">
        <v>1.0149999999999999</v>
      </c>
      <c r="AD11" s="560">
        <v>1.0070000000000001</v>
      </c>
      <c r="AE11" s="560">
        <v>1.008</v>
      </c>
      <c r="AF11" s="560">
        <v>1.0009999999999999</v>
      </c>
      <c r="AG11" s="560">
        <v>1.0009999999999999</v>
      </c>
      <c r="AH11" s="560">
        <v>0.99900000000000011</v>
      </c>
      <c r="AI11" s="560">
        <v>1.0109999999999999</v>
      </c>
      <c r="AJ11" s="560">
        <v>1.0090000000000001</v>
      </c>
      <c r="AK11" s="560">
        <v>1.0129999999999999</v>
      </c>
      <c r="AL11" s="560">
        <v>1.0049999999999999</v>
      </c>
      <c r="AM11" s="560">
        <f t="shared" si="11"/>
        <v>1.016</v>
      </c>
      <c r="AN11" s="560">
        <f t="shared" si="11"/>
        <v>1.0190000000000001</v>
      </c>
      <c r="AO11" s="560">
        <f t="shared" si="11"/>
        <v>1.036</v>
      </c>
      <c r="AP11" s="560">
        <f t="shared" si="11"/>
        <v>1.0229999999999999</v>
      </c>
      <c r="AQ11" s="560">
        <f t="shared" si="11"/>
        <v>1.0229999999999999</v>
      </c>
      <c r="AR11" s="560">
        <f t="shared" si="11"/>
        <v>1.032</v>
      </c>
      <c r="AS11" s="560">
        <f t="shared" si="11"/>
        <v>1.01</v>
      </c>
      <c r="AT11" s="560">
        <f t="shared" si="11"/>
        <v>1.018</v>
      </c>
      <c r="AU11" s="560">
        <f t="shared" si="11"/>
        <v>1.022</v>
      </c>
      <c r="AV11" s="575">
        <f t="shared" si="9"/>
        <v>1.03</v>
      </c>
      <c r="AW11" s="563">
        <f t="shared" si="10"/>
        <v>1.0346439274707417</v>
      </c>
      <c r="AX11" s="563">
        <f t="shared" si="10"/>
        <v>0.99216105431251056</v>
      </c>
    </row>
    <row r="12" spans="1:50">
      <c r="A12" s="497" t="s">
        <v>470</v>
      </c>
      <c r="B12" s="497"/>
      <c r="C12" s="560">
        <v>1.01</v>
      </c>
      <c r="D12" s="560">
        <v>1.006</v>
      </c>
      <c r="E12" s="560">
        <v>1.0090000000000001</v>
      </c>
      <c r="F12" s="560">
        <v>1.01</v>
      </c>
      <c r="G12" s="560">
        <v>1.0109999999999999</v>
      </c>
      <c r="H12" s="560">
        <v>0.99</v>
      </c>
      <c r="I12" s="560">
        <v>0.996</v>
      </c>
      <c r="J12" s="560">
        <v>0.997</v>
      </c>
      <c r="K12" s="560">
        <v>1.006</v>
      </c>
      <c r="L12" s="560">
        <v>1.0090000000000001</v>
      </c>
      <c r="M12" s="560">
        <v>1.0049999999999999</v>
      </c>
      <c r="N12" s="560">
        <v>0.99400000000000011</v>
      </c>
      <c r="O12" s="560">
        <v>0.997</v>
      </c>
      <c r="P12" s="560">
        <v>0.99400000000000011</v>
      </c>
      <c r="Q12" s="560">
        <v>1.01</v>
      </c>
      <c r="R12" s="560">
        <v>1.006</v>
      </c>
      <c r="S12" s="560">
        <v>1.0029999999999999</v>
      </c>
      <c r="T12" s="560">
        <v>1.0049999999999999</v>
      </c>
      <c r="U12" s="560">
        <v>1</v>
      </c>
      <c r="V12" s="560">
        <v>0.997</v>
      </c>
      <c r="W12" s="560">
        <v>1.004</v>
      </c>
      <c r="X12" s="560">
        <v>1.0129999999999999</v>
      </c>
      <c r="Y12" s="560">
        <v>1.0129999999999999</v>
      </c>
      <c r="Z12" s="560">
        <v>1.0090000000000001</v>
      </c>
      <c r="AA12" s="560">
        <v>1.0109999999999999</v>
      </c>
      <c r="AB12" s="560">
        <v>1.012</v>
      </c>
      <c r="AC12" s="560">
        <v>1.0229999999999999</v>
      </c>
      <c r="AD12" s="560">
        <v>1.0029999999999999</v>
      </c>
      <c r="AE12" s="560">
        <v>1.016</v>
      </c>
      <c r="AF12" s="560">
        <v>0.998</v>
      </c>
      <c r="AG12" s="560">
        <v>1.0029999999999999</v>
      </c>
      <c r="AH12" s="560">
        <v>0.99900000000000011</v>
      </c>
      <c r="AI12" s="560">
        <v>1.0109999999999999</v>
      </c>
      <c r="AJ12" s="560">
        <v>1.0070000000000001</v>
      </c>
      <c r="AK12" s="560">
        <v>1.012</v>
      </c>
      <c r="AL12" s="560">
        <v>1.0049999999999999</v>
      </c>
      <c r="AM12" s="560">
        <f t="shared" si="11"/>
        <v>1.012</v>
      </c>
      <c r="AN12" s="560">
        <f t="shared" si="11"/>
        <v>1.014</v>
      </c>
      <c r="AO12" s="560">
        <f t="shared" si="11"/>
        <v>1.0390000000000001</v>
      </c>
      <c r="AP12" s="560">
        <f t="shared" si="11"/>
        <v>1.0249999999999999</v>
      </c>
      <c r="AQ12" s="560">
        <f t="shared" si="11"/>
        <v>1.046</v>
      </c>
      <c r="AR12" s="560">
        <f t="shared" si="11"/>
        <v>1.024</v>
      </c>
      <c r="AS12" s="560">
        <f t="shared" si="11"/>
        <v>1.004</v>
      </c>
      <c r="AT12" s="560">
        <f t="shared" si="11"/>
        <v>1.0170000000000001</v>
      </c>
      <c r="AU12" s="560">
        <f t="shared" si="11"/>
        <v>1.0170000000000001</v>
      </c>
      <c r="AV12" s="575">
        <f t="shared" si="9"/>
        <v>1.0270000000000001</v>
      </c>
      <c r="AW12" s="563">
        <f t="shared" si="10"/>
        <v>1.0096247172141588</v>
      </c>
      <c r="AX12" s="563">
        <f t="shared" si="10"/>
        <v>1.0132904529609299</v>
      </c>
    </row>
    <row r="13" spans="1:50">
      <c r="A13" s="497" t="s">
        <v>471</v>
      </c>
      <c r="B13" s="497"/>
      <c r="C13" s="560">
        <v>1.012</v>
      </c>
      <c r="D13" s="560">
        <v>1.006</v>
      </c>
      <c r="E13" s="560">
        <v>1.0149999999999999</v>
      </c>
      <c r="F13" s="560">
        <v>1.0109999999999999</v>
      </c>
      <c r="G13" s="560">
        <v>1.0090000000000001</v>
      </c>
      <c r="H13" s="560">
        <v>0.99199999999999999</v>
      </c>
      <c r="I13" s="560">
        <v>0.99</v>
      </c>
      <c r="J13" s="560">
        <v>0.996</v>
      </c>
      <c r="K13" s="560">
        <v>1.012</v>
      </c>
      <c r="L13" s="560">
        <v>1.004</v>
      </c>
      <c r="M13" s="560">
        <v>0.998</v>
      </c>
      <c r="N13" s="560">
        <v>0.99400000000000011</v>
      </c>
      <c r="O13" s="560">
        <v>1.0009999999999999</v>
      </c>
      <c r="P13" s="560">
        <v>1.004</v>
      </c>
      <c r="Q13" s="560">
        <v>1.0190000000000001</v>
      </c>
      <c r="R13" s="560">
        <v>1.0049999999999999</v>
      </c>
      <c r="S13" s="560">
        <v>1.0049999999999999</v>
      </c>
      <c r="T13" s="560">
        <v>1.004</v>
      </c>
      <c r="U13" s="560">
        <v>0.9890000000000001</v>
      </c>
      <c r="V13" s="560">
        <v>0.99400000000000011</v>
      </c>
      <c r="W13" s="560">
        <v>1.0090000000000001</v>
      </c>
      <c r="X13" s="560">
        <v>1.006</v>
      </c>
      <c r="Y13" s="560">
        <v>1.012</v>
      </c>
      <c r="Z13" s="560">
        <v>1.0090000000000001</v>
      </c>
      <c r="AA13" s="560">
        <v>1.01</v>
      </c>
      <c r="AB13" s="560">
        <v>1.012</v>
      </c>
      <c r="AC13" s="560">
        <v>1.0209999999999999</v>
      </c>
      <c r="AD13" s="560">
        <v>1.0029999999999999</v>
      </c>
      <c r="AE13" s="560">
        <v>1.0229999999999999</v>
      </c>
      <c r="AF13" s="560">
        <v>1.002</v>
      </c>
      <c r="AG13" s="560">
        <v>0.996</v>
      </c>
      <c r="AH13" s="560">
        <v>0.995</v>
      </c>
      <c r="AI13" s="560">
        <v>1.012</v>
      </c>
      <c r="AJ13" s="560">
        <v>1.01</v>
      </c>
      <c r="AK13" s="560">
        <v>1.006</v>
      </c>
      <c r="AL13" s="560">
        <v>1.0029999999999999</v>
      </c>
      <c r="AM13" s="560">
        <f t="shared" si="11"/>
        <v>1.016</v>
      </c>
      <c r="AN13" s="560">
        <f t="shared" si="11"/>
        <v>1.0229999999999999</v>
      </c>
      <c r="AO13" s="560">
        <f t="shared" si="11"/>
        <v>1.0469999999999999</v>
      </c>
      <c r="AP13" s="560">
        <f t="shared" si="11"/>
        <v>1.034</v>
      </c>
      <c r="AQ13" s="560">
        <f t="shared" si="11"/>
        <v>1.028</v>
      </c>
      <c r="AR13" s="560">
        <f t="shared" si="11"/>
        <v>1.03</v>
      </c>
      <c r="AS13" s="560">
        <f t="shared" si="11"/>
        <v>1</v>
      </c>
      <c r="AT13" s="560">
        <f t="shared" si="11"/>
        <v>1.004</v>
      </c>
      <c r="AU13" s="560">
        <f t="shared" si="11"/>
        <v>1.0249999999999999</v>
      </c>
      <c r="AV13" s="575">
        <f t="shared" si="9"/>
        <v>1.0209999999999999</v>
      </c>
      <c r="AW13" s="563">
        <f t="shared" si="10"/>
        <v>1.0199683862522926</v>
      </c>
      <c r="AX13" s="563">
        <f t="shared" si="10"/>
        <v>1.0049851435291659</v>
      </c>
    </row>
    <row r="14" spans="1:50" ht="18.75" thickBot="1"/>
    <row r="15" spans="1:50" ht="18.75" thickBot="1">
      <c r="A15" s="497" t="s">
        <v>452</v>
      </c>
      <c r="AM15" s="736">
        <v>101.1</v>
      </c>
      <c r="AN15" s="736">
        <v>101.5</v>
      </c>
      <c r="AO15" s="736">
        <v>103.1</v>
      </c>
      <c r="AP15" s="736">
        <v>103.6</v>
      </c>
      <c r="AQ15" s="736">
        <v>102.3</v>
      </c>
      <c r="AR15" s="736">
        <v>103.2</v>
      </c>
      <c r="AS15" s="736">
        <v>101</v>
      </c>
      <c r="AT15" s="736">
        <v>101.7</v>
      </c>
      <c r="AU15" s="736">
        <v>102</v>
      </c>
      <c r="AV15" s="736">
        <v>101.9</v>
      </c>
    </row>
    <row r="16" spans="1:50" ht="18.75" thickBot="1">
      <c r="A16" s="497" t="s">
        <v>465</v>
      </c>
      <c r="AM16" s="736">
        <v>101.4</v>
      </c>
      <c r="AN16" s="736">
        <v>101.7</v>
      </c>
      <c r="AO16" s="736">
        <v>103.6</v>
      </c>
      <c r="AP16" s="736">
        <v>102.9</v>
      </c>
      <c r="AQ16" s="736">
        <v>102.9</v>
      </c>
      <c r="AR16" s="736">
        <v>103.1</v>
      </c>
      <c r="AS16" s="736">
        <v>101.4</v>
      </c>
      <c r="AT16" s="736">
        <v>101</v>
      </c>
      <c r="AU16" s="736">
        <v>101.7</v>
      </c>
      <c r="AV16" s="736">
        <v>102.2</v>
      </c>
    </row>
    <row r="17" spans="1:50" ht="18.75" thickBot="1">
      <c r="A17" s="497" t="s">
        <v>466</v>
      </c>
      <c r="AM17" s="736">
        <v>101.6</v>
      </c>
      <c r="AN17" s="736">
        <v>101.6</v>
      </c>
      <c r="AO17" s="736">
        <v>103.4</v>
      </c>
      <c r="AP17" s="736">
        <v>102.5</v>
      </c>
      <c r="AQ17" s="736">
        <v>103.1</v>
      </c>
      <c r="AR17" s="736">
        <v>103.7</v>
      </c>
      <c r="AS17" s="736">
        <v>100.3</v>
      </c>
      <c r="AT17" s="736">
        <v>101.5</v>
      </c>
      <c r="AU17" s="736">
        <v>101.7</v>
      </c>
      <c r="AV17" s="736">
        <v>102.4</v>
      </c>
    </row>
    <row r="18" spans="1:50" ht="18.75" thickBot="1">
      <c r="A18" s="497" t="s">
        <v>467</v>
      </c>
      <c r="AM18" s="736">
        <v>100.8</v>
      </c>
      <c r="AN18" s="736">
        <v>101.5</v>
      </c>
      <c r="AO18" s="736">
        <v>102.7</v>
      </c>
      <c r="AP18" s="736">
        <v>103.1</v>
      </c>
      <c r="AQ18" s="736">
        <v>103.4</v>
      </c>
      <c r="AR18" s="736">
        <v>102.9</v>
      </c>
      <c r="AS18" s="736">
        <v>101.1</v>
      </c>
      <c r="AT18" s="736">
        <v>101.5</v>
      </c>
      <c r="AU18" s="736">
        <v>101.5</v>
      </c>
      <c r="AV18" s="736">
        <v>102.4</v>
      </c>
    </row>
    <row r="19" spans="1:50" ht="18.75" thickBot="1">
      <c r="A19" s="497" t="s">
        <v>468</v>
      </c>
      <c r="AM19" s="736">
        <v>101</v>
      </c>
      <c r="AN19" s="736">
        <v>101.7</v>
      </c>
      <c r="AO19" s="736">
        <v>102.9</v>
      </c>
      <c r="AP19" s="736">
        <v>102.9</v>
      </c>
      <c r="AQ19" s="736">
        <v>102.5</v>
      </c>
      <c r="AR19" s="736">
        <v>102.8</v>
      </c>
      <c r="AS19" s="736">
        <v>100.8</v>
      </c>
      <c r="AT19" s="736">
        <v>101.4</v>
      </c>
      <c r="AU19" s="736">
        <v>102.5</v>
      </c>
      <c r="AV19" s="736">
        <v>102.6</v>
      </c>
    </row>
    <row r="20" spans="1:50" ht="18.75" thickBot="1">
      <c r="A20" s="497" t="s">
        <v>469</v>
      </c>
      <c r="AM20" s="736">
        <v>101.6</v>
      </c>
      <c r="AN20" s="736">
        <v>101.9</v>
      </c>
      <c r="AO20" s="736">
        <v>103.6</v>
      </c>
      <c r="AP20" s="736">
        <v>102.3</v>
      </c>
      <c r="AQ20" s="736">
        <v>102.3</v>
      </c>
      <c r="AR20" s="736">
        <v>103.2</v>
      </c>
      <c r="AS20" s="736">
        <v>101</v>
      </c>
      <c r="AT20" s="736">
        <v>101.8</v>
      </c>
      <c r="AU20" s="736">
        <v>102.2</v>
      </c>
      <c r="AV20" s="736">
        <v>103</v>
      </c>
    </row>
    <row r="21" spans="1:50" ht="18.75" thickBot="1">
      <c r="A21" s="497" t="s">
        <v>470</v>
      </c>
      <c r="AM21" s="736">
        <v>101.2</v>
      </c>
      <c r="AN21" s="736">
        <v>101.4</v>
      </c>
      <c r="AO21" s="736">
        <v>103.9</v>
      </c>
      <c r="AP21" s="736">
        <v>102.5</v>
      </c>
      <c r="AQ21" s="736">
        <v>104.6</v>
      </c>
      <c r="AR21" s="736">
        <v>102.4</v>
      </c>
      <c r="AS21" s="736">
        <v>100.4</v>
      </c>
      <c r="AT21" s="736">
        <v>101.7</v>
      </c>
      <c r="AU21" s="736">
        <v>101.7</v>
      </c>
      <c r="AV21" s="736">
        <v>102.7</v>
      </c>
    </row>
    <row r="22" spans="1:50" ht="18.75" thickBot="1">
      <c r="A22" s="497" t="s">
        <v>471</v>
      </c>
      <c r="AM22" s="736">
        <v>101.6</v>
      </c>
      <c r="AN22" s="736">
        <v>102.3</v>
      </c>
      <c r="AO22" s="736">
        <v>104.7</v>
      </c>
      <c r="AP22" s="736">
        <v>103.4</v>
      </c>
      <c r="AQ22" s="736">
        <v>102.8</v>
      </c>
      <c r="AR22" s="736">
        <v>103</v>
      </c>
      <c r="AS22" s="736">
        <v>100</v>
      </c>
      <c r="AT22" s="736">
        <v>100.4</v>
      </c>
      <c r="AU22" s="736">
        <v>102.5</v>
      </c>
      <c r="AV22" s="736">
        <v>102.1</v>
      </c>
    </row>
    <row r="23" spans="1:50">
      <c r="AL23" s="738" t="s">
        <v>1679</v>
      </c>
      <c r="AN23" s="737"/>
      <c r="AO23" s="737"/>
      <c r="AP23" s="737"/>
      <c r="AQ23" s="737"/>
      <c r="AR23" s="737"/>
      <c r="AS23" s="737"/>
      <c r="AT23" s="737"/>
      <c r="AU23" s="737"/>
      <c r="AV23" s="737"/>
    </row>
    <row r="24" spans="1:50">
      <c r="AM24" s="737"/>
      <c r="AN24" s="737"/>
      <c r="AO24" s="737"/>
      <c r="AP24" s="737"/>
      <c r="AQ24" s="737"/>
      <c r="AR24" s="737"/>
      <c r="AS24" s="737"/>
      <c r="AT24" s="737"/>
      <c r="AU24" s="737"/>
      <c r="AV24" s="737"/>
    </row>
    <row r="25" spans="1:50">
      <c r="A25" s="309" t="s">
        <v>447</v>
      </c>
    </row>
    <row r="26" spans="1:50">
      <c r="A26" s="497" t="s">
        <v>452</v>
      </c>
      <c r="B26" s="497">
        <v>100</v>
      </c>
      <c r="C26" s="562">
        <f t="shared" ref="C26:AN26" si="12">C6*B26</f>
        <v>100.9</v>
      </c>
      <c r="D26" s="562">
        <f t="shared" si="12"/>
        <v>101.10180000000001</v>
      </c>
      <c r="E26" s="562">
        <f t="shared" si="12"/>
        <v>102.01171620000002</v>
      </c>
      <c r="F26" s="562">
        <f t="shared" si="12"/>
        <v>102.92982164580003</v>
      </c>
      <c r="G26" s="562">
        <f t="shared" si="12"/>
        <v>102.92982164580003</v>
      </c>
      <c r="H26" s="562">
        <f t="shared" si="12"/>
        <v>102.72396200250843</v>
      </c>
      <c r="I26" s="562">
        <f t="shared" si="12"/>
        <v>102.51851407850342</v>
      </c>
      <c r="J26" s="562">
        <f t="shared" si="12"/>
        <v>102.41599556442492</v>
      </c>
      <c r="K26" s="562">
        <f t="shared" si="12"/>
        <v>103.23532352894031</v>
      </c>
      <c r="L26" s="562">
        <f t="shared" si="12"/>
        <v>104.26767676422972</v>
      </c>
      <c r="M26" s="562">
        <f t="shared" si="12"/>
        <v>104.47621211775818</v>
      </c>
      <c r="N26" s="562">
        <f t="shared" si="12"/>
        <v>104.37173590564043</v>
      </c>
      <c r="O26" s="562">
        <f t="shared" si="12"/>
        <v>104.68485111335734</v>
      </c>
      <c r="P26" s="562">
        <f t="shared" si="12"/>
        <v>104.58016626224399</v>
      </c>
      <c r="Q26" s="562">
        <f t="shared" si="12"/>
        <v>104.47558609598175</v>
      </c>
      <c r="R26" s="562">
        <f t="shared" si="12"/>
        <v>105.20691519865363</v>
      </c>
      <c r="S26" s="562">
        <f t="shared" si="12"/>
        <v>105.62774285944825</v>
      </c>
      <c r="T26" s="562">
        <f t="shared" si="12"/>
        <v>105.83899834516714</v>
      </c>
      <c r="U26" s="562">
        <f t="shared" si="12"/>
        <v>105.83899834516714</v>
      </c>
      <c r="V26" s="562">
        <f t="shared" si="12"/>
        <v>105.94483734351229</v>
      </c>
      <c r="W26" s="562">
        <f t="shared" si="12"/>
        <v>106.58050636757336</v>
      </c>
      <c r="X26" s="562">
        <f t="shared" si="12"/>
        <v>107.43315041851395</v>
      </c>
      <c r="Y26" s="562">
        <f t="shared" si="12"/>
        <v>108.61491507311759</v>
      </c>
      <c r="Z26" s="562">
        <f t="shared" si="12"/>
        <v>109.48383439370252</v>
      </c>
      <c r="AA26" s="562">
        <f t="shared" si="12"/>
        <v>110.68815657203324</v>
      </c>
      <c r="AB26" s="562">
        <f t="shared" si="12"/>
        <v>112.01641445089764</v>
      </c>
      <c r="AC26" s="562">
        <f t="shared" si="12"/>
        <v>113.36061142430842</v>
      </c>
      <c r="AD26" s="562">
        <f t="shared" si="12"/>
        <v>114.04077509285426</v>
      </c>
      <c r="AE26" s="562">
        <f t="shared" si="12"/>
        <v>115.06714206868996</v>
      </c>
      <c r="AF26" s="562">
        <f t="shared" si="12"/>
        <v>115.52741063696472</v>
      </c>
      <c r="AG26" s="562">
        <f t="shared" si="12"/>
        <v>115.98952027951258</v>
      </c>
      <c r="AH26" s="562">
        <f t="shared" si="12"/>
        <v>115.87353075923308</v>
      </c>
      <c r="AI26" s="562">
        <f t="shared" si="12"/>
        <v>117.49576018986234</v>
      </c>
      <c r="AJ26" s="562">
        <f t="shared" si="12"/>
        <v>118.43572627138124</v>
      </c>
      <c r="AK26" s="562">
        <f t="shared" si="12"/>
        <v>119.26477635528093</v>
      </c>
      <c r="AL26" s="562">
        <f t="shared" si="12"/>
        <v>120.21889456612318</v>
      </c>
      <c r="AM26" s="562">
        <f t="shared" si="12"/>
        <v>121.54130240635052</v>
      </c>
      <c r="AN26" s="562">
        <f t="shared" si="12"/>
        <v>123.36442194244577</v>
      </c>
      <c r="AO26" s="562">
        <f t="shared" ref="AO26:AO33" si="13">AO6*AN26</f>
        <v>127.18871902266159</v>
      </c>
      <c r="AP26" s="562">
        <f t="shared" ref="AP26:AP33" si="14">AP6*AO26</f>
        <v>131.7675129074774</v>
      </c>
      <c r="AQ26" s="562">
        <f t="shared" ref="AQ26:AQ33" si="15">AQ6*AP26</f>
        <v>134.79816570434937</v>
      </c>
      <c r="AR26" s="562">
        <f t="shared" ref="AR26:AR33" si="16">AR6*AQ26</f>
        <v>139.11170700688857</v>
      </c>
      <c r="AS26" s="562">
        <f t="shared" ref="AS26:AS33" si="17">AS6*AR26</f>
        <v>140.50282407695744</v>
      </c>
      <c r="AT26" s="562">
        <f t="shared" ref="AT26:AT33" si="18">AT6*AS26</f>
        <v>142.89137208626573</v>
      </c>
      <c r="AU26" s="562">
        <f t="shared" ref="AU26:AU33" si="19">AU6*AT26</f>
        <v>145.74919952799104</v>
      </c>
      <c r="AV26" s="562">
        <f t="shared" ref="AV26:AV33" si="20">AV6*AU26</f>
        <v>148.51843431902287</v>
      </c>
      <c r="AW26" s="562">
        <f t="shared" ref="AW26:AX33" si="21">(AW38+1)*AK26</f>
        <v>150.78185950938771</v>
      </c>
      <c r="AX26" s="562">
        <f t="shared" si="21"/>
        <v>151.55931421825835</v>
      </c>
    </row>
    <row r="27" spans="1:50">
      <c r="A27" s="497" t="s">
        <v>465</v>
      </c>
      <c r="B27" s="497">
        <v>100</v>
      </c>
      <c r="C27" s="562">
        <f t="shared" ref="C27:AN27" si="22">C7*B27</f>
        <v>101.1</v>
      </c>
      <c r="D27" s="562">
        <f t="shared" si="22"/>
        <v>101.70659999999999</v>
      </c>
      <c r="E27" s="562">
        <f t="shared" si="22"/>
        <v>102.62195940000001</v>
      </c>
      <c r="F27" s="562">
        <f t="shared" si="22"/>
        <v>103.7508009534</v>
      </c>
      <c r="G27" s="562">
        <f t="shared" si="22"/>
        <v>104.89205976388739</v>
      </c>
      <c r="H27" s="562">
        <f t="shared" si="22"/>
        <v>104.36759946506795</v>
      </c>
      <c r="I27" s="562">
        <f t="shared" si="22"/>
        <v>103.63702626881248</v>
      </c>
      <c r="J27" s="562">
        <f t="shared" si="22"/>
        <v>103.11884113746841</v>
      </c>
      <c r="K27" s="562">
        <f t="shared" si="22"/>
        <v>103.73755418429322</v>
      </c>
      <c r="L27" s="562">
        <f t="shared" si="22"/>
        <v>104.35997950939898</v>
      </c>
      <c r="M27" s="562">
        <f t="shared" si="22"/>
        <v>104.67305944792717</v>
      </c>
      <c r="N27" s="562">
        <f t="shared" si="22"/>
        <v>104.46371332903132</v>
      </c>
      <c r="O27" s="562">
        <f t="shared" si="22"/>
        <v>104.77710446901841</v>
      </c>
      <c r="P27" s="562">
        <f t="shared" si="22"/>
        <v>104.46277315561136</v>
      </c>
      <c r="Q27" s="562">
        <f t="shared" si="22"/>
        <v>105.40293811401187</v>
      </c>
      <c r="R27" s="562">
        <f t="shared" si="22"/>
        <v>106.14075868080997</v>
      </c>
      <c r="S27" s="562">
        <f t="shared" si="22"/>
        <v>106.5653217155332</v>
      </c>
      <c r="T27" s="562">
        <f t="shared" si="22"/>
        <v>106.88501768067979</v>
      </c>
      <c r="U27" s="562">
        <f t="shared" si="22"/>
        <v>106.56436262763775</v>
      </c>
      <c r="V27" s="562">
        <f t="shared" si="22"/>
        <v>106.77749135289302</v>
      </c>
      <c r="W27" s="562">
        <f t="shared" si="22"/>
        <v>107.2046013183046</v>
      </c>
      <c r="X27" s="562">
        <f t="shared" si="22"/>
        <v>108.59826113544254</v>
      </c>
      <c r="Y27" s="562">
        <f t="shared" si="22"/>
        <v>109.46704722452608</v>
      </c>
      <c r="Z27" s="562">
        <f t="shared" si="22"/>
        <v>110.3427836023223</v>
      </c>
      <c r="AA27" s="562">
        <f t="shared" si="22"/>
        <v>111.66689700555017</v>
      </c>
      <c r="AB27" s="562">
        <f t="shared" si="22"/>
        <v>112.78356597560567</v>
      </c>
      <c r="AC27" s="562">
        <f t="shared" si="22"/>
        <v>114.58810303121535</v>
      </c>
      <c r="AD27" s="562">
        <f t="shared" si="22"/>
        <v>115.39021975243388</v>
      </c>
      <c r="AE27" s="562">
        <f t="shared" si="22"/>
        <v>116.65951216971064</v>
      </c>
      <c r="AF27" s="562">
        <f t="shared" si="22"/>
        <v>117.00949070621975</v>
      </c>
      <c r="AG27" s="562">
        <f t="shared" si="22"/>
        <v>117.47752866904463</v>
      </c>
      <c r="AH27" s="562">
        <f t="shared" si="22"/>
        <v>117.12509608303749</v>
      </c>
      <c r="AI27" s="562">
        <f t="shared" si="22"/>
        <v>118.53059723603394</v>
      </c>
      <c r="AJ27" s="562">
        <f t="shared" si="22"/>
        <v>119.59737261115826</v>
      </c>
      <c r="AK27" s="562">
        <f t="shared" si="22"/>
        <v>120.43455421943638</v>
      </c>
      <c r="AL27" s="562">
        <f t="shared" si="22"/>
        <v>121.63889976163074</v>
      </c>
      <c r="AM27" s="562">
        <f t="shared" si="22"/>
        <v>123.34184435829357</v>
      </c>
      <c r="AN27" s="562">
        <f t="shared" si="22"/>
        <v>125.43865571238457</v>
      </c>
      <c r="AO27" s="562">
        <f t="shared" si="13"/>
        <v>129.95444731803042</v>
      </c>
      <c r="AP27" s="562">
        <f t="shared" si="14"/>
        <v>133.7231262902533</v>
      </c>
      <c r="AQ27" s="562">
        <f t="shared" si="15"/>
        <v>137.60109695267067</v>
      </c>
      <c r="AR27" s="562">
        <f t="shared" si="16"/>
        <v>141.86673095820345</v>
      </c>
      <c r="AS27" s="562">
        <f t="shared" si="17"/>
        <v>143.85286519161829</v>
      </c>
      <c r="AT27" s="562">
        <f t="shared" si="18"/>
        <v>145.29139384353448</v>
      </c>
      <c r="AU27" s="562">
        <f t="shared" si="19"/>
        <v>147.76134753887459</v>
      </c>
      <c r="AV27" s="562">
        <f t="shared" si="20"/>
        <v>151.01209718472984</v>
      </c>
      <c r="AW27" s="562">
        <f t="shared" si="21"/>
        <v>155.18971766187477</v>
      </c>
      <c r="AX27" s="562">
        <f t="shared" si="21"/>
        <v>156.41023875964237</v>
      </c>
    </row>
    <row r="28" spans="1:50">
      <c r="A28" s="497" t="s">
        <v>466</v>
      </c>
      <c r="B28" s="497">
        <v>100</v>
      </c>
      <c r="C28" s="562">
        <f t="shared" ref="C28:AN28" si="23">C8*B28</f>
        <v>100.8</v>
      </c>
      <c r="D28" s="562">
        <f t="shared" si="23"/>
        <v>101.40479999999999</v>
      </c>
      <c r="E28" s="562">
        <f t="shared" si="23"/>
        <v>102.1146336</v>
      </c>
      <c r="F28" s="562">
        <f t="shared" si="23"/>
        <v>103.03366530240001</v>
      </c>
      <c r="G28" s="562">
        <f t="shared" si="23"/>
        <v>103.85793462481921</v>
      </c>
      <c r="H28" s="562">
        <f t="shared" si="23"/>
        <v>103.44250288631993</v>
      </c>
      <c r="I28" s="562">
        <f t="shared" si="23"/>
        <v>102.82184786900201</v>
      </c>
      <c r="J28" s="562">
        <f t="shared" si="23"/>
        <v>102.51338232539501</v>
      </c>
      <c r="K28" s="562">
        <f t="shared" si="23"/>
        <v>103.43600276632358</v>
      </c>
      <c r="L28" s="562">
        <f t="shared" si="23"/>
        <v>104.05661878292152</v>
      </c>
      <c r="M28" s="562">
        <f t="shared" si="23"/>
        <v>104.36878863927028</v>
      </c>
      <c r="N28" s="562">
        <f t="shared" si="23"/>
        <v>104.16005106199174</v>
      </c>
      <c r="O28" s="562">
        <f t="shared" si="23"/>
        <v>104.78501136836368</v>
      </c>
      <c r="P28" s="562">
        <f t="shared" si="23"/>
        <v>104.57544134562696</v>
      </c>
      <c r="Q28" s="562">
        <f t="shared" si="23"/>
        <v>104.88916766966382</v>
      </c>
      <c r="R28" s="562">
        <f t="shared" si="23"/>
        <v>105.2038351726728</v>
      </c>
      <c r="S28" s="562">
        <f t="shared" si="23"/>
        <v>105.94026201888151</v>
      </c>
      <c r="T28" s="562">
        <f t="shared" si="23"/>
        <v>106.04620228090039</v>
      </c>
      <c r="U28" s="562">
        <f t="shared" si="23"/>
        <v>105.51597126949589</v>
      </c>
      <c r="V28" s="562">
        <f t="shared" si="23"/>
        <v>105.3049393269569</v>
      </c>
      <c r="W28" s="562">
        <f t="shared" si="23"/>
        <v>105.93676896291863</v>
      </c>
      <c r="X28" s="562">
        <f t="shared" si="23"/>
        <v>107.10207342151072</v>
      </c>
      <c r="Y28" s="562">
        <f t="shared" si="23"/>
        <v>108.70860452283337</v>
      </c>
      <c r="Z28" s="562">
        <f t="shared" si="23"/>
        <v>109.68698196353888</v>
      </c>
      <c r="AA28" s="562">
        <f t="shared" si="23"/>
        <v>110.89353876513781</v>
      </c>
      <c r="AB28" s="562">
        <f t="shared" si="23"/>
        <v>112.33515476908458</v>
      </c>
      <c r="AC28" s="562">
        <f t="shared" si="23"/>
        <v>114.13251724538993</v>
      </c>
      <c r="AD28" s="562">
        <f t="shared" si="23"/>
        <v>114.36078227988071</v>
      </c>
      <c r="AE28" s="562">
        <f t="shared" si="23"/>
        <v>116.07619401407891</v>
      </c>
      <c r="AF28" s="562">
        <f t="shared" si="23"/>
        <v>115.84404162605075</v>
      </c>
      <c r="AG28" s="562">
        <f t="shared" si="23"/>
        <v>115.84404162605075</v>
      </c>
      <c r="AH28" s="562">
        <f t="shared" si="23"/>
        <v>115.38066545954655</v>
      </c>
      <c r="AI28" s="562">
        <f t="shared" si="23"/>
        <v>116.41909144868248</v>
      </c>
      <c r="AJ28" s="562">
        <f t="shared" si="23"/>
        <v>117.5832823631693</v>
      </c>
      <c r="AK28" s="562">
        <f t="shared" si="23"/>
        <v>118.17119877498514</v>
      </c>
      <c r="AL28" s="562">
        <f t="shared" si="23"/>
        <v>119.47108196150997</v>
      </c>
      <c r="AM28" s="562">
        <f t="shared" si="23"/>
        <v>121.38261927289413</v>
      </c>
      <c r="AN28" s="562">
        <f t="shared" si="23"/>
        <v>123.32474118126044</v>
      </c>
      <c r="AO28" s="562">
        <f t="shared" si="13"/>
        <v>127.51778238142329</v>
      </c>
      <c r="AP28" s="562">
        <f t="shared" si="14"/>
        <v>130.70572694095887</v>
      </c>
      <c r="AQ28" s="562">
        <f t="shared" si="15"/>
        <v>134.75760447612859</v>
      </c>
      <c r="AR28" s="562">
        <f t="shared" si="16"/>
        <v>139.74363584174534</v>
      </c>
      <c r="AS28" s="562">
        <f t="shared" si="17"/>
        <v>140.16286674927056</v>
      </c>
      <c r="AT28" s="562">
        <f t="shared" si="18"/>
        <v>142.2653097505096</v>
      </c>
      <c r="AU28" s="562">
        <f t="shared" si="19"/>
        <v>144.68382001626827</v>
      </c>
      <c r="AV28" s="562">
        <f t="shared" si="20"/>
        <v>148.15623169665872</v>
      </c>
      <c r="AW28" s="562">
        <f t="shared" si="21"/>
        <v>148.536977643558</v>
      </c>
      <c r="AX28" s="562">
        <f t="shared" si="21"/>
        <v>150.50739058793263</v>
      </c>
    </row>
    <row r="29" spans="1:50">
      <c r="A29" s="497" t="s">
        <v>467</v>
      </c>
      <c r="B29" s="497">
        <v>100</v>
      </c>
      <c r="C29" s="562">
        <f t="shared" ref="C29:AN29" si="24">C9*B29</f>
        <v>101.1</v>
      </c>
      <c r="D29" s="562">
        <f t="shared" si="24"/>
        <v>101.20109999999998</v>
      </c>
      <c r="E29" s="562">
        <f t="shared" si="24"/>
        <v>102.01070879999999</v>
      </c>
      <c r="F29" s="562">
        <f t="shared" si="24"/>
        <v>103.33684801439998</v>
      </c>
      <c r="G29" s="562">
        <f t="shared" si="24"/>
        <v>103.64685855844317</v>
      </c>
      <c r="H29" s="562">
        <f t="shared" si="24"/>
        <v>103.2322711242094</v>
      </c>
      <c r="I29" s="562">
        <f t="shared" si="24"/>
        <v>103.12903885308521</v>
      </c>
      <c r="J29" s="562">
        <f t="shared" si="24"/>
        <v>102.81965173652596</v>
      </c>
      <c r="K29" s="562">
        <f t="shared" si="24"/>
        <v>103.7450286021547</v>
      </c>
      <c r="L29" s="562">
        <f t="shared" si="24"/>
        <v>104.36749877376764</v>
      </c>
      <c r="M29" s="562">
        <f t="shared" si="24"/>
        <v>104.57623377131517</v>
      </c>
      <c r="N29" s="562">
        <f t="shared" si="24"/>
        <v>104.15792883622991</v>
      </c>
      <c r="O29" s="562">
        <f t="shared" si="24"/>
        <v>104.36624469390237</v>
      </c>
      <c r="P29" s="562">
        <f t="shared" si="24"/>
        <v>104.26187844920848</v>
      </c>
      <c r="Q29" s="562">
        <f t="shared" si="24"/>
        <v>105.40875911214977</v>
      </c>
      <c r="R29" s="562">
        <f t="shared" si="24"/>
        <v>105.30335035303763</v>
      </c>
      <c r="S29" s="562">
        <f t="shared" si="24"/>
        <v>105.61926040409674</v>
      </c>
      <c r="T29" s="562">
        <f t="shared" si="24"/>
        <v>104.66868706045986</v>
      </c>
      <c r="U29" s="562">
        <f t="shared" si="24"/>
        <v>104.35468099927849</v>
      </c>
      <c r="V29" s="562">
        <f t="shared" si="24"/>
        <v>104.04161695628065</v>
      </c>
      <c r="W29" s="562">
        <f t="shared" si="24"/>
        <v>104.66586665801833</v>
      </c>
      <c r="X29" s="562">
        <f t="shared" si="24"/>
        <v>105.60785945794051</v>
      </c>
      <c r="Y29" s="562">
        <f t="shared" si="24"/>
        <v>107.1919773498096</v>
      </c>
      <c r="Z29" s="562">
        <f t="shared" si="24"/>
        <v>108.04951316860809</v>
      </c>
      <c r="AA29" s="562">
        <f t="shared" si="24"/>
        <v>108.91390927395695</v>
      </c>
      <c r="AB29" s="562">
        <f t="shared" si="24"/>
        <v>110.22087618524444</v>
      </c>
      <c r="AC29" s="562">
        <f t="shared" si="24"/>
        <v>111.76396845183785</v>
      </c>
      <c r="AD29" s="562">
        <f t="shared" si="24"/>
        <v>112.32278829409704</v>
      </c>
      <c r="AE29" s="562">
        <f t="shared" si="24"/>
        <v>113.5583389653321</v>
      </c>
      <c r="AF29" s="562">
        <f t="shared" si="24"/>
        <v>114.01257232119343</v>
      </c>
      <c r="AG29" s="562">
        <f t="shared" si="24"/>
        <v>114.12658489351462</v>
      </c>
      <c r="AH29" s="562">
        <f t="shared" si="24"/>
        <v>114.12658489351462</v>
      </c>
      <c r="AI29" s="562">
        <f t="shared" si="24"/>
        <v>115.38197732734326</v>
      </c>
      <c r="AJ29" s="562">
        <f t="shared" si="24"/>
        <v>116.65117907794402</v>
      </c>
      <c r="AK29" s="562">
        <f t="shared" si="24"/>
        <v>117.46773733148964</v>
      </c>
      <c r="AL29" s="562">
        <f t="shared" si="24"/>
        <v>118.29001149281008</v>
      </c>
      <c r="AM29" s="562">
        <f t="shared" si="24"/>
        <v>119.23633158475256</v>
      </c>
      <c r="AN29" s="562">
        <f t="shared" si="24"/>
        <v>121.02487655852384</v>
      </c>
      <c r="AO29" s="562">
        <f t="shared" si="13"/>
        <v>124.29254822560401</v>
      </c>
      <c r="AP29" s="562">
        <f t="shared" si="14"/>
        <v>128.14561722059773</v>
      </c>
      <c r="AQ29" s="562">
        <f t="shared" si="15"/>
        <v>132.50256820609806</v>
      </c>
      <c r="AR29" s="562">
        <f t="shared" si="16"/>
        <v>136.34514268407491</v>
      </c>
      <c r="AS29" s="562">
        <f t="shared" si="17"/>
        <v>137.84493925359973</v>
      </c>
      <c r="AT29" s="562">
        <f t="shared" si="18"/>
        <v>139.91261334240372</v>
      </c>
      <c r="AU29" s="562">
        <f t="shared" si="19"/>
        <v>142.01130254253977</v>
      </c>
      <c r="AV29" s="562">
        <f t="shared" si="20"/>
        <v>145.41957380356072</v>
      </c>
      <c r="AW29" s="562">
        <f t="shared" si="21"/>
        <v>142.19877797503744</v>
      </c>
      <c r="AX29" s="562">
        <f t="shared" si="21"/>
        <v>144.9568249665212</v>
      </c>
    </row>
    <row r="30" spans="1:50">
      <c r="A30" s="497" t="s">
        <v>468</v>
      </c>
      <c r="B30" s="497">
        <v>100</v>
      </c>
      <c r="C30" s="562">
        <f t="shared" ref="C30:AN30" si="25">C10*B30</f>
        <v>100.9</v>
      </c>
      <c r="D30" s="562">
        <f t="shared" si="25"/>
        <v>101.50540000000001</v>
      </c>
      <c r="E30" s="562">
        <f t="shared" si="25"/>
        <v>102.31744320000001</v>
      </c>
      <c r="F30" s="562">
        <f t="shared" si="25"/>
        <v>103.03366530240002</v>
      </c>
      <c r="G30" s="562">
        <f t="shared" si="25"/>
        <v>103.75490095951683</v>
      </c>
      <c r="H30" s="562">
        <f t="shared" si="25"/>
        <v>103.33988135567877</v>
      </c>
      <c r="I30" s="562">
        <f t="shared" si="25"/>
        <v>103.2365414743231</v>
      </c>
      <c r="J30" s="562">
        <f t="shared" si="25"/>
        <v>103.2365414743231</v>
      </c>
      <c r="K30" s="562">
        <f t="shared" si="25"/>
        <v>103.95919726464338</v>
      </c>
      <c r="L30" s="562">
        <f t="shared" si="25"/>
        <v>104.27107485643729</v>
      </c>
      <c r="M30" s="562">
        <f t="shared" si="25"/>
        <v>104.58388808100659</v>
      </c>
      <c r="N30" s="562">
        <f t="shared" si="25"/>
        <v>104.37472030484457</v>
      </c>
      <c r="O30" s="562">
        <f t="shared" si="25"/>
        <v>104.79221918606395</v>
      </c>
      <c r="P30" s="562">
        <f t="shared" si="25"/>
        <v>104.47784252850575</v>
      </c>
      <c r="Q30" s="562">
        <f t="shared" si="25"/>
        <v>104.89575389861977</v>
      </c>
      <c r="R30" s="562">
        <f t="shared" si="25"/>
        <v>105.52512842201149</v>
      </c>
      <c r="S30" s="562">
        <f t="shared" si="25"/>
        <v>105.94722893569954</v>
      </c>
      <c r="T30" s="562">
        <f t="shared" si="25"/>
        <v>105.94722893569954</v>
      </c>
      <c r="U30" s="562">
        <f t="shared" si="25"/>
        <v>105.73533447782815</v>
      </c>
      <c r="V30" s="562">
        <f t="shared" si="25"/>
        <v>105.84106981230596</v>
      </c>
      <c r="W30" s="562">
        <f t="shared" si="25"/>
        <v>106.4761162311798</v>
      </c>
      <c r="X30" s="562">
        <f t="shared" si="25"/>
        <v>107.86030574218513</v>
      </c>
      <c r="Y30" s="562">
        <f t="shared" si="25"/>
        <v>108.93890879960699</v>
      </c>
      <c r="Z30" s="562">
        <f t="shared" si="25"/>
        <v>109.91935897880347</v>
      </c>
      <c r="AA30" s="562">
        <f t="shared" si="25"/>
        <v>111.1284719275703</v>
      </c>
      <c r="AB30" s="562">
        <f t="shared" si="25"/>
        <v>112.46201359070115</v>
      </c>
      <c r="AC30" s="562">
        <f t="shared" si="25"/>
        <v>114.26140580815236</v>
      </c>
      <c r="AD30" s="562">
        <f t="shared" si="25"/>
        <v>115.28975846042574</v>
      </c>
      <c r="AE30" s="562">
        <f t="shared" si="25"/>
        <v>116.09678676964874</v>
      </c>
      <c r="AF30" s="562">
        <f t="shared" si="25"/>
        <v>116.44507712995768</v>
      </c>
      <c r="AG30" s="562">
        <f t="shared" si="25"/>
        <v>116.91085743847751</v>
      </c>
      <c r="AH30" s="562">
        <f t="shared" si="25"/>
        <v>116.79394658103904</v>
      </c>
      <c r="AI30" s="562">
        <f t="shared" si="25"/>
        <v>117.61150420710632</v>
      </c>
      <c r="AJ30" s="562">
        <f t="shared" si="25"/>
        <v>118.78761924917738</v>
      </c>
      <c r="AK30" s="562">
        <f t="shared" si="25"/>
        <v>119.7379202031708</v>
      </c>
      <c r="AL30" s="562">
        <f t="shared" si="25"/>
        <v>120.45634772438983</v>
      </c>
      <c r="AM30" s="562">
        <f t="shared" si="25"/>
        <v>121.66091120163372</v>
      </c>
      <c r="AN30" s="562">
        <f t="shared" si="25"/>
        <v>123.72914669206151</v>
      </c>
      <c r="AO30" s="562">
        <f t="shared" si="13"/>
        <v>127.31729194613131</v>
      </c>
      <c r="AP30" s="562">
        <f t="shared" si="14"/>
        <v>131.00949341256913</v>
      </c>
      <c r="AQ30" s="562">
        <f t="shared" si="15"/>
        <v>134.28473074788334</v>
      </c>
      <c r="AR30" s="562">
        <f t="shared" si="16"/>
        <v>138.04470320882407</v>
      </c>
      <c r="AS30" s="562">
        <f t="shared" si="17"/>
        <v>139.14906083449466</v>
      </c>
      <c r="AT30" s="562">
        <f t="shared" si="18"/>
        <v>141.09714768617758</v>
      </c>
      <c r="AU30" s="562">
        <f t="shared" si="19"/>
        <v>144.62457637833199</v>
      </c>
      <c r="AV30" s="562">
        <f t="shared" si="20"/>
        <v>148.38481536416862</v>
      </c>
      <c r="AW30" s="562">
        <f t="shared" si="21"/>
        <v>152.39253651580796</v>
      </c>
      <c r="AX30" s="562">
        <f t="shared" si="21"/>
        <v>152.83512253248028</v>
      </c>
    </row>
    <row r="31" spans="1:50">
      <c r="A31" s="497" t="s">
        <v>469</v>
      </c>
      <c r="B31" s="497">
        <v>100</v>
      </c>
      <c r="C31" s="562">
        <f t="shared" ref="C31:AN31" si="26">C11*B31</f>
        <v>100.8</v>
      </c>
      <c r="D31" s="562">
        <f t="shared" si="26"/>
        <v>101.30399999999999</v>
      </c>
      <c r="E31" s="562">
        <f t="shared" si="26"/>
        <v>102.01312799999999</v>
      </c>
      <c r="F31" s="562">
        <f t="shared" si="26"/>
        <v>103.03325928</v>
      </c>
      <c r="G31" s="562">
        <f t="shared" si="26"/>
        <v>103.54842557639998</v>
      </c>
      <c r="H31" s="562">
        <f t="shared" si="26"/>
        <v>103.44487715082359</v>
      </c>
      <c r="I31" s="562">
        <f t="shared" si="26"/>
        <v>102.92765276506947</v>
      </c>
      <c r="J31" s="562">
        <f t="shared" si="26"/>
        <v>103.03058041783453</v>
      </c>
      <c r="K31" s="562">
        <f t="shared" si="26"/>
        <v>103.64876390034154</v>
      </c>
      <c r="L31" s="562">
        <f t="shared" si="26"/>
        <v>104.58160277544462</v>
      </c>
      <c r="M31" s="562">
        <f t="shared" si="26"/>
        <v>104.89534758377094</v>
      </c>
      <c r="N31" s="562">
        <f t="shared" si="26"/>
        <v>104.89534758377094</v>
      </c>
      <c r="O31" s="562">
        <f t="shared" si="26"/>
        <v>105.00024293135471</v>
      </c>
      <c r="P31" s="562">
        <f t="shared" si="26"/>
        <v>105.00024293135471</v>
      </c>
      <c r="Q31" s="562">
        <f t="shared" si="26"/>
        <v>105.42024390308012</v>
      </c>
      <c r="R31" s="562">
        <f t="shared" si="26"/>
        <v>106.15818561040169</v>
      </c>
      <c r="S31" s="562">
        <f t="shared" si="26"/>
        <v>106.3705019816225</v>
      </c>
      <c r="T31" s="562">
        <f t="shared" si="26"/>
        <v>106.68961348756736</v>
      </c>
      <c r="U31" s="562">
        <f t="shared" si="26"/>
        <v>106.68961348756736</v>
      </c>
      <c r="V31" s="562">
        <f t="shared" si="26"/>
        <v>106.5829238740798</v>
      </c>
      <c r="W31" s="562">
        <f t="shared" si="26"/>
        <v>107.22242141732427</v>
      </c>
      <c r="X31" s="562">
        <f t="shared" si="26"/>
        <v>108.40186805291482</v>
      </c>
      <c r="Y31" s="562">
        <f t="shared" si="26"/>
        <v>110.02789607370853</v>
      </c>
      <c r="Z31" s="562">
        <f t="shared" si="26"/>
        <v>111.01814713837192</v>
      </c>
      <c r="AA31" s="562">
        <f t="shared" si="26"/>
        <v>112.35036490403238</v>
      </c>
      <c r="AB31" s="562">
        <f t="shared" si="26"/>
        <v>113.92327001268883</v>
      </c>
      <c r="AC31" s="562">
        <f t="shared" si="26"/>
        <v>115.63211906287916</v>
      </c>
      <c r="AD31" s="562">
        <f t="shared" si="26"/>
        <v>116.44154389631932</v>
      </c>
      <c r="AE31" s="562">
        <f t="shared" si="26"/>
        <v>117.37307624748988</v>
      </c>
      <c r="AF31" s="562">
        <f t="shared" si="26"/>
        <v>117.49044932373735</v>
      </c>
      <c r="AG31" s="562">
        <f t="shared" si="26"/>
        <v>117.60793977306108</v>
      </c>
      <c r="AH31" s="562">
        <f t="shared" si="26"/>
        <v>117.49033183328802</v>
      </c>
      <c r="AI31" s="562">
        <f t="shared" si="26"/>
        <v>118.78272548345419</v>
      </c>
      <c r="AJ31" s="562">
        <f t="shared" si="26"/>
        <v>119.85177001280529</v>
      </c>
      <c r="AK31" s="562">
        <f t="shared" si="26"/>
        <v>121.40984302297174</v>
      </c>
      <c r="AL31" s="562">
        <f t="shared" si="26"/>
        <v>122.01689223808658</v>
      </c>
      <c r="AM31" s="562">
        <f t="shared" si="26"/>
        <v>123.96916251389597</v>
      </c>
      <c r="AN31" s="562">
        <f t="shared" si="26"/>
        <v>126.32457660166</v>
      </c>
      <c r="AO31" s="562">
        <f t="shared" si="13"/>
        <v>130.87226135931977</v>
      </c>
      <c r="AP31" s="562">
        <f t="shared" si="14"/>
        <v>133.88232337058412</v>
      </c>
      <c r="AQ31" s="562">
        <f t="shared" si="15"/>
        <v>136.96161680810755</v>
      </c>
      <c r="AR31" s="562">
        <f t="shared" si="16"/>
        <v>141.34438854596701</v>
      </c>
      <c r="AS31" s="562">
        <f t="shared" si="17"/>
        <v>142.75783243142669</v>
      </c>
      <c r="AT31" s="562">
        <f t="shared" si="18"/>
        <v>145.32747341519237</v>
      </c>
      <c r="AU31" s="562">
        <f t="shared" si="19"/>
        <v>148.5246778303266</v>
      </c>
      <c r="AV31" s="562">
        <f t="shared" si="20"/>
        <v>152.98041816523639</v>
      </c>
      <c r="AW31" s="562">
        <f t="shared" si="21"/>
        <v>158.28026067659658</v>
      </c>
      <c r="AX31" s="562">
        <f t="shared" si="21"/>
        <v>157.03951030975108</v>
      </c>
    </row>
    <row r="32" spans="1:50">
      <c r="A32" s="497" t="s">
        <v>470</v>
      </c>
      <c r="B32" s="497">
        <v>100</v>
      </c>
      <c r="C32" s="562">
        <f t="shared" ref="C32:AN32" si="27">C12*B32</f>
        <v>101</v>
      </c>
      <c r="D32" s="562">
        <f t="shared" si="27"/>
        <v>101.60599999999999</v>
      </c>
      <c r="E32" s="562">
        <f t="shared" si="27"/>
        <v>102.520454</v>
      </c>
      <c r="F32" s="562">
        <f t="shared" si="27"/>
        <v>103.54565854000001</v>
      </c>
      <c r="G32" s="562">
        <f t="shared" si="27"/>
        <v>104.68466078393999</v>
      </c>
      <c r="H32" s="562">
        <f t="shared" si="27"/>
        <v>103.63781417610059</v>
      </c>
      <c r="I32" s="562">
        <f t="shared" si="27"/>
        <v>103.22326291939619</v>
      </c>
      <c r="J32" s="562">
        <f t="shared" si="27"/>
        <v>102.91359313063801</v>
      </c>
      <c r="K32" s="562">
        <f t="shared" si="27"/>
        <v>103.53107468942183</v>
      </c>
      <c r="L32" s="562">
        <f t="shared" si="27"/>
        <v>104.46285436162664</v>
      </c>
      <c r="M32" s="562">
        <f t="shared" si="27"/>
        <v>104.98516863343477</v>
      </c>
      <c r="N32" s="562">
        <f t="shared" si="27"/>
        <v>104.35525762163417</v>
      </c>
      <c r="O32" s="562">
        <f t="shared" si="27"/>
        <v>104.04219184876926</v>
      </c>
      <c r="P32" s="562">
        <f t="shared" si="27"/>
        <v>103.41793869767666</v>
      </c>
      <c r="Q32" s="562">
        <f t="shared" si="27"/>
        <v>104.45211808465343</v>
      </c>
      <c r="R32" s="562">
        <f t="shared" si="27"/>
        <v>105.07883079316136</v>
      </c>
      <c r="S32" s="562">
        <f t="shared" si="27"/>
        <v>105.39406728554083</v>
      </c>
      <c r="T32" s="562">
        <f t="shared" si="27"/>
        <v>105.92103762196852</v>
      </c>
      <c r="U32" s="562">
        <f t="shared" si="27"/>
        <v>105.92103762196852</v>
      </c>
      <c r="V32" s="562">
        <f t="shared" si="27"/>
        <v>105.60327450910262</v>
      </c>
      <c r="W32" s="562">
        <f t="shared" si="27"/>
        <v>106.02568760713903</v>
      </c>
      <c r="X32" s="562">
        <f t="shared" si="27"/>
        <v>107.40402154603183</v>
      </c>
      <c r="Y32" s="562">
        <f t="shared" si="27"/>
        <v>108.80027382613024</v>
      </c>
      <c r="Z32" s="562">
        <f t="shared" si="27"/>
        <v>109.77947629056543</v>
      </c>
      <c r="AA32" s="562">
        <f t="shared" si="27"/>
        <v>110.98705052976163</v>
      </c>
      <c r="AB32" s="562">
        <f t="shared" si="27"/>
        <v>112.31889513611877</v>
      </c>
      <c r="AC32" s="562">
        <f t="shared" si="27"/>
        <v>114.90222972424949</v>
      </c>
      <c r="AD32" s="562">
        <f t="shared" si="27"/>
        <v>115.24693641342223</v>
      </c>
      <c r="AE32" s="562">
        <f t="shared" si="27"/>
        <v>117.09088739603699</v>
      </c>
      <c r="AF32" s="562">
        <f t="shared" si="27"/>
        <v>116.85670562124491</v>
      </c>
      <c r="AG32" s="562">
        <f t="shared" si="27"/>
        <v>117.20727573810863</v>
      </c>
      <c r="AH32" s="562">
        <f t="shared" si="27"/>
        <v>117.09006846237054</v>
      </c>
      <c r="AI32" s="562">
        <f t="shared" si="27"/>
        <v>118.3780592154566</v>
      </c>
      <c r="AJ32" s="562">
        <f t="shared" si="27"/>
        <v>119.20670562996482</v>
      </c>
      <c r="AK32" s="562">
        <f t="shared" si="27"/>
        <v>120.63718609752439</v>
      </c>
      <c r="AL32" s="562">
        <f t="shared" si="27"/>
        <v>121.240372028012</v>
      </c>
      <c r="AM32" s="562">
        <f t="shared" si="27"/>
        <v>122.69525649234815</v>
      </c>
      <c r="AN32" s="562">
        <f t="shared" si="27"/>
        <v>124.41299008324103</v>
      </c>
      <c r="AO32" s="562">
        <f t="shared" si="13"/>
        <v>129.26509669648743</v>
      </c>
      <c r="AP32" s="562">
        <f t="shared" si="14"/>
        <v>132.4967241138996</v>
      </c>
      <c r="AQ32" s="562">
        <f t="shared" si="15"/>
        <v>138.59157342313898</v>
      </c>
      <c r="AR32" s="562">
        <f t="shared" si="16"/>
        <v>141.91777118529433</v>
      </c>
      <c r="AS32" s="562">
        <f t="shared" si="17"/>
        <v>142.48544227003549</v>
      </c>
      <c r="AT32" s="562">
        <f t="shared" si="18"/>
        <v>144.90769478862612</v>
      </c>
      <c r="AU32" s="562">
        <f t="shared" si="19"/>
        <v>147.37112560003277</v>
      </c>
      <c r="AV32" s="562">
        <f t="shared" si="20"/>
        <v>151.35014599123366</v>
      </c>
      <c r="AW32" s="562">
        <f t="shared" si="21"/>
        <v>152.80684834672093</v>
      </c>
      <c r="AX32" s="562">
        <f t="shared" si="21"/>
        <v>154.83772057678095</v>
      </c>
    </row>
    <row r="33" spans="1:50">
      <c r="A33" s="497" t="s">
        <v>471</v>
      </c>
      <c r="B33" s="497">
        <v>100</v>
      </c>
      <c r="C33" s="562">
        <f t="shared" ref="C33:AN33" si="28">C13*B33</f>
        <v>101.2</v>
      </c>
      <c r="D33" s="562">
        <f t="shared" si="28"/>
        <v>101.80720000000001</v>
      </c>
      <c r="E33" s="562">
        <f t="shared" si="28"/>
        <v>103.33430799999999</v>
      </c>
      <c r="F33" s="562">
        <f t="shared" si="28"/>
        <v>104.47098538799999</v>
      </c>
      <c r="G33" s="562">
        <f t="shared" si="28"/>
        <v>105.41122425649201</v>
      </c>
      <c r="H33" s="562">
        <f t="shared" si="28"/>
        <v>104.56793446244006</v>
      </c>
      <c r="I33" s="562">
        <f t="shared" si="28"/>
        <v>103.52225511781566</v>
      </c>
      <c r="J33" s="562">
        <f t="shared" si="28"/>
        <v>103.10816609734439</v>
      </c>
      <c r="K33" s="562">
        <f t="shared" si="28"/>
        <v>104.34546409051252</v>
      </c>
      <c r="L33" s="562">
        <f t="shared" si="28"/>
        <v>104.76284594687458</v>
      </c>
      <c r="M33" s="562">
        <f t="shared" si="28"/>
        <v>104.55332025498083</v>
      </c>
      <c r="N33" s="562">
        <f t="shared" si="28"/>
        <v>103.92600033345096</v>
      </c>
      <c r="O33" s="562">
        <f t="shared" si="28"/>
        <v>104.0299263337844</v>
      </c>
      <c r="P33" s="562">
        <f t="shared" si="28"/>
        <v>104.44604603911954</v>
      </c>
      <c r="Q33" s="562">
        <f t="shared" si="28"/>
        <v>106.43052091386282</v>
      </c>
      <c r="R33" s="562">
        <f t="shared" si="28"/>
        <v>106.96267351843213</v>
      </c>
      <c r="S33" s="562">
        <f t="shared" si="28"/>
        <v>107.49748688602428</v>
      </c>
      <c r="T33" s="562">
        <f t="shared" si="28"/>
        <v>107.92747683356838</v>
      </c>
      <c r="U33" s="562">
        <f t="shared" si="28"/>
        <v>106.74027458839913</v>
      </c>
      <c r="V33" s="562">
        <f t="shared" si="28"/>
        <v>106.09983294086875</v>
      </c>
      <c r="W33" s="562">
        <f t="shared" si="28"/>
        <v>107.05473143733659</v>
      </c>
      <c r="X33" s="562">
        <f t="shared" si="28"/>
        <v>107.69705982596061</v>
      </c>
      <c r="Y33" s="562">
        <f t="shared" si="28"/>
        <v>108.98942454387213</v>
      </c>
      <c r="Z33" s="562">
        <f t="shared" si="28"/>
        <v>109.970329364767</v>
      </c>
      <c r="AA33" s="562">
        <f t="shared" si="28"/>
        <v>111.07003265841466</v>
      </c>
      <c r="AB33" s="562">
        <f t="shared" si="28"/>
        <v>112.40287305031563</v>
      </c>
      <c r="AC33" s="562">
        <f t="shared" si="28"/>
        <v>114.76333338437225</v>
      </c>
      <c r="AD33" s="562">
        <f t="shared" si="28"/>
        <v>115.10762338452535</v>
      </c>
      <c r="AE33" s="562">
        <f t="shared" si="28"/>
        <v>117.75509872236942</v>
      </c>
      <c r="AF33" s="562">
        <f t="shared" si="28"/>
        <v>117.99060891981416</v>
      </c>
      <c r="AG33" s="562">
        <f t="shared" si="28"/>
        <v>117.5186464841349</v>
      </c>
      <c r="AH33" s="562">
        <f t="shared" si="28"/>
        <v>116.93105325171423</v>
      </c>
      <c r="AI33" s="562">
        <f t="shared" si="28"/>
        <v>118.3342258907348</v>
      </c>
      <c r="AJ33" s="562">
        <f t="shared" si="28"/>
        <v>119.51756814964214</v>
      </c>
      <c r="AK33" s="562">
        <f t="shared" si="28"/>
        <v>120.23467355854</v>
      </c>
      <c r="AL33" s="562">
        <f t="shared" si="28"/>
        <v>120.59537757921561</v>
      </c>
      <c r="AM33" s="562">
        <f t="shared" si="28"/>
        <v>122.52490362048306</v>
      </c>
      <c r="AN33" s="562">
        <f t="shared" si="28"/>
        <v>125.34297640375416</v>
      </c>
      <c r="AO33" s="562">
        <f t="shared" si="13"/>
        <v>131.23409629473059</v>
      </c>
      <c r="AP33" s="562">
        <f t="shared" si="14"/>
        <v>135.69605556875143</v>
      </c>
      <c r="AQ33" s="562">
        <f t="shared" si="15"/>
        <v>139.49554512467648</v>
      </c>
      <c r="AR33" s="562">
        <f t="shared" si="16"/>
        <v>143.68041147841677</v>
      </c>
      <c r="AS33" s="562">
        <f t="shared" si="17"/>
        <v>143.68041147841677</v>
      </c>
      <c r="AT33" s="562">
        <f t="shared" si="18"/>
        <v>144.25513312433043</v>
      </c>
      <c r="AU33" s="562">
        <f t="shared" si="19"/>
        <v>147.86151145243866</v>
      </c>
      <c r="AV33" s="562">
        <f t="shared" si="20"/>
        <v>150.96660319293986</v>
      </c>
      <c r="AW33" s="562">
        <f t="shared" si="21"/>
        <v>153.98116263669306</v>
      </c>
      <c r="AX33" s="562">
        <f t="shared" si="21"/>
        <v>154.7487808332248</v>
      </c>
    </row>
    <row r="34" spans="1:5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row>
    <row r="36" spans="1:50">
      <c r="A36" s="552" t="s">
        <v>456</v>
      </c>
    </row>
    <row r="37" spans="1:50">
      <c r="A37" s="557" t="s">
        <v>463</v>
      </c>
      <c r="B37" s="497"/>
      <c r="C37" s="558">
        <f t="array" ref="C37:AL37">TRANSPOSE('ІСЦ (Стрим Інфл)'!J86:J121)</f>
        <v>9.1999999999999998E-2</v>
      </c>
      <c r="D37" s="558">
        <v>8.7999999999999995E-2</v>
      </c>
      <c r="E37" s="558">
        <v>8.5999999999999993E-2</v>
      </c>
      <c r="F37" s="558">
        <v>8.7999999999999995E-2</v>
      </c>
      <c r="G37" s="558">
        <v>9.6000000000000002E-2</v>
      </c>
      <c r="H37" s="558">
        <v>0.09</v>
      </c>
      <c r="I37" s="558">
        <v>9.0999999999999998E-2</v>
      </c>
      <c r="J37" s="558">
        <v>8.7999999999999995E-2</v>
      </c>
      <c r="K37" s="558">
        <v>7.4999999999999997E-2</v>
      </c>
      <c r="L37" s="558">
        <v>6.5000000000000002E-2</v>
      </c>
      <c r="M37" s="558">
        <v>5.0999999999999997E-2</v>
      </c>
      <c r="N37" s="558">
        <v>4.0999999999999995E-2</v>
      </c>
      <c r="O37" s="558">
        <v>3.2000000000000001E-2</v>
      </c>
      <c r="P37" s="558">
        <v>2.4E-2</v>
      </c>
      <c r="Q37" s="558">
        <v>2.3E-2</v>
      </c>
      <c r="R37" s="558">
        <v>2.1000000000000001E-2</v>
      </c>
      <c r="S37" s="558">
        <v>1.7000000000000001E-2</v>
      </c>
      <c r="T37" s="558">
        <v>2.4E-2</v>
      </c>
      <c r="U37" s="558">
        <v>2.4E-2</v>
      </c>
      <c r="V37" s="558">
        <v>2.5000000000000001E-2</v>
      </c>
      <c r="W37" s="558">
        <v>2.3E-2</v>
      </c>
      <c r="X37" s="558">
        <v>2.5999999999999999E-2</v>
      </c>
      <c r="Y37" s="558">
        <v>3.7999999999999999E-2</v>
      </c>
      <c r="Z37" s="558">
        <v>0.05</v>
      </c>
      <c r="AA37" s="558">
        <v>6.0999999999999999E-2</v>
      </c>
      <c r="AB37" s="558">
        <v>7.4999999999999997E-2</v>
      </c>
      <c r="AC37" s="558">
        <v>8.5000000000000006E-2</v>
      </c>
      <c r="AD37" s="558">
        <v>8.4000000000000005E-2</v>
      </c>
      <c r="AE37" s="558">
        <v>9.5000000000000001E-2</v>
      </c>
      <c r="AF37" s="558">
        <v>9.5000000000000001E-2</v>
      </c>
      <c r="AG37" s="558">
        <v>0.10199999999999999</v>
      </c>
      <c r="AH37" s="558">
        <v>0.10199999999999999</v>
      </c>
      <c r="AI37" s="558">
        <v>0.11</v>
      </c>
      <c r="AJ37" s="558">
        <v>0.109</v>
      </c>
      <c r="AK37" s="558">
        <v>0.10299999999999999</v>
      </c>
      <c r="AL37" s="558">
        <v>0.1</v>
      </c>
      <c r="AM37" s="559">
        <f t="array" ref="AM37:AX37">TRANSPOSE('ІСЦ (Стрим Інфл)'!R124:R135)</f>
        <v>0.1</v>
      </c>
      <c r="AN37" s="559">
        <v>0.10700000000000003</v>
      </c>
      <c r="AO37" s="559">
        <v>0.13700000000000004</v>
      </c>
      <c r="AP37" s="559">
        <v>0.16400000000000006</v>
      </c>
      <c r="AQ37" s="559">
        <v>0.18</v>
      </c>
      <c r="AR37" s="559">
        <v>0.215</v>
      </c>
      <c r="AS37" s="559">
        <v>0.222</v>
      </c>
      <c r="AT37" s="559">
        <v>0.23799999999999999</v>
      </c>
      <c r="AU37" s="559">
        <v>0.246</v>
      </c>
      <c r="AV37" s="559">
        <v>0.26600000000000001</v>
      </c>
      <c r="AW37" s="559">
        <v>0.26500000000000001</v>
      </c>
      <c r="AX37" s="559">
        <v>0.26600000000000001</v>
      </c>
    </row>
    <row r="38" spans="1:50">
      <c r="A38" s="497" t="s">
        <v>452</v>
      </c>
      <c r="B38" s="497"/>
      <c r="C38" s="497"/>
      <c r="D38" s="497"/>
      <c r="E38" s="497"/>
      <c r="F38" s="497"/>
      <c r="G38" s="497"/>
      <c r="H38" s="497"/>
      <c r="I38" s="497"/>
      <c r="J38" s="497"/>
      <c r="K38" s="497"/>
      <c r="L38" s="497"/>
      <c r="M38" s="560"/>
      <c r="N38" s="560">
        <f t="shared" ref="N38:AR38" si="29">N26/B26-1</f>
        <v>4.3717359056404392E-2</v>
      </c>
      <c r="O38" s="560">
        <f t="shared" si="29"/>
        <v>3.7510912917317452E-2</v>
      </c>
      <c r="P38" s="560">
        <f t="shared" si="29"/>
        <v>3.4404592818762625E-2</v>
      </c>
      <c r="Q38" s="560">
        <f t="shared" si="29"/>
        <v>2.4152812909756127E-2</v>
      </c>
      <c r="R38" s="560">
        <f t="shared" si="29"/>
        <v>2.2122777601708998E-2</v>
      </c>
      <c r="S38" s="560">
        <f t="shared" si="29"/>
        <v>2.6211268712115876E-2</v>
      </c>
      <c r="T38" s="560">
        <f t="shared" si="29"/>
        <v>3.0324339929398869E-2</v>
      </c>
      <c r="U38" s="560">
        <f t="shared" si="29"/>
        <v>3.2389118165730313E-2</v>
      </c>
      <c r="V38" s="560">
        <f t="shared" si="29"/>
        <v>3.445596324714284E-2</v>
      </c>
      <c r="W38" s="560">
        <f t="shared" si="29"/>
        <v>3.240347125657328E-2</v>
      </c>
      <c r="X38" s="560">
        <f t="shared" si="29"/>
        <v>3.0359107947154129E-2</v>
      </c>
      <c r="Y38" s="560">
        <f t="shared" si="29"/>
        <v>3.9613830473625544E-2</v>
      </c>
      <c r="Z38" s="560">
        <f t="shared" si="29"/>
        <v>4.8979720838252527E-2</v>
      </c>
      <c r="AA38" s="560">
        <f t="shared" si="29"/>
        <v>5.7346458392296462E-2</v>
      </c>
      <c r="AB38" s="560">
        <f t="shared" si="29"/>
        <v>7.11057216146187E-2</v>
      </c>
      <c r="AC38" s="560">
        <f t="shared" si="29"/>
        <v>8.5044034308302319E-2</v>
      </c>
      <c r="AD38" s="560">
        <f t="shared" si="29"/>
        <v>8.3966532784659265E-2</v>
      </c>
      <c r="AE38" s="560">
        <f t="shared" si="29"/>
        <v>8.9364772489762379E-2</v>
      </c>
      <c r="AF38" s="560">
        <f t="shared" si="29"/>
        <v>9.1539153273175078E-2</v>
      </c>
      <c r="AG38" s="560">
        <f t="shared" si="29"/>
        <v>9.5905309886267665E-2</v>
      </c>
      <c r="AH38" s="560">
        <f t="shared" si="29"/>
        <v>9.3715688887494375E-2</v>
      </c>
      <c r="AI38" s="560">
        <f t="shared" si="29"/>
        <v>0.10241322915697726</v>
      </c>
      <c r="AJ38" s="560">
        <f t="shared" si="29"/>
        <v>0.10241322915697748</v>
      </c>
      <c r="AK38" s="560">
        <f t="shared" si="29"/>
        <v>9.8051554659818629E-2</v>
      </c>
      <c r="AL38" s="560">
        <f t="shared" si="29"/>
        <v>9.8051554659818629E-2</v>
      </c>
      <c r="AM38" s="560">
        <f t="shared" si="29"/>
        <v>9.8051554659818629E-2</v>
      </c>
      <c r="AN38" s="560">
        <f t="shared" si="29"/>
        <v>0.10130664820130031</v>
      </c>
      <c r="AO38" s="560">
        <f t="shared" si="29"/>
        <v>0.1219833540469768</v>
      </c>
      <c r="AP38" s="560">
        <f t="shared" si="29"/>
        <v>0.15544210217959042</v>
      </c>
      <c r="AQ38" s="560">
        <f t="shared" si="29"/>
        <v>0.17147400448931704</v>
      </c>
      <c r="AR38" s="560">
        <f t="shared" si="29"/>
        <v>0.20414459425595144</v>
      </c>
      <c r="AS38" s="560">
        <f t="shared" ref="AS38:AS45" si="30">AS26/AG26-1</f>
        <v>0.21134067748855667</v>
      </c>
      <c r="AT38" s="560">
        <f t="shared" ref="AT38:AT45" si="31">AT26/AH26-1</f>
        <v>0.23316663564150364</v>
      </c>
      <c r="AU38" s="560">
        <f t="shared" ref="AU38:AU45" si="32">AU26/AI26-1</f>
        <v>0.2404634796393823</v>
      </c>
      <c r="AV38" s="560">
        <f t="shared" ref="AV38:AV45" si="33">AV26/AJ26-1</f>
        <v>0.25400028348465331</v>
      </c>
      <c r="AW38" s="561">
        <f t="shared" ref="AW38:AX45" si="34">AW$37*AVERAGE(AK38/AK$37,Y38/Y$37)</f>
        <v>0.26426145352605812</v>
      </c>
      <c r="AX38" s="561">
        <f t="shared" si="34"/>
        <v>0.26069462512731051</v>
      </c>
    </row>
    <row r="39" spans="1:50">
      <c r="A39" s="497" t="s">
        <v>465</v>
      </c>
      <c r="B39" s="497"/>
      <c r="C39" s="497"/>
      <c r="D39" s="497"/>
      <c r="E39" s="497"/>
      <c r="F39" s="497"/>
      <c r="G39" s="497"/>
      <c r="H39" s="497"/>
      <c r="I39" s="497"/>
      <c r="J39" s="497"/>
      <c r="K39" s="497"/>
      <c r="L39" s="497"/>
      <c r="M39" s="560"/>
      <c r="N39" s="560">
        <f>N27/B27-1</f>
        <v>4.4637133290313269E-2</v>
      </c>
      <c r="O39" s="560">
        <f>O27/C27-1</f>
        <v>3.6370964085246538E-2</v>
      </c>
      <c r="P39" s="560">
        <f t="shared" ref="O39:AR45" si="35">P27/D27-1</f>
        <v>2.7099255659036592E-2</v>
      </c>
      <c r="Q39" s="560">
        <f t="shared" si="35"/>
        <v>2.7099255659036592E-2</v>
      </c>
      <c r="R39" s="560">
        <f t="shared" si="35"/>
        <v>2.3035559296389563E-2</v>
      </c>
      <c r="S39" s="560">
        <f t="shared" si="35"/>
        <v>1.595222703617738E-2</v>
      </c>
      <c r="T39" s="560">
        <f t="shared" si="35"/>
        <v>2.4120687153051046E-2</v>
      </c>
      <c r="U39" s="560">
        <f t="shared" si="35"/>
        <v>2.8246047423556631E-2</v>
      </c>
      <c r="V39" s="560">
        <f t="shared" si="35"/>
        <v>3.547993921447623E-2</v>
      </c>
      <c r="W39" s="560">
        <f t="shared" si="35"/>
        <v>3.342133098542166E-2</v>
      </c>
      <c r="X39" s="560">
        <f t="shared" si="35"/>
        <v>4.0612135475379674E-2</v>
      </c>
      <c r="Y39" s="560">
        <f t="shared" si="35"/>
        <v>4.5799633658208272E-2</v>
      </c>
      <c r="Z39" s="560">
        <f t="shared" si="35"/>
        <v>5.627858790328033E-2</v>
      </c>
      <c r="AA39" s="560">
        <f t="shared" si="35"/>
        <v>6.5756660975194281E-2</v>
      </c>
      <c r="AB39" s="560">
        <f t="shared" si="35"/>
        <v>7.9653187146385251E-2</v>
      </c>
      <c r="AC39" s="560">
        <f t="shared" si="35"/>
        <v>8.7143348008649424E-2</v>
      </c>
      <c r="AD39" s="560">
        <f t="shared" si="35"/>
        <v>8.7143348008649646E-2</v>
      </c>
      <c r="AE39" s="560">
        <f t="shared" si="35"/>
        <v>9.4723032705920973E-2</v>
      </c>
      <c r="AF39" s="560">
        <f t="shared" si="35"/>
        <v>9.4723032705920751E-2</v>
      </c>
      <c r="AG39" s="560">
        <f t="shared" si="35"/>
        <v>0.10240915229362546</v>
      </c>
      <c r="AH39" s="560">
        <f t="shared" si="35"/>
        <v>9.6908108619505606E-2</v>
      </c>
      <c r="AI39" s="560">
        <f t="shared" si="35"/>
        <v>0.10564841227384414</v>
      </c>
      <c r="AJ39" s="560">
        <f t="shared" si="35"/>
        <v>0.10128257451560629</v>
      </c>
      <c r="AK39" s="560">
        <f t="shared" si="35"/>
        <v>0.10019003227898371</v>
      </c>
      <c r="AL39" s="560">
        <f t="shared" si="35"/>
        <v>0.10237294900969585</v>
      </c>
      <c r="AM39" s="560">
        <f t="shared" si="35"/>
        <v>0.10455155167572294</v>
      </c>
      <c r="AN39" s="560">
        <f t="shared" si="35"/>
        <v>0.11220685945961417</v>
      </c>
      <c r="AO39" s="560">
        <f t="shared" si="35"/>
        <v>0.13410069527574842</v>
      </c>
      <c r="AP39" s="560">
        <f t="shared" si="35"/>
        <v>0.15887747312685696</v>
      </c>
      <c r="AQ39" s="560">
        <f>AQ27/AE27-1</f>
        <v>0.17951030647629684</v>
      </c>
      <c r="AR39" s="560">
        <f>AR27/AF27-1</f>
        <v>0.21243781253944372</v>
      </c>
      <c r="AS39" s="560">
        <f t="shared" si="30"/>
        <v>0.22451388636951775</v>
      </c>
      <c r="AT39" s="560">
        <f t="shared" si="31"/>
        <v>0.2404804666331124</v>
      </c>
      <c r="AU39" s="560">
        <f t="shared" si="32"/>
        <v>0.24660932269355285</v>
      </c>
      <c r="AV39" s="560">
        <f t="shared" si="33"/>
        <v>0.26267069156869272</v>
      </c>
      <c r="AW39" s="561">
        <f>AW$37*AVERAGE(AK39/AK$37,Y39/Y$37)</f>
        <v>0.28858132674376102</v>
      </c>
      <c r="AX39" s="561">
        <f t="shared" si="34"/>
        <v>0.28585706600562116</v>
      </c>
    </row>
    <row r="40" spans="1:50">
      <c r="A40" s="497" t="s">
        <v>466</v>
      </c>
      <c r="B40" s="497"/>
      <c r="C40" s="497"/>
      <c r="D40" s="497"/>
      <c r="E40" s="497"/>
      <c r="F40" s="497"/>
      <c r="G40" s="497"/>
      <c r="H40" s="497"/>
      <c r="I40" s="497"/>
      <c r="J40" s="497"/>
      <c r="K40" s="497"/>
      <c r="L40" s="497"/>
      <c r="M40" s="560"/>
      <c r="N40" s="560">
        <f t="shared" ref="N40:N45" si="36">N28/B28-1</f>
        <v>4.1600510619917319E-2</v>
      </c>
      <c r="O40" s="560">
        <f t="shared" si="35"/>
        <v>3.9533842940115971E-2</v>
      </c>
      <c r="P40" s="560">
        <f t="shared" si="35"/>
        <v>3.1267172220910355E-2</v>
      </c>
      <c r="Q40" s="560">
        <f t="shared" si="35"/>
        <v>2.7170778289545838E-2</v>
      </c>
      <c r="R40" s="560">
        <f t="shared" si="35"/>
        <v>2.1062726089607908E-2</v>
      </c>
      <c r="S40" s="560">
        <f t="shared" si="35"/>
        <v>2.004976703594763E-2</v>
      </c>
      <c r="T40" s="560">
        <f t="shared" si="35"/>
        <v>2.5170498798176233E-2</v>
      </c>
      <c r="U40" s="560">
        <f t="shared" si="35"/>
        <v>2.6201857448878707E-2</v>
      </c>
      <c r="V40" s="560">
        <f t="shared" si="35"/>
        <v>2.7231147175507342E-2</v>
      </c>
      <c r="W40" s="560">
        <f t="shared" si="35"/>
        <v>2.4176941584301392E-2</v>
      </c>
      <c r="X40" s="560">
        <f t="shared" si="35"/>
        <v>2.9267284236310864E-2</v>
      </c>
      <c r="Y40" s="560">
        <f t="shared" si="35"/>
        <v>4.1581548853295569E-2</v>
      </c>
      <c r="Z40" s="560">
        <f t="shared" si="35"/>
        <v>5.3061906606187703E-2</v>
      </c>
      <c r="AA40" s="560">
        <f t="shared" si="35"/>
        <v>5.8295812702639838E-2</v>
      </c>
      <c r="AB40" s="560">
        <f t="shared" si="35"/>
        <v>7.420206239255922E-2</v>
      </c>
      <c r="AC40" s="560">
        <f t="shared" si="35"/>
        <v>8.8124920628953385E-2</v>
      </c>
      <c r="AD40" s="560">
        <f t="shared" si="35"/>
        <v>8.7040050319253659E-2</v>
      </c>
      <c r="AE40" s="560">
        <f t="shared" si="35"/>
        <v>9.5675919636586171E-2</v>
      </c>
      <c r="AF40" s="560">
        <f t="shared" si="35"/>
        <v>9.2392175621691441E-2</v>
      </c>
      <c r="AG40" s="560">
        <f t="shared" si="35"/>
        <v>9.7881583539388251E-2</v>
      </c>
      <c r="AH40" s="560">
        <f t="shared" si="35"/>
        <v>9.5681420045321541E-2</v>
      </c>
      <c r="AI40" s="560">
        <f t="shared" si="35"/>
        <v>9.8948859667723044E-2</v>
      </c>
      <c r="AJ40" s="560">
        <f t="shared" si="35"/>
        <v>9.786186771948624E-2</v>
      </c>
      <c r="AK40" s="560">
        <f t="shared" si="35"/>
        <v>8.7045494638506193E-2</v>
      </c>
      <c r="AL40" s="560">
        <f t="shared" si="35"/>
        <v>8.9200193339474154E-2</v>
      </c>
      <c r="AM40" s="560">
        <f t="shared" si="35"/>
        <v>9.4586940091895055E-2</v>
      </c>
      <c r="AN40" s="560">
        <f t="shared" si="35"/>
        <v>9.7828559855247299E-2</v>
      </c>
      <c r="AO40" s="560">
        <f t="shared" si="35"/>
        <v>0.11727827843535987</v>
      </c>
      <c r="AP40" s="560">
        <f t="shared" si="35"/>
        <v>0.14292438662299789</v>
      </c>
      <c r="AQ40" s="560">
        <f t="shared" si="35"/>
        <v>0.16094092867813892</v>
      </c>
      <c r="AR40" s="560">
        <f t="shared" si="35"/>
        <v>0.20630835975874739</v>
      </c>
      <c r="AS40" s="560">
        <f t="shared" si="30"/>
        <v>0.20992728483802359</v>
      </c>
      <c r="AT40" s="560">
        <f t="shared" si="31"/>
        <v>0.23300822701866841</v>
      </c>
      <c r="AU40" s="560">
        <f t="shared" si="32"/>
        <v>0.24278430810504026</v>
      </c>
      <c r="AV40" s="560">
        <f t="shared" si="33"/>
        <v>0.2600110212866944</v>
      </c>
      <c r="AW40" s="561">
        <f t="shared" si="34"/>
        <v>0.25696429572821411</v>
      </c>
      <c r="AX40" s="561">
        <f t="shared" si="34"/>
        <v>0.25978092871395991</v>
      </c>
    </row>
    <row r="41" spans="1:50">
      <c r="A41" s="497" t="s">
        <v>467</v>
      </c>
      <c r="B41" s="497"/>
      <c r="C41" s="497"/>
      <c r="D41" s="497"/>
      <c r="E41" s="497"/>
      <c r="F41" s="497"/>
      <c r="G41" s="497"/>
      <c r="H41" s="497"/>
      <c r="I41" s="497"/>
      <c r="J41" s="497"/>
      <c r="K41" s="497"/>
      <c r="L41" s="497"/>
      <c r="M41" s="560"/>
      <c r="N41" s="560">
        <f t="shared" si="36"/>
        <v>4.1579288362299183E-2</v>
      </c>
      <c r="O41" s="560">
        <f t="shared" si="35"/>
        <v>3.230706917806514E-2</v>
      </c>
      <c r="P41" s="560">
        <f t="shared" si="35"/>
        <v>3.0244517591295983E-2</v>
      </c>
      <c r="Q41" s="560">
        <f t="shared" si="35"/>
        <v>3.3310721512698427E-2</v>
      </c>
      <c r="R41" s="560">
        <f t="shared" si="35"/>
        <v>1.9030020524369196E-2</v>
      </c>
      <c r="S41" s="560">
        <f t="shared" si="35"/>
        <v>1.9030020524369196E-2</v>
      </c>
      <c r="T41" s="560">
        <f t="shared" si="35"/>
        <v>1.3914407971535869E-2</v>
      </c>
      <c r="U41" s="560">
        <f t="shared" si="35"/>
        <v>1.1884549296918179E-2</v>
      </c>
      <c r="V41" s="560">
        <f t="shared" si="35"/>
        <v>1.1884549296918179E-2</v>
      </c>
      <c r="W41" s="560">
        <f t="shared" si="35"/>
        <v>8.8759728371650137E-3</v>
      </c>
      <c r="X41" s="560">
        <f t="shared" si="35"/>
        <v>1.1884549296917957E-2</v>
      </c>
      <c r="Y41" s="560">
        <f t="shared" si="35"/>
        <v>2.5012791952466751E-2</v>
      </c>
      <c r="Z41" s="560">
        <f t="shared" si="35"/>
        <v>3.7362343662737496E-2</v>
      </c>
      <c r="AA41" s="560">
        <f t="shared" si="35"/>
        <v>4.3574094223592041E-2</v>
      </c>
      <c r="AB41" s="560">
        <f t="shared" si="35"/>
        <v>5.715413749176701E-2</v>
      </c>
      <c r="AC41" s="560">
        <f t="shared" si="35"/>
        <v>6.0291093389368777E-2</v>
      </c>
      <c r="AD41" s="560">
        <f t="shared" si="35"/>
        <v>6.6659208064379749E-2</v>
      </c>
      <c r="AE41" s="560">
        <f t="shared" si="35"/>
        <v>7.5166958477654866E-2</v>
      </c>
      <c r="AF41" s="560">
        <f t="shared" si="35"/>
        <v>8.9271065904708014E-2</v>
      </c>
      <c r="AG41" s="560">
        <f t="shared" si="35"/>
        <v>9.3641260752871158E-2</v>
      </c>
      <c r="AH41" s="560">
        <f t="shared" si="35"/>
        <v>9.6932056923642262E-2</v>
      </c>
      <c r="AI41" s="560">
        <f t="shared" si="35"/>
        <v>0.10238400551670179</v>
      </c>
      <c r="AJ41" s="560">
        <f t="shared" si="35"/>
        <v>0.10456910760890525</v>
      </c>
      <c r="AK41" s="560">
        <f t="shared" si="35"/>
        <v>9.5863144199179962E-2</v>
      </c>
      <c r="AL41" s="560">
        <f t="shared" si="35"/>
        <v>9.4775978381522075E-2</v>
      </c>
      <c r="AM41" s="560">
        <f t="shared" si="35"/>
        <v>9.4775978381522297E-2</v>
      </c>
      <c r="AN41" s="560">
        <f t="shared" si="35"/>
        <v>9.8021361716645217E-2</v>
      </c>
      <c r="AO41" s="560">
        <f t="shared" si="35"/>
        <v>0.11209855866173069</v>
      </c>
      <c r="AP41" s="560">
        <f t="shared" si="35"/>
        <v>0.140869267642034</v>
      </c>
      <c r="AQ41" s="560">
        <f t="shared" si="35"/>
        <v>0.16682376136682842</v>
      </c>
      <c r="AR41" s="560">
        <f t="shared" si="35"/>
        <v>0.19587813789488684</v>
      </c>
      <c r="AS41" s="560">
        <f t="shared" si="30"/>
        <v>0.20782497243929132</v>
      </c>
      <c r="AT41" s="560">
        <f t="shared" si="31"/>
        <v>0.22594234702588056</v>
      </c>
      <c r="AU41" s="560">
        <f t="shared" si="32"/>
        <v>0.23079276185090891</v>
      </c>
      <c r="AV41" s="560">
        <f t="shared" si="33"/>
        <v>0.24661897936234523</v>
      </c>
      <c r="AW41" s="561">
        <f t="shared" si="34"/>
        <v>0.21053474941598393</v>
      </c>
      <c r="AX41" s="561">
        <f t="shared" si="34"/>
        <v>0.22543588539030612</v>
      </c>
    </row>
    <row r="42" spans="1:50">
      <c r="A42" s="497" t="s">
        <v>468</v>
      </c>
      <c r="B42" s="497"/>
      <c r="C42" s="497"/>
      <c r="D42" s="497"/>
      <c r="E42" s="497"/>
      <c r="F42" s="497"/>
      <c r="G42" s="497"/>
      <c r="H42" s="497"/>
      <c r="I42" s="497"/>
      <c r="J42" s="497"/>
      <c r="K42" s="497"/>
      <c r="L42" s="497"/>
      <c r="M42" s="560"/>
      <c r="N42" s="560">
        <f t="shared" si="36"/>
        <v>4.3747203048445815E-2</v>
      </c>
      <c r="O42" s="560">
        <f t="shared" si="35"/>
        <v>3.8575016710247212E-2</v>
      </c>
      <c r="P42" s="560">
        <f t="shared" si="35"/>
        <v>2.928359011939996E-2</v>
      </c>
      <c r="Q42" s="560">
        <f t="shared" si="35"/>
        <v>2.5199131428449872E-2</v>
      </c>
      <c r="R42" s="560">
        <f t="shared" si="35"/>
        <v>2.4181058805382794E-2</v>
      </c>
      <c r="S42" s="560">
        <f t="shared" si="35"/>
        <v>2.1129873923142251E-2</v>
      </c>
      <c r="T42" s="560">
        <f t="shared" si="35"/>
        <v>2.5230797111588599E-2</v>
      </c>
      <c r="U42" s="560">
        <f t="shared" si="35"/>
        <v>2.4204540057422896E-2</v>
      </c>
      <c r="V42" s="560">
        <f t="shared" si="35"/>
        <v>2.5228744597480146E-2</v>
      </c>
      <c r="W42" s="560">
        <f t="shared" si="35"/>
        <v>2.4210642567095153E-2</v>
      </c>
      <c r="X42" s="560">
        <f t="shared" si="35"/>
        <v>3.4422114576737384E-2</v>
      </c>
      <c r="Y42" s="560">
        <f t="shared" si="35"/>
        <v>4.1641411488040792E-2</v>
      </c>
      <c r="Z42" s="560">
        <f t="shared" si="35"/>
        <v>5.312242904953246E-2</v>
      </c>
      <c r="AA42" s="560">
        <f t="shared" si="35"/>
        <v>6.046491610465865E-2</v>
      </c>
      <c r="AB42" s="560">
        <f t="shared" si="35"/>
        <v>7.6419754360997683E-2</v>
      </c>
      <c r="AC42" s="560">
        <f t="shared" si="35"/>
        <v>8.9285329114316303E-2</v>
      </c>
      <c r="AD42" s="560">
        <f t="shared" si="35"/>
        <v>9.2533694906903774E-2</v>
      </c>
      <c r="AE42" s="560">
        <f t="shared" si="35"/>
        <v>9.5798237819972432E-2</v>
      </c>
      <c r="AF42" s="560">
        <f t="shared" si="35"/>
        <v>9.9085632533432166E-2</v>
      </c>
      <c r="AG42" s="560">
        <f t="shared" si="35"/>
        <v>0.10569336178714006</v>
      </c>
      <c r="AH42" s="560">
        <f t="shared" si="35"/>
        <v>0.10348418424111205</v>
      </c>
      <c r="AI42" s="560">
        <f t="shared" si="35"/>
        <v>0.10458108700874735</v>
      </c>
      <c r="AJ42" s="560">
        <f t="shared" si="35"/>
        <v>0.10130986957436816</v>
      </c>
      <c r="AK42" s="560">
        <f t="shared" si="35"/>
        <v>9.9129057951448551E-2</v>
      </c>
      <c r="AL42" s="560">
        <f t="shared" si="35"/>
        <v>9.5861082556151667E-2</v>
      </c>
      <c r="AM42" s="560">
        <f t="shared" si="35"/>
        <v>9.4777144789033985E-2</v>
      </c>
      <c r="AN42" s="560">
        <f t="shared" si="35"/>
        <v>0.10018612277712213</v>
      </c>
      <c r="AO42" s="560">
        <f t="shared" si="35"/>
        <v>0.11426330741895563</v>
      </c>
      <c r="AP42" s="560">
        <f t="shared" si="35"/>
        <v>0.13634979517750767</v>
      </c>
      <c r="AQ42" s="560">
        <f t="shared" si="35"/>
        <v>0.15666190670997526</v>
      </c>
      <c r="AR42" s="560">
        <f t="shared" si="35"/>
        <v>0.18549196420523884</v>
      </c>
      <c r="AS42" s="560">
        <f t="shared" si="30"/>
        <v>0.19021503975984144</v>
      </c>
      <c r="AT42" s="560">
        <f t="shared" si="31"/>
        <v>0.20808613645293206</v>
      </c>
      <c r="AU42" s="560">
        <f t="shared" si="32"/>
        <v>0.229680526180988</v>
      </c>
      <c r="AV42" s="560">
        <f t="shared" si="33"/>
        <v>0.24916061372444931</v>
      </c>
      <c r="AW42" s="561">
        <f t="shared" si="34"/>
        <v>0.27271741698226376</v>
      </c>
      <c r="AX42" s="561">
        <f t="shared" si="34"/>
        <v>0.26880090107143806</v>
      </c>
    </row>
    <row r="43" spans="1:50">
      <c r="A43" s="497" t="s">
        <v>469</v>
      </c>
      <c r="B43" s="497"/>
      <c r="C43" s="497"/>
      <c r="D43" s="497"/>
      <c r="E43" s="497"/>
      <c r="F43" s="497"/>
      <c r="G43" s="497"/>
      <c r="H43" s="497"/>
      <c r="I43" s="497"/>
      <c r="J43" s="497"/>
      <c r="K43" s="497"/>
      <c r="L43" s="497"/>
      <c r="M43" s="560"/>
      <c r="N43" s="560">
        <f t="shared" si="36"/>
        <v>4.8953475837709481E-2</v>
      </c>
      <c r="O43" s="560">
        <f t="shared" si="35"/>
        <v>4.166907669994746E-2</v>
      </c>
      <c r="P43" s="560">
        <f t="shared" si="35"/>
        <v>3.6486643482534831E-2</v>
      </c>
      <c r="Q43" s="560">
        <f t="shared" si="35"/>
        <v>3.3398798467194624E-2</v>
      </c>
      <c r="R43" s="560">
        <f t="shared" si="35"/>
        <v>3.0329297085608831E-2</v>
      </c>
      <c r="S43" s="560">
        <f t="shared" si="35"/>
        <v>2.7253687243562474E-2</v>
      </c>
      <c r="T43" s="560">
        <f t="shared" si="35"/>
        <v>3.1366815120413394E-2</v>
      </c>
      <c r="U43" s="560">
        <f t="shared" si="35"/>
        <v>3.6549562935088931E-2</v>
      </c>
      <c r="V43" s="560">
        <f t="shared" si="35"/>
        <v>3.4478534837316666E-2</v>
      </c>
      <c r="W43" s="560">
        <f t="shared" si="35"/>
        <v>3.4478534837316666E-2</v>
      </c>
      <c r="X43" s="560">
        <f t="shared" si="35"/>
        <v>3.6529037384070318E-2</v>
      </c>
      <c r="Y43" s="560">
        <f t="shared" si="35"/>
        <v>4.8930182397638466E-2</v>
      </c>
      <c r="Z43" s="560">
        <f t="shared" si="35"/>
        <v>5.8370554039217204E-2</v>
      </c>
      <c r="AA43" s="560">
        <f t="shared" si="35"/>
        <v>7.0000999687999776E-2</v>
      </c>
      <c r="AB43" s="560">
        <f t="shared" si="35"/>
        <v>8.4981013683631978E-2</v>
      </c>
      <c r="AC43" s="560">
        <f t="shared" si="35"/>
        <v>9.686825586542458E-2</v>
      </c>
      <c r="AD43" s="560">
        <f t="shared" si="35"/>
        <v>9.686825586542458E-2</v>
      </c>
      <c r="AE43" s="560">
        <f t="shared" si="35"/>
        <v>0.10343632925384028</v>
      </c>
      <c r="AF43" s="560">
        <f t="shared" si="35"/>
        <v>0.1012360574108615</v>
      </c>
      <c r="AG43" s="560">
        <f t="shared" si="35"/>
        <v>0.10233729346827225</v>
      </c>
      <c r="AH43" s="560">
        <f t="shared" si="35"/>
        <v>0.10233729346827225</v>
      </c>
      <c r="AI43" s="560">
        <f t="shared" si="35"/>
        <v>0.10781610705409861</v>
      </c>
      <c r="AJ43" s="560">
        <f t="shared" si="35"/>
        <v>0.10562458161976851</v>
      </c>
      <c r="AK43" s="560">
        <f t="shared" si="35"/>
        <v>0.10344601101559148</v>
      </c>
      <c r="AL43" s="560">
        <f t="shared" si="35"/>
        <v>9.9071596700365916E-2</v>
      </c>
      <c r="AM43" s="560">
        <f t="shared" si="35"/>
        <v>0.10341575320906315</v>
      </c>
      <c r="AN43" s="560">
        <f t="shared" si="35"/>
        <v>0.10885665928997557</v>
      </c>
      <c r="AO43" s="560">
        <f t="shared" si="35"/>
        <v>0.13179852120632018</v>
      </c>
      <c r="AP43" s="560">
        <f t="shared" si="35"/>
        <v>0.14978141727315331</v>
      </c>
      <c r="AQ43" s="560">
        <f t="shared" si="35"/>
        <v>0.16689125979209907</v>
      </c>
      <c r="AR43" s="560">
        <f t="shared" si="35"/>
        <v>0.20302875135409226</v>
      </c>
      <c r="AS43" s="560">
        <f t="shared" si="30"/>
        <v>0.2138451936739596</v>
      </c>
      <c r="AT43" s="560">
        <f t="shared" si="31"/>
        <v>0.23693133849858938</v>
      </c>
      <c r="AU43" s="560">
        <f t="shared" si="32"/>
        <v>0.25038954297285687</v>
      </c>
      <c r="AV43" s="560">
        <f t="shared" si="33"/>
        <v>0.27641350769280715</v>
      </c>
      <c r="AW43" s="561">
        <f t="shared" si="34"/>
        <v>0.30368557223691212</v>
      </c>
      <c r="AX43" s="561">
        <f t="shared" si="34"/>
        <v>0.28703089735580445</v>
      </c>
    </row>
    <row r="44" spans="1:50">
      <c r="A44" s="497" t="s">
        <v>470</v>
      </c>
      <c r="B44" s="497"/>
      <c r="C44" s="497"/>
      <c r="D44" s="497"/>
      <c r="E44" s="497"/>
      <c r="F44" s="497"/>
      <c r="G44" s="497"/>
      <c r="H44" s="497"/>
      <c r="I44" s="497"/>
      <c r="J44" s="497"/>
      <c r="K44" s="497"/>
      <c r="L44" s="497"/>
      <c r="M44" s="560"/>
      <c r="N44" s="560">
        <f t="shared" si="36"/>
        <v>4.3552576216341565E-2</v>
      </c>
      <c r="O44" s="560">
        <f t="shared" si="35"/>
        <v>3.0120711373953002E-2</v>
      </c>
      <c r="P44" s="560">
        <f t="shared" si="35"/>
        <v>1.7832989170685432E-2</v>
      </c>
      <c r="Q44" s="560">
        <f t="shared" si="35"/>
        <v>1.8841743372044029E-2</v>
      </c>
      <c r="R44" s="560">
        <f t="shared" si="35"/>
        <v>1.4806726566610084E-2</v>
      </c>
      <c r="S44" s="560">
        <f t="shared" si="35"/>
        <v>6.7766041011967371E-3</v>
      </c>
      <c r="T44" s="560">
        <f t="shared" si="35"/>
        <v>2.2030795072427001E-2</v>
      </c>
      <c r="U44" s="560">
        <f t="shared" si="35"/>
        <v>2.6135336418099175E-2</v>
      </c>
      <c r="V44" s="560">
        <f t="shared" si="35"/>
        <v>2.6135336418099175E-2</v>
      </c>
      <c r="W44" s="560">
        <f t="shared" si="35"/>
        <v>2.4095305928202526E-2</v>
      </c>
      <c r="X44" s="560">
        <f t="shared" si="35"/>
        <v>2.8155148568155486E-2</v>
      </c>
      <c r="Y44" s="560">
        <f t="shared" si="35"/>
        <v>3.633946815874789E-2</v>
      </c>
      <c r="Z44" s="560">
        <f t="shared" si="35"/>
        <v>5.1978393734584127E-2</v>
      </c>
      <c r="AA44" s="560">
        <f t="shared" si="35"/>
        <v>6.6750407287526903E-2</v>
      </c>
      <c r="AB44" s="560">
        <f t="shared" si="35"/>
        <v>8.606781908951433E-2</v>
      </c>
      <c r="AC44" s="560">
        <f t="shared" si="35"/>
        <v>0.10004690983027031</v>
      </c>
      <c r="AD44" s="560">
        <f t="shared" si="35"/>
        <v>9.6766451848668833E-2</v>
      </c>
      <c r="AE44" s="560">
        <f t="shared" si="35"/>
        <v>0.11098176976894103</v>
      </c>
      <c r="AF44" s="560">
        <f t="shared" si="35"/>
        <v>0.10324358828796321</v>
      </c>
      <c r="AG44" s="560">
        <f t="shared" si="35"/>
        <v>0.10655331905282717</v>
      </c>
      <c r="AH44" s="560">
        <f t="shared" si="35"/>
        <v>0.1087730849887405</v>
      </c>
      <c r="AI44" s="560">
        <f t="shared" si="35"/>
        <v>0.11650357462511618</v>
      </c>
      <c r="AJ44" s="560">
        <f t="shared" si="35"/>
        <v>0.10989052285043654</v>
      </c>
      <c r="AK44" s="560">
        <f t="shared" si="35"/>
        <v>0.10879487574002145</v>
      </c>
      <c r="AL44" s="560">
        <f t="shared" si="35"/>
        <v>0.10439925680745432</v>
      </c>
      <c r="AM44" s="560">
        <f t="shared" si="35"/>
        <v>0.10549163985078525</v>
      </c>
      <c r="AN44" s="560">
        <f t="shared" si="35"/>
        <v>0.10767640593744687</v>
      </c>
      <c r="AO44" s="560">
        <f t="shared" si="35"/>
        <v>0.1250007681026466</v>
      </c>
      <c r="AP44" s="560">
        <f t="shared" si="35"/>
        <v>0.14967675703411043</v>
      </c>
      <c r="AQ44" s="560">
        <f t="shared" si="35"/>
        <v>0.18362390537173168</v>
      </c>
      <c r="AR44" s="560">
        <f t="shared" si="35"/>
        <v>0.21445979869804943</v>
      </c>
      <c r="AS44" s="560">
        <f t="shared" si="30"/>
        <v>0.21567062601479736</v>
      </c>
      <c r="AT44" s="560">
        <f t="shared" si="31"/>
        <v>0.23757460125830732</v>
      </c>
      <c r="AU44" s="560">
        <f t="shared" si="32"/>
        <v>0.24491925764559719</v>
      </c>
      <c r="AV44" s="560">
        <f t="shared" si="33"/>
        <v>0.26964456564253036</v>
      </c>
      <c r="AW44" s="561">
        <f t="shared" si="34"/>
        <v>0.26666456081949919</v>
      </c>
      <c r="AX44" s="561">
        <f t="shared" si="34"/>
        <v>0.27711353888790802</v>
      </c>
    </row>
    <row r="45" spans="1:50">
      <c r="A45" s="497" t="s">
        <v>471</v>
      </c>
      <c r="B45" s="497"/>
      <c r="C45" s="497"/>
      <c r="D45" s="497"/>
      <c r="E45" s="497"/>
      <c r="F45" s="497"/>
      <c r="G45" s="497"/>
      <c r="H45" s="497"/>
      <c r="I45" s="497"/>
      <c r="J45" s="497"/>
      <c r="K45" s="497"/>
      <c r="L45" s="497"/>
      <c r="M45" s="560"/>
      <c r="N45" s="560">
        <f t="shared" si="36"/>
        <v>3.926000333450963E-2</v>
      </c>
      <c r="O45" s="560">
        <f t="shared" si="35"/>
        <v>2.796369895043882E-2</v>
      </c>
      <c r="P45" s="560">
        <f t="shared" si="35"/>
        <v>2.5920033544970522E-2</v>
      </c>
      <c r="Q45" s="560">
        <f t="shared" si="35"/>
        <v>2.9963068159926332E-2</v>
      </c>
      <c r="R45" s="560">
        <f t="shared" si="35"/>
        <v>2.3850527696069213E-2</v>
      </c>
      <c r="S45" s="560">
        <f t="shared" si="35"/>
        <v>1.9791655435628552E-2</v>
      </c>
      <c r="T45" s="560">
        <f t="shared" si="35"/>
        <v>3.2127844815898365E-2</v>
      </c>
      <c r="U45" s="560">
        <f t="shared" si="35"/>
        <v>3.1085291437296547E-2</v>
      </c>
      <c r="V45" s="560">
        <f t="shared" si="35"/>
        <v>2.9014839044852359E-2</v>
      </c>
      <c r="W45" s="560">
        <f t="shared" si="35"/>
        <v>2.5964399798672266E-2</v>
      </c>
      <c r="X45" s="560">
        <f t="shared" si="35"/>
        <v>2.8008153583131801E-2</v>
      </c>
      <c r="Y45" s="560">
        <f t="shared" si="35"/>
        <v>4.2429109645420127E-2</v>
      </c>
      <c r="Z45" s="560">
        <f t="shared" si="35"/>
        <v>5.8159931219546213E-2</v>
      </c>
      <c r="AA45" s="560">
        <f t="shared" si="35"/>
        <v>6.7673856675066535E-2</v>
      </c>
      <c r="AB45" s="560">
        <f t="shared" si="35"/>
        <v>7.6181218082836066E-2</v>
      </c>
      <c r="AC45" s="560">
        <f t="shared" si="35"/>
        <v>7.829344814776773E-2</v>
      </c>
      <c r="AD45" s="560">
        <f t="shared" si="35"/>
        <v>7.6147590539513477E-2</v>
      </c>
      <c r="AE45" s="560">
        <f t="shared" si="35"/>
        <v>9.5421875743206153E-2</v>
      </c>
      <c r="AF45" s="560">
        <f t="shared" si="35"/>
        <v>9.3239760452881182E-2</v>
      </c>
      <c r="AG45" s="560">
        <f t="shared" si="35"/>
        <v>0.10097755451068702</v>
      </c>
      <c r="AH45" s="560">
        <f t="shared" si="35"/>
        <v>0.10208517780496318</v>
      </c>
      <c r="AI45" s="560">
        <f t="shared" si="35"/>
        <v>0.10536194245651398</v>
      </c>
      <c r="AJ45" s="560">
        <f t="shared" si="35"/>
        <v>0.10975701976250396</v>
      </c>
      <c r="AK45" s="560">
        <f t="shared" si="35"/>
        <v>0.1031774326888133</v>
      </c>
      <c r="AL45" s="560">
        <f t="shared" si="35"/>
        <v>9.6617408312070774E-2</v>
      </c>
      <c r="AM45" s="560">
        <f t="shared" si="35"/>
        <v>0.10313196717333084</v>
      </c>
      <c r="AN45" s="560">
        <f t="shared" si="35"/>
        <v>0.11512253203391043</v>
      </c>
      <c r="AO45" s="560">
        <f t="shared" si="35"/>
        <v>0.14351938397600805</v>
      </c>
      <c r="AP45" s="560">
        <f t="shared" si="35"/>
        <v>0.17886245566419978</v>
      </c>
      <c r="AQ45" s="560">
        <f t="shared" si="35"/>
        <v>0.18462424674760269</v>
      </c>
      <c r="AR45" s="560">
        <f t="shared" si="35"/>
        <v>0.2177275191118071</v>
      </c>
      <c r="AS45" s="560">
        <f t="shared" si="30"/>
        <v>0.22261799107611169</v>
      </c>
      <c r="AT45" s="560">
        <f t="shared" si="31"/>
        <v>0.23367684727680005</v>
      </c>
      <c r="AU45" s="560">
        <f t="shared" si="32"/>
        <v>0.24952447476158079</v>
      </c>
      <c r="AV45" s="560">
        <f t="shared" si="33"/>
        <v>0.26313315715997421</v>
      </c>
      <c r="AW45" s="561">
        <f t="shared" si="34"/>
        <v>0.28067185678948547</v>
      </c>
      <c r="AX45" s="561">
        <f t="shared" si="34"/>
        <v>0.28320657009904709</v>
      </c>
    </row>
    <row r="47" spans="1:50">
      <c r="AC47" s="29"/>
      <c r="AF47" s="29"/>
      <c r="AI47" s="29"/>
      <c r="AL47" s="29"/>
      <c r="AO47" s="29"/>
      <c r="AR47" s="29"/>
    </row>
    <row r="49" spans="1:50">
      <c r="A49" s="552" t="s">
        <v>464</v>
      </c>
    </row>
    <row r="50" spans="1:50">
      <c r="A50" s="497" t="s">
        <v>452</v>
      </c>
      <c r="B50" s="497"/>
      <c r="C50" s="497"/>
      <c r="D50" s="497"/>
      <c r="E50" s="497"/>
      <c r="F50" s="497"/>
      <c r="G50" s="497"/>
      <c r="H50" s="497"/>
      <c r="I50" s="497"/>
      <c r="J50" s="497"/>
      <c r="K50" s="497"/>
      <c r="L50" s="497"/>
      <c r="M50" s="497"/>
      <c r="N50" s="556">
        <f t="shared" ref="N50:N56" si="37">N38/N$37</f>
        <v>1.0662770501562049</v>
      </c>
      <c r="O50" s="556">
        <f t="shared" ref="O50:AR50" si="38">O38/O$37</f>
        <v>1.1722160286661703</v>
      </c>
      <c r="P50" s="556">
        <f t="shared" si="38"/>
        <v>1.433524700781776</v>
      </c>
      <c r="Q50" s="556">
        <f t="shared" si="38"/>
        <v>1.0501223004241795</v>
      </c>
      <c r="R50" s="556">
        <f t="shared" si="38"/>
        <v>1.0534656000813809</v>
      </c>
      <c r="S50" s="556">
        <f t="shared" si="38"/>
        <v>1.5418393360068161</v>
      </c>
      <c r="T50" s="556">
        <f t="shared" si="38"/>
        <v>1.263514163724953</v>
      </c>
      <c r="U50" s="556">
        <f t="shared" si="38"/>
        <v>1.3495465902387631</v>
      </c>
      <c r="V50" s="556">
        <f t="shared" si="38"/>
        <v>1.3782385298857136</v>
      </c>
      <c r="W50" s="556">
        <f t="shared" si="38"/>
        <v>1.4088465763727513</v>
      </c>
      <c r="X50" s="556">
        <f t="shared" si="38"/>
        <v>1.1676579979674666</v>
      </c>
      <c r="Y50" s="556">
        <f t="shared" si="38"/>
        <v>1.042469222990146</v>
      </c>
      <c r="Z50" s="556">
        <f t="shared" si="38"/>
        <v>0.97959441676505055</v>
      </c>
      <c r="AA50" s="556">
        <f t="shared" si="38"/>
        <v>0.94010587528354861</v>
      </c>
      <c r="AB50" s="556">
        <f t="shared" si="38"/>
        <v>0.94807628819491607</v>
      </c>
      <c r="AC50" s="556">
        <f t="shared" si="38"/>
        <v>1.0005180506859095</v>
      </c>
      <c r="AD50" s="556">
        <f t="shared" si="38"/>
        <v>0.99960158076975314</v>
      </c>
      <c r="AE50" s="556">
        <f t="shared" si="38"/>
        <v>0.94068181568170928</v>
      </c>
      <c r="AF50" s="556">
        <f t="shared" si="38"/>
        <v>0.96357003445447453</v>
      </c>
      <c r="AG50" s="556">
        <f t="shared" si="38"/>
        <v>0.94024813613987912</v>
      </c>
      <c r="AH50" s="556">
        <f t="shared" si="38"/>
        <v>0.91878126360288603</v>
      </c>
      <c r="AI50" s="556">
        <f t="shared" si="38"/>
        <v>0.93102935597252057</v>
      </c>
      <c r="AJ50" s="556">
        <f t="shared" si="38"/>
        <v>0.93957090969704116</v>
      </c>
      <c r="AK50" s="556">
        <f t="shared" si="38"/>
        <v>0.9519568413574625</v>
      </c>
      <c r="AL50" s="556">
        <f t="shared" si="38"/>
        <v>0.98051554659818629</v>
      </c>
      <c r="AM50" s="556">
        <f t="shared" si="38"/>
        <v>0.98051554659818629</v>
      </c>
      <c r="AN50" s="556">
        <f t="shared" si="38"/>
        <v>0.94679110468504935</v>
      </c>
      <c r="AO50" s="556">
        <f t="shared" si="38"/>
        <v>0.89038944559837052</v>
      </c>
      <c r="AP50" s="556">
        <f t="shared" si="38"/>
        <v>0.94781769621701439</v>
      </c>
      <c r="AQ50" s="556">
        <f t="shared" si="38"/>
        <v>0.95263335827398365</v>
      </c>
      <c r="AR50" s="556">
        <f t="shared" si="38"/>
        <v>0.94950974072535554</v>
      </c>
      <c r="AS50" s="556">
        <f t="shared" ref="AS50:AV56" si="39">AS38/AS$37</f>
        <v>0.9519850337322372</v>
      </c>
      <c r="AT50" s="556">
        <f t="shared" si="39"/>
        <v>0.97969174639287249</v>
      </c>
      <c r="AU50" s="556">
        <f t="shared" si="39"/>
        <v>0.97749381967228577</v>
      </c>
      <c r="AV50" s="556">
        <f t="shared" si="39"/>
        <v>0.95488828377689206</v>
      </c>
      <c r="AW50" s="556"/>
      <c r="AX50" s="497"/>
    </row>
    <row r="51" spans="1:50">
      <c r="A51" s="497" t="s">
        <v>465</v>
      </c>
      <c r="B51" s="497"/>
      <c r="C51" s="497"/>
      <c r="D51" s="497"/>
      <c r="E51" s="497"/>
      <c r="F51" s="497"/>
      <c r="G51" s="497"/>
      <c r="H51" s="497"/>
      <c r="I51" s="497"/>
      <c r="J51" s="497"/>
      <c r="K51" s="497"/>
      <c r="L51" s="497"/>
      <c r="M51" s="497"/>
      <c r="N51" s="556">
        <f t="shared" si="37"/>
        <v>1.0887105680564213</v>
      </c>
      <c r="O51" s="556">
        <f t="shared" ref="O51:AR56" si="40">O39/O$37</f>
        <v>1.1365926276639542</v>
      </c>
      <c r="P51" s="556">
        <f t="shared" si="40"/>
        <v>1.1291356524598579</v>
      </c>
      <c r="Q51" s="556">
        <f t="shared" si="40"/>
        <v>1.1782285069146345</v>
      </c>
      <c r="R51" s="556">
        <f t="shared" si="40"/>
        <v>1.0969313950661697</v>
      </c>
      <c r="S51" s="556">
        <f t="shared" si="40"/>
        <v>0.9383662962457282</v>
      </c>
      <c r="T51" s="556">
        <f t="shared" si="40"/>
        <v>1.0050286313771268</v>
      </c>
      <c r="U51" s="556">
        <f t="shared" si="40"/>
        <v>1.176918642648193</v>
      </c>
      <c r="V51" s="556">
        <f t="shared" si="40"/>
        <v>1.4191975685790492</v>
      </c>
      <c r="W51" s="556">
        <f t="shared" si="40"/>
        <v>1.453101347192246</v>
      </c>
      <c r="X51" s="556">
        <f t="shared" si="40"/>
        <v>1.5620052105915261</v>
      </c>
      <c r="Y51" s="556">
        <f t="shared" si="40"/>
        <v>1.2052535173212704</v>
      </c>
      <c r="Z51" s="556">
        <f t="shared" si="40"/>
        <v>1.1255717580656066</v>
      </c>
      <c r="AA51" s="556">
        <f t="shared" si="40"/>
        <v>1.0779780487736768</v>
      </c>
      <c r="AB51" s="556">
        <f t="shared" si="40"/>
        <v>1.0620424952851368</v>
      </c>
      <c r="AC51" s="556">
        <f t="shared" si="40"/>
        <v>1.0252158589252873</v>
      </c>
      <c r="AD51" s="556">
        <f t="shared" si="40"/>
        <v>1.0374208096267814</v>
      </c>
      <c r="AE51" s="556">
        <f t="shared" si="40"/>
        <v>0.99708455479916813</v>
      </c>
      <c r="AF51" s="556">
        <f t="shared" si="40"/>
        <v>0.9970845547991658</v>
      </c>
      <c r="AG51" s="556">
        <f t="shared" si="40"/>
        <v>1.0040112969963282</v>
      </c>
      <c r="AH51" s="556">
        <f t="shared" si="40"/>
        <v>0.95007949626966282</v>
      </c>
      <c r="AI51" s="556">
        <f t="shared" si="40"/>
        <v>0.96044011158040121</v>
      </c>
      <c r="AJ51" s="556">
        <f t="shared" si="40"/>
        <v>0.92919793133583761</v>
      </c>
      <c r="AK51" s="556">
        <f t="shared" si="40"/>
        <v>0.97271875999013313</v>
      </c>
      <c r="AL51" s="556">
        <f t="shared" si="40"/>
        <v>1.0237294900969585</v>
      </c>
      <c r="AM51" s="556">
        <f t="shared" si="40"/>
        <v>1.0455155167572294</v>
      </c>
      <c r="AN51" s="556">
        <f t="shared" si="40"/>
        <v>1.0486622379403192</v>
      </c>
      <c r="AO51" s="556">
        <f t="shared" si="40"/>
        <v>0.97883719179378381</v>
      </c>
      <c r="AP51" s="556">
        <f t="shared" si="40"/>
        <v>0.96876508004181039</v>
      </c>
      <c r="AQ51" s="556">
        <f t="shared" si="40"/>
        <v>0.99727948042387138</v>
      </c>
      <c r="AR51" s="556">
        <f t="shared" si="40"/>
        <v>0.98808284902066845</v>
      </c>
      <c r="AS51" s="556">
        <f t="shared" si="39"/>
        <v>1.0113238124753052</v>
      </c>
      <c r="AT51" s="556">
        <f t="shared" si="39"/>
        <v>1.0104221287105564</v>
      </c>
      <c r="AU51" s="556">
        <f t="shared" si="39"/>
        <v>1.0024769215185074</v>
      </c>
      <c r="AV51" s="556">
        <f t="shared" si="39"/>
        <v>0.98748380288982218</v>
      </c>
      <c r="AW51" s="556"/>
      <c r="AX51" s="497"/>
    </row>
    <row r="52" spans="1:50">
      <c r="A52" s="497" t="s">
        <v>466</v>
      </c>
      <c r="B52" s="497"/>
      <c r="C52" s="497"/>
      <c r="D52" s="497"/>
      <c r="E52" s="497"/>
      <c r="F52" s="497"/>
      <c r="G52" s="497"/>
      <c r="H52" s="497"/>
      <c r="I52" s="497"/>
      <c r="J52" s="497"/>
      <c r="K52" s="497"/>
      <c r="L52" s="497"/>
      <c r="M52" s="497"/>
      <c r="N52" s="556">
        <f t="shared" si="37"/>
        <v>1.0146466004857884</v>
      </c>
      <c r="O52" s="556">
        <f t="shared" ref="O52:AC52" si="41">O40/O$37</f>
        <v>1.235432591878624</v>
      </c>
      <c r="P52" s="556">
        <f t="shared" si="41"/>
        <v>1.3027988425379315</v>
      </c>
      <c r="Q52" s="556">
        <f t="shared" si="41"/>
        <v>1.181338186501993</v>
      </c>
      <c r="R52" s="556">
        <f t="shared" si="41"/>
        <v>1.0029869566479956</v>
      </c>
      <c r="S52" s="556">
        <f t="shared" si="41"/>
        <v>1.1793980609380958</v>
      </c>
      <c r="T52" s="556">
        <f t="shared" si="41"/>
        <v>1.048770783257343</v>
      </c>
      <c r="U52" s="556">
        <f t="shared" si="41"/>
        <v>1.0917440603699462</v>
      </c>
      <c r="V52" s="556">
        <f t="shared" si="41"/>
        <v>1.0892458870202937</v>
      </c>
      <c r="W52" s="556">
        <f t="shared" si="41"/>
        <v>1.0511713732304953</v>
      </c>
      <c r="X52" s="556">
        <f t="shared" si="41"/>
        <v>1.1256647783196487</v>
      </c>
      <c r="Y52" s="556">
        <f t="shared" si="41"/>
        <v>1.0942512856130413</v>
      </c>
      <c r="Z52" s="556">
        <f t="shared" si="41"/>
        <v>1.0612381321237541</v>
      </c>
      <c r="AA52" s="556">
        <f t="shared" si="41"/>
        <v>0.95566906069901381</v>
      </c>
      <c r="AB52" s="556">
        <f t="shared" si="41"/>
        <v>0.98936083190078961</v>
      </c>
      <c r="AC52" s="556">
        <f t="shared" si="41"/>
        <v>1.0367637721053338</v>
      </c>
      <c r="AD52" s="556">
        <f t="shared" si="40"/>
        <v>1.0361910752292101</v>
      </c>
      <c r="AE52" s="556">
        <f t="shared" si="40"/>
        <v>1.0071149435430122</v>
      </c>
      <c r="AF52" s="556">
        <f t="shared" si="40"/>
        <v>0.97254921707043618</v>
      </c>
      <c r="AG52" s="556">
        <f t="shared" si="40"/>
        <v>0.95962336803321824</v>
      </c>
      <c r="AH52" s="556">
        <f t="shared" si="40"/>
        <v>0.93805313769923082</v>
      </c>
      <c r="AI52" s="556">
        <f t="shared" si="40"/>
        <v>0.89953508788839132</v>
      </c>
      <c r="AJ52" s="556">
        <f t="shared" si="40"/>
        <v>0.89781530017877287</v>
      </c>
      <c r="AK52" s="556">
        <f t="shared" si="40"/>
        <v>0.84510188969423494</v>
      </c>
      <c r="AL52" s="556">
        <f t="shared" si="40"/>
        <v>0.89200193339474154</v>
      </c>
      <c r="AM52" s="556">
        <f t="shared" si="40"/>
        <v>0.94586940091895055</v>
      </c>
      <c r="AN52" s="556">
        <f t="shared" si="40"/>
        <v>0.91428560612380627</v>
      </c>
      <c r="AO52" s="556">
        <f t="shared" si="40"/>
        <v>0.85604582799532725</v>
      </c>
      <c r="AP52" s="556">
        <f t="shared" si="40"/>
        <v>0.8714901623353527</v>
      </c>
      <c r="AQ52" s="556">
        <f t="shared" si="40"/>
        <v>0.89411627043410513</v>
      </c>
      <c r="AR52" s="556">
        <f t="shared" si="40"/>
        <v>0.95957376631975533</v>
      </c>
      <c r="AS52" s="556">
        <f t="shared" si="39"/>
        <v>0.94561840017127741</v>
      </c>
      <c r="AT52" s="556">
        <f t="shared" si="39"/>
        <v>0.97902616394398501</v>
      </c>
      <c r="AU52" s="556">
        <f t="shared" si="39"/>
        <v>0.98692808172780599</v>
      </c>
      <c r="AV52" s="556">
        <f t="shared" si="39"/>
        <v>0.97748504243118195</v>
      </c>
      <c r="AW52" s="556"/>
      <c r="AX52" s="497"/>
    </row>
    <row r="53" spans="1:50">
      <c r="A53" s="497" t="s">
        <v>467</v>
      </c>
      <c r="B53" s="497"/>
      <c r="C53" s="497"/>
      <c r="D53" s="497"/>
      <c r="E53" s="497"/>
      <c r="F53" s="497"/>
      <c r="G53" s="497"/>
      <c r="H53" s="497"/>
      <c r="I53" s="497"/>
      <c r="J53" s="497"/>
      <c r="K53" s="497"/>
      <c r="L53" s="497"/>
      <c r="M53" s="497"/>
      <c r="N53" s="556">
        <f t="shared" si="37"/>
        <v>1.0141289844463217</v>
      </c>
      <c r="O53" s="556">
        <f t="shared" si="40"/>
        <v>1.0095959118145357</v>
      </c>
      <c r="P53" s="556">
        <f t="shared" si="40"/>
        <v>1.260188232970666</v>
      </c>
      <c r="Q53" s="556">
        <f t="shared" si="40"/>
        <v>1.4482922396825404</v>
      </c>
      <c r="R53" s="556">
        <f t="shared" si="40"/>
        <v>0.90619145354139019</v>
      </c>
      <c r="S53" s="556">
        <f t="shared" si="40"/>
        <v>1.1194129720217174</v>
      </c>
      <c r="T53" s="556">
        <f t="shared" si="40"/>
        <v>0.57976699881399452</v>
      </c>
      <c r="U53" s="556">
        <f t="shared" si="40"/>
        <v>0.49518955403825743</v>
      </c>
      <c r="V53" s="556">
        <f t="shared" si="40"/>
        <v>0.47538197187672715</v>
      </c>
      <c r="W53" s="556">
        <f t="shared" si="40"/>
        <v>0.38591186248543541</v>
      </c>
      <c r="X53" s="556">
        <f t="shared" si="40"/>
        <v>0.45709804988145991</v>
      </c>
      <c r="Y53" s="556">
        <f t="shared" si="40"/>
        <v>0.65823136717017772</v>
      </c>
      <c r="Z53" s="556">
        <f t="shared" si="40"/>
        <v>0.74724687325474992</v>
      </c>
      <c r="AA53" s="556">
        <f t="shared" si="40"/>
        <v>0.71432941350150891</v>
      </c>
      <c r="AB53" s="556">
        <f t="shared" si="40"/>
        <v>0.76205516655689354</v>
      </c>
      <c r="AC53" s="556">
        <f t="shared" si="40"/>
        <v>0.70930698105139733</v>
      </c>
      <c r="AD53" s="556">
        <f t="shared" si="40"/>
        <v>0.79356200076642558</v>
      </c>
      <c r="AE53" s="556">
        <f t="shared" si="40"/>
        <v>0.79123114187005117</v>
      </c>
      <c r="AF53" s="556">
        <f t="shared" si="40"/>
        <v>0.93969543057587379</v>
      </c>
      <c r="AG53" s="556">
        <f t="shared" si="40"/>
        <v>0.91805157600854082</v>
      </c>
      <c r="AH53" s="556">
        <f t="shared" si="40"/>
        <v>0.95031428356512027</v>
      </c>
      <c r="AI53" s="556">
        <f t="shared" si="40"/>
        <v>0.93076368651547081</v>
      </c>
      <c r="AJ53" s="556">
        <f t="shared" si="40"/>
        <v>0.95934961109087391</v>
      </c>
      <c r="AK53" s="556">
        <f t="shared" si="40"/>
        <v>0.93071013785611623</v>
      </c>
      <c r="AL53" s="556">
        <f t="shared" si="40"/>
        <v>0.94775978381522075</v>
      </c>
      <c r="AM53" s="556">
        <f t="shared" si="40"/>
        <v>0.94775978381522297</v>
      </c>
      <c r="AN53" s="556">
        <f t="shared" si="40"/>
        <v>0.91608749267892708</v>
      </c>
      <c r="AO53" s="556">
        <f t="shared" si="40"/>
        <v>0.81823765446518726</v>
      </c>
      <c r="AP53" s="556">
        <f t="shared" si="40"/>
        <v>0.85895894903679237</v>
      </c>
      <c r="AQ53" s="556">
        <f t="shared" si="40"/>
        <v>0.92679867426015794</v>
      </c>
      <c r="AR53" s="556">
        <f t="shared" si="40"/>
        <v>0.91106110648784577</v>
      </c>
      <c r="AS53" s="556">
        <f t="shared" si="39"/>
        <v>0.93614852450131225</v>
      </c>
      <c r="AT53" s="556">
        <f t="shared" si="39"/>
        <v>0.9493375925457167</v>
      </c>
      <c r="AU53" s="556">
        <f t="shared" si="39"/>
        <v>0.93818195874353216</v>
      </c>
      <c r="AV53" s="556">
        <f t="shared" si="39"/>
        <v>0.92713902015919247</v>
      </c>
      <c r="AW53" s="556"/>
      <c r="AX53" s="497"/>
    </row>
    <row r="54" spans="1:50">
      <c r="A54" s="497" t="s">
        <v>468</v>
      </c>
      <c r="B54" s="497"/>
      <c r="C54" s="497"/>
      <c r="D54" s="497"/>
      <c r="E54" s="497"/>
      <c r="F54" s="497"/>
      <c r="G54" s="497"/>
      <c r="H54" s="497"/>
      <c r="I54" s="497"/>
      <c r="J54" s="497"/>
      <c r="K54" s="497"/>
      <c r="L54" s="497"/>
      <c r="M54" s="497"/>
      <c r="N54" s="556">
        <f t="shared" si="37"/>
        <v>1.0670049524011176</v>
      </c>
      <c r="O54" s="556">
        <f t="shared" si="40"/>
        <v>1.2054692721952254</v>
      </c>
      <c r="P54" s="556">
        <f t="shared" si="40"/>
        <v>1.2201495883083318</v>
      </c>
      <c r="Q54" s="556">
        <f t="shared" si="40"/>
        <v>1.0956144099326031</v>
      </c>
      <c r="R54" s="556">
        <f t="shared" si="40"/>
        <v>1.1514789907325138</v>
      </c>
      <c r="S54" s="556">
        <f t="shared" si="40"/>
        <v>1.2429337601848383</v>
      </c>
      <c r="T54" s="556">
        <f t="shared" si="40"/>
        <v>1.0512832129828582</v>
      </c>
      <c r="U54" s="556">
        <f t="shared" si="40"/>
        <v>1.0085225023926208</v>
      </c>
      <c r="V54" s="556">
        <f t="shared" si="40"/>
        <v>1.0091497838992058</v>
      </c>
      <c r="W54" s="556">
        <f t="shared" si="40"/>
        <v>1.0526366333519632</v>
      </c>
      <c r="X54" s="556">
        <f t="shared" si="40"/>
        <v>1.3239274837206687</v>
      </c>
      <c r="Y54" s="556">
        <f t="shared" si="40"/>
        <v>1.0958266181063367</v>
      </c>
      <c r="Z54" s="556">
        <f t="shared" si="40"/>
        <v>1.0624485809906492</v>
      </c>
      <c r="AA54" s="556">
        <f t="shared" si="40"/>
        <v>0.99122813286325662</v>
      </c>
      <c r="AB54" s="556">
        <f t="shared" si="40"/>
        <v>1.0189300581466358</v>
      </c>
      <c r="AC54" s="556">
        <f t="shared" si="40"/>
        <v>1.0504156366390152</v>
      </c>
      <c r="AD54" s="556">
        <f t="shared" si="40"/>
        <v>1.1015916060345687</v>
      </c>
      <c r="AE54" s="556">
        <f t="shared" si="40"/>
        <v>1.0084025033681308</v>
      </c>
      <c r="AF54" s="556">
        <f t="shared" si="40"/>
        <v>1.0430066582466544</v>
      </c>
      <c r="AG54" s="556">
        <f t="shared" si="40"/>
        <v>1.0362094292856869</v>
      </c>
      <c r="AH54" s="556">
        <f t="shared" si="40"/>
        <v>1.0145508258932554</v>
      </c>
      <c r="AI54" s="556">
        <f t="shared" si="40"/>
        <v>0.95073715462497599</v>
      </c>
      <c r="AJ54" s="556">
        <f t="shared" si="40"/>
        <v>0.92944834471897397</v>
      </c>
      <c r="AK54" s="556">
        <f t="shared" si="40"/>
        <v>0.9624180383635782</v>
      </c>
      <c r="AL54" s="556">
        <f t="shared" si="40"/>
        <v>0.95861082556151667</v>
      </c>
      <c r="AM54" s="556">
        <f t="shared" si="40"/>
        <v>0.94777144789033985</v>
      </c>
      <c r="AN54" s="556">
        <f t="shared" si="40"/>
        <v>0.93631890445908517</v>
      </c>
      <c r="AO54" s="556">
        <f t="shared" si="40"/>
        <v>0.83403874028434744</v>
      </c>
      <c r="AP54" s="556">
        <f t="shared" si="40"/>
        <v>0.83140119010675373</v>
      </c>
      <c r="AQ54" s="556">
        <f t="shared" si="40"/>
        <v>0.87034392616652922</v>
      </c>
      <c r="AR54" s="556">
        <f t="shared" si="40"/>
        <v>0.86275332188483178</v>
      </c>
      <c r="AS54" s="556">
        <f t="shared" si="39"/>
        <v>0.85682450342270922</v>
      </c>
      <c r="AT54" s="556">
        <f t="shared" si="39"/>
        <v>0.87431149770139527</v>
      </c>
      <c r="AU54" s="556">
        <f t="shared" si="39"/>
        <v>0.93366067553247156</v>
      </c>
      <c r="AV54" s="556">
        <f t="shared" si="39"/>
        <v>0.93669403655808003</v>
      </c>
      <c r="AW54" s="556"/>
      <c r="AX54" s="497"/>
    </row>
    <row r="55" spans="1:50">
      <c r="A55" s="497" t="s">
        <v>469</v>
      </c>
      <c r="B55" s="497"/>
      <c r="C55" s="497"/>
      <c r="D55" s="497"/>
      <c r="E55" s="497"/>
      <c r="F55" s="497"/>
      <c r="G55" s="497"/>
      <c r="H55" s="497"/>
      <c r="I55" s="497"/>
      <c r="J55" s="497"/>
      <c r="K55" s="497"/>
      <c r="L55" s="497"/>
      <c r="M55" s="497"/>
      <c r="N55" s="556">
        <f t="shared" si="37"/>
        <v>1.19398721555389</v>
      </c>
      <c r="O55" s="556">
        <f t="shared" si="40"/>
        <v>1.3021586468733581</v>
      </c>
      <c r="P55" s="556">
        <f t="shared" si="40"/>
        <v>1.5202768117722847</v>
      </c>
      <c r="Q55" s="556">
        <f t="shared" si="40"/>
        <v>1.4521216724867227</v>
      </c>
      <c r="R55" s="556">
        <f t="shared" si="40"/>
        <v>1.4442522421718489</v>
      </c>
      <c r="S55" s="556">
        <f t="shared" si="40"/>
        <v>1.6031580731507338</v>
      </c>
      <c r="T55" s="556">
        <f t="shared" si="40"/>
        <v>1.3069506300172247</v>
      </c>
      <c r="U55" s="556">
        <f t="shared" si="40"/>
        <v>1.5228984556287055</v>
      </c>
      <c r="V55" s="556">
        <f t="shared" si="40"/>
        <v>1.3791413934926666</v>
      </c>
      <c r="W55" s="556">
        <f t="shared" si="40"/>
        <v>1.4990667320572464</v>
      </c>
      <c r="X55" s="556">
        <f t="shared" si="40"/>
        <v>1.4049629763103968</v>
      </c>
      <c r="Y55" s="556">
        <f t="shared" si="40"/>
        <v>1.2876363788852228</v>
      </c>
      <c r="Z55" s="556">
        <f t="shared" si="40"/>
        <v>1.1674110807843441</v>
      </c>
      <c r="AA55" s="556">
        <f t="shared" si="40"/>
        <v>1.1475573719344225</v>
      </c>
      <c r="AB55" s="556">
        <f t="shared" si="40"/>
        <v>1.1330801824484265</v>
      </c>
      <c r="AC55" s="556">
        <f t="shared" si="40"/>
        <v>1.1396265395932303</v>
      </c>
      <c r="AD55" s="556">
        <f t="shared" si="40"/>
        <v>1.1531935222074354</v>
      </c>
      <c r="AE55" s="556">
        <f t="shared" si="40"/>
        <v>1.0888034658298977</v>
      </c>
      <c r="AF55" s="556">
        <f t="shared" si="40"/>
        <v>1.0656427095880159</v>
      </c>
      <c r="AG55" s="556">
        <f t="shared" si="40"/>
        <v>1.0033067987085516</v>
      </c>
      <c r="AH55" s="556">
        <f t="shared" si="40"/>
        <v>1.0033067987085516</v>
      </c>
      <c r="AI55" s="556">
        <f t="shared" si="40"/>
        <v>0.98014642776453276</v>
      </c>
      <c r="AJ55" s="556">
        <f t="shared" si="40"/>
        <v>0.96903285889695878</v>
      </c>
      <c r="AK55" s="556">
        <f t="shared" si="40"/>
        <v>1.0043302040348687</v>
      </c>
      <c r="AL55" s="556">
        <f t="shared" si="40"/>
        <v>0.99071596700365916</v>
      </c>
      <c r="AM55" s="556">
        <f t="shared" si="40"/>
        <v>1.0341575320906315</v>
      </c>
      <c r="AN55" s="556">
        <f t="shared" si="40"/>
        <v>1.0173519559810797</v>
      </c>
      <c r="AO55" s="556">
        <f t="shared" si="40"/>
        <v>0.96203300150598647</v>
      </c>
      <c r="AP55" s="556">
        <f t="shared" si="40"/>
        <v>0.91330132483630033</v>
      </c>
      <c r="AQ55" s="556">
        <f t="shared" si="40"/>
        <v>0.92717366551166147</v>
      </c>
      <c r="AR55" s="556">
        <f t="shared" si="40"/>
        <v>0.94431977373996401</v>
      </c>
      <c r="AS55" s="556">
        <f t="shared" si="39"/>
        <v>0.96326663817098912</v>
      </c>
      <c r="AT55" s="556">
        <f t="shared" si="39"/>
        <v>0.99550982562432522</v>
      </c>
      <c r="AU55" s="556">
        <f t="shared" si="39"/>
        <v>1.0178436706213694</v>
      </c>
      <c r="AV55" s="556">
        <f t="shared" si="39"/>
        <v>1.0391485251609291</v>
      </c>
      <c r="AW55" s="556"/>
      <c r="AX55" s="497"/>
    </row>
    <row r="56" spans="1:50">
      <c r="A56" s="497" t="s">
        <v>470</v>
      </c>
      <c r="B56" s="497"/>
      <c r="C56" s="497"/>
      <c r="D56" s="497"/>
      <c r="E56" s="497"/>
      <c r="F56" s="497"/>
      <c r="G56" s="497"/>
      <c r="H56" s="497"/>
      <c r="I56" s="497"/>
      <c r="J56" s="497"/>
      <c r="K56" s="497"/>
      <c r="L56" s="497"/>
      <c r="M56" s="497"/>
      <c r="N56" s="556">
        <f t="shared" si="37"/>
        <v>1.0622579564961359</v>
      </c>
      <c r="O56" s="556">
        <f t="shared" si="40"/>
        <v>0.94127223043603125</v>
      </c>
      <c r="P56" s="556">
        <f t="shared" si="40"/>
        <v>0.74304121544522628</v>
      </c>
      <c r="Q56" s="556">
        <f t="shared" si="40"/>
        <v>0.81920623356713174</v>
      </c>
      <c r="R56" s="556">
        <f t="shared" si="40"/>
        <v>0.70508221745762301</v>
      </c>
      <c r="S56" s="556">
        <f t="shared" si="40"/>
        <v>0.39862377065863158</v>
      </c>
      <c r="T56" s="556">
        <f t="shared" si="40"/>
        <v>0.91794979468445836</v>
      </c>
      <c r="U56" s="556">
        <f t="shared" si="40"/>
        <v>1.0889723507541322</v>
      </c>
      <c r="V56" s="556">
        <f t="shared" si="40"/>
        <v>1.045413456723967</v>
      </c>
      <c r="W56" s="556">
        <f t="shared" si="40"/>
        <v>1.0476219968783707</v>
      </c>
      <c r="X56" s="556">
        <f t="shared" si="40"/>
        <v>1.0828903295444419</v>
      </c>
      <c r="Y56" s="556">
        <f t="shared" si="40"/>
        <v>0.95630179365126022</v>
      </c>
      <c r="Z56" s="556">
        <f t="shared" si="40"/>
        <v>1.0395678746916825</v>
      </c>
      <c r="AA56" s="556">
        <f t="shared" si="40"/>
        <v>1.0942689719266705</v>
      </c>
      <c r="AB56" s="556">
        <f t="shared" si="40"/>
        <v>1.1475709211935246</v>
      </c>
      <c r="AC56" s="556">
        <f t="shared" si="40"/>
        <v>1.1770224685914155</v>
      </c>
      <c r="AD56" s="556">
        <f t="shared" si="40"/>
        <v>1.1519815696270099</v>
      </c>
      <c r="AE56" s="556">
        <f t="shared" si="40"/>
        <v>1.1682291554625372</v>
      </c>
      <c r="AF56" s="556">
        <f t="shared" si="40"/>
        <v>1.0867746135575074</v>
      </c>
      <c r="AG56" s="556">
        <f t="shared" si="40"/>
        <v>1.0446403828708546</v>
      </c>
      <c r="AH56" s="556">
        <f t="shared" si="40"/>
        <v>1.0664027940072598</v>
      </c>
      <c r="AI56" s="556">
        <f t="shared" si="40"/>
        <v>1.0591234056828744</v>
      </c>
      <c r="AJ56" s="556">
        <f t="shared" si="40"/>
        <v>1.0081699344076747</v>
      </c>
      <c r="AK56" s="556">
        <f t="shared" si="40"/>
        <v>1.0562609295147714</v>
      </c>
      <c r="AL56" s="556">
        <f t="shared" si="40"/>
        <v>1.0439925680745432</v>
      </c>
      <c r="AM56" s="556">
        <f t="shared" si="40"/>
        <v>1.0549163985078525</v>
      </c>
      <c r="AN56" s="556">
        <f t="shared" si="40"/>
        <v>1.0063215508172603</v>
      </c>
      <c r="AO56" s="556">
        <f t="shared" si="40"/>
        <v>0.91241436571274859</v>
      </c>
      <c r="AP56" s="556">
        <f t="shared" si="40"/>
        <v>0.91266315264701448</v>
      </c>
      <c r="AQ56" s="556">
        <f t="shared" si="40"/>
        <v>1.0201328076207317</v>
      </c>
      <c r="AR56" s="556">
        <f t="shared" si="40"/>
        <v>0.99748743580488108</v>
      </c>
      <c r="AS56" s="556">
        <f t="shared" si="39"/>
        <v>0.97148930637296105</v>
      </c>
      <c r="AT56" s="556">
        <f t="shared" si="39"/>
        <v>0.99821261032902242</v>
      </c>
      <c r="AU56" s="556">
        <f t="shared" si="39"/>
        <v>0.99560673839673652</v>
      </c>
      <c r="AV56" s="556">
        <f t="shared" si="39"/>
        <v>1.0137013745959789</v>
      </c>
      <c r="AW56" s="556"/>
      <c r="AX56" s="497"/>
    </row>
    <row r="57" spans="1:50">
      <c r="A57" t="s">
        <v>471</v>
      </c>
    </row>
    <row r="61" spans="1:50">
      <c r="M61" t="s">
        <v>462</v>
      </c>
    </row>
    <row r="62" spans="1:50">
      <c r="M62" t="s">
        <v>461</v>
      </c>
      <c r="X62" s="552" t="s">
        <v>138</v>
      </c>
    </row>
    <row r="63" spans="1:50">
      <c r="C63" s="552" t="s">
        <v>456</v>
      </c>
      <c r="M63" s="552" t="s">
        <v>460</v>
      </c>
    </row>
    <row r="64" spans="1:50" ht="36">
      <c r="C64" s="553" t="s">
        <v>452</v>
      </c>
      <c r="D64" t="s">
        <v>465</v>
      </c>
      <c r="E64" t="s">
        <v>466</v>
      </c>
      <c r="F64" t="s">
        <v>467</v>
      </c>
      <c r="G64" t="s">
        <v>468</v>
      </c>
      <c r="H64" t="s">
        <v>469</v>
      </c>
      <c r="I64" t="s">
        <v>470</v>
      </c>
      <c r="J64" t="s">
        <v>471</v>
      </c>
      <c r="M64" s="553" t="s">
        <v>452</v>
      </c>
      <c r="N64" t="s">
        <v>465</v>
      </c>
      <c r="O64" t="s">
        <v>466</v>
      </c>
      <c r="P64" t="s">
        <v>467</v>
      </c>
      <c r="Q64" t="s">
        <v>468</v>
      </c>
      <c r="R64" t="s">
        <v>469</v>
      </c>
      <c r="S64" t="s">
        <v>470</v>
      </c>
      <c r="T64" t="s">
        <v>471</v>
      </c>
      <c r="V64" s="497"/>
      <c r="W64" s="497"/>
      <c r="X64" s="565" t="s">
        <v>452</v>
      </c>
      <c r="Y64" s="565" t="s">
        <v>469</v>
      </c>
      <c r="Z64" s="565" t="s">
        <v>465</v>
      </c>
      <c r="AA64" s="565" t="s">
        <v>470</v>
      </c>
      <c r="AB64" s="565" t="s">
        <v>466</v>
      </c>
      <c r="AC64" s="565" t="s">
        <v>468</v>
      </c>
      <c r="AD64" s="565" t="s">
        <v>467</v>
      </c>
      <c r="AE64" s="565" t="s">
        <v>471</v>
      </c>
    </row>
    <row r="65" spans="1:33">
      <c r="A65" s="566">
        <v>2020</v>
      </c>
      <c r="B65" s="498">
        <v>1</v>
      </c>
      <c r="C65" s="33">
        <f t="shared" ref="C65:C76" si="42">AVERAGEIFS($38:$38,$1:$1,$B65,$3:$3,$A65)</f>
        <v>3.2022772881945404E-2</v>
      </c>
      <c r="D65" s="33">
        <f t="shared" ref="D65:D76" si="43">AVERAGEIFS($39:$39,$1:$1,$B65,$3:$3,$A65)</f>
        <v>3.0189825134439907E-2</v>
      </c>
      <c r="E65" s="33">
        <f t="shared" ref="E65:E76" si="44">AVERAGEIFS($40:$40,$1:$1,$B65,$3:$3,$A65)</f>
        <v>3.2657264483524052E-2</v>
      </c>
      <c r="F65" s="33">
        <f t="shared" ref="F65:F76" si="45">AVERAGEIFS($41:$41,$1:$1,$B65,$3:$3,$A65)</f>
        <v>3.1954102760686519E-2</v>
      </c>
      <c r="G65" s="33">
        <f t="shared" ref="G65:G76" si="46">AVERAGEIFS($42:$42,$1:$1,$B65,$3:$3,$A65)</f>
        <v>3.1019246086032348E-2</v>
      </c>
      <c r="H65" s="33">
        <f t="shared" ref="H65:H76" si="47">AVERAGEIFS($43:$43,$1:$1,$B65,$3:$3,$A65)</f>
        <v>3.7184839549892303E-2</v>
      </c>
      <c r="I65" s="33">
        <f t="shared" ref="I65:I76" si="48">AVERAGEIFS($44:$44,$1:$1,$B65,$3:$3,$A65)</f>
        <v>2.2265147972227489E-2</v>
      </c>
      <c r="J65" s="33">
        <f t="shared" ref="J65:J76" si="49">AVERAGEIFS($45:$45,$1:$1,$B65,$3:$3,$A65)</f>
        <v>2.7948933551778559E-2</v>
      </c>
      <c r="M65" s="33">
        <f>'Дефлятор модель (CPI-PPI) (С-1)'!F42</f>
        <v>-5.6333333333333339E-2</v>
      </c>
      <c r="N65" s="29">
        <f>M65</f>
        <v>-5.6333333333333339E-2</v>
      </c>
      <c r="O65" s="29">
        <f t="shared" ref="O65:T65" si="50">N65</f>
        <v>-5.6333333333333339E-2</v>
      </c>
      <c r="P65" s="29">
        <f t="shared" si="50"/>
        <v>-5.6333333333333339E-2</v>
      </c>
      <c r="Q65" s="29">
        <f t="shared" si="50"/>
        <v>-5.6333333333333339E-2</v>
      </c>
      <c r="R65" s="29">
        <f t="shared" si="50"/>
        <v>-5.6333333333333339E-2</v>
      </c>
      <c r="S65" s="29">
        <f t="shared" si="50"/>
        <v>-5.6333333333333339E-2</v>
      </c>
      <c r="T65" s="29">
        <f t="shared" si="50"/>
        <v>-5.6333333333333339E-2</v>
      </c>
      <c r="V65" s="953">
        <v>2020</v>
      </c>
      <c r="W65" s="566" t="s">
        <v>472</v>
      </c>
      <c r="X65" s="560">
        <f t="shared" ref="X65:X75" si="51">(41.77065*M65+36.90601*C65+4.322334)/100</f>
        <v>3.151086826208805E-2</v>
      </c>
      <c r="Y65" s="560">
        <f t="shared" ref="Y65:Y76" si="52">(41.77065*R65+36.90601*H65+4.322334)/100</f>
        <v>3.3415981102767202E-2</v>
      </c>
      <c r="Z65" s="560">
        <f t="shared" ref="Z65:Z76" si="53">(41.77065*N65+36.90601*D65+4.322334)/100</f>
        <v>3.0834400383098898E-2</v>
      </c>
      <c r="AA65" s="560">
        <f t="shared" ref="AA65:AA76" si="54">(41.77065*S65+36.90601*I65+4.322334)/100</f>
        <v>2.7909718237145067E-2</v>
      </c>
      <c r="AB65" s="560">
        <f t="shared" ref="AB65:AB76" si="55">(41.77065*O65+36.90601*E65+4.322334)/100</f>
        <v>3.1745033796015829E-2</v>
      </c>
      <c r="AC65" s="560">
        <f t="shared" ref="AC65:AC76" si="56">(41.77065*Q65+36.90601*G65+4.322334)/100</f>
        <v>3.1140506562435701E-2</v>
      </c>
      <c r="AD65" s="560">
        <f t="shared" ref="AD65:AD76" si="57">(41.77065*P65+36.90601*F65+4.322334)/100</f>
        <v>3.1485524860269232E-2</v>
      </c>
      <c r="AE65" s="560">
        <f t="shared" ref="AE65:AE76" si="58">(41.77065*T65+36.90601*J65+4.322334)/100</f>
        <v>3.000737671151274E-2</v>
      </c>
    </row>
    <row r="66" spans="1:33">
      <c r="A66" s="566">
        <v>2020</v>
      </c>
      <c r="B66" s="498">
        <v>2</v>
      </c>
      <c r="C66" s="33">
        <f t="shared" si="42"/>
        <v>2.621946208107458E-2</v>
      </c>
      <c r="D66" s="33">
        <f t="shared" si="43"/>
        <v>2.1036157828539331E-2</v>
      </c>
      <c r="E66" s="33">
        <f t="shared" si="44"/>
        <v>2.2094330641243925E-2</v>
      </c>
      <c r="F66" s="33">
        <f t="shared" si="45"/>
        <v>1.732481634009142E-2</v>
      </c>
      <c r="G66" s="33">
        <f t="shared" si="46"/>
        <v>2.3513909946704548E-2</v>
      </c>
      <c r="H66" s="33">
        <f t="shared" si="47"/>
        <v>2.9649933149861567E-2</v>
      </c>
      <c r="I66" s="33">
        <f t="shared" si="48"/>
        <v>1.4538041913411274E-2</v>
      </c>
      <c r="J66" s="33">
        <f t="shared" si="49"/>
        <v>2.5256675982532045E-2</v>
      </c>
      <c r="M66" s="33">
        <f>'Дефлятор модель (CPI-PPI) (С-1)'!F43</f>
        <v>-4.099999999999996E-2</v>
      </c>
      <c r="N66" s="29">
        <f t="shared" ref="N66:T66" si="59">M66</f>
        <v>-4.099999999999996E-2</v>
      </c>
      <c r="O66" s="29">
        <f t="shared" si="59"/>
        <v>-4.099999999999996E-2</v>
      </c>
      <c r="P66" s="29">
        <f t="shared" si="59"/>
        <v>-4.099999999999996E-2</v>
      </c>
      <c r="Q66" s="29">
        <f t="shared" si="59"/>
        <v>-4.099999999999996E-2</v>
      </c>
      <c r="R66" s="29">
        <f t="shared" si="59"/>
        <v>-4.099999999999996E-2</v>
      </c>
      <c r="S66" s="29">
        <f t="shared" si="59"/>
        <v>-4.099999999999996E-2</v>
      </c>
      <c r="T66" s="29">
        <f t="shared" si="59"/>
        <v>-4.099999999999996E-2</v>
      </c>
      <c r="V66" s="955"/>
      <c r="W66" s="566" t="s">
        <v>473</v>
      </c>
      <c r="X66" s="560">
        <f>(41.77065*M66+36.90601*C66+4.322334)/100</f>
        <v>3.5773930797587603E-2</v>
      </c>
      <c r="Y66" s="560">
        <f t="shared" si="52"/>
        <v>3.7039980793281239E-2</v>
      </c>
      <c r="Z66" s="560">
        <f t="shared" si="53"/>
        <v>3.3860980011816519E-2</v>
      </c>
      <c r="AA66" s="560">
        <f t="shared" si="54"/>
        <v>3.1462784702367769E-2</v>
      </c>
      <c r="AB66" s="560">
        <f t="shared" si="55"/>
        <v>3.4251509375890561E-2</v>
      </c>
      <c r="AC66" s="560">
        <f t="shared" si="56"/>
        <v>3.4775419456321788E-2</v>
      </c>
      <c r="AD66" s="560">
        <f t="shared" si="57"/>
        <v>3.2491271950955782E-2</v>
      </c>
      <c r="AE66" s="560">
        <f t="shared" si="58"/>
        <v>3.5418604863780886E-2</v>
      </c>
    </row>
    <row r="67" spans="1:33">
      <c r="A67" s="566">
        <v>2020</v>
      </c>
      <c r="B67" s="498">
        <v>3</v>
      </c>
      <c r="C67" s="33">
        <f t="shared" si="42"/>
        <v>3.3082850889815475E-2</v>
      </c>
      <c r="D67" s="33">
        <f t="shared" si="43"/>
        <v>3.2382439207818171E-2</v>
      </c>
      <c r="E67" s="33">
        <f t="shared" si="44"/>
        <v>2.586998206956248E-2</v>
      </c>
      <c r="F67" s="33">
        <f t="shared" si="45"/>
        <v>1.0881690477000458E-2</v>
      </c>
      <c r="G67" s="33">
        <f t="shared" si="46"/>
        <v>2.4547975740666066E-2</v>
      </c>
      <c r="H67" s="33">
        <f t="shared" si="47"/>
        <v>3.5168877536574085E-2</v>
      </c>
      <c r="I67" s="33">
        <f t="shared" si="48"/>
        <v>2.5455326254800292E-2</v>
      </c>
      <c r="J67" s="33">
        <f t="shared" si="49"/>
        <v>2.8688176760273725E-2</v>
      </c>
      <c r="M67" s="33">
        <f>'Дефлятор модель (CPI-PPI) (С-1)'!F44</f>
        <v>-4.6333333333333337E-2</v>
      </c>
      <c r="N67" s="29">
        <f t="shared" ref="N67:T67" si="60">M67</f>
        <v>-4.6333333333333337E-2</v>
      </c>
      <c r="O67" s="29">
        <f t="shared" si="60"/>
        <v>-4.6333333333333337E-2</v>
      </c>
      <c r="P67" s="29">
        <f t="shared" si="60"/>
        <v>-4.6333333333333337E-2</v>
      </c>
      <c r="Q67" s="29">
        <f t="shared" si="60"/>
        <v>-4.6333333333333337E-2</v>
      </c>
      <c r="R67" s="29">
        <f t="shared" si="60"/>
        <v>-4.6333333333333337E-2</v>
      </c>
      <c r="S67" s="29">
        <f t="shared" si="60"/>
        <v>-4.6333333333333337E-2</v>
      </c>
      <c r="T67" s="29">
        <f t="shared" si="60"/>
        <v>-4.6333333333333337E-2</v>
      </c>
      <c r="V67" s="955"/>
      <c r="W67" s="566" t="s">
        <v>474</v>
      </c>
      <c r="X67" s="560">
        <f t="shared" si="51"/>
        <v>3.607916575768038E-2</v>
      </c>
      <c r="Y67" s="560">
        <f t="shared" si="52"/>
        <v>3.6849034960535779E-2</v>
      </c>
      <c r="Z67" s="560">
        <f t="shared" si="53"/>
        <v>3.5820671752281291E-2</v>
      </c>
      <c r="AA67" s="560">
        <f t="shared" si="54"/>
        <v>3.3264150753129218E-2</v>
      </c>
      <c r="AB67" s="560">
        <f t="shared" si="55"/>
        <v>3.3417183669590927E-2</v>
      </c>
      <c r="AC67" s="560">
        <f t="shared" si="56"/>
        <v>3.2929283881647786E-2</v>
      </c>
      <c r="AD67" s="560">
        <f t="shared" si="57"/>
        <v>2.7885603275610831E-2</v>
      </c>
      <c r="AE67" s="560">
        <f t="shared" si="58"/>
        <v>3.4457266883964291E-2</v>
      </c>
    </row>
    <row r="68" spans="1:33">
      <c r="A68" s="566">
        <v>2020</v>
      </c>
      <c r="B68" s="498">
        <v>4</v>
      </c>
      <c r="C68" s="33">
        <f t="shared" si="42"/>
        <v>3.96508864196774E-2</v>
      </c>
      <c r="D68" s="33">
        <f t="shared" si="43"/>
        <v>4.7563452345622759E-2</v>
      </c>
      <c r="E68" s="33">
        <f t="shared" si="44"/>
        <v>4.1303579898598043E-2</v>
      </c>
      <c r="F68" s="33">
        <f t="shared" si="45"/>
        <v>2.4753228304040736E-2</v>
      </c>
      <c r="G68" s="33">
        <f t="shared" si="46"/>
        <v>4.3061985038103545E-2</v>
      </c>
      <c r="H68" s="33">
        <f t="shared" si="47"/>
        <v>4.794325794030866E-2</v>
      </c>
      <c r="I68" s="33">
        <f t="shared" si="48"/>
        <v>3.8824336820495832E-2</v>
      </c>
      <c r="J68" s="33">
        <f t="shared" si="49"/>
        <v>4.2865731482699378E-2</v>
      </c>
      <c r="M68" s="33">
        <f>'Дефлятор модель (CPI-PPI) (С-1)'!F45</f>
        <v>8.7666666666666671E-2</v>
      </c>
      <c r="N68" s="29">
        <f t="shared" ref="N68:T68" si="61">M68</f>
        <v>8.7666666666666671E-2</v>
      </c>
      <c r="O68" s="29">
        <f t="shared" si="61"/>
        <v>8.7666666666666671E-2</v>
      </c>
      <c r="P68" s="29">
        <f t="shared" si="61"/>
        <v>8.7666666666666671E-2</v>
      </c>
      <c r="Q68" s="29">
        <f t="shared" si="61"/>
        <v>8.7666666666666671E-2</v>
      </c>
      <c r="R68" s="29">
        <f t="shared" si="61"/>
        <v>8.7666666666666671E-2</v>
      </c>
      <c r="S68" s="29">
        <f t="shared" si="61"/>
        <v>8.7666666666666671E-2</v>
      </c>
      <c r="T68" s="29">
        <f t="shared" si="61"/>
        <v>8.7666666666666671E-2</v>
      </c>
      <c r="V68" s="954"/>
      <c r="W68" s="566" t="s">
        <v>475</v>
      </c>
      <c r="X68" s="560">
        <f t="shared" si="51"/>
        <v>9.447583660713478E-2</v>
      </c>
      <c r="Y68" s="560">
        <f t="shared" si="52"/>
        <v>9.7536220069776108E-2</v>
      </c>
      <c r="Z68" s="560">
        <f t="shared" si="53"/>
        <v>9.7396048979020766E-2</v>
      </c>
      <c r="AA68" s="560">
        <f t="shared" si="54"/>
        <v>9.4170790129405865E-2</v>
      </c>
      <c r="AB68" s="560">
        <f t="shared" si="55"/>
        <v>9.5085779827734598E-2</v>
      </c>
      <c r="AC68" s="560">
        <f t="shared" si="56"/>
        <v>9.5734737004360998E-2</v>
      </c>
      <c r="AD68" s="560">
        <f t="shared" si="57"/>
        <v>8.8977705413212108E-2</v>
      </c>
      <c r="AE68" s="560">
        <f t="shared" si="58"/>
        <v>9.5662307647578187E-2</v>
      </c>
    </row>
    <row r="69" spans="1:33">
      <c r="A69" s="566">
        <v>2021</v>
      </c>
      <c r="B69" s="498">
        <v>1</v>
      </c>
      <c r="C69" s="33">
        <f t="shared" si="42"/>
        <v>7.116540477173916E-2</v>
      </c>
      <c r="D69" s="33">
        <f t="shared" si="43"/>
        <v>7.7517732043409657E-2</v>
      </c>
      <c r="E69" s="33">
        <f t="shared" si="44"/>
        <v>7.3540931908050819E-2</v>
      </c>
      <c r="F69" s="33">
        <f t="shared" si="45"/>
        <v>5.3673108368242607E-2</v>
      </c>
      <c r="G69" s="33">
        <f t="shared" si="46"/>
        <v>7.5389999859990883E-2</v>
      </c>
      <c r="H69" s="33">
        <f t="shared" si="47"/>
        <v>8.3950089745685449E-2</v>
      </c>
      <c r="I69" s="33">
        <f t="shared" si="48"/>
        <v>8.4288378735770511E-2</v>
      </c>
      <c r="J69" s="33">
        <f t="shared" si="49"/>
        <v>7.4049507635223444E-2</v>
      </c>
      <c r="M69" s="33">
        <f>'Дефлятор модель (CPI-PPI) (С-1)'!F46</f>
        <v>0.23500000000000001</v>
      </c>
      <c r="N69" s="29">
        <f t="shared" ref="N69:T69" si="62">M69</f>
        <v>0.23500000000000001</v>
      </c>
      <c r="O69" s="29">
        <f t="shared" si="62"/>
        <v>0.23500000000000001</v>
      </c>
      <c r="P69" s="29">
        <f t="shared" si="62"/>
        <v>0.23500000000000001</v>
      </c>
      <c r="Q69" s="29">
        <f t="shared" si="62"/>
        <v>0.23500000000000001</v>
      </c>
      <c r="R69" s="29">
        <f t="shared" si="62"/>
        <v>0.23500000000000001</v>
      </c>
      <c r="S69" s="29">
        <f t="shared" si="62"/>
        <v>0.23500000000000001</v>
      </c>
      <c r="T69" s="29">
        <f t="shared" si="62"/>
        <v>0.23500000000000001</v>
      </c>
      <c r="V69" s="953">
        <v>2021</v>
      </c>
      <c r="W69" s="566" t="s">
        <v>472</v>
      </c>
      <c r="X69" s="560">
        <f t="shared" si="51"/>
        <v>0.16764867890159857</v>
      </c>
      <c r="Y69" s="560">
        <f t="shared" si="52"/>
        <v>0.17236699601655164</v>
      </c>
      <c r="Z69" s="560">
        <f t="shared" si="53"/>
        <v>0.16999306943971398</v>
      </c>
      <c r="AA69" s="560">
        <f t="shared" si="54"/>
        <v>0.17249184498506132</v>
      </c>
      <c r="AB69" s="560">
        <f t="shared" si="55"/>
        <v>0.16852539118407844</v>
      </c>
      <c r="AC69" s="560">
        <f t="shared" si="56"/>
        <v>0.16920780838732824</v>
      </c>
      <c r="AD69" s="560">
        <f t="shared" si="57"/>
        <v>0.16119297024169449</v>
      </c>
      <c r="AE69" s="560">
        <f t="shared" si="58"/>
        <v>0.16871308619280634</v>
      </c>
    </row>
    <row r="70" spans="1:33">
      <c r="A70" s="566">
        <v>2021</v>
      </c>
      <c r="B70" s="498">
        <v>2</v>
      </c>
      <c r="C70" s="33">
        <f t="shared" si="42"/>
        <v>8.8290152849198902E-2</v>
      </c>
      <c r="D70" s="33">
        <f t="shared" si="43"/>
        <v>9.2196471140163785E-2</v>
      </c>
      <c r="E70" s="33">
        <f t="shared" si="44"/>
        <v>9.1702715192510428E-2</v>
      </c>
      <c r="F70" s="33">
        <f t="shared" si="45"/>
        <v>7.7032410815580876E-2</v>
      </c>
      <c r="G70" s="33">
        <f t="shared" si="46"/>
        <v>9.5805855086769462E-2</v>
      </c>
      <c r="H70" s="33">
        <f t="shared" si="47"/>
        <v>0.10051354751004211</v>
      </c>
      <c r="I70" s="33">
        <f t="shared" si="48"/>
        <v>0.10366393663519102</v>
      </c>
      <c r="J70" s="33">
        <f t="shared" si="49"/>
        <v>8.8269742245200275E-2</v>
      </c>
      <c r="M70" s="33">
        <f>'Дефлятор модель (CPI-PPI) (С-1)'!F47</f>
        <v>0.33333333333333331</v>
      </c>
      <c r="N70" s="29">
        <f t="shared" ref="N70:T70" si="63">M70</f>
        <v>0.33333333333333331</v>
      </c>
      <c r="O70" s="29">
        <f t="shared" si="63"/>
        <v>0.33333333333333331</v>
      </c>
      <c r="P70" s="29">
        <f t="shared" si="63"/>
        <v>0.33333333333333331</v>
      </c>
      <c r="Q70" s="29">
        <f t="shared" si="63"/>
        <v>0.33333333333333331</v>
      </c>
      <c r="R70" s="29">
        <f t="shared" si="63"/>
        <v>0.33333333333333331</v>
      </c>
      <c r="S70" s="29">
        <f t="shared" si="63"/>
        <v>0.33333333333333331</v>
      </c>
      <c r="T70" s="29">
        <f t="shared" si="63"/>
        <v>0.33333333333333331</v>
      </c>
      <c r="V70" s="955"/>
      <c r="W70" s="566" t="s">
        <v>473</v>
      </c>
      <c r="X70" s="560">
        <f t="shared" si="51"/>
        <v>0.21504321263954063</v>
      </c>
      <c r="Y70" s="560">
        <f t="shared" si="52"/>
        <v>0.21955437989541088</v>
      </c>
      <c r="Z70" s="560">
        <f t="shared" si="53"/>
        <v>0.21648487885863596</v>
      </c>
      <c r="AA70" s="560">
        <f t="shared" si="54"/>
        <v>0.22071706282097728</v>
      </c>
      <c r="AB70" s="560">
        <f t="shared" si="55"/>
        <v>0.21630265323921941</v>
      </c>
      <c r="AC70" s="560">
        <f t="shared" si="56"/>
        <v>0.21781695845890867</v>
      </c>
      <c r="AD70" s="560">
        <f t="shared" si="57"/>
        <v>0.21088842923883938</v>
      </c>
      <c r="AE70" s="560">
        <f t="shared" si="58"/>
        <v>0.21503567989998784</v>
      </c>
    </row>
    <row r="71" spans="1:33">
      <c r="A71" s="566">
        <v>2021</v>
      </c>
      <c r="B71" s="498">
        <v>3</v>
      </c>
      <c r="C71" s="33">
        <f t="shared" si="42"/>
        <v>9.7344742643579771E-2</v>
      </c>
      <c r="D71" s="33">
        <f t="shared" si="43"/>
        <v>0.1016552243956584</v>
      </c>
      <c r="E71" s="33">
        <f t="shared" si="44"/>
        <v>9.7503954417477612E-2</v>
      </c>
      <c r="F71" s="33">
        <f t="shared" si="45"/>
        <v>9.7652441064405071E-2</v>
      </c>
      <c r="G71" s="33">
        <f t="shared" si="46"/>
        <v>0.10458621101233316</v>
      </c>
      <c r="H71" s="33">
        <f t="shared" si="47"/>
        <v>0.1041635646635477</v>
      </c>
      <c r="I71" s="33">
        <f t="shared" si="48"/>
        <v>0.11060999288889461</v>
      </c>
      <c r="J71" s="33">
        <f t="shared" si="49"/>
        <v>0.10280822492405473</v>
      </c>
      <c r="M71" s="33">
        <f>'Дефлятор модель (CPI-PPI) (С-1)'!F48</f>
        <v>0.44599999999999995</v>
      </c>
      <c r="N71" s="29">
        <f t="shared" ref="N71:T71" si="64">M71</f>
        <v>0.44599999999999995</v>
      </c>
      <c r="O71" s="29">
        <f t="shared" si="64"/>
        <v>0.44599999999999995</v>
      </c>
      <c r="P71" s="29">
        <f t="shared" si="64"/>
        <v>0.44599999999999995</v>
      </c>
      <c r="Q71" s="29">
        <f t="shared" si="64"/>
        <v>0.44599999999999995</v>
      </c>
      <c r="R71" s="29">
        <f t="shared" si="64"/>
        <v>0.44599999999999995</v>
      </c>
      <c r="S71" s="29">
        <f t="shared" si="64"/>
        <v>0.44599999999999995</v>
      </c>
      <c r="T71" s="29">
        <f t="shared" si="64"/>
        <v>0.44599999999999995</v>
      </c>
      <c r="V71" s="955"/>
      <c r="W71" s="566" t="s">
        <v>474</v>
      </c>
      <c r="X71" s="560">
        <f t="shared" si="51"/>
        <v>0.26544649945451382</v>
      </c>
      <c r="Y71" s="560">
        <f t="shared" si="52"/>
        <v>0.26796305459108538</v>
      </c>
      <c r="Z71" s="560">
        <f t="shared" si="53"/>
        <v>0.26703732628098409</v>
      </c>
      <c r="AA71" s="560">
        <f t="shared" si="54"/>
        <v>0.27034217403657473</v>
      </c>
      <c r="AB71" s="560">
        <f t="shared" si="55"/>
        <v>0.2655052581677097</v>
      </c>
      <c r="AC71" s="560">
        <f t="shared" si="56"/>
        <v>0.26811903649483276</v>
      </c>
      <c r="AD71" s="560">
        <f t="shared" si="57"/>
        <v>0.26556005866447341</v>
      </c>
      <c r="AE71" s="560">
        <f t="shared" si="58"/>
        <v>0.26746285277129411</v>
      </c>
    </row>
    <row r="72" spans="1:33" ht="54">
      <c r="A72" s="566">
        <v>2021</v>
      </c>
      <c r="B72" s="498">
        <v>4</v>
      </c>
      <c r="C72" s="33">
        <f t="shared" si="42"/>
        <v>9.950544615887158E-2</v>
      </c>
      <c r="D72" s="33">
        <f t="shared" si="43"/>
        <v>0.10128185193476195</v>
      </c>
      <c r="E72" s="33">
        <f t="shared" si="44"/>
        <v>9.1369185232488867E-2</v>
      </c>
      <c r="F72" s="33">
        <f t="shared" si="45"/>
        <v>9.8402743396535763E-2</v>
      </c>
      <c r="G72" s="33">
        <f t="shared" si="46"/>
        <v>9.8766670027322798E-2</v>
      </c>
      <c r="H72" s="33">
        <f t="shared" si="47"/>
        <v>0.10271406311190863</v>
      </c>
      <c r="I72" s="33">
        <f t="shared" si="48"/>
        <v>0.10769488513263743</v>
      </c>
      <c r="J72" s="33">
        <f t="shared" si="49"/>
        <v>0.10318395358779602</v>
      </c>
      <c r="M72" s="33">
        <f>'Дефлятор модель (CPI-PPI) (С-1)'!F49</f>
        <v>0.60033333333333327</v>
      </c>
      <c r="N72" s="29">
        <f t="shared" ref="N72:T72" si="65">M72</f>
        <v>0.60033333333333327</v>
      </c>
      <c r="O72" s="29">
        <f t="shared" si="65"/>
        <v>0.60033333333333327</v>
      </c>
      <c r="P72" s="29">
        <f t="shared" si="65"/>
        <v>0.60033333333333327</v>
      </c>
      <c r="Q72" s="29">
        <f t="shared" si="65"/>
        <v>0.60033333333333327</v>
      </c>
      <c r="R72" s="29">
        <f t="shared" si="65"/>
        <v>0.60033333333333327</v>
      </c>
      <c r="S72" s="29">
        <f t="shared" si="65"/>
        <v>0.60033333333333327</v>
      </c>
      <c r="T72" s="29">
        <f t="shared" si="65"/>
        <v>0.60033333333333327</v>
      </c>
      <c r="V72" s="954"/>
      <c r="W72" s="566" t="s">
        <v>475</v>
      </c>
      <c r="X72" s="560">
        <f t="shared" si="51"/>
        <v>0.33070996540993775</v>
      </c>
      <c r="Y72" s="560">
        <f t="shared" si="52"/>
        <v>0.33189413790348732</v>
      </c>
      <c r="Z72" s="560">
        <f t="shared" si="53"/>
        <v>0.33136556590322841</v>
      </c>
      <c r="AA72" s="560">
        <f t="shared" si="54"/>
        <v>0.33373236057653971</v>
      </c>
      <c r="AB72" s="560">
        <f t="shared" si="55"/>
        <v>0.32770719613882088</v>
      </c>
      <c r="AC72" s="560">
        <f t="shared" si="56"/>
        <v>0.3304373126169507</v>
      </c>
      <c r="AD72" s="560">
        <f t="shared" si="57"/>
        <v>0.33030300181819983</v>
      </c>
      <c r="AE72" s="560">
        <f t="shared" si="58"/>
        <v>0.33206755572950736</v>
      </c>
      <c r="AG72" s="131" t="s">
        <v>1680</v>
      </c>
    </row>
    <row r="73" spans="1:33">
      <c r="A73" s="566">
        <v>2022</v>
      </c>
      <c r="B73" s="498">
        <v>1</v>
      </c>
      <c r="C73" s="33">
        <f t="shared" si="42"/>
        <v>0.10711385230269858</v>
      </c>
      <c r="D73" s="33">
        <f t="shared" si="43"/>
        <v>0.11695303547036184</v>
      </c>
      <c r="E73" s="33">
        <f t="shared" si="44"/>
        <v>0.10323125946083407</v>
      </c>
      <c r="F73" s="33">
        <f t="shared" si="45"/>
        <v>0.1016319662532994</v>
      </c>
      <c r="G73" s="33">
        <f t="shared" si="46"/>
        <v>0.10307552499503725</v>
      </c>
      <c r="H73" s="33">
        <f t="shared" si="47"/>
        <v>0.11469031123511964</v>
      </c>
      <c r="I73" s="33">
        <f t="shared" si="48"/>
        <v>0.11272293796362624</v>
      </c>
      <c r="J73" s="33">
        <f t="shared" si="49"/>
        <v>0.12059129439441645</v>
      </c>
      <c r="M73" s="33">
        <f>'Дефлятор модель (CPI-PPI) (С-1)'!F50</f>
        <v>0.5987304620534567</v>
      </c>
      <c r="N73" s="29">
        <f t="shared" ref="N73:T73" si="66">M73</f>
        <v>0.5987304620534567</v>
      </c>
      <c r="O73" s="29">
        <f t="shared" si="66"/>
        <v>0.5987304620534567</v>
      </c>
      <c r="P73" s="29">
        <f t="shared" si="66"/>
        <v>0.5987304620534567</v>
      </c>
      <c r="Q73" s="29">
        <f t="shared" si="66"/>
        <v>0.5987304620534567</v>
      </c>
      <c r="R73" s="29">
        <f t="shared" si="66"/>
        <v>0.5987304620534567</v>
      </c>
      <c r="S73" s="29">
        <f t="shared" si="66"/>
        <v>0.5987304620534567</v>
      </c>
      <c r="T73" s="29">
        <f t="shared" si="66"/>
        <v>0.5987304620534567</v>
      </c>
      <c r="V73" s="953">
        <v>2022</v>
      </c>
      <c r="W73" s="566" t="s">
        <v>472</v>
      </c>
      <c r="X73" s="564">
        <f t="shared" si="51"/>
        <v>0.33284839478995137</v>
      </c>
      <c r="Y73" s="564">
        <f t="shared" si="52"/>
        <v>0.33564456348119653</v>
      </c>
      <c r="Z73" s="564">
        <f t="shared" si="53"/>
        <v>0.33647964471372754</v>
      </c>
      <c r="AA73" s="564">
        <f t="shared" si="54"/>
        <v>0.33491848450488193</v>
      </c>
      <c r="AB73" s="564">
        <f t="shared" si="55"/>
        <v>0.33141548468747362</v>
      </c>
      <c r="AC73" s="564">
        <f t="shared" si="56"/>
        <v>0.33135800930995318</v>
      </c>
      <c r="AD73" s="564">
        <f t="shared" si="57"/>
        <v>0.33082524937637153</v>
      </c>
      <c r="AE73" s="564">
        <f t="shared" si="58"/>
        <v>0.33782238091606503</v>
      </c>
      <c r="AG73" s="33">
        <v>0.19266532411555995</v>
      </c>
    </row>
    <row r="74" spans="1:33">
      <c r="A74" s="566">
        <v>2022</v>
      </c>
      <c r="B74" s="498">
        <v>2</v>
      </c>
      <c r="C74" s="33">
        <f t="shared" si="42"/>
        <v>0.17702023364161965</v>
      </c>
      <c r="D74" s="33">
        <f t="shared" si="43"/>
        <v>0.18360853071419916</v>
      </c>
      <c r="E74" s="33">
        <f t="shared" si="44"/>
        <v>0.17005789168662808</v>
      </c>
      <c r="F74" s="33">
        <f t="shared" si="45"/>
        <v>0.16785705563458309</v>
      </c>
      <c r="G74" s="33">
        <f t="shared" si="46"/>
        <v>0.15950122203090725</v>
      </c>
      <c r="H74" s="33">
        <f t="shared" si="47"/>
        <v>0.17323380947311487</v>
      </c>
      <c r="I74" s="33">
        <f t="shared" si="48"/>
        <v>0.18258682036796384</v>
      </c>
      <c r="J74" s="33">
        <f t="shared" si="49"/>
        <v>0.1937380738412032</v>
      </c>
      <c r="M74" s="33">
        <f>'Дефлятор модель (CPI-PPI) (С-1)'!F51</f>
        <v>0.61971599669989452</v>
      </c>
      <c r="N74" s="29">
        <f t="shared" ref="N74:T74" si="67">M74</f>
        <v>0.61971599669989452</v>
      </c>
      <c r="O74" s="29">
        <f t="shared" si="67"/>
        <v>0.61971599669989452</v>
      </c>
      <c r="P74" s="29">
        <f t="shared" si="67"/>
        <v>0.61971599669989452</v>
      </c>
      <c r="Q74" s="29">
        <f t="shared" si="67"/>
        <v>0.61971599669989452</v>
      </c>
      <c r="R74" s="29">
        <f t="shared" si="67"/>
        <v>0.61971599669989452</v>
      </c>
      <c r="S74" s="29">
        <f t="shared" si="67"/>
        <v>0.61971599669989452</v>
      </c>
      <c r="T74" s="29">
        <f t="shared" si="67"/>
        <v>0.61971599669989452</v>
      </c>
      <c r="V74" s="955"/>
      <c r="W74" s="566" t="s">
        <v>473</v>
      </c>
      <c r="X74" s="564">
        <f t="shared" si="51"/>
        <v>0.36741384510532399</v>
      </c>
      <c r="Y74" s="564">
        <f t="shared" si="52"/>
        <v>0.3660164270230532</v>
      </c>
      <c r="Z74" s="564">
        <f t="shared" si="53"/>
        <v>0.3698453226817599</v>
      </c>
      <c r="AA74" s="564">
        <f t="shared" si="54"/>
        <v>0.36946825015920731</v>
      </c>
      <c r="AB74" s="564">
        <f t="shared" si="55"/>
        <v>0.36484432248718063</v>
      </c>
      <c r="AC74" s="564">
        <f t="shared" si="56"/>
        <v>0.36094827692837333</v>
      </c>
      <c r="AD74" s="564">
        <f t="shared" si="57"/>
        <v>0.36403208171372931</v>
      </c>
      <c r="AE74" s="564">
        <f t="shared" si="58"/>
        <v>0.37358373288116631</v>
      </c>
      <c r="AG74" s="33">
        <v>0.23023253537597185</v>
      </c>
    </row>
    <row r="75" spans="1:33">
      <c r="A75" s="566">
        <v>2022</v>
      </c>
      <c r="B75" s="498">
        <v>3</v>
      </c>
      <c r="C75" s="33">
        <f t="shared" si="42"/>
        <v>0.22832359758981421</v>
      </c>
      <c r="D75" s="33">
        <f t="shared" si="43"/>
        <v>0.237201225232061</v>
      </c>
      <c r="E75" s="33">
        <f t="shared" si="44"/>
        <v>0.22857327332057742</v>
      </c>
      <c r="F75" s="33">
        <f t="shared" si="45"/>
        <v>0.22152002710536026</v>
      </c>
      <c r="G75" s="33">
        <f t="shared" si="46"/>
        <v>0.20932723413125384</v>
      </c>
      <c r="H75" s="33">
        <f t="shared" si="47"/>
        <v>0.23372202504846862</v>
      </c>
      <c r="I75" s="33">
        <f t="shared" si="48"/>
        <v>0.23272149497290062</v>
      </c>
      <c r="J75" s="33">
        <f t="shared" si="49"/>
        <v>0.23527310437149751</v>
      </c>
      <c r="M75" s="33">
        <f>'Дефлятор модель (CPI-PPI) (С-1)'!F52</f>
        <v>0.70140457155676506</v>
      </c>
      <c r="N75" s="29">
        <f>M75</f>
        <v>0.70140457155676506</v>
      </c>
      <c r="O75" s="29">
        <f t="shared" ref="O75:T75" si="68">N75</f>
        <v>0.70140457155676506</v>
      </c>
      <c r="P75" s="29">
        <f t="shared" si="68"/>
        <v>0.70140457155676506</v>
      </c>
      <c r="Q75" s="29">
        <f t="shared" si="68"/>
        <v>0.70140457155676506</v>
      </c>
      <c r="R75" s="29">
        <f t="shared" si="68"/>
        <v>0.70140457155676506</v>
      </c>
      <c r="S75" s="29">
        <f t="shared" si="68"/>
        <v>0.70140457155676506</v>
      </c>
      <c r="T75" s="29">
        <f t="shared" si="68"/>
        <v>0.70140457155676506</v>
      </c>
      <c r="V75" s="955"/>
      <c r="W75" s="566" t="s">
        <v>474</v>
      </c>
      <c r="X75" s="564">
        <f t="shared" si="51"/>
        <v>0.42046971842783248</v>
      </c>
      <c r="Y75" s="564">
        <f t="shared" si="52"/>
        <v>0.42246206260556618</v>
      </c>
      <c r="Z75" s="564">
        <f t="shared" si="53"/>
        <v>0.42374609657324286</v>
      </c>
      <c r="AA75" s="564">
        <f t="shared" si="54"/>
        <v>0.42209280687582407</v>
      </c>
      <c r="AB75" s="564">
        <f t="shared" si="55"/>
        <v>0.42056186377799554</v>
      </c>
      <c r="AC75" s="564">
        <f t="shared" si="56"/>
        <v>0.41345891863017981</v>
      </c>
      <c r="AD75" s="564">
        <f t="shared" si="57"/>
        <v>0.41795879202448288</v>
      </c>
      <c r="AE75" s="564">
        <f t="shared" si="58"/>
        <v>0.4230345040956312</v>
      </c>
      <c r="AG75" s="33">
        <v>0.27854968442849809</v>
      </c>
    </row>
    <row r="76" spans="1:33">
      <c r="A76" s="566">
        <v>2022</v>
      </c>
      <c r="B76" s="498">
        <v>4</v>
      </c>
      <c r="C76" s="109">
        <f t="shared" si="42"/>
        <v>0.25965212071267402</v>
      </c>
      <c r="D76" s="109">
        <f t="shared" si="43"/>
        <v>0.27903636143935828</v>
      </c>
      <c r="E76" s="109">
        <f t="shared" si="44"/>
        <v>0.25891874857628944</v>
      </c>
      <c r="F76" s="109">
        <f t="shared" si="45"/>
        <v>0.22752987138954509</v>
      </c>
      <c r="G76" s="109">
        <f t="shared" si="46"/>
        <v>0.26355964392605036</v>
      </c>
      <c r="H76" s="109">
        <f t="shared" si="47"/>
        <v>0.28904332576184122</v>
      </c>
      <c r="I76" s="109">
        <f t="shared" si="48"/>
        <v>0.27114088844997919</v>
      </c>
      <c r="J76" s="109">
        <f t="shared" si="49"/>
        <v>0.27567052801616893</v>
      </c>
      <c r="M76" s="33">
        <f>'Дефлятор модель (CPI-PPI) (С-1)'!F53</f>
        <v>0.52628589945178506</v>
      </c>
      <c r="N76" s="29">
        <f t="shared" ref="N76:T76" si="69">M76</f>
        <v>0.52628589945178506</v>
      </c>
      <c r="O76" s="29">
        <f t="shared" si="69"/>
        <v>0.52628589945178506</v>
      </c>
      <c r="P76" s="29">
        <f t="shared" si="69"/>
        <v>0.52628589945178506</v>
      </c>
      <c r="Q76" s="29">
        <f t="shared" si="69"/>
        <v>0.52628589945178506</v>
      </c>
      <c r="R76" s="29">
        <f t="shared" si="69"/>
        <v>0.52628589945178506</v>
      </c>
      <c r="S76" s="29">
        <f t="shared" si="69"/>
        <v>0.52628589945178506</v>
      </c>
      <c r="T76" s="29">
        <f t="shared" si="69"/>
        <v>0.52628589945178506</v>
      </c>
      <c r="V76" s="954"/>
      <c r="W76" s="566" t="s">
        <v>475</v>
      </c>
      <c r="X76" s="564">
        <f>(41.77065*M76+36.90601*C76+4.322334)/100</f>
        <v>0.35888361869478863</v>
      </c>
      <c r="Y76" s="564">
        <f t="shared" si="52"/>
        <v>0.36973073976935472</v>
      </c>
      <c r="Z76" s="564">
        <f t="shared" si="53"/>
        <v>0.36603756851580277</v>
      </c>
      <c r="AA76" s="564">
        <f t="shared" si="54"/>
        <v>0.36312366446479521</v>
      </c>
      <c r="AB76" s="564">
        <f t="shared" si="55"/>
        <v>0.35861296030079726</v>
      </c>
      <c r="AC76" s="564">
        <f t="shared" si="56"/>
        <v>0.36032572960266962</v>
      </c>
      <c r="AD76" s="564">
        <f t="shared" si="57"/>
        <v>0.3470285781473697</v>
      </c>
      <c r="AE76" s="564">
        <f t="shared" si="58"/>
        <v>0.36479537369605713</v>
      </c>
      <c r="AG76" s="33">
        <v>0.29855245607997011</v>
      </c>
    </row>
    <row r="78" spans="1:33" ht="54">
      <c r="X78" s="570" t="s">
        <v>476</v>
      </c>
      <c r="Y78" s="570" t="s">
        <v>469</v>
      </c>
      <c r="Z78" s="570" t="s">
        <v>465</v>
      </c>
      <c r="AA78" s="570" t="s">
        <v>470</v>
      </c>
      <c r="AB78" s="570" t="s">
        <v>466</v>
      </c>
      <c r="AC78" s="570" t="s">
        <v>468</v>
      </c>
      <c r="AD78" s="570" t="s">
        <v>467</v>
      </c>
      <c r="AE78" s="570" t="s">
        <v>471</v>
      </c>
    </row>
    <row r="79" spans="1:33">
      <c r="X79" s="567" t="s">
        <v>472</v>
      </c>
      <c r="Y79" s="571">
        <f>Y73</f>
        <v>0.33564456348119653</v>
      </c>
      <c r="Z79" s="571">
        <f t="shared" ref="Z79:AE79" si="70">Z73</f>
        <v>0.33647964471372754</v>
      </c>
      <c r="AA79" s="571">
        <f t="shared" si="70"/>
        <v>0.33491848450488193</v>
      </c>
      <c r="AB79" s="571">
        <f t="shared" si="70"/>
        <v>0.33141548468747362</v>
      </c>
      <c r="AC79" s="571">
        <f t="shared" si="70"/>
        <v>0.33135800930995318</v>
      </c>
      <c r="AD79" s="571">
        <f t="shared" si="70"/>
        <v>0.33082524937637153</v>
      </c>
      <c r="AE79" s="571">
        <f t="shared" si="70"/>
        <v>0.33782238091606503</v>
      </c>
    </row>
    <row r="80" spans="1:33">
      <c r="X80" s="567" t="s">
        <v>473</v>
      </c>
      <c r="Y80" s="571">
        <f>Y74</f>
        <v>0.3660164270230532</v>
      </c>
      <c r="Z80" s="571">
        <f>Z74</f>
        <v>0.3698453226817599</v>
      </c>
      <c r="AA80" s="571">
        <f t="shared" ref="AA80:AE82" si="71">AA74</f>
        <v>0.36946825015920731</v>
      </c>
      <c r="AB80" s="571">
        <f t="shared" si="71"/>
        <v>0.36484432248718063</v>
      </c>
      <c r="AC80" s="571">
        <f t="shared" si="71"/>
        <v>0.36094827692837333</v>
      </c>
      <c r="AD80" s="571">
        <f t="shared" si="71"/>
        <v>0.36403208171372931</v>
      </c>
      <c r="AE80" s="571">
        <f t="shared" si="71"/>
        <v>0.37358373288116631</v>
      </c>
    </row>
    <row r="81" spans="24:31">
      <c r="X81" s="567" t="s">
        <v>474</v>
      </c>
      <c r="Y81" s="571">
        <f>Y75</f>
        <v>0.42246206260556618</v>
      </c>
      <c r="Z81" s="571">
        <f>Z75</f>
        <v>0.42374609657324286</v>
      </c>
      <c r="AA81" s="571">
        <f t="shared" si="71"/>
        <v>0.42209280687582407</v>
      </c>
      <c r="AB81" s="571">
        <f t="shared" si="71"/>
        <v>0.42056186377799554</v>
      </c>
      <c r="AC81" s="571">
        <f t="shared" si="71"/>
        <v>0.41345891863017981</v>
      </c>
      <c r="AD81" s="571">
        <f t="shared" si="71"/>
        <v>0.41795879202448288</v>
      </c>
      <c r="AE81" s="571">
        <f t="shared" si="71"/>
        <v>0.4230345040956312</v>
      </c>
    </row>
    <row r="82" spans="24:31">
      <c r="X82" s="567" t="s">
        <v>475</v>
      </c>
      <c r="Y82" s="571">
        <f>Y76</f>
        <v>0.36973073976935472</v>
      </c>
      <c r="Z82" s="571">
        <f>Z76</f>
        <v>0.36603756851580277</v>
      </c>
      <c r="AA82" s="571">
        <f t="shared" si="71"/>
        <v>0.36312366446479521</v>
      </c>
      <c r="AB82" s="571">
        <f t="shared" si="71"/>
        <v>0.35861296030079726</v>
      </c>
      <c r="AC82" s="571">
        <f t="shared" si="71"/>
        <v>0.36032572960266962</v>
      </c>
      <c r="AD82" s="571">
        <f t="shared" si="71"/>
        <v>0.3470285781473697</v>
      </c>
      <c r="AE82" s="571">
        <f t="shared" si="71"/>
        <v>0.36479537369605713</v>
      </c>
    </row>
    <row r="83" spans="24:31">
      <c r="X83" s="568">
        <v>2022</v>
      </c>
      <c r="Y83" s="569">
        <f t="shared" ref="Y83:AE83" si="72">SUMPRODUCT(Y$73:Y$76,$AG$73:$AG$76)</f>
        <v>0.37699665326170029</v>
      </c>
      <c r="Z83" s="569">
        <f t="shared" si="72"/>
        <v>0.37729414272124273</v>
      </c>
      <c r="AA83" s="569">
        <f t="shared" si="72"/>
        <v>0.37557607038602669</v>
      </c>
      <c r="AB83" s="569">
        <f t="shared" si="72"/>
        <v>0.37206345967591326</v>
      </c>
      <c r="AC83" s="569">
        <f t="shared" si="72"/>
        <v>0.36968821806906554</v>
      </c>
      <c r="AD83" s="569">
        <f t="shared" si="72"/>
        <v>0.36757910698622742</v>
      </c>
      <c r="AE83" s="569">
        <f t="shared" si="72"/>
        <v>0.37784447091090723</v>
      </c>
    </row>
  </sheetData>
  <mergeCells count="4">
    <mergeCell ref="A4:A5"/>
    <mergeCell ref="V65:V68"/>
    <mergeCell ref="V69:V72"/>
    <mergeCell ref="V73:V76"/>
  </mergeCells>
  <conditionalFormatting sqref="N50:AW50">
    <cfRule type="colorScale" priority="8">
      <colorScale>
        <cfvo type="min"/>
        <cfvo type="percentile" val="50"/>
        <cfvo type="max"/>
        <color rgb="FFF8696B"/>
        <color rgb="FFFCFCFF"/>
        <color rgb="FF63BE7B"/>
      </colorScale>
    </cfRule>
  </conditionalFormatting>
  <conditionalFormatting sqref="N51:AW51">
    <cfRule type="colorScale" priority="7">
      <colorScale>
        <cfvo type="min"/>
        <cfvo type="percentile" val="50"/>
        <cfvo type="max"/>
        <color rgb="FFF8696B"/>
        <color rgb="FFFCFCFF"/>
        <color rgb="FF63BE7B"/>
      </colorScale>
    </cfRule>
  </conditionalFormatting>
  <conditionalFormatting sqref="N52:AW52">
    <cfRule type="colorScale" priority="6">
      <colorScale>
        <cfvo type="min"/>
        <cfvo type="percentile" val="50"/>
        <cfvo type="max"/>
        <color rgb="FFF8696B"/>
        <color rgb="FFFCFCFF"/>
        <color rgb="FF63BE7B"/>
      </colorScale>
    </cfRule>
  </conditionalFormatting>
  <conditionalFormatting sqref="N53:AW53">
    <cfRule type="colorScale" priority="5">
      <colorScale>
        <cfvo type="min"/>
        <cfvo type="percentile" val="50"/>
        <cfvo type="max"/>
        <color rgb="FFF8696B"/>
        <color rgb="FFFCFCFF"/>
        <color rgb="FF63BE7B"/>
      </colorScale>
    </cfRule>
  </conditionalFormatting>
  <conditionalFormatting sqref="N54:AW54">
    <cfRule type="colorScale" priority="4">
      <colorScale>
        <cfvo type="min"/>
        <cfvo type="percentile" val="50"/>
        <cfvo type="max"/>
        <color rgb="FFF8696B"/>
        <color rgb="FFFCFCFF"/>
        <color rgb="FF63BE7B"/>
      </colorScale>
    </cfRule>
  </conditionalFormatting>
  <conditionalFormatting sqref="N55:AW55">
    <cfRule type="colorScale" priority="3">
      <colorScale>
        <cfvo type="min"/>
        <cfvo type="percentile" val="50"/>
        <cfvo type="max"/>
        <color rgb="FFF8696B"/>
        <color rgb="FFFCFCFF"/>
        <color rgb="FF63BE7B"/>
      </colorScale>
    </cfRule>
  </conditionalFormatting>
  <conditionalFormatting sqref="N56:AW56">
    <cfRule type="colorScale" priority="2">
      <colorScale>
        <cfvo type="min"/>
        <cfvo type="percentile" val="50"/>
        <cfvo type="max"/>
        <color rgb="FFF8696B"/>
        <color rgb="FFFCFCFF"/>
        <color rgb="FF63BE7B"/>
      </colorScale>
    </cfRule>
  </conditionalFormatting>
  <conditionalFormatting sqref="X65:AE76">
    <cfRule type="colorScale" priority="19">
      <colorScale>
        <cfvo type="min"/>
        <cfvo type="percentile" val="50"/>
        <cfvo type="max"/>
        <color rgb="FFF8696B"/>
        <color rgb="FFFCFCFF"/>
        <color rgb="FF63BE7B"/>
      </colorScale>
    </cfRule>
  </conditionalFormatting>
  <hyperlinks>
    <hyperlink ref="AL23" r:id="rId1" xr:uid="{00000000-0004-0000-09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Аркуш8">
    <tabColor theme="5"/>
    <pageSetUpPr fitToPage="1"/>
  </sheetPr>
  <dimension ref="A1:BJ203"/>
  <sheetViews>
    <sheetView topLeftCell="A4" zoomScale="55" zoomScaleNormal="55" zoomScaleSheetLayoutView="100" workbookViewId="0">
      <pane xSplit="1" ySplit="2" topLeftCell="B51" activePane="bottomRight" state="frozen"/>
      <selection activeCell="A4" sqref="A4"/>
      <selection pane="topRight" activeCell="B4" sqref="B4"/>
      <selection pane="bottomLeft" activeCell="A7" sqref="A7"/>
      <selection pane="bottomRight" activeCell="M81" sqref="M81"/>
    </sheetView>
  </sheetViews>
  <sheetFormatPr defaultColWidth="9.09765625" defaultRowHeight="12.75" outlineLevelCol="1"/>
  <cols>
    <col min="1" max="1" width="41.3984375" style="176" customWidth="1"/>
    <col min="2" max="2" width="16.3984375" style="161" customWidth="1" outlineLevel="1"/>
    <col min="3" max="3" width="12.09765625" style="161" customWidth="1" outlineLevel="1"/>
    <col min="4" max="5" width="10.09765625" style="161" customWidth="1" outlineLevel="1"/>
    <col min="6" max="6" width="13.59765625" style="161" customWidth="1" outlineLevel="1"/>
    <col min="7" max="8" width="10.09765625" style="161" customWidth="1" outlineLevel="1"/>
    <col min="9" max="9" width="9.3984375" style="161" customWidth="1" outlineLevel="1"/>
    <col min="10" max="10" width="9.69921875" style="161" customWidth="1" outlineLevel="1"/>
    <col min="11" max="11" width="11.09765625" style="161" customWidth="1" outlineLevel="1"/>
    <col min="12" max="12" width="10.09765625" style="161" customWidth="1"/>
    <col min="13" max="13" width="9.69921875" style="161" customWidth="1"/>
    <col min="14" max="14" width="12.69921875" style="161" customWidth="1"/>
    <col min="15" max="17" width="10.09765625" style="161" customWidth="1"/>
    <col min="18" max="18" width="11" style="161" customWidth="1"/>
    <col min="19" max="19" width="10.3984375" style="161" customWidth="1"/>
    <col min="20" max="20" width="10.09765625" style="161" customWidth="1"/>
    <col min="21" max="21" width="16.59765625" style="161" customWidth="1"/>
    <col min="22" max="22" width="11.09765625" style="161" customWidth="1"/>
    <col min="23" max="24" width="10.09765625" style="161" customWidth="1"/>
    <col min="25" max="25" width="51.69921875" style="161" customWidth="1"/>
    <col min="26" max="26" width="9.09765625" style="161"/>
    <col min="27" max="27" width="23.3984375" style="161" customWidth="1"/>
    <col min="28" max="46" width="9.09765625" style="161"/>
    <col min="47" max="48" width="10.59765625" style="161" customWidth="1"/>
    <col min="49" max="49" width="22.09765625" style="161" customWidth="1"/>
    <col min="50" max="61" width="10.59765625" style="161" customWidth="1"/>
    <col min="62" max="16384" width="9.09765625" style="161"/>
  </cols>
  <sheetData>
    <row r="1" spans="1:24" s="162" customFormat="1" ht="15">
      <c r="A1" s="160" t="s">
        <v>206</v>
      </c>
      <c r="B1" s="161"/>
      <c r="C1" s="161"/>
      <c r="D1" s="161"/>
      <c r="E1" s="161"/>
      <c r="F1" s="161"/>
      <c r="G1" s="161"/>
      <c r="H1" s="161"/>
      <c r="I1" s="161"/>
      <c r="J1" s="161"/>
      <c r="K1" s="161"/>
      <c r="L1" s="161"/>
      <c r="M1" s="161"/>
      <c r="N1" s="161"/>
      <c r="O1" s="161"/>
      <c r="P1" s="161"/>
      <c r="Q1" s="161"/>
      <c r="R1" s="161"/>
      <c r="S1" s="161"/>
      <c r="T1" s="161"/>
      <c r="U1" s="161"/>
    </row>
    <row r="2" spans="1:24" s="166" customFormat="1" ht="15.75">
      <c r="A2" s="163" t="s">
        <v>207</v>
      </c>
      <c r="B2" s="164"/>
      <c r="C2" s="164"/>
      <c r="D2" s="164"/>
      <c r="E2" s="164"/>
      <c r="F2" s="164"/>
      <c r="G2" s="164"/>
      <c r="H2" s="164"/>
      <c r="I2" s="164"/>
      <c r="J2" s="164"/>
      <c r="K2" s="164"/>
      <c r="L2" s="164"/>
      <c r="M2" s="164"/>
      <c r="N2" s="164"/>
      <c r="O2" s="164"/>
      <c r="P2" s="164"/>
      <c r="Q2" s="164"/>
      <c r="R2" s="164"/>
      <c r="S2" s="164"/>
      <c r="T2" s="164"/>
      <c r="U2" s="165"/>
    </row>
    <row r="3" spans="1:24">
      <c r="A3" s="163" t="s">
        <v>208</v>
      </c>
      <c r="B3" s="164"/>
      <c r="C3" s="164"/>
      <c r="D3" s="164"/>
      <c r="E3" s="164"/>
      <c r="F3" s="164"/>
      <c r="G3" s="164"/>
      <c r="H3" s="164"/>
      <c r="I3" s="164"/>
      <c r="J3" s="164"/>
      <c r="K3" s="164"/>
      <c r="L3" s="164"/>
      <c r="M3" s="164"/>
      <c r="N3" s="164"/>
      <c r="O3" s="164"/>
      <c r="P3" s="164"/>
      <c r="Q3" s="164"/>
      <c r="R3" s="164"/>
      <c r="S3" s="164"/>
      <c r="T3" s="164"/>
    </row>
    <row r="4" spans="1:24">
      <c r="A4" s="167" t="s">
        <v>209</v>
      </c>
      <c r="B4" s="168"/>
      <c r="C4" s="168"/>
      <c r="D4" s="168"/>
      <c r="E4" s="168"/>
      <c r="F4" s="168"/>
      <c r="G4" s="168"/>
      <c r="H4" s="168"/>
      <c r="I4" s="168"/>
      <c r="J4" s="168"/>
      <c r="K4" s="168"/>
      <c r="L4" s="168"/>
      <c r="M4" s="168"/>
      <c r="N4" s="169"/>
      <c r="O4" s="169"/>
    </row>
    <row r="5" spans="1:24">
      <c r="A5" s="170"/>
      <c r="B5" s="171">
        <v>2000</v>
      </c>
      <c r="C5" s="171">
        <v>2001</v>
      </c>
      <c r="D5" s="171">
        <v>2002</v>
      </c>
      <c r="E5" s="171">
        <v>2003</v>
      </c>
      <c r="F5" s="171">
        <v>2004</v>
      </c>
      <c r="G5" s="171">
        <v>2005</v>
      </c>
      <c r="H5" s="171">
        <v>2006</v>
      </c>
      <c r="I5" s="171">
        <v>2007</v>
      </c>
      <c r="J5" s="171">
        <v>2008</v>
      </c>
      <c r="K5" s="171">
        <v>2009</v>
      </c>
      <c r="L5" s="171">
        <v>2010</v>
      </c>
      <c r="M5" s="172">
        <v>2011</v>
      </c>
      <c r="N5" s="172">
        <v>2012</v>
      </c>
      <c r="O5" s="172">
        <v>2013</v>
      </c>
      <c r="P5" s="173">
        <v>2014</v>
      </c>
      <c r="Q5" s="173">
        <v>2015</v>
      </c>
      <c r="R5" s="173">
        <v>2016</v>
      </c>
      <c r="S5" s="173">
        <v>2017</v>
      </c>
      <c r="T5" s="173" t="s">
        <v>210</v>
      </c>
      <c r="U5" s="173" t="s">
        <v>211</v>
      </c>
      <c r="V5" s="173" t="s">
        <v>212</v>
      </c>
      <c r="W5" s="172" t="s">
        <v>213</v>
      </c>
      <c r="X5" s="176"/>
    </row>
    <row r="6" spans="1:24">
      <c r="X6" s="176"/>
    </row>
    <row r="7" spans="1:24" s="176" customFormat="1">
      <c r="A7" s="187"/>
      <c r="B7" s="188">
        <v>2000</v>
      </c>
      <c r="C7" s="188">
        <v>2001</v>
      </c>
      <c r="D7" s="188">
        <v>2002</v>
      </c>
      <c r="E7" s="188">
        <v>2003</v>
      </c>
      <c r="F7" s="188">
        <v>2004</v>
      </c>
      <c r="G7" s="188">
        <v>2005</v>
      </c>
      <c r="H7" s="188">
        <v>2006</v>
      </c>
      <c r="I7" s="188">
        <v>2007</v>
      </c>
      <c r="J7" s="188">
        <v>2008</v>
      </c>
      <c r="K7" s="188">
        <v>2009</v>
      </c>
      <c r="L7" s="188">
        <v>2010</v>
      </c>
      <c r="M7" s="189">
        <v>2011</v>
      </c>
      <c r="N7" s="189">
        <v>2012</v>
      </c>
      <c r="O7" s="189">
        <v>2013</v>
      </c>
      <c r="P7" s="189">
        <v>2014</v>
      </c>
      <c r="Q7" s="189">
        <v>2015</v>
      </c>
      <c r="R7" s="189">
        <v>2016</v>
      </c>
      <c r="S7" s="189">
        <v>2017</v>
      </c>
      <c r="T7" s="189" t="s">
        <v>210</v>
      </c>
      <c r="U7" s="190">
        <v>2019</v>
      </c>
      <c r="V7" s="189" t="s">
        <v>212</v>
      </c>
      <c r="W7" s="189" t="s">
        <v>213</v>
      </c>
    </row>
    <row r="8" spans="1:24" s="176" customFormat="1" ht="15.75">
      <c r="A8" s="191" t="s">
        <v>5</v>
      </c>
      <c r="B8" s="192">
        <v>5.4402242497837099</v>
      </c>
      <c r="C8" s="192">
        <v>5.3721457814900146</v>
      </c>
      <c r="D8" s="192">
        <v>5.3266259658218127</v>
      </c>
      <c r="E8" s="192">
        <v>5.332684415002559</v>
      </c>
      <c r="F8" s="192">
        <v>5.3191828970461001</v>
      </c>
      <c r="G8" s="192">
        <v>5.1247306368407584</v>
      </c>
      <c r="H8" s="192">
        <v>5.0500000000000007</v>
      </c>
      <c r="I8" s="192">
        <v>5.0500000000000007</v>
      </c>
      <c r="J8" s="192">
        <v>5.2672187096774188</v>
      </c>
      <c r="K8" s="192">
        <v>7.7912380734767011</v>
      </c>
      <c r="L8" s="192">
        <v>7.9356404985919093</v>
      </c>
      <c r="M8" s="192">
        <v>7.9675627112135183</v>
      </c>
      <c r="N8" s="192">
        <v>7.9910293455691512</v>
      </c>
      <c r="O8" s="192">
        <v>7.9929999999999977</v>
      </c>
      <c r="P8" s="192">
        <v>11.986366700524831</v>
      </c>
      <c r="Q8" s="192">
        <v>21.856680146070151</v>
      </c>
      <c r="R8" s="192">
        <v>25.551334234714499</v>
      </c>
      <c r="S8" s="192">
        <v>26.596606422619047</v>
      </c>
      <c r="T8" s="192">
        <v>27.200492375748851</v>
      </c>
      <c r="U8" s="193">
        <v>25.93</v>
      </c>
      <c r="V8" s="194">
        <v>26.92</v>
      </c>
      <c r="W8" s="194">
        <v>28.2</v>
      </c>
    </row>
    <row r="9" spans="1:24" s="176" customFormat="1" ht="15">
      <c r="A9" s="195" t="s">
        <v>214</v>
      </c>
      <c r="B9" s="192"/>
      <c r="C9" s="196">
        <f>C8/B8-1</f>
        <v>-1.2513908465519918E-2</v>
      </c>
      <c r="D9" s="196">
        <f t="shared" ref="D9:T9" si="0">D8/C8-1</f>
        <v>-8.4733023859930867E-3</v>
      </c>
      <c r="E9" s="196">
        <f t="shared" si="0"/>
        <v>1.1373896383226612E-3</v>
      </c>
      <c r="F9" s="196">
        <f t="shared" si="0"/>
        <v>-2.5318426716710585E-3</v>
      </c>
      <c r="G9" s="196">
        <f t="shared" si="0"/>
        <v>-3.655679151648028E-2</v>
      </c>
      <c r="H9" s="196">
        <f t="shared" si="0"/>
        <v>-1.4582354105312945E-2</v>
      </c>
      <c r="I9" s="196">
        <f t="shared" si="0"/>
        <v>0</v>
      </c>
      <c r="J9" s="196">
        <f t="shared" si="0"/>
        <v>4.3013605876716543E-2</v>
      </c>
      <c r="K9" s="196">
        <f t="shared" si="0"/>
        <v>0.47919395470742865</v>
      </c>
      <c r="L9" s="196">
        <f t="shared" si="0"/>
        <v>1.8533951055454079E-2</v>
      </c>
      <c r="M9" s="196">
        <f t="shared" si="0"/>
        <v>4.0226384533514903E-3</v>
      </c>
      <c r="N9" s="196">
        <f t="shared" si="0"/>
        <v>2.9452713717088574E-3</v>
      </c>
      <c r="O9" s="196">
        <f t="shared" si="0"/>
        <v>2.466083336234437E-4</v>
      </c>
      <c r="P9" s="196">
        <f>P8/O8-1</f>
        <v>0.49960799456084515</v>
      </c>
      <c r="Q9" s="196">
        <f t="shared" si="0"/>
        <v>0.82346166208256766</v>
      </c>
      <c r="R9" s="196">
        <f t="shared" si="0"/>
        <v>0.16904004011371554</v>
      </c>
      <c r="S9" s="196">
        <f t="shared" si="0"/>
        <v>4.0908712566736449E-2</v>
      </c>
      <c r="T9" s="196">
        <f t="shared" si="0"/>
        <v>2.2705376149651624E-2</v>
      </c>
      <c r="U9" s="196">
        <f>U8/T8-1</f>
        <v>-4.6708433001807936E-2</v>
      </c>
      <c r="V9" s="196">
        <f>V8/U8-1</f>
        <v>3.8179714616274563E-2</v>
      </c>
      <c r="W9" s="196">
        <f>W8/V8-1</f>
        <v>4.7548291233283635E-2</v>
      </c>
    </row>
    <row r="10" spans="1:24" ht="15">
      <c r="A10" s="197" t="s">
        <v>215</v>
      </c>
      <c r="B10" s="198"/>
      <c r="C10" s="198"/>
      <c r="D10" s="199">
        <v>375.97916666666657</v>
      </c>
      <c r="E10" s="199">
        <v>462.58249999999998</v>
      </c>
      <c r="F10" s="199">
        <v>590.52750000000003</v>
      </c>
      <c r="G10" s="199">
        <v>806.13916666666682</v>
      </c>
      <c r="H10" s="199">
        <v>1042.8758333333333</v>
      </c>
      <c r="I10" s="199">
        <v>1352.75</v>
      </c>
      <c r="J10" s="199">
        <v>1808.9166666666667</v>
      </c>
      <c r="K10" s="199">
        <v>1909.25</v>
      </c>
      <c r="L10" s="199">
        <v>2246.75</v>
      </c>
      <c r="M10" s="199">
        <v>2639.1666666666665</v>
      </c>
      <c r="N10" s="199">
        <v>3031.9166666666665</v>
      </c>
      <c r="O10" s="199">
        <v>3273.8333333333335</v>
      </c>
      <c r="P10" s="199">
        <v>3474.75</v>
      </c>
      <c r="Q10" s="199">
        <v>4207.333333333333</v>
      </c>
      <c r="R10" s="199">
        <v>5187.333333333333</v>
      </c>
      <c r="S10" s="199">
        <v>7105.416666666667</v>
      </c>
      <c r="T10" s="199">
        <v>8867.4408333333322</v>
      </c>
      <c r="U10" s="199">
        <f>AVERAGE(AL29:AW29)</f>
        <v>11595.784174999999</v>
      </c>
      <c r="V10" s="199">
        <f>AVERAGE(AA29:AL29)</f>
        <v>10629.095833333333</v>
      </c>
      <c r="W10" s="200">
        <f>W22*W23</f>
        <v>13922.324493029337</v>
      </c>
      <c r="X10" s="176"/>
    </row>
    <row r="11" spans="1:24" ht="14.25">
      <c r="A11" s="201" t="s">
        <v>216</v>
      </c>
      <c r="B11" s="198"/>
      <c r="C11" s="198"/>
      <c r="D11" s="199"/>
      <c r="E11" s="202">
        <f>E10/D10-1</f>
        <v>0.2303407768604202</v>
      </c>
      <c r="F11" s="202">
        <f t="shared" ref="F11:T11" si="1">F10/E10-1</f>
        <v>0.27658850042965311</v>
      </c>
      <c r="G11" s="202">
        <f t="shared" si="1"/>
        <v>0.36511706341646533</v>
      </c>
      <c r="H11" s="202">
        <f t="shared" si="1"/>
        <v>0.29366724314556913</v>
      </c>
      <c r="I11" s="202">
        <f t="shared" si="1"/>
        <v>0.29713428652020735</v>
      </c>
      <c r="J11" s="202">
        <f t="shared" si="1"/>
        <v>0.33721431651573952</v>
      </c>
      <c r="K11" s="202">
        <f t="shared" si="1"/>
        <v>5.5465978716543018E-2</v>
      </c>
      <c r="L11" s="202">
        <f t="shared" si="1"/>
        <v>0.1767709833704334</v>
      </c>
      <c r="M11" s="202">
        <f t="shared" si="1"/>
        <v>0.17465969363154188</v>
      </c>
      <c r="N11" s="202">
        <f t="shared" si="1"/>
        <v>0.14881591411430373</v>
      </c>
      <c r="O11" s="202">
        <f t="shared" si="1"/>
        <v>7.9790011818706708E-2</v>
      </c>
      <c r="P11" s="202">
        <f t="shared" si="1"/>
        <v>6.1370462760270694E-2</v>
      </c>
      <c r="Q11" s="202">
        <f t="shared" si="1"/>
        <v>0.2108305153847998</v>
      </c>
      <c r="R11" s="202">
        <f>R10/Q10-1</f>
        <v>0.23292663603232455</v>
      </c>
      <c r="S11" s="202">
        <f t="shared" si="1"/>
        <v>0.36976288394807888</v>
      </c>
      <c r="T11" s="202">
        <f t="shared" si="1"/>
        <v>0.24798322875740308</v>
      </c>
      <c r="U11" s="202">
        <f>U10/T10-1</f>
        <v>0.30768103142122283</v>
      </c>
      <c r="V11" s="202">
        <f>V10/U10-1</f>
        <v>-8.3365499657263697E-2</v>
      </c>
      <c r="W11" s="202">
        <f>W10/V10-1</f>
        <v>0.30983149567325263</v>
      </c>
      <c r="X11" s="176"/>
    </row>
    <row r="12" spans="1:24" ht="14.25">
      <c r="A12" s="201"/>
      <c r="B12" s="198"/>
      <c r="C12" s="198"/>
      <c r="D12" s="199"/>
      <c r="E12" s="202"/>
      <c r="F12" s="202">
        <f>F11/E11</f>
        <v>1.2007795762417597</v>
      </c>
      <c r="G12" s="202">
        <f t="shared" ref="G12:T12" si="2">G11/F11</f>
        <v>1.3200731876028533</v>
      </c>
      <c r="H12" s="202">
        <f t="shared" si="2"/>
        <v>0.80430982983285548</v>
      </c>
      <c r="I12" s="202">
        <f t="shared" si="2"/>
        <v>1.0118060269082161</v>
      </c>
      <c r="J12" s="202">
        <f t="shared" si="2"/>
        <v>1.1348886069827773</v>
      </c>
      <c r="K12" s="202">
        <f t="shared" si="2"/>
        <v>0.16448287038831619</v>
      </c>
      <c r="L12" s="202">
        <f t="shared" si="2"/>
        <v>3.1870163920448507</v>
      </c>
      <c r="M12" s="202">
        <f t="shared" si="2"/>
        <v>0.98805635575117445</v>
      </c>
      <c r="N12" s="202">
        <f t="shared" si="2"/>
        <v>0.85203352313351932</v>
      </c>
      <c r="O12" s="202">
        <f t="shared" si="2"/>
        <v>0.53616585493283297</v>
      </c>
      <c r="P12" s="202">
        <f t="shared" si="2"/>
        <v>0.76914968880706991</v>
      </c>
      <c r="Q12" s="202">
        <f t="shared" si="2"/>
        <v>3.4353743788499642</v>
      </c>
      <c r="R12" s="202">
        <f t="shared" si="2"/>
        <v>1.1048051350972403</v>
      </c>
      <c r="S12" s="202">
        <f t="shared" si="2"/>
        <v>1.5874650072083847</v>
      </c>
      <c r="T12" s="202">
        <f t="shared" si="2"/>
        <v>0.67065473448715374</v>
      </c>
      <c r="U12" s="202">
        <f>U11/T11</f>
        <v>1.2407332260449793</v>
      </c>
      <c r="V12" s="198"/>
      <c r="W12" s="198"/>
      <c r="X12" s="176"/>
    </row>
    <row r="13" spans="1:24">
      <c r="A13" s="203" t="s">
        <v>217</v>
      </c>
      <c r="B13" s="198"/>
      <c r="C13" s="198"/>
      <c r="D13" s="192">
        <f>D10/D8</f>
        <v>70.584863491284963</v>
      </c>
      <c r="E13" s="192">
        <f t="shared" ref="E13:T13" si="3">E10/E8</f>
        <v>86.744773176264928</v>
      </c>
      <c r="F13" s="192">
        <f t="shared" si="3"/>
        <v>111.01846118657387</v>
      </c>
      <c r="G13" s="192">
        <f t="shared" si="3"/>
        <v>157.30371482775675</v>
      </c>
      <c r="H13" s="192">
        <f t="shared" si="3"/>
        <v>206.51006600660062</v>
      </c>
      <c r="I13" s="192">
        <f t="shared" si="3"/>
        <v>267.87128712871282</v>
      </c>
      <c r="J13" s="192">
        <f t="shared" si="3"/>
        <v>343.42919221166164</v>
      </c>
      <c r="K13" s="192">
        <f t="shared" si="3"/>
        <v>245.05091257569944</v>
      </c>
      <c r="L13" s="192">
        <f t="shared" si="3"/>
        <v>283.12144437473705</v>
      </c>
      <c r="M13" s="192">
        <f t="shared" si="3"/>
        <v>331.23889479430306</v>
      </c>
      <c r="N13" s="192">
        <f t="shared" si="3"/>
        <v>379.41503347723244</v>
      </c>
      <c r="O13" s="192">
        <f t="shared" si="3"/>
        <v>409.58755577797251</v>
      </c>
      <c r="P13" s="192">
        <f t="shared" si="3"/>
        <v>289.89184853220416</v>
      </c>
      <c r="Q13" s="192">
        <f t="shared" si="3"/>
        <v>192.49644983663336</v>
      </c>
      <c r="R13" s="192">
        <f t="shared" si="3"/>
        <v>203.01614333257515</v>
      </c>
      <c r="S13" s="192">
        <f t="shared" si="3"/>
        <v>267.15501044614007</v>
      </c>
      <c r="T13" s="192">
        <f t="shared" si="3"/>
        <v>326.00295284504767</v>
      </c>
      <c r="U13" s="192">
        <f>U10/U8</f>
        <v>447.1956874276899</v>
      </c>
      <c r="V13" s="192">
        <f>V10/V8</f>
        <v>394.84011267954429</v>
      </c>
      <c r="W13" s="192">
        <f>W10/W8</f>
        <v>493.69945010742327</v>
      </c>
      <c r="X13" s="176"/>
    </row>
    <row r="14" spans="1:24">
      <c r="A14" s="204" t="s">
        <v>218</v>
      </c>
      <c r="B14" s="198"/>
      <c r="C14" s="198"/>
      <c r="D14" s="198"/>
      <c r="E14" s="205">
        <f>E13/D13-1</f>
        <v>0.22894298983768957</v>
      </c>
      <c r="F14" s="205">
        <f t="shared" ref="F14:R14" si="4">F13/E13-1</f>
        <v>0.27982882566290113</v>
      </c>
      <c r="G14" s="205">
        <f t="shared" si="4"/>
        <v>0.41691492699937038</v>
      </c>
      <c r="H14" s="205">
        <f t="shared" si="4"/>
        <v>0.31281111976740972</v>
      </c>
      <c r="I14" s="205">
        <f t="shared" si="4"/>
        <v>0.29713428652020735</v>
      </c>
      <c r="J14" s="205">
        <f t="shared" si="4"/>
        <v>0.28206795096573023</v>
      </c>
      <c r="K14" s="205">
        <f t="shared" si="4"/>
        <v>-0.28645869910595689</v>
      </c>
      <c r="L14" s="205">
        <f t="shared" si="4"/>
        <v>0.15535764139330488</v>
      </c>
      <c r="M14" s="205">
        <f t="shared" si="4"/>
        <v>0.16995339411972687</v>
      </c>
      <c r="N14" s="205">
        <f t="shared" si="4"/>
        <v>0.14544227577152857</v>
      </c>
      <c r="O14" s="205">
        <f t="shared" si="4"/>
        <v>7.9523792255191683E-2</v>
      </c>
      <c r="P14" s="205">
        <f t="shared" si="4"/>
        <v>-0.29223472626852098</v>
      </c>
      <c r="Q14" s="205">
        <f t="shared" si="4"/>
        <v>-0.33597149829741113</v>
      </c>
      <c r="R14" s="205">
        <f t="shared" si="4"/>
        <v>5.4648766275271932E-2</v>
      </c>
      <c r="S14" s="205">
        <f>S13/R13-1</f>
        <v>0.31592988646471576</v>
      </c>
      <c r="T14" s="205">
        <f>T13/S13-1</f>
        <v>0.22027639422009515</v>
      </c>
      <c r="U14" s="205">
        <f>U13/T13-1</f>
        <v>0.37175348727668212</v>
      </c>
      <c r="V14" s="205">
        <f>V13/U13-1</f>
        <v>-0.11707531226273582</v>
      </c>
      <c r="W14" s="205">
        <f>W13/V13-1</f>
        <v>0.25037815118879303</v>
      </c>
      <c r="X14" s="176"/>
    </row>
    <row r="15" spans="1:24">
      <c r="A15" s="206" t="s">
        <v>219</v>
      </c>
      <c r="B15" s="207" t="s">
        <v>220</v>
      </c>
      <c r="C15" s="198" t="s">
        <v>220</v>
      </c>
      <c r="D15" s="198" t="s">
        <v>220</v>
      </c>
      <c r="E15" s="205">
        <f>E10/D10-1</f>
        <v>0.2303407768604202</v>
      </c>
      <c r="F15" s="205">
        <f t="shared" ref="F15:T15" si="5">F10/E10-1</f>
        <v>0.27658850042965311</v>
      </c>
      <c r="G15" s="205">
        <f t="shared" si="5"/>
        <v>0.36511706341646533</v>
      </c>
      <c r="H15" s="205">
        <f t="shared" si="5"/>
        <v>0.29366724314556913</v>
      </c>
      <c r="I15" s="205">
        <f t="shared" si="5"/>
        <v>0.29713428652020735</v>
      </c>
      <c r="J15" s="205">
        <f t="shared" si="5"/>
        <v>0.33721431651573952</v>
      </c>
      <c r="K15" s="205">
        <f t="shared" si="5"/>
        <v>5.5465978716543018E-2</v>
      </c>
      <c r="L15" s="205">
        <f t="shared" si="5"/>
        <v>0.1767709833704334</v>
      </c>
      <c r="M15" s="205">
        <f t="shared" si="5"/>
        <v>0.17465969363154188</v>
      </c>
      <c r="N15" s="205">
        <f t="shared" si="5"/>
        <v>0.14881591411430373</v>
      </c>
      <c r="O15" s="205">
        <f t="shared" si="5"/>
        <v>7.9790011818706708E-2</v>
      </c>
      <c r="P15" s="205">
        <f>P10/O10-1</f>
        <v>6.1370462760270694E-2</v>
      </c>
      <c r="Q15" s="205">
        <f t="shared" si="5"/>
        <v>0.2108305153847998</v>
      </c>
      <c r="R15" s="205">
        <f t="shared" si="5"/>
        <v>0.23292663603232455</v>
      </c>
      <c r="S15" s="205">
        <f t="shared" si="5"/>
        <v>0.36976288394807888</v>
      </c>
      <c r="T15" s="205">
        <f t="shared" si="5"/>
        <v>0.24798322875740308</v>
      </c>
      <c r="U15" s="208">
        <v>0.192</v>
      </c>
      <c r="V15" s="209"/>
      <c r="W15" s="209"/>
      <c r="X15" s="176"/>
    </row>
    <row r="16" spans="1:24">
      <c r="A16" s="204"/>
      <c r="B16" s="198"/>
      <c r="C16" s="198"/>
      <c r="D16" s="198"/>
      <c r="E16" s="210">
        <f t="shared" ref="E16:U16" si="6">E11-E9</f>
        <v>0.22920338722209754</v>
      </c>
      <c r="F16" s="210">
        <f t="shared" si="6"/>
        <v>0.27912034310132416</v>
      </c>
      <c r="G16" s="210">
        <f t="shared" si="6"/>
        <v>0.40167385493294561</v>
      </c>
      <c r="H16" s="210">
        <f t="shared" si="6"/>
        <v>0.30824959725088208</v>
      </c>
      <c r="I16" s="210">
        <f t="shared" si="6"/>
        <v>0.29713428652020735</v>
      </c>
      <c r="J16" s="210">
        <f t="shared" si="6"/>
        <v>0.29420071063902298</v>
      </c>
      <c r="K16" s="210">
        <f t="shared" si="6"/>
        <v>-0.42372797599088563</v>
      </c>
      <c r="L16" s="210">
        <f t="shared" si="6"/>
        <v>0.15823703231497932</v>
      </c>
      <c r="M16" s="210">
        <f t="shared" si="6"/>
        <v>0.17063705517819039</v>
      </c>
      <c r="N16" s="210">
        <f t="shared" si="6"/>
        <v>0.14587064274259487</v>
      </c>
      <c r="O16" s="210">
        <f t="shared" si="6"/>
        <v>7.9543403485083264E-2</v>
      </c>
      <c r="P16" s="210">
        <f t="shared" si="6"/>
        <v>-0.43823753180057445</v>
      </c>
      <c r="Q16" s="210">
        <f t="shared" si="6"/>
        <v>-0.61263114669776786</v>
      </c>
      <c r="R16" s="210">
        <f t="shared" si="6"/>
        <v>6.3886595918609013E-2</v>
      </c>
      <c r="S16" s="210">
        <f t="shared" si="6"/>
        <v>0.32885417138134243</v>
      </c>
      <c r="T16" s="210">
        <f t="shared" si="6"/>
        <v>0.22527785260775146</v>
      </c>
      <c r="U16" s="210">
        <f t="shared" si="6"/>
        <v>0.35438946442303076</v>
      </c>
      <c r="V16" s="198"/>
      <c r="W16" s="198"/>
      <c r="X16" s="176"/>
    </row>
    <row r="17" spans="1:62">
      <c r="X17" s="176"/>
    </row>
    <row r="18" spans="1:62" ht="18">
      <c r="B18" s="182">
        <v>2000</v>
      </c>
      <c r="C18" s="182">
        <v>2001</v>
      </c>
      <c r="D18" s="182">
        <v>2002</v>
      </c>
      <c r="E18" s="182">
        <v>2003</v>
      </c>
      <c r="F18" s="182">
        <v>2004</v>
      </c>
      <c r="G18" s="182">
        <v>2005</v>
      </c>
      <c r="H18" s="182">
        <v>2006</v>
      </c>
      <c r="I18" s="182">
        <v>2007</v>
      </c>
      <c r="J18" s="182">
        <v>2008</v>
      </c>
      <c r="K18" s="182">
        <v>2009</v>
      </c>
      <c r="L18" s="182">
        <v>2010</v>
      </c>
      <c r="M18" s="182">
        <v>2011</v>
      </c>
      <c r="N18" s="182">
        <v>2012</v>
      </c>
      <c r="O18" s="182">
        <v>2013</v>
      </c>
      <c r="P18" s="182">
        <v>2014</v>
      </c>
      <c r="Q18" s="182">
        <v>2015</v>
      </c>
      <c r="R18" s="182">
        <v>2016</v>
      </c>
      <c r="S18" s="182">
        <v>2017</v>
      </c>
      <c r="T18" s="182">
        <v>2018</v>
      </c>
      <c r="U18" s="182">
        <v>2019</v>
      </c>
      <c r="V18" s="183">
        <v>2020</v>
      </c>
      <c r="W18" s="183">
        <v>2021</v>
      </c>
      <c r="X18" s="176"/>
    </row>
    <row r="19" spans="1:62" ht="18">
      <c r="A19" s="184" t="s">
        <v>222</v>
      </c>
      <c r="B19" s="182">
        <v>104</v>
      </c>
      <c r="C19" s="182">
        <v>104</v>
      </c>
      <c r="D19" s="182">
        <v>152.5</v>
      </c>
      <c r="E19" s="182">
        <v>195</v>
      </c>
      <c r="F19" s="182">
        <v>237</v>
      </c>
      <c r="G19" s="182">
        <v>298.5</v>
      </c>
      <c r="H19" s="182">
        <v>375</v>
      </c>
      <c r="I19" s="182">
        <v>440</v>
      </c>
      <c r="J19" s="182">
        <v>547.5</v>
      </c>
      <c r="K19" s="182">
        <v>662.25</v>
      </c>
      <c r="L19" s="182">
        <v>894</v>
      </c>
      <c r="M19" s="182">
        <v>972.5</v>
      </c>
      <c r="N19" s="182">
        <v>1104.2</v>
      </c>
      <c r="O19" s="182">
        <v>1182.5</v>
      </c>
      <c r="P19" s="182">
        <v>1218</v>
      </c>
      <c r="Q19" s="182">
        <v>1298</v>
      </c>
      <c r="R19" s="182">
        <v>1476</v>
      </c>
      <c r="S19" s="182">
        <v>3200</v>
      </c>
      <c r="T19" s="182">
        <v>3723</v>
      </c>
      <c r="U19" s="182">
        <v>4173</v>
      </c>
      <c r="V19" s="219">
        <v>4815.333333333333</v>
      </c>
      <c r="W19" s="161">
        <v>6250</v>
      </c>
      <c r="X19" s="176"/>
    </row>
    <row r="20" spans="1:62">
      <c r="C20" s="179">
        <f>C19/B19-1</f>
        <v>0</v>
      </c>
      <c r="D20" s="179">
        <f t="shared" ref="D20:W20" si="7">D19/C19-1</f>
        <v>0.46634615384615374</v>
      </c>
      <c r="E20" s="179">
        <f t="shared" si="7"/>
        <v>0.27868852459016402</v>
      </c>
      <c r="F20" s="179">
        <f t="shared" si="7"/>
        <v>0.21538461538461529</v>
      </c>
      <c r="G20" s="179">
        <f t="shared" si="7"/>
        <v>0.259493670886076</v>
      </c>
      <c r="H20" s="179">
        <f t="shared" si="7"/>
        <v>0.25628140703517599</v>
      </c>
      <c r="I20" s="179">
        <f t="shared" si="7"/>
        <v>0.17333333333333334</v>
      </c>
      <c r="J20" s="179">
        <f t="shared" si="7"/>
        <v>0.24431818181818188</v>
      </c>
      <c r="K20" s="179">
        <f t="shared" si="7"/>
        <v>0.20958904109589049</v>
      </c>
      <c r="L20" s="179">
        <f t="shared" si="7"/>
        <v>0.34994337485843707</v>
      </c>
      <c r="M20" s="179">
        <f t="shared" si="7"/>
        <v>8.7807606263982096E-2</v>
      </c>
      <c r="N20" s="179">
        <f t="shared" si="7"/>
        <v>0.13542416452442163</v>
      </c>
      <c r="O20" s="179">
        <f t="shared" si="7"/>
        <v>7.0911066835718017E-2</v>
      </c>
      <c r="P20" s="179">
        <f t="shared" si="7"/>
        <v>3.0021141649048566E-2</v>
      </c>
      <c r="Q20" s="179">
        <f t="shared" si="7"/>
        <v>6.5681444991789739E-2</v>
      </c>
      <c r="R20" s="179">
        <f t="shared" si="7"/>
        <v>0.13713405238828957</v>
      </c>
      <c r="S20" s="179">
        <f t="shared" si="7"/>
        <v>1.168021680216802</v>
      </c>
      <c r="T20" s="179">
        <f t="shared" si="7"/>
        <v>0.1634374999999999</v>
      </c>
      <c r="U20" s="179">
        <f t="shared" si="7"/>
        <v>0.12087026591458505</v>
      </c>
      <c r="V20" s="179">
        <f t="shared" si="7"/>
        <v>0.15392603243070524</v>
      </c>
      <c r="W20" s="179">
        <f t="shared" si="7"/>
        <v>0.29793714523051373</v>
      </c>
      <c r="X20" s="176"/>
    </row>
    <row r="21" spans="1:62">
      <c r="X21" s="176"/>
    </row>
    <row r="22" spans="1:62" ht="15">
      <c r="A22" s="184" t="s">
        <v>223</v>
      </c>
      <c r="C22" s="185">
        <f t="shared" ref="C22:V22" si="8">C19*2.3504+379.24</f>
        <v>623.6816</v>
      </c>
      <c r="D22" s="185">
        <f t="shared" si="8"/>
        <v>737.67599999999993</v>
      </c>
      <c r="E22" s="185">
        <f t="shared" si="8"/>
        <v>837.56799999999998</v>
      </c>
      <c r="F22" s="185">
        <f t="shared" si="8"/>
        <v>936.28480000000002</v>
      </c>
      <c r="G22" s="185">
        <f t="shared" si="8"/>
        <v>1080.8344000000002</v>
      </c>
      <c r="H22" s="185">
        <f t="shared" si="8"/>
        <v>1260.6399999999999</v>
      </c>
      <c r="I22" s="185">
        <f t="shared" si="8"/>
        <v>1413.4159999999999</v>
      </c>
      <c r="J22" s="185">
        <f t="shared" si="8"/>
        <v>1666.0840000000001</v>
      </c>
      <c r="K22" s="185">
        <f t="shared" si="8"/>
        <v>1935.7924</v>
      </c>
      <c r="L22" s="185">
        <f t="shared" si="8"/>
        <v>2480.4975999999997</v>
      </c>
      <c r="M22" s="185">
        <f t="shared" si="8"/>
        <v>2665.0039999999999</v>
      </c>
      <c r="N22" s="185">
        <f t="shared" si="8"/>
        <v>2974.5516800000005</v>
      </c>
      <c r="O22" s="185">
        <f t="shared" si="8"/>
        <v>3158.5879999999997</v>
      </c>
      <c r="P22" s="185">
        <f t="shared" si="8"/>
        <v>3242.0272000000004</v>
      </c>
      <c r="Q22" s="185">
        <f t="shared" si="8"/>
        <v>3430.0591999999997</v>
      </c>
      <c r="R22" s="185">
        <f t="shared" si="8"/>
        <v>3848.4304000000002</v>
      </c>
      <c r="S22" s="185">
        <f t="shared" si="8"/>
        <v>7900.5199999999995</v>
      </c>
      <c r="T22" s="185">
        <f t="shared" si="8"/>
        <v>9129.7792000000009</v>
      </c>
      <c r="U22" s="185">
        <f t="shared" si="8"/>
        <v>10187.459199999999</v>
      </c>
      <c r="V22" s="185">
        <f t="shared" si="8"/>
        <v>11697.199466666665</v>
      </c>
      <c r="W22" s="185">
        <f>W19*2.3504+379.24</f>
        <v>15069.24</v>
      </c>
      <c r="X22" s="176"/>
    </row>
    <row r="23" spans="1:62">
      <c r="A23" s="178" t="s">
        <v>221</v>
      </c>
      <c r="D23" s="181">
        <f t="shared" ref="D23:V23" si="9">D10/D22</f>
        <v>0.5096806276287511</v>
      </c>
      <c r="E23" s="181">
        <f t="shared" si="9"/>
        <v>0.55229247058149311</v>
      </c>
      <c r="F23" s="181">
        <f t="shared" si="9"/>
        <v>0.63071353929915341</v>
      </c>
      <c r="G23" s="181">
        <f t="shared" si="9"/>
        <v>0.74584891697254152</v>
      </c>
      <c r="H23" s="181">
        <f t="shared" si="9"/>
        <v>0.82725903773744558</v>
      </c>
      <c r="I23" s="181">
        <f t="shared" si="9"/>
        <v>0.95707845390175295</v>
      </c>
      <c r="J23" s="181">
        <f t="shared" si="9"/>
        <v>1.0857295710580419</v>
      </c>
      <c r="K23" s="181">
        <f t="shared" si="9"/>
        <v>0.98628861235326681</v>
      </c>
      <c r="L23" s="181">
        <f t="shared" si="9"/>
        <v>0.90576584311147901</v>
      </c>
      <c r="M23" s="181">
        <f t="shared" si="9"/>
        <v>0.99030495513952943</v>
      </c>
      <c r="N23" s="181">
        <f t="shared" si="9"/>
        <v>1.0192852546662312</v>
      </c>
      <c r="O23" s="181">
        <f t="shared" si="9"/>
        <v>1.0364863455864879</v>
      </c>
      <c r="P23" s="181">
        <f t="shared" si="9"/>
        <v>1.0717831115050482</v>
      </c>
      <c r="Q23" s="181">
        <f t="shared" si="9"/>
        <v>1.2266066233881134</v>
      </c>
      <c r="R23" s="181">
        <f t="shared" si="9"/>
        <v>1.3479088340361651</v>
      </c>
      <c r="S23" s="181">
        <f t="shared" si="9"/>
        <v>0.89936063280222911</v>
      </c>
      <c r="T23" s="181">
        <f t="shared" si="9"/>
        <v>0.97126563951659761</v>
      </c>
      <c r="U23" s="181">
        <f t="shared" si="9"/>
        <v>1.1382410419862099</v>
      </c>
      <c r="V23" s="181">
        <f t="shared" si="9"/>
        <v>0.9086872343780158</v>
      </c>
      <c r="W23" s="186">
        <f>AVERAGE($T$24:$V$24)*V23</f>
        <v>0.9238902886296414</v>
      </c>
      <c r="X23" s="186"/>
    </row>
    <row r="24" spans="1:62">
      <c r="M24" s="175"/>
      <c r="N24" s="175"/>
      <c r="O24" s="175"/>
      <c r="P24" s="175"/>
      <c r="Q24" s="175"/>
      <c r="R24" s="175"/>
      <c r="T24" s="174">
        <f>T23/S23</f>
        <v>1.0799512499122035</v>
      </c>
      <c r="U24" s="174">
        <f>U23/T23</f>
        <v>1.1719152780414599</v>
      </c>
      <c r="V24" s="174">
        <f>V23/U23</f>
        <v>0.79832583860477668</v>
      </c>
    </row>
    <row r="25" spans="1:62">
      <c r="Z25" s="218">
        <f>AVERAGE(Z37:AK37)</f>
        <v>25.925894761091907</v>
      </c>
      <c r="AL25" s="218">
        <f>AVERAGE(AL37:AW37)</f>
        <v>26.922694144110739</v>
      </c>
    </row>
    <row r="27" spans="1:62" ht="23.25">
      <c r="A27" s="220" t="s">
        <v>224</v>
      </c>
      <c r="B27" s="928">
        <v>2017</v>
      </c>
      <c r="C27" s="928"/>
      <c r="D27" s="928"/>
      <c r="E27" s="928"/>
      <c r="F27" s="928"/>
      <c r="G27" s="928"/>
      <c r="H27" s="928"/>
      <c r="I27" s="928"/>
      <c r="J27" s="928"/>
      <c r="K27" s="928"/>
      <c r="L27" s="928"/>
      <c r="M27" s="928"/>
      <c r="N27" s="928">
        <v>2018</v>
      </c>
      <c r="O27" s="928"/>
      <c r="P27" s="928"/>
      <c r="Q27" s="928"/>
      <c r="R27" s="928"/>
      <c r="S27" s="928"/>
      <c r="T27" s="928"/>
      <c r="U27" s="928"/>
      <c r="V27" s="928"/>
      <c r="W27" s="928"/>
      <c r="X27" s="928"/>
      <c r="Y27" s="928"/>
      <c r="Z27" s="928">
        <v>2019</v>
      </c>
      <c r="AA27" s="928"/>
      <c r="AB27" s="928"/>
      <c r="AC27" s="928"/>
      <c r="AD27" s="928"/>
      <c r="AE27" s="928"/>
      <c r="AF27" s="928"/>
      <c r="AG27" s="928"/>
      <c r="AH27" s="928"/>
      <c r="AI27" s="928"/>
      <c r="AJ27" s="928"/>
      <c r="AK27" s="928"/>
      <c r="AL27" s="928">
        <v>2020</v>
      </c>
      <c r="AM27" s="928"/>
      <c r="AN27" s="928"/>
      <c r="AO27" s="928"/>
      <c r="AP27" s="928"/>
      <c r="AQ27" s="928"/>
      <c r="AR27" s="928"/>
      <c r="AS27" s="928"/>
      <c r="AT27" s="928"/>
      <c r="AU27" s="928"/>
      <c r="AV27" s="928"/>
      <c r="AW27" s="928"/>
      <c r="AX27" s="928">
        <v>2021</v>
      </c>
      <c r="AY27" s="928"/>
      <c r="AZ27" s="928"/>
      <c r="BA27" s="928"/>
      <c r="BB27" s="928"/>
      <c r="BC27" s="928"/>
      <c r="BD27" s="928"/>
      <c r="BE27" s="928"/>
      <c r="BF27" s="928"/>
      <c r="BG27" s="928"/>
      <c r="BH27" s="928"/>
      <c r="BI27" s="928"/>
    </row>
    <row r="28" spans="1:62">
      <c r="A28" s="221"/>
      <c r="B28" s="213">
        <v>1</v>
      </c>
      <c r="C28" s="213">
        <v>2</v>
      </c>
      <c r="D28" s="213">
        <v>3</v>
      </c>
      <c r="E28" s="213">
        <v>4</v>
      </c>
      <c r="F28" s="213">
        <v>5</v>
      </c>
      <c r="G28" s="213">
        <v>6</v>
      </c>
      <c r="H28" s="213">
        <v>7</v>
      </c>
      <c r="I28" s="213">
        <v>8</v>
      </c>
      <c r="J28" s="213">
        <v>9</v>
      </c>
      <c r="K28" s="213">
        <v>10</v>
      </c>
      <c r="L28" s="213">
        <v>11</v>
      </c>
      <c r="M28" s="213">
        <v>12</v>
      </c>
      <c r="N28" s="213">
        <v>1</v>
      </c>
      <c r="O28" s="213">
        <v>2</v>
      </c>
      <c r="P28" s="213">
        <v>3</v>
      </c>
      <c r="Q28" s="213">
        <v>4</v>
      </c>
      <c r="R28" s="213">
        <v>5</v>
      </c>
      <c r="S28" s="213">
        <v>6</v>
      </c>
      <c r="T28" s="213">
        <v>7</v>
      </c>
      <c r="U28" s="213">
        <v>8</v>
      </c>
      <c r="V28" s="213">
        <v>9</v>
      </c>
      <c r="W28" s="213">
        <v>10</v>
      </c>
      <c r="X28" s="213">
        <v>11</v>
      </c>
      <c r="Y28" s="213">
        <v>12</v>
      </c>
      <c r="Z28" s="213">
        <v>1</v>
      </c>
      <c r="AA28" s="213">
        <v>2</v>
      </c>
      <c r="AB28" s="213">
        <v>3</v>
      </c>
      <c r="AC28" s="213">
        <v>4</v>
      </c>
      <c r="AD28" s="213">
        <v>5</v>
      </c>
      <c r="AE28" s="213">
        <v>6</v>
      </c>
      <c r="AF28" s="213">
        <v>7</v>
      </c>
      <c r="AG28" s="213">
        <v>8</v>
      </c>
      <c r="AH28" s="213">
        <v>9</v>
      </c>
      <c r="AI28" s="213">
        <v>10</v>
      </c>
      <c r="AJ28" s="213">
        <v>11</v>
      </c>
      <c r="AK28" s="213">
        <v>12</v>
      </c>
      <c r="AL28" s="213">
        <v>1</v>
      </c>
      <c r="AM28" s="213">
        <v>2</v>
      </c>
      <c r="AN28" s="213">
        <v>3</v>
      </c>
      <c r="AO28" s="213">
        <v>4</v>
      </c>
      <c r="AP28" s="213">
        <v>5</v>
      </c>
      <c r="AQ28" s="213">
        <v>6</v>
      </c>
      <c r="AR28" s="213">
        <v>7</v>
      </c>
      <c r="AS28" s="213">
        <v>8</v>
      </c>
      <c r="AT28" s="213">
        <v>9</v>
      </c>
      <c r="AU28" s="213">
        <v>10</v>
      </c>
      <c r="AV28" s="213">
        <v>11</v>
      </c>
      <c r="AW28" s="213">
        <v>12</v>
      </c>
      <c r="AX28" s="213">
        <v>1</v>
      </c>
      <c r="AY28" s="213">
        <v>2</v>
      </c>
      <c r="AZ28" s="213">
        <v>3</v>
      </c>
      <c r="BA28" s="213">
        <v>4</v>
      </c>
      <c r="BB28" s="213">
        <v>5</v>
      </c>
      <c r="BC28" s="213">
        <v>6</v>
      </c>
      <c r="BD28" s="213">
        <v>7</v>
      </c>
      <c r="BE28" s="213">
        <v>8</v>
      </c>
      <c r="BF28" s="213">
        <v>9</v>
      </c>
      <c r="BG28" s="213">
        <v>10</v>
      </c>
      <c r="BH28" s="213">
        <v>11</v>
      </c>
      <c r="BI28" s="213">
        <v>12</v>
      </c>
    </row>
    <row r="29" spans="1:62" ht="21.75">
      <c r="A29" s="222" t="s">
        <v>13</v>
      </c>
      <c r="B29" s="223">
        <v>6008</v>
      </c>
      <c r="C29" s="223">
        <v>6209</v>
      </c>
      <c r="D29" s="223">
        <v>6752</v>
      </c>
      <c r="E29" s="223">
        <v>6659</v>
      </c>
      <c r="F29" s="223">
        <v>6840</v>
      </c>
      <c r="G29" s="223">
        <v>7360</v>
      </c>
      <c r="H29" s="223">
        <v>7339</v>
      </c>
      <c r="I29" s="223">
        <v>7114</v>
      </c>
      <c r="J29" s="223">
        <v>7351</v>
      </c>
      <c r="K29" s="223">
        <v>7377</v>
      </c>
      <c r="L29" s="223">
        <v>7479</v>
      </c>
      <c r="M29" s="223">
        <v>8777</v>
      </c>
      <c r="N29" s="223">
        <v>7711.47</v>
      </c>
      <c r="O29" s="223">
        <v>7828.16</v>
      </c>
      <c r="P29" s="223">
        <v>8381.94</v>
      </c>
      <c r="Q29" s="223">
        <v>8480.24</v>
      </c>
      <c r="R29" s="223">
        <v>8724.75</v>
      </c>
      <c r="S29" s="223">
        <v>9141.17</v>
      </c>
      <c r="T29" s="223">
        <v>9170.2800000000007</v>
      </c>
      <c r="U29" s="223">
        <v>8977.2800000000007</v>
      </c>
      <c r="V29" s="223">
        <v>9042</v>
      </c>
      <c r="W29" s="223">
        <v>9218</v>
      </c>
      <c r="X29" s="223">
        <v>9161</v>
      </c>
      <c r="Y29" s="223">
        <v>10573</v>
      </c>
      <c r="Z29" s="223">
        <v>9223</v>
      </c>
      <c r="AA29" s="223">
        <v>9429</v>
      </c>
      <c r="AB29" s="223">
        <v>10237</v>
      </c>
      <c r="AC29" s="223">
        <v>10269</v>
      </c>
      <c r="AD29" s="223">
        <v>10239</v>
      </c>
      <c r="AE29" s="223">
        <v>10783</v>
      </c>
      <c r="AF29" s="223">
        <v>10971</v>
      </c>
      <c r="AG29" s="223">
        <v>10537</v>
      </c>
      <c r="AH29" s="223">
        <v>10687.06</v>
      </c>
      <c r="AI29" s="223">
        <v>10727.34</v>
      </c>
      <c r="AJ29" s="223">
        <v>10679.14</v>
      </c>
      <c r="AK29" s="223">
        <v>12263.61</v>
      </c>
      <c r="AL29" s="223">
        <v>10727</v>
      </c>
      <c r="AM29" s="223">
        <v>10847</v>
      </c>
      <c r="AN29" s="223">
        <v>11446</v>
      </c>
      <c r="AO29" s="223">
        <v>10430</v>
      </c>
      <c r="AP29" s="223">
        <v>10542</v>
      </c>
      <c r="AQ29" s="223">
        <v>11579</v>
      </c>
      <c r="AR29" s="223">
        <v>11804</v>
      </c>
      <c r="AS29" s="223">
        <v>11446</v>
      </c>
      <c r="AT29" s="223">
        <v>11988</v>
      </c>
      <c r="AU29" s="269">
        <v>12174</v>
      </c>
      <c r="AV29" s="269">
        <v>11987.410099999999</v>
      </c>
      <c r="AW29" s="267">
        <v>14179</v>
      </c>
      <c r="AX29" s="272">
        <v>12337</v>
      </c>
      <c r="AY29" s="272">
        <v>12549</v>
      </c>
      <c r="AZ29" s="272">
        <v>13612</v>
      </c>
      <c r="BA29" s="272">
        <v>13543</v>
      </c>
      <c r="BB29" s="272">
        <v>13499</v>
      </c>
      <c r="BC29" s="272">
        <v>14313</v>
      </c>
      <c r="BD29" s="272">
        <v>14345</v>
      </c>
      <c r="BE29" s="272">
        <v>13997</v>
      </c>
      <c r="BF29" s="229">
        <f>AT$29*(1+BF$31)</f>
        <v>14609.556044208508</v>
      </c>
      <c r="BG29" s="229">
        <f>AU$29*(1+BG$31)</f>
        <v>14758.153084203665</v>
      </c>
      <c r="BH29" s="229">
        <f>AV$29*(1+BH$31)</f>
        <v>14457.329782955441</v>
      </c>
      <c r="BI29" s="229">
        <f>AW$29*(1+BI$31)</f>
        <v>17014.8</v>
      </c>
    </row>
    <row r="30" spans="1:62">
      <c r="A30" s="221"/>
      <c r="B30" s="212"/>
      <c r="C30" s="212"/>
      <c r="D30" s="212"/>
      <c r="E30" s="212"/>
      <c r="F30" s="212"/>
      <c r="G30" s="212"/>
      <c r="H30" s="212"/>
      <c r="I30" s="212"/>
      <c r="J30" s="212"/>
      <c r="K30" s="212"/>
      <c r="L30" s="212"/>
      <c r="M30" s="212"/>
      <c r="N30" s="212"/>
      <c r="O30" s="212"/>
      <c r="P30" s="212"/>
      <c r="Q30" s="212"/>
      <c r="R30" s="212"/>
      <c r="S30" s="212"/>
      <c r="T30" s="212"/>
      <c r="U30" s="212"/>
      <c r="V30" s="212"/>
      <c r="W30" s="212"/>
      <c r="X30" s="212"/>
      <c r="Y30" s="212"/>
      <c r="Z30" s="212"/>
      <c r="AA30" s="212"/>
      <c r="AB30" s="212"/>
      <c r="AC30" s="212"/>
      <c r="AD30" s="212"/>
      <c r="AE30" s="212"/>
      <c r="AF30" s="212"/>
      <c r="AG30" s="212"/>
      <c r="AH30" s="212"/>
      <c r="AI30" s="212"/>
      <c r="AJ30" s="212"/>
      <c r="AK30" s="212"/>
      <c r="AL30" s="212"/>
      <c r="AM30" s="212"/>
      <c r="AN30" s="212"/>
      <c r="AO30" s="212"/>
      <c r="AP30" s="212"/>
      <c r="AQ30" s="212"/>
      <c r="AR30" s="212"/>
      <c r="AS30" s="212"/>
      <c r="AT30" s="212"/>
      <c r="AU30" s="212"/>
      <c r="AV30" s="212"/>
      <c r="AW30" s="212"/>
      <c r="AX30" s="212"/>
      <c r="AY30" s="212"/>
      <c r="AZ30" s="212"/>
      <c r="BA30" s="212"/>
      <c r="BB30" s="212"/>
      <c r="BC30" s="212"/>
      <c r="BD30" s="212"/>
      <c r="BE30" s="212"/>
      <c r="BF30" s="212"/>
      <c r="BG30" s="212"/>
      <c r="BH30" s="212"/>
      <c r="BI30" s="212"/>
    </row>
    <row r="31" spans="1:62" ht="15">
      <c r="A31" s="224" t="s">
        <v>225</v>
      </c>
      <c r="B31" s="225">
        <v>0.37734983952315448</v>
      </c>
      <c r="C31" s="225">
        <v>0.35419847328244281</v>
      </c>
      <c r="D31" s="225">
        <v>0.37235772357723573</v>
      </c>
      <c r="E31" s="225">
        <v>0.36036772216547508</v>
      </c>
      <c r="F31" s="225">
        <v>0.37239165329052959</v>
      </c>
      <c r="G31" s="225">
        <v>0.37905190181750048</v>
      </c>
      <c r="H31" s="225">
        <v>0.3656494231484928</v>
      </c>
      <c r="I31" s="225">
        <v>0.36755094194540572</v>
      </c>
      <c r="J31" s="225">
        <v>0.37196715192235907</v>
      </c>
      <c r="K31" s="225">
        <v>0.3788785046728973</v>
      </c>
      <c r="L31" s="225">
        <v>0.3834628190899001</v>
      </c>
      <c r="M31" s="225">
        <v>0.3555212355212356</v>
      </c>
      <c r="N31" s="225">
        <f>N29/B29-1</f>
        <v>0.28353362183754993</v>
      </c>
      <c r="O31" s="225">
        <f t="shared" ref="O31:AT31" si="10">O29/C29-1</f>
        <v>0.26077629247866008</v>
      </c>
      <c r="P31" s="225">
        <f t="shared" si="10"/>
        <v>0.2414010663507109</v>
      </c>
      <c r="Q31" s="225">
        <f t="shared" si="10"/>
        <v>0.27350052560444515</v>
      </c>
      <c r="R31" s="225">
        <f t="shared" si="10"/>
        <v>0.27554824561403501</v>
      </c>
      <c r="S31" s="225">
        <f t="shared" si="10"/>
        <v>0.24200679347826082</v>
      </c>
      <c r="T31" s="225">
        <f t="shared" si="10"/>
        <v>0.24952718353999193</v>
      </c>
      <c r="U31" s="225">
        <f t="shared" si="10"/>
        <v>0.26191734607815587</v>
      </c>
      <c r="V31" s="225">
        <f t="shared" si="10"/>
        <v>0.23003672969663991</v>
      </c>
      <c r="W31" s="225">
        <f t="shared" si="10"/>
        <v>0.24955944150738785</v>
      </c>
      <c r="X31" s="225">
        <f t="shared" si="10"/>
        <v>0.22489637652092531</v>
      </c>
      <c r="Y31" s="225">
        <f t="shared" si="10"/>
        <v>0.20462572633018117</v>
      </c>
      <c r="Z31" s="225">
        <f t="shared" si="10"/>
        <v>0.19601061794962571</v>
      </c>
      <c r="AA31" s="225">
        <f t="shared" si="10"/>
        <v>0.20449760863344646</v>
      </c>
      <c r="AB31" s="225">
        <f t="shared" si="10"/>
        <v>0.22131630624891119</v>
      </c>
      <c r="AC31" s="225">
        <f t="shared" si="10"/>
        <v>0.21093270945161935</v>
      </c>
      <c r="AD31" s="225">
        <f t="shared" si="10"/>
        <v>0.17355798160405733</v>
      </c>
      <c r="AE31" s="225">
        <f t="shared" si="10"/>
        <v>0.17960829959403446</v>
      </c>
      <c r="AF31" s="225">
        <f t="shared" si="10"/>
        <v>0.19636477839280797</v>
      </c>
      <c r="AG31" s="225">
        <f t="shared" si="10"/>
        <v>0.17374082127325874</v>
      </c>
      <c r="AH31" s="225">
        <f t="shared" si="10"/>
        <v>0.18193541251935397</v>
      </c>
      <c r="AI31" s="225">
        <f t="shared" si="10"/>
        <v>0.16373833803428073</v>
      </c>
      <c r="AJ31" s="225">
        <f t="shared" si="10"/>
        <v>0.16571771640650579</v>
      </c>
      <c r="AK31" s="225">
        <f t="shared" si="10"/>
        <v>0.15989879882720137</v>
      </c>
      <c r="AL31" s="225">
        <f t="shared" si="10"/>
        <v>0.16307058440854383</v>
      </c>
      <c r="AM31" s="225">
        <f t="shared" si="10"/>
        <v>0.15038710361650232</v>
      </c>
      <c r="AN31" s="225">
        <f t="shared" si="10"/>
        <v>0.11810100615414676</v>
      </c>
      <c r="AO31" s="225">
        <f t="shared" si="10"/>
        <v>1.5678254942058656E-2</v>
      </c>
      <c r="AP31" s="225">
        <f t="shared" si="10"/>
        <v>2.9592733665396942E-2</v>
      </c>
      <c r="AQ31" s="225">
        <f t="shared" si="10"/>
        <v>7.381990169711572E-2</v>
      </c>
      <c r="AR31" s="225">
        <f t="shared" si="10"/>
        <v>7.5927445082490275E-2</v>
      </c>
      <c r="AS31" s="225">
        <f t="shared" si="10"/>
        <v>8.6267438549871844E-2</v>
      </c>
      <c r="AT31" s="225">
        <f t="shared" si="10"/>
        <v>0.12173039170735445</v>
      </c>
      <c r="AU31" s="225">
        <f>AU29/AI29-1</f>
        <v>0.13485728987801271</v>
      </c>
      <c r="AV31" s="225">
        <f>AV29/AJ29-1</f>
        <v>0.12250706517566012</v>
      </c>
      <c r="AW31" s="225">
        <f>AW29/AK29-1</f>
        <v>0.15618484279914302</v>
      </c>
      <c r="AX31" s="225">
        <f>AX29/AL29-1</f>
        <v>0.1500885615735994</v>
      </c>
      <c r="AY31" s="225">
        <f t="shared" ref="AY31:BE31" si="11">AY29/AM29-1</f>
        <v>0.15690974462985152</v>
      </c>
      <c r="AZ31" s="225">
        <f t="shared" si="11"/>
        <v>0.18923641446793638</v>
      </c>
      <c r="BA31" s="225">
        <f t="shared" si="11"/>
        <v>0.29846596356663468</v>
      </c>
      <c r="BB31" s="225">
        <f t="shared" si="11"/>
        <v>0.28049705938152147</v>
      </c>
      <c r="BC31" s="225">
        <f t="shared" si="11"/>
        <v>0.23611710855859736</v>
      </c>
      <c r="BD31" s="225">
        <f t="shared" si="11"/>
        <v>0.21526601152151814</v>
      </c>
      <c r="BE31" s="225">
        <f t="shared" si="11"/>
        <v>0.22287261925563517</v>
      </c>
      <c r="BF31" s="230">
        <f>AVERAGE(AX31:BE31)</f>
        <v>0.21868168536941177</v>
      </c>
      <c r="BG31" s="230">
        <f>BF31*$BJ$31</f>
        <v>0.21226820142957659</v>
      </c>
      <c r="BH31" s="230">
        <f>BG31*$BJ$31</f>
        <v>0.20604281177928851</v>
      </c>
      <c r="BI31" s="231">
        <v>0.2</v>
      </c>
      <c r="BJ31" s="183">
        <f>(BI31/BF31)^(1/3)</f>
        <v>0.9706720572918528</v>
      </c>
    </row>
    <row r="32" spans="1:62" ht="15">
      <c r="A32" s="224"/>
      <c r="B32" s="212"/>
      <c r="C32" s="212"/>
      <c r="D32" s="212"/>
      <c r="E32" s="212"/>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c r="AK32" s="212"/>
      <c r="AL32" s="212"/>
      <c r="AM32" s="212"/>
      <c r="AN32" s="212"/>
      <c r="AO32" s="212"/>
      <c r="AP32" s="212"/>
      <c r="AQ32" s="212"/>
      <c r="AR32" s="212"/>
      <c r="AS32" s="212"/>
      <c r="AT32" s="212"/>
      <c r="AU32" s="212"/>
      <c r="AV32" s="212"/>
      <c r="AW32" s="212"/>
      <c r="AX32" s="212"/>
      <c r="AY32" s="212"/>
      <c r="AZ32" s="212"/>
      <c r="BA32" s="212"/>
      <c r="BB32" s="212"/>
      <c r="BC32" s="212"/>
      <c r="BD32" s="212"/>
      <c r="BE32" s="212"/>
      <c r="BF32" s="212"/>
      <c r="BG32" s="212"/>
      <c r="BH32" s="212"/>
      <c r="BI32" s="212"/>
    </row>
    <row r="33" spans="1:61" ht="15">
      <c r="A33" s="224" t="s">
        <v>226</v>
      </c>
      <c r="B33" s="225">
        <v>-7.2123552123552148E-2</v>
      </c>
      <c r="C33" s="225">
        <f>C29/B29-1</f>
        <v>3.3455392809587314E-2</v>
      </c>
      <c r="D33" s="225">
        <f t="shared" ref="D33:AW33" si="12">D29/C29-1</f>
        <v>8.7453696247382862E-2</v>
      </c>
      <c r="E33" s="225">
        <f t="shared" si="12"/>
        <v>-1.377369668246442E-2</v>
      </c>
      <c r="F33" s="225">
        <f t="shared" si="12"/>
        <v>2.7181258447214196E-2</v>
      </c>
      <c r="G33" s="225">
        <f t="shared" si="12"/>
        <v>7.6023391812865437E-2</v>
      </c>
      <c r="H33" s="225">
        <f t="shared" si="12"/>
        <v>-2.8532608695651662E-3</v>
      </c>
      <c r="I33" s="225">
        <f t="shared" si="12"/>
        <v>-3.0658127810328395E-2</v>
      </c>
      <c r="J33" s="225">
        <f t="shared" si="12"/>
        <v>3.3314590947427503E-2</v>
      </c>
      <c r="K33" s="225">
        <f t="shared" si="12"/>
        <v>3.5369337505102294E-3</v>
      </c>
      <c r="L33" s="225">
        <f t="shared" si="12"/>
        <v>1.3826758845058906E-2</v>
      </c>
      <c r="M33" s="225">
        <f t="shared" si="12"/>
        <v>0.173552613985827</v>
      </c>
      <c r="N33" s="225">
        <f t="shared" si="12"/>
        <v>-0.12140025065512128</v>
      </c>
      <c r="O33" s="225">
        <f t="shared" si="12"/>
        <v>1.513200466318354E-2</v>
      </c>
      <c r="P33" s="225">
        <f t="shared" si="12"/>
        <v>7.0742038997670065E-2</v>
      </c>
      <c r="Q33" s="225">
        <f t="shared" si="12"/>
        <v>1.1727595282237768E-2</v>
      </c>
      <c r="R33" s="225">
        <f t="shared" si="12"/>
        <v>2.8832910389328559E-2</v>
      </c>
      <c r="S33" s="225">
        <f t="shared" si="12"/>
        <v>4.7728588211696676E-2</v>
      </c>
      <c r="T33" s="225">
        <f t="shared" si="12"/>
        <v>3.1844938886378404E-3</v>
      </c>
      <c r="U33" s="225">
        <f t="shared" si="12"/>
        <v>-2.1046249405688777E-2</v>
      </c>
      <c r="V33" s="225">
        <f t="shared" si="12"/>
        <v>7.2093106152419928E-3</v>
      </c>
      <c r="W33" s="225">
        <f t="shared" si="12"/>
        <v>1.9464720194647178E-2</v>
      </c>
      <c r="X33" s="225">
        <f t="shared" si="12"/>
        <v>-6.1835539162508057E-3</v>
      </c>
      <c r="Y33" s="225">
        <f t="shared" si="12"/>
        <v>0.15413164501691945</v>
      </c>
      <c r="Z33" s="225">
        <f t="shared" si="12"/>
        <v>-0.12768372268987038</v>
      </c>
      <c r="AA33" s="225">
        <f t="shared" si="12"/>
        <v>2.2335465683616995E-2</v>
      </c>
      <c r="AB33" s="225">
        <f t="shared" si="12"/>
        <v>8.5693074557217086E-2</v>
      </c>
      <c r="AC33" s="225">
        <f t="shared" si="12"/>
        <v>3.1259157956433636E-3</v>
      </c>
      <c r="AD33" s="225">
        <f t="shared" si="12"/>
        <v>-2.9214139643587433E-3</v>
      </c>
      <c r="AE33" s="225">
        <f t="shared" si="12"/>
        <v>5.3130188494970199E-2</v>
      </c>
      <c r="AF33" s="225">
        <f t="shared" si="12"/>
        <v>1.7434851154595199E-2</v>
      </c>
      <c r="AG33" s="225">
        <f t="shared" si="12"/>
        <v>-3.9558836933734409E-2</v>
      </c>
      <c r="AH33" s="225">
        <f t="shared" si="12"/>
        <v>1.4241245136186631E-2</v>
      </c>
      <c r="AI33" s="225">
        <f t="shared" si="12"/>
        <v>3.7690440588900032E-3</v>
      </c>
      <c r="AJ33" s="225">
        <f t="shared" si="12"/>
        <v>-4.4931921613373671E-3</v>
      </c>
      <c r="AK33" s="225">
        <f t="shared" si="12"/>
        <v>0.14837056167444196</v>
      </c>
      <c r="AL33" s="225">
        <f t="shared" si="12"/>
        <v>-0.1252983420053313</v>
      </c>
      <c r="AM33" s="225">
        <f t="shared" si="12"/>
        <v>1.1186725086230975E-2</v>
      </c>
      <c r="AN33" s="225">
        <f t="shared" si="12"/>
        <v>5.5222642205217998E-2</v>
      </c>
      <c r="AO33" s="225">
        <f t="shared" si="12"/>
        <v>-8.8764633933251846E-2</v>
      </c>
      <c r="AP33" s="225">
        <f t="shared" si="12"/>
        <v>1.0738255033557076E-2</v>
      </c>
      <c r="AQ33" s="225">
        <f t="shared" si="12"/>
        <v>9.8368431037753723E-2</v>
      </c>
      <c r="AR33" s="225">
        <f t="shared" si="12"/>
        <v>1.943172985577335E-2</v>
      </c>
      <c r="AS33" s="225">
        <f t="shared" si="12"/>
        <v>-3.032870213486949E-2</v>
      </c>
      <c r="AT33" s="225">
        <f t="shared" si="12"/>
        <v>4.7352786999825369E-2</v>
      </c>
      <c r="AU33" s="225">
        <f t="shared" si="12"/>
        <v>1.5515515515515554E-2</v>
      </c>
      <c r="AV33" s="225">
        <f t="shared" si="12"/>
        <v>-1.5326918022014246E-2</v>
      </c>
      <c r="AW33" s="225">
        <f t="shared" si="12"/>
        <v>0.18282430330801813</v>
      </c>
      <c r="AX33" s="212"/>
      <c r="AY33" s="212"/>
      <c r="AZ33" s="212"/>
      <c r="BA33" s="212"/>
      <c r="BB33" s="212"/>
      <c r="BC33" s="212"/>
      <c r="BD33" s="212"/>
      <c r="BE33" s="212"/>
      <c r="BF33" s="212"/>
      <c r="BG33" s="212"/>
      <c r="BH33" s="212"/>
      <c r="BI33" s="212"/>
    </row>
    <row r="34" spans="1:61">
      <c r="A34" s="221"/>
      <c r="B34" s="212"/>
      <c r="C34" s="212"/>
      <c r="D34" s="212"/>
      <c r="E34" s="212"/>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c r="AK34" s="212"/>
      <c r="AL34" s="212"/>
      <c r="AM34" s="212"/>
      <c r="AN34" s="212"/>
      <c r="AO34" s="212"/>
      <c r="AP34" s="212"/>
      <c r="AQ34" s="212"/>
      <c r="AR34" s="212"/>
      <c r="AS34" s="212"/>
      <c r="AT34" s="212"/>
      <c r="AU34" s="212"/>
      <c r="AV34" s="212"/>
      <c r="AW34" s="212"/>
      <c r="AX34" s="212"/>
      <c r="AY34" s="212"/>
      <c r="AZ34" s="212"/>
      <c r="BA34" s="212"/>
      <c r="BB34" s="212"/>
      <c r="BC34" s="212"/>
      <c r="BD34" s="212"/>
      <c r="BE34" s="212"/>
      <c r="BF34" s="212"/>
      <c r="BG34" s="212"/>
      <c r="BH34" s="212"/>
      <c r="BI34" s="212"/>
    </row>
    <row r="35" spans="1:61">
      <c r="A35" s="243" t="s">
        <v>240</v>
      </c>
      <c r="B35" s="225">
        <f>B$29/AVERAGE($B$29:$M$29)</f>
        <v>0.84555210226939537</v>
      </c>
      <c r="C35" s="225">
        <f t="shared" ref="C35:M35" si="13">C$29/AVERAGE($B$29:$M$29)</f>
        <v>0.87384037999179032</v>
      </c>
      <c r="D35" s="225">
        <f t="shared" si="13"/>
        <v>0.95026095115228992</v>
      </c>
      <c r="E35" s="225">
        <f t="shared" si="13"/>
        <v>0.93717234504192803</v>
      </c>
      <c r="F35" s="225">
        <f t="shared" si="13"/>
        <v>0.96264586876209457</v>
      </c>
      <c r="G35" s="225">
        <f t="shared" si="13"/>
        <v>1.0358294728200317</v>
      </c>
      <c r="H35" s="225">
        <f t="shared" si="13"/>
        <v>1.0328739811176919</v>
      </c>
      <c r="I35" s="225">
        <f t="shared" si="13"/>
        <v>1.001207998592623</v>
      </c>
      <c r="J35" s="225">
        <f t="shared" si="13"/>
        <v>1.0345628335190289</v>
      </c>
      <c r="K35" s="225">
        <f t="shared" si="13"/>
        <v>1.0382220137219258</v>
      </c>
      <c r="L35" s="225">
        <f t="shared" si="13"/>
        <v>1.0525772591332903</v>
      </c>
      <c r="M35" s="225">
        <f t="shared" si="13"/>
        <v>1.2352547938779099</v>
      </c>
      <c r="N35" s="225">
        <f>N$29/AVERAGE($N$29:$Y$29)</f>
        <v>0.86963873173103601</v>
      </c>
      <c r="O35" s="225">
        <f t="shared" ref="O35:Y35" si="14">O$29/AVERAGE($N$29:$Y$29)</f>
        <v>0.88279810907487499</v>
      </c>
      <c r="P35" s="225">
        <f t="shared" si="14"/>
        <v>0.94524904733411919</v>
      </c>
      <c r="Q35" s="225">
        <f t="shared" si="14"/>
        <v>0.95633454560217446</v>
      </c>
      <c r="R35" s="225">
        <f t="shared" si="14"/>
        <v>0.98390845385774128</v>
      </c>
      <c r="S35" s="225">
        <f t="shared" si="14"/>
        <v>1.0308690152899245</v>
      </c>
      <c r="T35" s="225">
        <f t="shared" si="14"/>
        <v>1.0341518113691015</v>
      </c>
      <c r="U35" s="225">
        <f t="shared" si="14"/>
        <v>1.0123867944236826</v>
      </c>
      <c r="V35" s="225">
        <f t="shared" si="14"/>
        <v>1.019685405287452</v>
      </c>
      <c r="W35" s="225">
        <f t="shared" si="14"/>
        <v>1.0395332963879378</v>
      </c>
      <c r="X35" s="225">
        <f t="shared" si="14"/>
        <v>1.0331052862019849</v>
      </c>
      <c r="Y35" s="225">
        <f t="shared" si="14"/>
        <v>1.1923395034399724</v>
      </c>
      <c r="Z35" s="225">
        <f>Z$29/AVERAGE($Z$29:$AK$29)</f>
        <v>0.87806631195250284</v>
      </c>
      <c r="AA35" s="225">
        <f t="shared" ref="AA35:AK35" si="15">AA$29/AVERAGE($Z$29:$AK$29)</f>
        <v>0.89767833193105817</v>
      </c>
      <c r="AB35" s="225">
        <f t="shared" si="15"/>
        <v>0.97460314815762461</v>
      </c>
      <c r="AC35" s="225">
        <f t="shared" si="15"/>
        <v>0.97764967553293414</v>
      </c>
      <c r="AD35" s="225">
        <f t="shared" si="15"/>
        <v>0.97479355611858143</v>
      </c>
      <c r="AE35" s="225">
        <f t="shared" si="15"/>
        <v>1.026584521498844</v>
      </c>
      <c r="AF35" s="225">
        <f t="shared" si="15"/>
        <v>1.0444828698287876</v>
      </c>
      <c r="AG35" s="225">
        <f t="shared" si="15"/>
        <v>1.0031643423011518</v>
      </c>
      <c r="AH35" s="225">
        <f t="shared" si="15"/>
        <v>1.0174506516117439</v>
      </c>
      <c r="AI35" s="225">
        <f t="shared" si="15"/>
        <v>1.0212854679454149</v>
      </c>
      <c r="AJ35" s="225">
        <f t="shared" si="15"/>
        <v>1.0166966360863547</v>
      </c>
      <c r="AK35" s="225">
        <f t="shared" si="15"/>
        <v>1.1675444870350031</v>
      </c>
      <c r="AL35" s="225">
        <f>AL$29/AVERAGE($AL$29:$AW$29)</f>
        <v>0.92507758320708833</v>
      </c>
      <c r="AM35" s="225">
        <f t="shared" ref="AM35:AW35" si="16">AM$29/AVERAGE($AL$29:$AW$29)</f>
        <v>0.93542617181386101</v>
      </c>
      <c r="AN35" s="225">
        <f t="shared" si="16"/>
        <v>0.98708287660933469</v>
      </c>
      <c r="AO35" s="225">
        <f t="shared" si="16"/>
        <v>0.89946482640532599</v>
      </c>
      <c r="AP35" s="225">
        <f t="shared" si="16"/>
        <v>0.90912350910498052</v>
      </c>
      <c r="AQ35" s="225">
        <f t="shared" si="16"/>
        <v>0.99855256231517442</v>
      </c>
      <c r="AR35" s="225">
        <f t="shared" si="16"/>
        <v>1.0179561659528733</v>
      </c>
      <c r="AS35" s="225">
        <f t="shared" si="16"/>
        <v>0.98708287660933469</v>
      </c>
      <c r="AT35" s="225">
        <f t="shared" si="16"/>
        <v>1.0338240018165914</v>
      </c>
      <c r="AU35" s="225">
        <f t="shared" si="16"/>
        <v>1.0498643141570889</v>
      </c>
      <c r="AV35" s="225">
        <f t="shared" si="16"/>
        <v>1.0337731298797652</v>
      </c>
      <c r="AW35" s="225">
        <f t="shared" si="16"/>
        <v>1.2227719821285827</v>
      </c>
      <c r="AX35" s="212"/>
      <c r="AY35" s="212"/>
      <c r="AZ35" s="212"/>
      <c r="BA35" s="212"/>
      <c r="BB35" s="212"/>
      <c r="BC35" s="212"/>
      <c r="BD35" s="212"/>
      <c r="BE35" s="212"/>
      <c r="BF35" s="212"/>
      <c r="BG35" s="212"/>
      <c r="BH35" s="212"/>
      <c r="BI35" s="212"/>
    </row>
    <row r="36" spans="1:61">
      <c r="A36" s="221"/>
      <c r="B36" s="212"/>
      <c r="C36" s="212"/>
      <c r="D36" s="212"/>
      <c r="E36" s="212"/>
      <c r="F36" s="212"/>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2"/>
      <c r="AT36" s="212"/>
      <c r="AU36" s="212"/>
      <c r="AV36" s="212"/>
      <c r="AW36" s="212"/>
      <c r="AX36" s="212"/>
      <c r="AY36" s="212"/>
      <c r="AZ36" s="212"/>
      <c r="BA36" s="212"/>
      <c r="BB36" s="212"/>
      <c r="BC36" s="212"/>
      <c r="BD36" s="212"/>
      <c r="BE36" s="212"/>
      <c r="BF36" s="212"/>
      <c r="BG36" s="212"/>
      <c r="BH36" s="212"/>
      <c r="BI36" s="212"/>
    </row>
    <row r="37" spans="1:61" ht="15">
      <c r="A37" s="226" t="s">
        <v>5</v>
      </c>
      <c r="B37" s="227">
        <v>27.150611903225798</v>
      </c>
      <c r="C37" s="227">
        <v>27.027771071428578</v>
      </c>
      <c r="D37" s="227">
        <v>27.001562419354837</v>
      </c>
      <c r="E37" s="227">
        <v>26.856827100000014</v>
      </c>
      <c r="F37" s="227">
        <v>26.423692999999993</v>
      </c>
      <c r="G37" s="227">
        <v>26.108858166666668</v>
      </c>
      <c r="H37" s="227">
        <v>25.969315225806444</v>
      </c>
      <c r="I37" s="227">
        <v>25.635271419354826</v>
      </c>
      <c r="J37" s="227">
        <v>26.10860709999999</v>
      </c>
      <c r="K37" s="227">
        <v>26.654977096774203</v>
      </c>
      <c r="L37" s="227">
        <v>26.705274633333335</v>
      </c>
      <c r="M37" s="227">
        <v>27.516507935483883</v>
      </c>
      <c r="N37" s="227">
        <v>28.434328612903219</v>
      </c>
      <c r="O37" s="227">
        <v>27.171049392857139</v>
      </c>
      <c r="P37" s="227">
        <v>26.341204741935485</v>
      </c>
      <c r="Q37" s="227">
        <v>26.151748566666662</v>
      </c>
      <c r="R37" s="227">
        <v>26.181224580645161</v>
      </c>
      <c r="S37" s="227">
        <v>26.202170466666676</v>
      </c>
      <c r="T37" s="227">
        <v>26.400686419354855</v>
      </c>
      <c r="U37" s="227">
        <v>27.482209032258066</v>
      </c>
      <c r="V37" s="227">
        <v>28.191267433333341</v>
      </c>
      <c r="W37" s="227">
        <v>28.127382419354841</v>
      </c>
      <c r="X37" s="227">
        <v>27.933498133333334</v>
      </c>
      <c r="Y37" s="227">
        <v>27.789138709677424</v>
      </c>
      <c r="Z37" s="227">
        <v>27.879174999999993</v>
      </c>
      <c r="AA37" s="227">
        <v>28.124344464285709</v>
      </c>
      <c r="AB37" s="227">
        <v>26.863534580645165</v>
      </c>
      <c r="AC37" s="227">
        <v>26.811495299999994</v>
      </c>
      <c r="AD37" s="227">
        <v>26.378847709677427</v>
      </c>
      <c r="AE37" s="227">
        <v>26.500110633333332</v>
      </c>
      <c r="AF37" s="227">
        <v>25.751355387096769</v>
      </c>
      <c r="AG37" s="227">
        <v>25.246989612903228</v>
      </c>
      <c r="AH37" s="227">
        <v>24.769724166666666</v>
      </c>
      <c r="AI37" s="227">
        <v>24.808206516129029</v>
      </c>
      <c r="AJ37" s="227">
        <v>24.367518633333326</v>
      </c>
      <c r="AK37" s="227">
        <v>23.609435129032253</v>
      </c>
      <c r="AL37" s="227">
        <v>24.119351612903227</v>
      </c>
      <c r="AM37" s="227">
        <v>24.596524137931045</v>
      </c>
      <c r="AN37" s="227">
        <v>26.412293548387101</v>
      </c>
      <c r="AO37" s="227">
        <v>27.224653333333325</v>
      </c>
      <c r="AP37" s="227">
        <v>26.814329032258055</v>
      </c>
      <c r="AQ37" s="227">
        <v>26.707343333333327</v>
      </c>
      <c r="AR37" s="227">
        <v>27.312838709677415</v>
      </c>
      <c r="AS37" s="227">
        <v>27.521419354838709</v>
      </c>
      <c r="AT37" s="227">
        <v>27.963576666666654</v>
      </c>
      <c r="AU37" s="227">
        <v>28.1</v>
      </c>
      <c r="AV37" s="227">
        <v>28.1</v>
      </c>
      <c r="AW37" s="227">
        <v>28.2</v>
      </c>
      <c r="AX37" s="362">
        <v>28.219770967741901</v>
      </c>
      <c r="AY37" s="362">
        <v>27.884660714285701</v>
      </c>
      <c r="AZ37" s="362">
        <v>27.795558064516101</v>
      </c>
      <c r="BA37" s="362">
        <v>27.93</v>
      </c>
      <c r="BB37" s="362">
        <v>27.6</v>
      </c>
      <c r="BC37" s="362">
        <v>27.239873333333321</v>
      </c>
      <c r="BD37" s="362">
        <v>27.214548387096801</v>
      </c>
      <c r="BE37" s="362">
        <v>26.76</v>
      </c>
      <c r="BF37" s="362">
        <v>26.731762615434441</v>
      </c>
      <c r="BG37" s="362">
        <v>26.398426526515998</v>
      </c>
      <c r="BH37" s="273">
        <v>26.345306827638101</v>
      </c>
      <c r="BI37" s="273">
        <v>26.316584904855794</v>
      </c>
    </row>
    <row r="38" spans="1:61">
      <c r="A38" s="221"/>
      <c r="B38" s="212"/>
      <c r="C38" s="212"/>
      <c r="D38" s="212"/>
      <c r="E38" s="212"/>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2"/>
      <c r="AT38" s="212"/>
      <c r="AU38" s="212"/>
      <c r="AV38" s="212"/>
      <c r="AW38" s="212"/>
      <c r="AX38" s="212"/>
      <c r="AY38" s="212"/>
      <c r="AZ38" s="212"/>
      <c r="BA38" s="212"/>
      <c r="BB38" s="212"/>
      <c r="BC38" s="212"/>
      <c r="BD38" s="212"/>
      <c r="BE38" s="212"/>
      <c r="BF38" s="212"/>
      <c r="BG38" s="212"/>
      <c r="BH38" s="212"/>
      <c r="BI38" s="212"/>
    </row>
    <row r="39" spans="1:61" ht="15">
      <c r="A39" s="224" t="s">
        <v>225</v>
      </c>
      <c r="B39" s="225">
        <v>0.11916553967337506</v>
      </c>
      <c r="C39" s="225">
        <v>2.4048710227086767E-2</v>
      </c>
      <c r="D39" s="225">
        <v>2.4487641793782267E-2</v>
      </c>
      <c r="E39" s="225">
        <v>4.7887381722597322E-2</v>
      </c>
      <c r="F39" s="225">
        <v>4.8289790467862297E-2</v>
      </c>
      <c r="G39" s="225">
        <v>4.6390966235829723E-2</v>
      </c>
      <c r="H39" s="225">
        <v>4.6441729320432223E-2</v>
      </c>
      <c r="I39" s="225">
        <v>2.2759488069563183E-2</v>
      </c>
      <c r="J39" s="225">
        <v>-6.3502251161164924E-3</v>
      </c>
      <c r="K39" s="225">
        <v>3.4852475688657902E-2</v>
      </c>
      <c r="L39" s="225">
        <v>3.9077828254707958E-2</v>
      </c>
      <c r="M39" s="225">
        <v>5.0067040071519742E-2</v>
      </c>
      <c r="N39" s="225">
        <f>N37/B37-1</f>
        <v>4.7281317793242739E-2</v>
      </c>
      <c r="O39" s="225">
        <f t="shared" ref="O39:AW39" si="17">O37/C37-1</f>
        <v>5.3011519540366869E-3</v>
      </c>
      <c r="P39" s="225">
        <f t="shared" si="17"/>
        <v>-2.4456276535538723E-2</v>
      </c>
      <c r="Q39" s="225">
        <f t="shared" si="17"/>
        <v>-2.6253232770499291E-2</v>
      </c>
      <c r="R39" s="225">
        <f t="shared" si="17"/>
        <v>-9.176174554965999E-3</v>
      </c>
      <c r="S39" s="225">
        <f t="shared" si="17"/>
        <v>3.5739709260491637E-3</v>
      </c>
      <c r="T39" s="225">
        <f t="shared" si="17"/>
        <v>1.6610803550173969E-2</v>
      </c>
      <c r="U39" s="225">
        <f t="shared" si="17"/>
        <v>7.204673524575167E-2</v>
      </c>
      <c r="V39" s="225">
        <f t="shared" si="17"/>
        <v>7.9769109296273122E-2</v>
      </c>
      <c r="W39" s="225">
        <f t="shared" si="17"/>
        <v>5.5239414284052435E-2</v>
      </c>
      <c r="X39" s="225">
        <f t="shared" si="17"/>
        <v>4.5991794387575391E-2</v>
      </c>
      <c r="Y39" s="225">
        <f t="shared" si="17"/>
        <v>9.9078987360154969E-3</v>
      </c>
      <c r="Z39" s="225">
        <f t="shared" si="17"/>
        <v>-1.9524062637839235E-2</v>
      </c>
      <c r="AA39" s="225">
        <f t="shared" si="17"/>
        <v>3.5084955963429865E-2</v>
      </c>
      <c r="AB39" s="225">
        <f t="shared" si="17"/>
        <v>1.9829383045572246E-2</v>
      </c>
      <c r="AC39" s="225">
        <f t="shared" si="17"/>
        <v>2.5227633695371843E-2</v>
      </c>
      <c r="AD39" s="225">
        <f t="shared" si="17"/>
        <v>7.5482767593064715E-3</v>
      </c>
      <c r="AE39" s="225">
        <f t="shared" si="17"/>
        <v>1.1370820102314827E-2</v>
      </c>
      <c r="AF39" s="225">
        <f t="shared" si="17"/>
        <v>-2.4595232939930267E-2</v>
      </c>
      <c r="AG39" s="225">
        <f t="shared" si="17"/>
        <v>-8.1333324287402919E-2</v>
      </c>
      <c r="AH39" s="225">
        <f t="shared" si="17"/>
        <v>-0.12136890527387367</v>
      </c>
      <c r="AI39" s="225">
        <f t="shared" si="17"/>
        <v>-0.11800514721703503</v>
      </c>
      <c r="AJ39" s="225">
        <f t="shared" si="17"/>
        <v>-0.12765961080057808</v>
      </c>
      <c r="AK39" s="225">
        <f t="shared" si="17"/>
        <v>-0.15040781307805018</v>
      </c>
      <c r="AL39" s="225">
        <f t="shared" si="17"/>
        <v>-0.13486135752212058</v>
      </c>
      <c r="AM39" s="225">
        <f t="shared" si="17"/>
        <v>-0.12543653527052123</v>
      </c>
      <c r="AN39" s="225">
        <f t="shared" si="17"/>
        <v>-1.6797530157597995E-2</v>
      </c>
      <c r="AO39" s="225">
        <f t="shared" si="17"/>
        <v>1.5409734843596423E-2</v>
      </c>
      <c r="AP39" s="225">
        <f t="shared" si="17"/>
        <v>1.6508731820793932E-2</v>
      </c>
      <c r="AQ39" s="225">
        <f t="shared" si="17"/>
        <v>7.8200692392327298E-3</v>
      </c>
      <c r="AR39" s="225">
        <f t="shared" si="17"/>
        <v>6.0636937322648965E-2</v>
      </c>
      <c r="AS39" s="225">
        <f t="shared" si="17"/>
        <v>9.0087165908012468E-2</v>
      </c>
      <c r="AT39" s="225">
        <f t="shared" si="17"/>
        <v>0.12894178709902815</v>
      </c>
      <c r="AU39" s="225">
        <f t="shared" si="17"/>
        <v>0.13268970014945713</v>
      </c>
      <c r="AV39" s="225">
        <f t="shared" si="17"/>
        <v>0.1531744541916904</v>
      </c>
      <c r="AW39" s="225">
        <f t="shared" si="17"/>
        <v>0.19443772567530782</v>
      </c>
      <c r="AX39" s="212"/>
      <c r="AY39" s="212"/>
      <c r="AZ39" s="212"/>
      <c r="BA39" s="212"/>
      <c r="BB39" s="212"/>
      <c r="BC39" s="212"/>
      <c r="BD39" s="212"/>
      <c r="BE39" s="212"/>
      <c r="BF39" s="212"/>
      <c r="BG39" s="212"/>
      <c r="BH39" s="212"/>
      <c r="BI39" s="212"/>
    </row>
    <row r="40" spans="1:61" ht="15">
      <c r="A40" s="214"/>
    </row>
    <row r="41" spans="1:61" ht="21.75">
      <c r="A41" s="222" t="s">
        <v>247</v>
      </c>
      <c r="B41" s="219">
        <f t="shared" ref="B41:AV41" si="18">B29/B37</f>
        <v>221.28414716451314</v>
      </c>
      <c r="C41" s="219">
        <f t="shared" si="18"/>
        <v>229.72667570666297</v>
      </c>
      <c r="D41" s="219">
        <f t="shared" si="18"/>
        <v>250.05960377908121</v>
      </c>
      <c r="E41" s="219">
        <f t="shared" si="18"/>
        <v>247.94440442296315</v>
      </c>
      <c r="F41" s="219">
        <f t="shared" si="18"/>
        <v>258.85859330866435</v>
      </c>
      <c r="G41" s="219">
        <f t="shared" si="18"/>
        <v>281.89666330933443</v>
      </c>
      <c r="H41" s="219">
        <f t="shared" si="18"/>
        <v>282.60275391116312</v>
      </c>
      <c r="I41" s="219">
        <f t="shared" si="18"/>
        <v>277.50827692149477</v>
      </c>
      <c r="J41" s="219">
        <f t="shared" si="18"/>
        <v>281.55466018713815</v>
      </c>
      <c r="K41" s="219">
        <f t="shared" si="18"/>
        <v>276.75881968372681</v>
      </c>
      <c r="L41" s="219">
        <f t="shared" si="18"/>
        <v>280.05703377656954</v>
      </c>
      <c r="M41" s="219">
        <f t="shared" si="18"/>
        <v>318.97216102344254</v>
      </c>
      <c r="N41" s="219">
        <f t="shared" si="18"/>
        <v>271.20281632043213</v>
      </c>
      <c r="O41" s="219">
        <f t="shared" si="18"/>
        <v>288.10664935370164</v>
      </c>
      <c r="P41" s="219">
        <f t="shared" si="18"/>
        <v>318.2064025589483</v>
      </c>
      <c r="Q41" s="219">
        <f t="shared" si="18"/>
        <v>324.27047768457891</v>
      </c>
      <c r="R41" s="219">
        <f t="shared" si="18"/>
        <v>333.24453457573924</v>
      </c>
      <c r="S41" s="219">
        <f t="shared" si="18"/>
        <v>348.87071708922053</v>
      </c>
      <c r="T41" s="219">
        <f t="shared" si="18"/>
        <v>347.35005955288688</v>
      </c>
      <c r="U41" s="219">
        <f t="shared" si="18"/>
        <v>326.65787489872628</v>
      </c>
      <c r="V41" s="219">
        <f t="shared" si="18"/>
        <v>320.73761924264335</v>
      </c>
      <c r="W41" s="219">
        <f t="shared" si="18"/>
        <v>327.72335024168359</v>
      </c>
      <c r="X41" s="219">
        <f t="shared" si="18"/>
        <v>327.95749233670392</v>
      </c>
      <c r="Y41" s="219">
        <f t="shared" si="18"/>
        <v>380.4723892474583</v>
      </c>
      <c r="Z41" s="219">
        <f t="shared" si="18"/>
        <v>330.82040627098911</v>
      </c>
      <c r="AA41" s="219">
        <f t="shared" si="18"/>
        <v>335.26114757887473</v>
      </c>
      <c r="AB41" s="219">
        <f t="shared" si="18"/>
        <v>381.07420188018102</v>
      </c>
      <c r="AC41" s="219">
        <f t="shared" si="18"/>
        <v>383.00735878763174</v>
      </c>
      <c r="AD41" s="219">
        <f t="shared" si="18"/>
        <v>388.15190537089643</v>
      </c>
      <c r="AE41" s="219">
        <f t="shared" si="18"/>
        <v>406.9039616172974</v>
      </c>
      <c r="AF41" s="219">
        <f t="shared" si="18"/>
        <v>426.03582743831959</v>
      </c>
      <c r="AG41" s="219">
        <f t="shared" si="18"/>
        <v>417.35668931454512</v>
      </c>
      <c r="AH41" s="219">
        <f t="shared" si="18"/>
        <v>431.45656076307404</v>
      </c>
      <c r="AI41" s="219">
        <f t="shared" si="18"/>
        <v>432.41094405698499</v>
      </c>
      <c r="AJ41" s="219">
        <f t="shared" si="18"/>
        <v>438.25307618279879</v>
      </c>
      <c r="AK41" s="219">
        <f t="shared" si="18"/>
        <v>519.43682400599153</v>
      </c>
      <c r="AL41" s="219">
        <f t="shared" si="18"/>
        <v>444.74661558734994</v>
      </c>
      <c r="AM41" s="219">
        <f t="shared" si="18"/>
        <v>440.99727014974906</v>
      </c>
      <c r="AN41" s="219">
        <f t="shared" si="18"/>
        <v>433.35880615710346</v>
      </c>
      <c r="AO41" s="219">
        <f t="shared" si="18"/>
        <v>383.10864319545681</v>
      </c>
      <c r="AP41" s="219">
        <f t="shared" si="18"/>
        <v>393.14800632593904</v>
      </c>
      <c r="AQ41" s="219">
        <f t="shared" si="18"/>
        <v>433.55117188119181</v>
      </c>
      <c r="AR41" s="219">
        <f t="shared" si="18"/>
        <v>432.17770680927566</v>
      </c>
      <c r="AS41" s="219">
        <f t="shared" si="18"/>
        <v>415.8942477647908</v>
      </c>
      <c r="AT41" s="219">
        <f t="shared" si="18"/>
        <v>428.70052507589355</v>
      </c>
      <c r="AU41" s="219">
        <f t="shared" si="18"/>
        <v>433.23843416370107</v>
      </c>
      <c r="AV41" s="219">
        <f t="shared" si="18"/>
        <v>426.59822419928821</v>
      </c>
      <c r="AW41" s="219">
        <f>AW29/AW$37</f>
        <v>502.80141843971631</v>
      </c>
      <c r="AX41" s="219">
        <f>AX29/AX$37</f>
        <v>437.17576638387527</v>
      </c>
    </row>
    <row r="42" spans="1:61" ht="15">
      <c r="A42" s="214"/>
    </row>
    <row r="43" spans="1:61">
      <c r="A43" s="178" t="s">
        <v>248</v>
      </c>
      <c r="B43" s="215">
        <v>0.12599999999999995</v>
      </c>
      <c r="C43" s="215">
        <v>0.14200000000000002</v>
      </c>
      <c r="D43" s="215">
        <v>0.15099999999999994</v>
      </c>
      <c r="E43" s="215">
        <v>0.12200000000000003</v>
      </c>
      <c r="F43" s="215">
        <v>0.13500000000000001</v>
      </c>
      <c r="G43" s="215">
        <v>0.15599999999999994</v>
      </c>
      <c r="H43" s="215">
        <v>0.15900000000000006</v>
      </c>
      <c r="I43" s="215">
        <v>0.16200000000000003</v>
      </c>
      <c r="J43" s="215">
        <v>0.16400000000000006</v>
      </c>
      <c r="K43" s="215">
        <v>0.14599999999999994</v>
      </c>
      <c r="L43" s="215">
        <v>0.13599999999999995</v>
      </c>
      <c r="M43" s="215">
        <v>0.13700000000000004</v>
      </c>
      <c r="N43" s="215">
        <v>0.14099999999999993</v>
      </c>
      <c r="O43" s="215">
        <v>0.14000000000000001</v>
      </c>
      <c r="P43" s="215">
        <v>0.13200000000000003</v>
      </c>
      <c r="Q43" s="215">
        <v>0.13099999999999995</v>
      </c>
      <c r="R43" s="215">
        <v>0.11700000000000003</v>
      </c>
      <c r="S43" s="215">
        <v>9.900000000000006E-2</v>
      </c>
      <c r="T43" s="215">
        <v>8.9000000000000051E-2</v>
      </c>
      <c r="U43" s="215">
        <v>0.09</v>
      </c>
      <c r="V43" s="215">
        <v>8.9000000000000051E-2</v>
      </c>
      <c r="W43" s="215">
        <v>9.5000000000000001E-2</v>
      </c>
      <c r="X43" s="215">
        <v>0.1</v>
      </c>
      <c r="Y43" s="215">
        <v>9.8000000000000004E-2</v>
      </c>
      <c r="Z43" s="215">
        <v>9.1999999999999998E-2</v>
      </c>
      <c r="AA43" s="215">
        <v>8.7999999999999995E-2</v>
      </c>
      <c r="AB43" s="215">
        <v>8.5999999999999993E-2</v>
      </c>
      <c r="AC43" s="215">
        <v>8.7999999999999995E-2</v>
      </c>
      <c r="AD43" s="215">
        <v>9.6000000000000002E-2</v>
      </c>
      <c r="AE43" s="215">
        <v>0.09</v>
      </c>
      <c r="AF43" s="215">
        <v>9.0999999999999998E-2</v>
      </c>
      <c r="AG43" s="215">
        <v>8.7999999999999995E-2</v>
      </c>
      <c r="AH43" s="215">
        <v>7.4999999999999997E-2</v>
      </c>
      <c r="AI43" s="215">
        <v>6.5000000000000002E-2</v>
      </c>
      <c r="AJ43" s="215">
        <v>5.0999999999999997E-2</v>
      </c>
      <c r="AK43" s="215">
        <v>4.0999999999999995E-2</v>
      </c>
      <c r="AL43" s="215">
        <v>3.2000000000000001E-2</v>
      </c>
      <c r="AM43" s="215">
        <v>2.4E-2</v>
      </c>
      <c r="AN43" s="215">
        <v>2.3E-2</v>
      </c>
      <c r="AO43" s="215">
        <v>2.1000000000000001E-2</v>
      </c>
      <c r="AP43" s="215">
        <v>1.7000000000000001E-2</v>
      </c>
      <c r="AQ43" s="215">
        <v>2.4E-2</v>
      </c>
      <c r="AR43" s="215">
        <v>2.4E-2</v>
      </c>
      <c r="AS43" s="215">
        <v>2.5000000000000001E-2</v>
      </c>
      <c r="AT43" s="215">
        <v>2.3057965401838337E-2</v>
      </c>
      <c r="AU43" s="215">
        <v>2.5256207969405094E-2</v>
      </c>
      <c r="AV43" s="215">
        <v>4.7020283582285924E-2</v>
      </c>
      <c r="AW43" s="215">
        <v>3.5797547154679872E-2</v>
      </c>
    </row>
    <row r="44" spans="1:61" ht="21.75">
      <c r="A44" s="222" t="s">
        <v>250</v>
      </c>
      <c r="B44" s="219">
        <f t="shared" ref="B44:AV44" si="19">B29*(1-B43)</f>
        <v>5250.9920000000011</v>
      </c>
      <c r="C44" s="219">
        <f t="shared" si="19"/>
        <v>5327.3220000000001</v>
      </c>
      <c r="D44" s="219">
        <f t="shared" si="19"/>
        <v>5732.4480000000003</v>
      </c>
      <c r="E44" s="219">
        <f t="shared" si="19"/>
        <v>5846.6019999999999</v>
      </c>
      <c r="F44" s="219">
        <f t="shared" si="19"/>
        <v>5916.6</v>
      </c>
      <c r="G44" s="219">
        <f t="shared" si="19"/>
        <v>6211.8400000000011</v>
      </c>
      <c r="H44" s="219">
        <f t="shared" si="19"/>
        <v>6172.0990000000002</v>
      </c>
      <c r="I44" s="219">
        <f t="shared" si="19"/>
        <v>5961.5320000000002</v>
      </c>
      <c r="J44" s="219">
        <f t="shared" si="19"/>
        <v>6145.4359999999997</v>
      </c>
      <c r="K44" s="219">
        <f t="shared" si="19"/>
        <v>6299.9580000000005</v>
      </c>
      <c r="L44" s="219">
        <f t="shared" si="19"/>
        <v>6461.8560000000007</v>
      </c>
      <c r="M44" s="219">
        <f t="shared" si="19"/>
        <v>7574.5509999999995</v>
      </c>
      <c r="N44" s="219">
        <f>N29*(1-N43)</f>
        <v>6624.1527300000007</v>
      </c>
      <c r="O44" s="219">
        <f t="shared" si="19"/>
        <v>6732.2175999999999</v>
      </c>
      <c r="P44" s="219">
        <f t="shared" si="19"/>
        <v>7275.5239200000005</v>
      </c>
      <c r="Q44" s="219">
        <f t="shared" si="19"/>
        <v>7369.3285599999999</v>
      </c>
      <c r="R44" s="219">
        <f t="shared" si="19"/>
        <v>7703.9542499999998</v>
      </c>
      <c r="S44" s="219">
        <f t="shared" si="19"/>
        <v>8236.1941699999988</v>
      </c>
      <c r="T44" s="219">
        <f t="shared" si="19"/>
        <v>8354.1250799999998</v>
      </c>
      <c r="U44" s="219">
        <f t="shared" si="19"/>
        <v>8169.3248000000012</v>
      </c>
      <c r="V44" s="219">
        <f t="shared" si="19"/>
        <v>8237.2619999999988</v>
      </c>
      <c r="W44" s="219">
        <f t="shared" si="19"/>
        <v>8342.2900000000009</v>
      </c>
      <c r="X44" s="219">
        <f t="shared" si="19"/>
        <v>8244.9</v>
      </c>
      <c r="Y44" s="219">
        <f t="shared" si="19"/>
        <v>9536.8459999999995</v>
      </c>
      <c r="Z44" s="219">
        <f t="shared" si="19"/>
        <v>8374.4840000000004</v>
      </c>
      <c r="AA44" s="219">
        <f t="shared" si="19"/>
        <v>8599.2479999999996</v>
      </c>
      <c r="AB44" s="219">
        <f t="shared" si="19"/>
        <v>9356.6180000000004</v>
      </c>
      <c r="AC44" s="219">
        <f t="shared" si="19"/>
        <v>9365.3279999999995</v>
      </c>
      <c r="AD44" s="219">
        <f t="shared" si="19"/>
        <v>9256.0560000000005</v>
      </c>
      <c r="AE44" s="219">
        <f t="shared" si="19"/>
        <v>9812.5300000000007</v>
      </c>
      <c r="AF44" s="219">
        <f t="shared" si="19"/>
        <v>9972.639000000001</v>
      </c>
      <c r="AG44" s="219">
        <f t="shared" si="19"/>
        <v>9609.7440000000006</v>
      </c>
      <c r="AH44" s="219">
        <f t="shared" si="19"/>
        <v>9885.5305000000008</v>
      </c>
      <c r="AI44" s="219">
        <f t="shared" si="19"/>
        <v>10030.062900000001</v>
      </c>
      <c r="AJ44" s="219">
        <f t="shared" si="19"/>
        <v>10134.503859999999</v>
      </c>
      <c r="AK44" s="219">
        <f t="shared" si="19"/>
        <v>11760.80199</v>
      </c>
      <c r="AL44" s="219">
        <f t="shared" si="19"/>
        <v>10383.735999999999</v>
      </c>
      <c r="AM44" s="219">
        <f t="shared" si="19"/>
        <v>10586.672</v>
      </c>
      <c r="AN44" s="219">
        <f t="shared" si="19"/>
        <v>11182.742</v>
      </c>
      <c r="AO44" s="219">
        <f t="shared" si="19"/>
        <v>10210.969999999999</v>
      </c>
      <c r="AP44" s="219">
        <f t="shared" si="19"/>
        <v>10362.786</v>
      </c>
      <c r="AQ44" s="219">
        <f t="shared" si="19"/>
        <v>11301.103999999999</v>
      </c>
      <c r="AR44" s="219">
        <f t="shared" si="19"/>
        <v>11520.704</v>
      </c>
      <c r="AS44" s="219">
        <f t="shared" si="19"/>
        <v>11159.85</v>
      </c>
      <c r="AT44" s="219">
        <f t="shared" si="19"/>
        <v>11711.581110762761</v>
      </c>
      <c r="AU44" s="219">
        <f>AU29*(1-AU43)</f>
        <v>11866.530924180463</v>
      </c>
      <c r="AV44" s="219">
        <f t="shared" si="19"/>
        <v>11423.75867768084</v>
      </c>
      <c r="AW44" s="219">
        <f>AW29*(1-AW43)</f>
        <v>13671.426578893794</v>
      </c>
    </row>
    <row r="45" spans="1:61" ht="15">
      <c r="A45" s="224" t="s">
        <v>259</v>
      </c>
      <c r="B45" s="215"/>
      <c r="C45" s="215"/>
      <c r="D45" s="215"/>
      <c r="E45" s="215"/>
      <c r="F45" s="215"/>
      <c r="G45" s="215"/>
      <c r="H45" s="215"/>
      <c r="I45" s="215"/>
      <c r="J45" s="215"/>
      <c r="K45" s="215"/>
      <c r="L45" s="215"/>
      <c r="M45" s="215"/>
      <c r="N45" s="215"/>
      <c r="O45" s="215"/>
      <c r="P45" s="215"/>
      <c r="Q45" s="215"/>
      <c r="R45" s="215"/>
      <c r="S45" s="215"/>
      <c r="T45" s="215"/>
      <c r="U45" s="215"/>
      <c r="V45" s="215"/>
      <c r="W45" s="215"/>
      <c r="X45" s="215"/>
      <c r="Y45" s="215"/>
      <c r="Z45" s="215"/>
      <c r="AA45" s="215"/>
      <c r="AB45" s="215"/>
      <c r="AC45" s="215"/>
      <c r="AD45" s="215"/>
      <c r="AE45" s="215"/>
      <c r="AF45" s="215"/>
      <c r="AG45" s="215"/>
      <c r="AH45" s="215"/>
      <c r="AI45" s="215"/>
      <c r="AJ45" s="215"/>
      <c r="AK45" s="215"/>
      <c r="AL45" s="215">
        <f t="shared" ref="AL45:AV45" si="20">AL44/Z44-1</f>
        <v>0.23992546884082633</v>
      </c>
      <c r="AM45" s="215">
        <f t="shared" si="20"/>
        <v>0.23111602316853763</v>
      </c>
      <c r="AN45" s="215">
        <f t="shared" si="20"/>
        <v>0.1951692374317302</v>
      </c>
      <c r="AO45" s="215">
        <f t="shared" si="20"/>
        <v>9.0294968846793111E-2</v>
      </c>
      <c r="AP45" s="215">
        <f t="shared" si="20"/>
        <v>0.11956820485960762</v>
      </c>
      <c r="AQ45" s="215">
        <f t="shared" si="20"/>
        <v>0.15170134511690647</v>
      </c>
      <c r="AR45" s="215">
        <f t="shared" si="20"/>
        <v>0.15523122816337764</v>
      </c>
      <c r="AS45" s="215">
        <f t="shared" si="20"/>
        <v>0.16130564976548789</v>
      </c>
      <c r="AT45" s="215">
        <f t="shared" si="20"/>
        <v>0.18471953637316285</v>
      </c>
      <c r="AU45" s="215">
        <f>AU44/AI44-1</f>
        <v>0.18309636165696053</v>
      </c>
      <c r="AV45" s="215">
        <f t="shared" si="20"/>
        <v>0.12721439899681886</v>
      </c>
      <c r="AW45" s="215">
        <f>AW44/AK44-1</f>
        <v>0.16245699829980675</v>
      </c>
    </row>
    <row r="46" spans="1:61" ht="15">
      <c r="A46" s="214"/>
    </row>
    <row r="47" spans="1:61" ht="21.75">
      <c r="A47" s="222" t="s">
        <v>275</v>
      </c>
      <c r="B47" s="271">
        <v>9292</v>
      </c>
      <c r="C47" s="271">
        <v>9832</v>
      </c>
      <c r="D47" s="271">
        <v>11010</v>
      </c>
      <c r="E47" s="271">
        <v>10788</v>
      </c>
      <c r="F47" s="271">
        <v>10558</v>
      </c>
      <c r="G47" s="271">
        <v>11091</v>
      </c>
      <c r="H47" s="271">
        <v>11412</v>
      </c>
      <c r="I47" s="271">
        <v>11073</v>
      </c>
      <c r="J47" s="271">
        <v>11423</v>
      </c>
      <c r="K47" s="271">
        <v>11454</v>
      </c>
      <c r="L47" s="271">
        <v>11643</v>
      </c>
      <c r="M47" s="271">
        <v>14035</v>
      </c>
      <c r="N47" s="271">
        <v>11668</v>
      </c>
      <c r="O47" s="271">
        <v>12124</v>
      </c>
      <c r="P47" s="271">
        <v>13388</v>
      </c>
      <c r="Q47" s="271">
        <v>13150</v>
      </c>
      <c r="R47" s="271">
        <v>13286</v>
      </c>
      <c r="S47" s="271">
        <v>13553</v>
      </c>
      <c r="T47" s="271">
        <v>13836</v>
      </c>
      <c r="U47" s="271">
        <v>13659</v>
      </c>
      <c r="V47" s="271">
        <v>13614</v>
      </c>
      <c r="W47" s="271">
        <v>13850</v>
      </c>
      <c r="X47" s="271">
        <v>13897</v>
      </c>
      <c r="Y47" s="271">
        <v>16546</v>
      </c>
      <c r="Z47" s="271">
        <v>13721</v>
      </c>
      <c r="AA47" s="271">
        <v>14513</v>
      </c>
      <c r="AB47" s="271">
        <v>16207</v>
      </c>
      <c r="AC47" s="271">
        <v>15876</v>
      </c>
      <c r="AD47" s="271">
        <v>15157</v>
      </c>
      <c r="AE47" s="271">
        <v>15650</v>
      </c>
      <c r="AF47" s="271">
        <v>16249</v>
      </c>
      <c r="AG47" s="271">
        <v>15694</v>
      </c>
      <c r="AH47" s="271">
        <v>15626</v>
      </c>
      <c r="AI47" s="271">
        <v>15862</v>
      </c>
      <c r="AJ47" s="271">
        <v>15974</v>
      </c>
      <c r="AK47" s="271">
        <v>18869</v>
      </c>
      <c r="AL47" s="271">
        <v>15787</v>
      </c>
      <c r="AM47" s="271">
        <v>16447</v>
      </c>
      <c r="AN47" s="271">
        <v>17990</v>
      </c>
      <c r="AO47" s="271">
        <v>15278</v>
      </c>
      <c r="AP47" s="271">
        <v>15191</v>
      </c>
      <c r="AQ47" s="271">
        <v>16393</v>
      </c>
      <c r="AR47" s="271">
        <v>17053</v>
      </c>
      <c r="AS47" s="271">
        <v>16795</v>
      </c>
      <c r="AT47" s="271">
        <v>17253</v>
      </c>
      <c r="AU47" s="271">
        <v>17494</v>
      </c>
      <c r="AV47" s="271">
        <v>17582</v>
      </c>
      <c r="AW47" s="271">
        <v>21812</v>
      </c>
      <c r="AX47" s="337">
        <v>17533</v>
      </c>
      <c r="AY47" s="338">
        <v>18504</v>
      </c>
      <c r="AZ47" s="338">
        <v>20132</v>
      </c>
      <c r="BA47" s="338">
        <v>20422</v>
      </c>
      <c r="BB47" s="338">
        <v>19287</v>
      </c>
      <c r="BC47" s="338">
        <v>20455</v>
      </c>
      <c r="BD47" s="338">
        <v>20956</v>
      </c>
      <c r="BE47" s="338">
        <v>20358</v>
      </c>
      <c r="BF47" s="232">
        <f>BF51*BF52</f>
        <v>20413.563084738136</v>
      </c>
      <c r="BG47" s="232">
        <f>BG51*BG52</f>
        <v>20207.886203405371</v>
      </c>
      <c r="BH47" s="232">
        <f>BH51*BH52</f>
        <v>20774.806666821372</v>
      </c>
      <c r="BI47" s="232">
        <f>BI51*BI52</f>
        <v>26260.440506843039</v>
      </c>
    </row>
    <row r="48" spans="1:61" ht="15">
      <c r="A48" s="270" t="s">
        <v>276</v>
      </c>
      <c r="B48" s="247">
        <f t="shared" ref="B48:AW48" si="21">B47/B29</f>
        <v>1.5466045272969373</v>
      </c>
      <c r="C48" s="247">
        <f t="shared" si="21"/>
        <v>1.5835078112417458</v>
      </c>
      <c r="D48" s="247">
        <f t="shared" si="21"/>
        <v>1.6306279620853081</v>
      </c>
      <c r="E48" s="247">
        <f t="shared" si="21"/>
        <v>1.6200630725334135</v>
      </c>
      <c r="F48" s="247">
        <f t="shared" si="21"/>
        <v>1.5435672514619883</v>
      </c>
      <c r="G48" s="247">
        <f t="shared" si="21"/>
        <v>1.506929347826087</v>
      </c>
      <c r="H48" s="247">
        <f t="shared" si="21"/>
        <v>1.5549802425398556</v>
      </c>
      <c r="I48" s="247">
        <f t="shared" si="21"/>
        <v>1.5565082935057633</v>
      </c>
      <c r="J48" s="247">
        <f t="shared" si="21"/>
        <v>1.5539382396952794</v>
      </c>
      <c r="K48" s="247">
        <f t="shared" si="21"/>
        <v>1.5526636844245629</v>
      </c>
      <c r="L48" s="247">
        <f t="shared" si="21"/>
        <v>1.5567589249899718</v>
      </c>
      <c r="M48" s="247">
        <f t="shared" si="21"/>
        <v>1.5990657400022787</v>
      </c>
      <c r="N48" s="247">
        <f t="shared" si="21"/>
        <v>1.5130707893566337</v>
      </c>
      <c r="O48" s="247">
        <f t="shared" si="21"/>
        <v>1.5487675264685443</v>
      </c>
      <c r="P48" s="247">
        <f t="shared" si="21"/>
        <v>1.5972435975442438</v>
      </c>
      <c r="Q48" s="247">
        <f t="shared" si="21"/>
        <v>1.5506636604624398</v>
      </c>
      <c r="R48" s="247">
        <f t="shared" si="21"/>
        <v>1.5227943494082925</v>
      </c>
      <c r="S48" s="247">
        <f t="shared" si="21"/>
        <v>1.4826329671147129</v>
      </c>
      <c r="T48" s="247">
        <f t="shared" si="21"/>
        <v>1.508787081746686</v>
      </c>
      <c r="U48" s="247">
        <f t="shared" si="21"/>
        <v>1.5215076281457189</v>
      </c>
      <c r="V48" s="247">
        <f t="shared" si="21"/>
        <v>1.5056403450564035</v>
      </c>
      <c r="W48" s="247">
        <f t="shared" si="21"/>
        <v>1.5024951182469082</v>
      </c>
      <c r="X48" s="247">
        <f t="shared" si="21"/>
        <v>1.5169741294618491</v>
      </c>
      <c r="Y48" s="247">
        <f t="shared" si="21"/>
        <v>1.5649295375011822</v>
      </c>
      <c r="Z48" s="247">
        <f t="shared" si="21"/>
        <v>1.4876938089558711</v>
      </c>
      <c r="AA48" s="247">
        <f t="shared" si="21"/>
        <v>1.5391876126842718</v>
      </c>
      <c r="AB48" s="247">
        <f t="shared" si="21"/>
        <v>1.5831786656246947</v>
      </c>
      <c r="AC48" s="247">
        <f t="shared" si="21"/>
        <v>1.5460122699386503</v>
      </c>
      <c r="AD48" s="247">
        <f t="shared" si="21"/>
        <v>1.4803203437835726</v>
      </c>
      <c r="AE48" s="247">
        <f t="shared" si="21"/>
        <v>1.4513586200500788</v>
      </c>
      <c r="AF48" s="247">
        <f t="shared" si="21"/>
        <v>1.4810865007747698</v>
      </c>
      <c r="AG48" s="247">
        <f t="shared" si="21"/>
        <v>1.4894182404859069</v>
      </c>
      <c r="AH48" s="247">
        <f t="shared" si="21"/>
        <v>1.4621420671353955</v>
      </c>
      <c r="AI48" s="247">
        <f t="shared" si="21"/>
        <v>1.4786517440483848</v>
      </c>
      <c r="AJ48" s="247">
        <f t="shared" si="21"/>
        <v>1.4958133332833918</v>
      </c>
      <c r="AK48" s="247">
        <f t="shared" si="21"/>
        <v>1.5386170956186636</v>
      </c>
      <c r="AL48" s="247">
        <f t="shared" si="21"/>
        <v>1.4717069078027407</v>
      </c>
      <c r="AM48" s="247">
        <f t="shared" si="21"/>
        <v>1.5162717802157279</v>
      </c>
      <c r="AN48" s="247">
        <f t="shared" si="21"/>
        <v>1.5717281146251967</v>
      </c>
      <c r="AO48" s="247">
        <f t="shared" si="21"/>
        <v>1.4648130393096837</v>
      </c>
      <c r="AP48" s="247">
        <f t="shared" si="21"/>
        <v>1.4409979131094668</v>
      </c>
      <c r="AQ48" s="247">
        <f t="shared" si="21"/>
        <v>1.4157526556697471</v>
      </c>
      <c r="AR48" s="247">
        <f t="shared" si="21"/>
        <v>1.4446797695696374</v>
      </c>
      <c r="AS48" s="247">
        <f t="shared" si="21"/>
        <v>1.4673248296348069</v>
      </c>
      <c r="AT48" s="247">
        <f t="shared" si="21"/>
        <v>1.4391891891891893</v>
      </c>
      <c r="AU48" s="247">
        <f t="shared" si="21"/>
        <v>1.4369968785937244</v>
      </c>
      <c r="AV48" s="247">
        <f t="shared" si="21"/>
        <v>1.4667054729361433</v>
      </c>
      <c r="AW48" s="247">
        <f t="shared" si="21"/>
        <v>1.5383313350729952</v>
      </c>
      <c r="AX48" s="247">
        <f>AX47/AX29</f>
        <v>1.4211720839750344</v>
      </c>
      <c r="AY48" s="247">
        <f>AY47/AY29</f>
        <v>1.4745398039684436</v>
      </c>
      <c r="AZ48" s="247">
        <f t="shared" ref="AZ48:BI48" si="22">AZ47/AZ29</f>
        <v>1.4789891272406699</v>
      </c>
      <c r="BA48" s="247">
        <f t="shared" si="22"/>
        <v>1.5079376799822786</v>
      </c>
      <c r="BB48" s="247">
        <f t="shared" si="22"/>
        <v>1.42877250166679</v>
      </c>
      <c r="BC48" s="247">
        <f t="shared" si="22"/>
        <v>1.4291203800740586</v>
      </c>
      <c r="BD48" s="247">
        <f t="shared" si="22"/>
        <v>1.4608574416172881</v>
      </c>
      <c r="BE48" s="247">
        <f t="shared" si="22"/>
        <v>1.4544545259698507</v>
      </c>
      <c r="BF48" s="247">
        <f t="shared" si="22"/>
        <v>1.3972747031440726</v>
      </c>
      <c r="BG48" s="247">
        <f>BG47/BG29</f>
        <v>1.3692693176515975</v>
      </c>
      <c r="BH48" s="247">
        <f t="shared" si="22"/>
        <v>1.4369739764333218</v>
      </c>
      <c r="BI48" s="247">
        <f t="shared" si="22"/>
        <v>1.5433881389639044</v>
      </c>
    </row>
    <row r="49" spans="1:62" ht="15">
      <c r="A49" s="214" t="s">
        <v>217</v>
      </c>
      <c r="B49" s="219">
        <f t="shared" ref="B49:AV49" si="23">B47/B$37</f>
        <v>342.23906382367778</v>
      </c>
      <c r="C49" s="219">
        <f t="shared" si="23"/>
        <v>363.77398543210023</v>
      </c>
      <c r="D49" s="219">
        <f t="shared" si="23"/>
        <v>407.75418211014278</v>
      </c>
      <c r="E49" s="219">
        <f t="shared" si="23"/>
        <v>401.68557364693294</v>
      </c>
      <c r="F49" s="219">
        <f t="shared" si="23"/>
        <v>399.56564739077169</v>
      </c>
      <c r="G49" s="219">
        <f t="shared" si="23"/>
        <v>424.79835499508533</v>
      </c>
      <c r="H49" s="219">
        <f t="shared" si="23"/>
        <v>439.44169881921152</v>
      </c>
      <c r="I49" s="219">
        <f t="shared" si="23"/>
        <v>431.94393454480064</v>
      </c>
      <c r="J49" s="219">
        <f t="shared" si="23"/>
        <v>437.5185530292041</v>
      </c>
      <c r="K49" s="219">
        <f t="shared" si="23"/>
        <v>429.71336866712852</v>
      </c>
      <c r="L49" s="219">
        <f t="shared" si="23"/>
        <v>435.9812868378927</v>
      </c>
      <c r="M49" s="219">
        <f t="shared" si="23"/>
        <v>510.05745470707717</v>
      </c>
      <c r="N49" s="219">
        <f t="shared" si="23"/>
        <v>410.34905936569839</v>
      </c>
      <c r="O49" s="219">
        <f t="shared" si="23"/>
        <v>446.21022267867278</v>
      </c>
      <c r="P49" s="219">
        <f t="shared" si="23"/>
        <v>508.25313918486643</v>
      </c>
      <c r="Q49" s="219">
        <f t="shared" si="23"/>
        <v>502.834445906273</v>
      </c>
      <c r="R49" s="219">
        <f t="shared" si="23"/>
        <v>507.46289422313203</v>
      </c>
      <c r="S49" s="219">
        <f t="shared" si="23"/>
        <v>517.24722641742869</v>
      </c>
      <c r="T49" s="219">
        <f t="shared" si="23"/>
        <v>524.07728269733775</v>
      </c>
      <c r="U49" s="219">
        <f t="shared" si="23"/>
        <v>497.012448452282</v>
      </c>
      <c r="V49" s="219">
        <f t="shared" si="23"/>
        <v>482.91549970906283</v>
      </c>
      <c r="W49" s="219">
        <f t="shared" si="23"/>
        <v>492.4027338736513</v>
      </c>
      <c r="X49" s="219">
        <f t="shared" si="23"/>
        <v>497.50303143796248</v>
      </c>
      <c r="Y49" s="219">
        <f t="shared" si="23"/>
        <v>595.41248013699476</v>
      </c>
      <c r="Z49" s="219">
        <f t="shared" si="23"/>
        <v>492.15947028561652</v>
      </c>
      <c r="AA49" s="219">
        <f t="shared" si="23"/>
        <v>516.02980536771759</v>
      </c>
      <c r="AB49" s="219">
        <f t="shared" si="23"/>
        <v>603.30854643666055</v>
      </c>
      <c r="AC49" s="219">
        <f t="shared" si="23"/>
        <v>592.13407616247366</v>
      </c>
      <c r="AD49" s="219">
        <f t="shared" si="23"/>
        <v>574.58916199889416</v>
      </c>
      <c r="AE49" s="219">
        <f t="shared" si="23"/>
        <v>590.56357222579095</v>
      </c>
      <c r="AF49" s="219">
        <f t="shared" si="23"/>
        <v>630.99591286530438</v>
      </c>
      <c r="AG49" s="219">
        <f t="shared" si="23"/>
        <v>621.61866585389305</v>
      </c>
      <c r="AH49" s="219">
        <f t="shared" si="23"/>
        <v>630.85078763324941</v>
      </c>
      <c r="AI49" s="219">
        <f t="shared" si="23"/>
        <v>639.38519657546942</v>
      </c>
      <c r="AJ49" s="219">
        <f t="shared" si="23"/>
        <v>655.54479470669253</v>
      </c>
      <c r="AK49" s="219">
        <f t="shared" si="23"/>
        <v>799.21437750948166</v>
      </c>
      <c r="AL49" s="219">
        <f t="shared" si="23"/>
        <v>654.536666381793</v>
      </c>
      <c r="AM49" s="219">
        <f t="shared" si="23"/>
        <v>668.67171588023621</v>
      </c>
      <c r="AN49" s="219">
        <f t="shared" si="23"/>
        <v>681.1222193575303</v>
      </c>
      <c r="AO49" s="219">
        <f t="shared" si="23"/>
        <v>561.18253602494622</v>
      </c>
      <c r="AP49" s="219">
        <f t="shared" si="23"/>
        <v>566.52545665882565</v>
      </c>
      <c r="AQ49" s="219">
        <f t="shared" si="23"/>
        <v>613.80122295952822</v>
      </c>
      <c r="AR49" s="219">
        <f t="shared" si="23"/>
        <v>624.35838988635862</v>
      </c>
      <c r="AS49" s="219">
        <f t="shared" si="23"/>
        <v>610.25195624756793</v>
      </c>
      <c r="AT49" s="219">
        <f t="shared" si="23"/>
        <v>616.98116108895488</v>
      </c>
      <c r="AU49" s="219">
        <f t="shared" si="23"/>
        <v>622.56227758007117</v>
      </c>
      <c r="AV49" s="219">
        <f t="shared" si="23"/>
        <v>625.6939501779359</v>
      </c>
      <c r="AW49" s="219">
        <f>AW47/AW$37</f>
        <v>773.47517730496452</v>
      </c>
      <c r="AX49" s="219">
        <f>AX47/AX$37</f>
        <v>621.30199497515491</v>
      </c>
      <c r="AY49" s="219">
        <f t="shared" ref="AY49:BD49" si="24">AY47/AY$37</f>
        <v>663.59064539451765</v>
      </c>
      <c r="AZ49" s="219">
        <f t="shared" si="24"/>
        <v>724.28839001079734</v>
      </c>
      <c r="BA49" s="219">
        <f t="shared" si="24"/>
        <v>731.18510562119582</v>
      </c>
      <c r="BB49" s="219">
        <f t="shared" si="24"/>
        <v>698.80434782608688</v>
      </c>
      <c r="BC49" s="219">
        <f t="shared" si="24"/>
        <v>750.92125979048888</v>
      </c>
      <c r="BD49" s="219">
        <f t="shared" si="24"/>
        <v>770.02931306902894</v>
      </c>
      <c r="BE49" s="232">
        <f>BE54*BE55</f>
        <v>754.25405595630957</v>
      </c>
      <c r="BF49" s="232">
        <f>BF54*BF55</f>
        <v>758.69156174107275</v>
      </c>
      <c r="BG49" s="232">
        <f>BG54*BG55</f>
        <v>760.07640778631753</v>
      </c>
      <c r="BH49" s="232">
        <f>BH54*BH55</f>
        <v>779.61789825852122</v>
      </c>
      <c r="BI49" s="232">
        <f>BI54*BI55</f>
        <v>959.12771863926582</v>
      </c>
    </row>
    <row r="50" spans="1:62" ht="15">
      <c r="A50" s="214"/>
    </row>
    <row r="51" spans="1:62" ht="15">
      <c r="A51" s="214" t="s">
        <v>277</v>
      </c>
      <c r="B51" s="232">
        <f t="shared" ref="B51:AW51" si="25">1.3636*B$29+1395.8</f>
        <v>9588.3087999999989</v>
      </c>
      <c r="C51" s="232">
        <f t="shared" si="25"/>
        <v>9862.3923999999988</v>
      </c>
      <c r="D51" s="232">
        <f t="shared" si="25"/>
        <v>10602.827199999998</v>
      </c>
      <c r="E51" s="232">
        <f t="shared" si="25"/>
        <v>10476.0124</v>
      </c>
      <c r="F51" s="232">
        <f t="shared" si="25"/>
        <v>10722.823999999999</v>
      </c>
      <c r="G51" s="232">
        <f t="shared" si="25"/>
        <v>11431.895999999999</v>
      </c>
      <c r="H51" s="232">
        <f t="shared" si="25"/>
        <v>11403.260399999999</v>
      </c>
      <c r="I51" s="232">
        <f t="shared" si="25"/>
        <v>11096.450399999998</v>
      </c>
      <c r="J51" s="232">
        <f t="shared" si="25"/>
        <v>11419.623599999999</v>
      </c>
      <c r="K51" s="232">
        <f t="shared" si="25"/>
        <v>11455.077199999998</v>
      </c>
      <c r="L51" s="232">
        <f t="shared" si="25"/>
        <v>11594.164399999998</v>
      </c>
      <c r="M51" s="232">
        <f t="shared" si="25"/>
        <v>13364.117199999999</v>
      </c>
      <c r="N51" s="232">
        <f t="shared" si="25"/>
        <v>11911.160491999999</v>
      </c>
      <c r="O51" s="232">
        <f t="shared" si="25"/>
        <v>12070.278975999998</v>
      </c>
      <c r="P51" s="232">
        <f t="shared" si="25"/>
        <v>12825.413383999999</v>
      </c>
      <c r="Q51" s="232">
        <f t="shared" si="25"/>
        <v>12959.455263999998</v>
      </c>
      <c r="R51" s="232">
        <f t="shared" si="25"/>
        <v>13292.869099999998</v>
      </c>
      <c r="S51" s="232">
        <f t="shared" si="25"/>
        <v>13860.699411999998</v>
      </c>
      <c r="T51" s="232">
        <f t="shared" si="25"/>
        <v>13900.393807999999</v>
      </c>
      <c r="U51" s="232">
        <f t="shared" si="25"/>
        <v>13637.219008</v>
      </c>
      <c r="V51" s="232">
        <f t="shared" si="25"/>
        <v>13725.471199999998</v>
      </c>
      <c r="W51" s="232">
        <f t="shared" si="25"/>
        <v>13965.464799999998</v>
      </c>
      <c r="X51" s="232">
        <f t="shared" si="25"/>
        <v>13887.739599999999</v>
      </c>
      <c r="Y51" s="232">
        <f t="shared" si="25"/>
        <v>15813.142799999998</v>
      </c>
      <c r="Z51" s="232">
        <f t="shared" si="25"/>
        <v>13972.282799999999</v>
      </c>
      <c r="AA51" s="232">
        <f t="shared" si="25"/>
        <v>14253.184399999998</v>
      </c>
      <c r="AB51" s="232">
        <f t="shared" si="25"/>
        <v>15354.973199999999</v>
      </c>
      <c r="AC51" s="232">
        <f t="shared" si="25"/>
        <v>15398.608399999999</v>
      </c>
      <c r="AD51" s="232">
        <f t="shared" si="25"/>
        <v>15357.700399999998</v>
      </c>
      <c r="AE51" s="232">
        <f t="shared" si="25"/>
        <v>16099.498799999998</v>
      </c>
      <c r="AF51" s="232">
        <f t="shared" si="25"/>
        <v>16355.855599999999</v>
      </c>
      <c r="AG51" s="232">
        <f t="shared" si="25"/>
        <v>15764.053199999998</v>
      </c>
      <c r="AH51" s="232">
        <f t="shared" si="25"/>
        <v>15968.675015999997</v>
      </c>
      <c r="AI51" s="232">
        <f t="shared" si="25"/>
        <v>16023.600823999999</v>
      </c>
      <c r="AJ51" s="232">
        <f t="shared" si="25"/>
        <v>15957.875303999997</v>
      </c>
      <c r="AK51" s="232">
        <f t="shared" si="25"/>
        <v>18118.458596</v>
      </c>
      <c r="AL51" s="232">
        <f t="shared" si="25"/>
        <v>16023.137199999999</v>
      </c>
      <c r="AM51" s="232">
        <f t="shared" si="25"/>
        <v>16186.769199999999</v>
      </c>
      <c r="AN51" s="232">
        <f t="shared" si="25"/>
        <v>17003.565599999998</v>
      </c>
      <c r="AO51" s="232">
        <f t="shared" si="25"/>
        <v>15618.147999999999</v>
      </c>
      <c r="AP51" s="232">
        <f t="shared" si="25"/>
        <v>15770.871199999998</v>
      </c>
      <c r="AQ51" s="232">
        <f t="shared" si="25"/>
        <v>17184.9244</v>
      </c>
      <c r="AR51" s="232">
        <f t="shared" si="25"/>
        <v>17491.734399999998</v>
      </c>
      <c r="AS51" s="232">
        <f t="shared" si="25"/>
        <v>17003.565599999998</v>
      </c>
      <c r="AT51" s="232">
        <f t="shared" si="25"/>
        <v>17742.6368</v>
      </c>
      <c r="AU51" s="232">
        <f t="shared" si="25"/>
        <v>17996.266399999997</v>
      </c>
      <c r="AV51" s="232">
        <f t="shared" si="25"/>
        <v>17741.83241236</v>
      </c>
      <c r="AW51" s="232">
        <f t="shared" si="25"/>
        <v>20730.284399999997</v>
      </c>
      <c r="AX51" s="232">
        <f>1.3636*AX$29+1395.8</f>
        <v>18218.533199999998</v>
      </c>
      <c r="AY51" s="232">
        <f>1.3636*O$110+1395.8</f>
        <v>18507.616399999999</v>
      </c>
      <c r="AZ51" s="232">
        <f t="shared" ref="AZ51:BH51" si="26">1.3636*P$110+1395.8</f>
        <v>19957.123199999998</v>
      </c>
      <c r="BA51" s="232">
        <f t="shared" si="26"/>
        <v>19863.034799999998</v>
      </c>
      <c r="BB51" s="232">
        <f t="shared" si="26"/>
        <v>19803.036399999997</v>
      </c>
      <c r="BC51" s="232">
        <f t="shared" si="26"/>
        <v>20913.006799999999</v>
      </c>
      <c r="BD51" s="232">
        <f t="shared" si="26"/>
        <v>20956.642</v>
      </c>
      <c r="BE51" s="232">
        <f t="shared" si="26"/>
        <v>20482.109199999999</v>
      </c>
      <c r="BF51" s="232">
        <f t="shared" si="26"/>
        <v>20812.100399999999</v>
      </c>
      <c r="BG51" s="232">
        <f t="shared" si="26"/>
        <v>20547.561999999998</v>
      </c>
      <c r="BH51" s="232">
        <f t="shared" si="26"/>
        <v>20895.49827498685</v>
      </c>
      <c r="BI51" s="232">
        <f>1.3636*Y$110+1395.8</f>
        <v>25194.710799999997</v>
      </c>
    </row>
    <row r="52" spans="1:62" ht="15">
      <c r="A52" s="214" t="s">
        <v>278</v>
      </c>
      <c r="B52" s="247">
        <f>B47/B51</f>
        <v>0.96909686513225368</v>
      </c>
      <c r="C52" s="247">
        <f t="shared" ref="C52:AW52" si="27">C47/C51</f>
        <v>0.99691835421190511</v>
      </c>
      <c r="D52" s="247">
        <f t="shared" si="27"/>
        <v>1.0384022857601605</v>
      </c>
      <c r="E52" s="247">
        <f t="shared" si="27"/>
        <v>1.0297811407707003</v>
      </c>
      <c r="F52" s="247">
        <f t="shared" si="27"/>
        <v>0.98462867617709671</v>
      </c>
      <c r="G52" s="247">
        <f t="shared" si="27"/>
        <v>0.97018027455813116</v>
      </c>
      <c r="H52" s="247">
        <f t="shared" si="27"/>
        <v>1.0007664123850053</v>
      </c>
      <c r="I52" s="247">
        <f t="shared" si="27"/>
        <v>0.99788667554446076</v>
      </c>
      <c r="J52" s="247">
        <f t="shared" si="27"/>
        <v>1.0002956664876417</v>
      </c>
      <c r="K52" s="247">
        <f t="shared" si="27"/>
        <v>0.99990596309556101</v>
      </c>
      <c r="L52" s="247">
        <f t="shared" si="27"/>
        <v>1.0042120844862268</v>
      </c>
      <c r="M52" s="247">
        <f t="shared" si="27"/>
        <v>1.0502003080308215</v>
      </c>
      <c r="N52" s="247">
        <f t="shared" si="27"/>
        <v>0.97958549108935988</v>
      </c>
      <c r="O52" s="247">
        <f t="shared" si="27"/>
        <v>1.0044506861943141</v>
      </c>
      <c r="P52" s="247">
        <f t="shared" si="27"/>
        <v>1.0438649889212803</v>
      </c>
      <c r="Q52" s="247">
        <f t="shared" si="27"/>
        <v>1.0147031439299239</v>
      </c>
      <c r="R52" s="247">
        <f t="shared" si="27"/>
        <v>0.99948324925579846</v>
      </c>
      <c r="S52" s="247">
        <f t="shared" si="27"/>
        <v>0.97780058546442428</v>
      </c>
      <c r="T52" s="247">
        <f t="shared" si="27"/>
        <v>0.99536748318864621</v>
      </c>
      <c r="U52" s="247">
        <f t="shared" si="27"/>
        <v>1.0015971725604189</v>
      </c>
      <c r="V52" s="247">
        <f t="shared" si="27"/>
        <v>0.99187851561700857</v>
      </c>
      <c r="W52" s="247">
        <f t="shared" si="27"/>
        <v>0.99173211907705372</v>
      </c>
      <c r="X52" s="247">
        <f t="shared" si="27"/>
        <v>1.0006668039772291</v>
      </c>
      <c r="Y52" s="247">
        <f t="shared" si="27"/>
        <v>1.0463448164143565</v>
      </c>
      <c r="Z52" s="247">
        <f t="shared" si="27"/>
        <v>0.98201562310204604</v>
      </c>
      <c r="AA52" s="247">
        <f t="shared" si="27"/>
        <v>1.0182286001996861</v>
      </c>
      <c r="AB52" s="247">
        <f t="shared" si="27"/>
        <v>1.0554886543208035</v>
      </c>
      <c r="AC52" s="247">
        <f t="shared" si="27"/>
        <v>1.0310022560220442</v>
      </c>
      <c r="AD52" s="247">
        <f t="shared" si="27"/>
        <v>0.98693161119356143</v>
      </c>
      <c r="AE52" s="247">
        <f t="shared" si="27"/>
        <v>0.97207995071250308</v>
      </c>
      <c r="AF52" s="247">
        <f t="shared" si="27"/>
        <v>0.99346682909086093</v>
      </c>
      <c r="AG52" s="247">
        <f t="shared" si="27"/>
        <v>0.99555614288335448</v>
      </c>
      <c r="AH52" s="247">
        <f t="shared" si="27"/>
        <v>0.97854079842838237</v>
      </c>
      <c r="AI52" s="247">
        <f t="shared" si="27"/>
        <v>0.98991482465302338</v>
      </c>
      <c r="AJ52" s="247">
        <f t="shared" si="27"/>
        <v>1.0010104538162397</v>
      </c>
      <c r="AK52" s="247">
        <f t="shared" si="27"/>
        <v>1.0414241310883749</v>
      </c>
      <c r="AL52" s="247">
        <f t="shared" si="27"/>
        <v>0.98526273618876592</v>
      </c>
      <c r="AM52" s="247">
        <f t="shared" si="27"/>
        <v>1.0160767597773619</v>
      </c>
      <c r="AN52" s="247">
        <f t="shared" si="27"/>
        <v>1.0580133851455251</v>
      </c>
      <c r="AO52" s="247">
        <f t="shared" si="27"/>
        <v>0.97822097728872848</v>
      </c>
      <c r="AP52" s="215">
        <f t="shared" si="27"/>
        <v>0.96323150492789533</v>
      </c>
      <c r="AQ52" s="215">
        <f t="shared" si="27"/>
        <v>0.9539174929393347</v>
      </c>
      <c r="AR52" s="215">
        <f t="shared" si="27"/>
        <v>0.97491761594550641</v>
      </c>
      <c r="AS52" s="215">
        <f t="shared" si="27"/>
        <v>0.98773400797771505</v>
      </c>
      <c r="AT52" s="215">
        <f t="shared" si="27"/>
        <v>0.97240338031379869</v>
      </c>
      <c r="AU52" s="215">
        <f t="shared" si="27"/>
        <v>0.97209052206517699</v>
      </c>
      <c r="AV52" s="215">
        <f t="shared" si="27"/>
        <v>0.99099121169419624</v>
      </c>
      <c r="AW52" s="215">
        <f t="shared" si="27"/>
        <v>1.0521804515137285</v>
      </c>
      <c r="AX52" s="215">
        <f>AX47/AX51</f>
        <v>0.96237165788956058</v>
      </c>
      <c r="AY52" s="215">
        <f t="shared" ref="AY52:BD52" si="28">AY47/AY51</f>
        <v>0.99980459936483235</v>
      </c>
      <c r="AZ52" s="215">
        <f t="shared" si="28"/>
        <v>1.0087626256674109</v>
      </c>
      <c r="BA52" s="215">
        <f t="shared" si="28"/>
        <v>1.0281409767252687</v>
      </c>
      <c r="BB52" s="215">
        <f t="shared" si="28"/>
        <v>0.97394155171072672</v>
      </c>
      <c r="BC52" s="215">
        <f t="shared" si="28"/>
        <v>0.97809942853363396</v>
      </c>
      <c r="BD52" s="215">
        <f t="shared" si="28"/>
        <v>0.99996936532102809</v>
      </c>
      <c r="BE52" s="174">
        <f>BE$64</f>
        <v>0.9907150322427799</v>
      </c>
      <c r="BF52" s="174">
        <f>BF$64</f>
        <v>0.98085069226064925</v>
      </c>
      <c r="BG52" s="174">
        <f>BG$64</f>
        <v>0.98346880293659034</v>
      </c>
      <c r="BH52" s="174">
        <f>BH$64</f>
        <v>0.99422403780100554</v>
      </c>
      <c r="BI52" s="174">
        <f>BI$64</f>
        <v>1.0422997396280111</v>
      </c>
    </row>
    <row r="53" spans="1:62" ht="15">
      <c r="A53" s="214"/>
    </row>
    <row r="54" spans="1:62" ht="15">
      <c r="A54" s="214" t="s">
        <v>279</v>
      </c>
      <c r="B54" s="232">
        <f t="shared" ref="B54:AW54" si="29">1.3791*B$41+46.852</f>
        <v>352.02496735458004</v>
      </c>
      <c r="C54" s="232">
        <f t="shared" si="29"/>
        <v>363.66805846705887</v>
      </c>
      <c r="D54" s="232">
        <f t="shared" si="29"/>
        <v>391.70919957173089</v>
      </c>
      <c r="E54" s="232">
        <f t="shared" si="29"/>
        <v>388.79212813970844</v>
      </c>
      <c r="F54" s="232">
        <f t="shared" si="29"/>
        <v>403.84388603197897</v>
      </c>
      <c r="G54" s="232">
        <f t="shared" si="29"/>
        <v>435.61568836990307</v>
      </c>
      <c r="H54" s="232">
        <f t="shared" si="29"/>
        <v>436.58945791888505</v>
      </c>
      <c r="I54" s="232">
        <f t="shared" si="29"/>
        <v>429.56366470243341</v>
      </c>
      <c r="J54" s="232">
        <f t="shared" si="29"/>
        <v>435.14403186408219</v>
      </c>
      <c r="K54" s="232">
        <f t="shared" si="29"/>
        <v>428.53008822582763</v>
      </c>
      <c r="L54" s="232">
        <f t="shared" si="29"/>
        <v>433.078655281267</v>
      </c>
      <c r="M54" s="232">
        <f t="shared" si="29"/>
        <v>486.74650726742959</v>
      </c>
      <c r="N54" s="232">
        <f t="shared" si="29"/>
        <v>420.86780398750795</v>
      </c>
      <c r="O54" s="232">
        <f t="shared" si="29"/>
        <v>444.17988012368988</v>
      </c>
      <c r="P54" s="232">
        <f t="shared" si="29"/>
        <v>485.69044976904559</v>
      </c>
      <c r="Q54" s="232">
        <f t="shared" si="29"/>
        <v>494.05341577480272</v>
      </c>
      <c r="R54" s="232">
        <f t="shared" si="29"/>
        <v>506.42953763340194</v>
      </c>
      <c r="S54" s="232">
        <f t="shared" si="29"/>
        <v>527.97960593774405</v>
      </c>
      <c r="T54" s="232">
        <f t="shared" si="29"/>
        <v>525.88246712938633</v>
      </c>
      <c r="U54" s="232">
        <f t="shared" si="29"/>
        <v>497.34587527283338</v>
      </c>
      <c r="V54" s="232">
        <f t="shared" si="29"/>
        <v>489.18125069752944</v>
      </c>
      <c r="W54" s="232">
        <f t="shared" si="29"/>
        <v>498.8152723183058</v>
      </c>
      <c r="X54" s="232">
        <f t="shared" si="29"/>
        <v>499.13817768154837</v>
      </c>
      <c r="Y54" s="232">
        <f t="shared" si="29"/>
        <v>571.56147201116971</v>
      </c>
      <c r="Z54" s="232">
        <f t="shared" si="29"/>
        <v>503.08642228832105</v>
      </c>
      <c r="AA54" s="232">
        <f t="shared" si="29"/>
        <v>509.21064862602611</v>
      </c>
      <c r="AB54" s="232">
        <f t="shared" si="29"/>
        <v>572.39143181295765</v>
      </c>
      <c r="AC54" s="232">
        <f t="shared" si="29"/>
        <v>575.05744850402289</v>
      </c>
      <c r="AD54" s="232">
        <f t="shared" si="29"/>
        <v>582.15229269700319</v>
      </c>
      <c r="AE54" s="232">
        <f t="shared" si="29"/>
        <v>608.01325346641477</v>
      </c>
      <c r="AF54" s="232">
        <f t="shared" si="29"/>
        <v>634.39800962018649</v>
      </c>
      <c r="AG54" s="232">
        <f t="shared" si="29"/>
        <v>622.42861023368914</v>
      </c>
      <c r="AH54" s="232">
        <f t="shared" si="29"/>
        <v>641.87374294835536</v>
      </c>
      <c r="AI54" s="232">
        <f t="shared" si="29"/>
        <v>643.18993294898792</v>
      </c>
      <c r="AJ54" s="232">
        <f t="shared" si="29"/>
        <v>651.2468173636978</v>
      </c>
      <c r="AK54" s="232">
        <f t="shared" si="29"/>
        <v>763.20732398666291</v>
      </c>
      <c r="AL54" s="232">
        <f t="shared" si="29"/>
        <v>660.20205755651432</v>
      </c>
      <c r="AM54" s="232">
        <f t="shared" si="29"/>
        <v>655.03133526351894</v>
      </c>
      <c r="AN54" s="232">
        <f t="shared" si="29"/>
        <v>644.49712957126133</v>
      </c>
      <c r="AO54" s="232">
        <f t="shared" si="29"/>
        <v>575.19712983085446</v>
      </c>
      <c r="AP54" s="232">
        <f t="shared" si="29"/>
        <v>589.04241552410247</v>
      </c>
      <c r="AQ54" s="232">
        <f t="shared" si="29"/>
        <v>644.76242114135164</v>
      </c>
      <c r="AR54" s="232">
        <f t="shared" si="29"/>
        <v>642.86827546067207</v>
      </c>
      <c r="AS54" s="232">
        <f t="shared" si="29"/>
        <v>620.41175709242293</v>
      </c>
      <c r="AT54" s="232">
        <f t="shared" si="29"/>
        <v>638.07289413216472</v>
      </c>
      <c r="AU54" s="232">
        <f>1.3791*AU$41+46.852</f>
        <v>644.33112455516016</v>
      </c>
      <c r="AV54" s="232">
        <f t="shared" si="29"/>
        <v>635.1736109932383</v>
      </c>
      <c r="AW54" s="232">
        <f t="shared" si="29"/>
        <v>740.26543617021275</v>
      </c>
      <c r="AX54" s="232">
        <f>1.3791*AX$41+46.852</f>
        <v>649.76109942000232</v>
      </c>
      <c r="AY54" s="232">
        <f>1.3791*O$111+46.852</f>
        <v>667.49164404392866</v>
      </c>
      <c r="AZ54" s="232">
        <f t="shared" ref="AZ54:BH54" si="30">1.3791*P$111+46.852</f>
        <v>722.22283286573008</v>
      </c>
      <c r="BA54" s="232">
        <f t="shared" si="30"/>
        <v>715.5649001074114</v>
      </c>
      <c r="BB54" s="232">
        <f t="shared" si="30"/>
        <v>721.36181521739127</v>
      </c>
      <c r="BC54" s="232">
        <f t="shared" si="30"/>
        <v>771.49040262595474</v>
      </c>
      <c r="BD54" s="232">
        <f t="shared" si="30"/>
        <v>773.78633007250551</v>
      </c>
      <c r="BE54" s="232">
        <f t="shared" si="30"/>
        <v>768.19963452914794</v>
      </c>
      <c r="BF54" s="232">
        <f t="shared" si="30"/>
        <v>781.49490684624016</v>
      </c>
      <c r="BG54" s="232">
        <f t="shared" si="30"/>
        <v>781.37833674630258</v>
      </c>
      <c r="BH54" s="232">
        <f t="shared" si="30"/>
        <v>792.46072423864018</v>
      </c>
      <c r="BI54" s="232">
        <f>1.3791*Y$111+46.852</f>
        <v>931.43238588754127</v>
      </c>
    </row>
    <row r="55" spans="1:62" ht="15">
      <c r="A55" s="214" t="s">
        <v>278</v>
      </c>
      <c r="B55" s="215">
        <f t="shared" ref="B55:AW55" si="31">B49/B54</f>
        <v>0.97220110947117755</v>
      </c>
      <c r="C55" s="215">
        <f t="shared" si="31"/>
        <v>1.0002912737662137</v>
      </c>
      <c r="D55" s="215">
        <f t="shared" si="31"/>
        <v>1.0409614646680609</v>
      </c>
      <c r="E55" s="215">
        <f t="shared" si="31"/>
        <v>1.0331628255153134</v>
      </c>
      <c r="F55" s="215">
        <f t="shared" si="31"/>
        <v>0.98940620673190405</v>
      </c>
      <c r="G55" s="215">
        <f t="shared" si="31"/>
        <v>0.97516771396526891</v>
      </c>
      <c r="H55" s="215">
        <f t="shared" si="31"/>
        <v>1.0065330045162391</v>
      </c>
      <c r="I55" s="215">
        <f t="shared" si="31"/>
        <v>1.0055411340342673</v>
      </c>
      <c r="J55" s="215">
        <f t="shared" si="31"/>
        <v>1.0054568625357214</v>
      </c>
      <c r="K55" s="215">
        <f t="shared" si="31"/>
        <v>1.0027612540491611</v>
      </c>
      <c r="L55" s="215">
        <f t="shared" si="31"/>
        <v>1.0067023195930553</v>
      </c>
      <c r="M55" s="215">
        <f t="shared" si="31"/>
        <v>1.0478913502030329</v>
      </c>
      <c r="N55" s="215">
        <f t="shared" si="31"/>
        <v>0.97500701046231186</v>
      </c>
      <c r="O55" s="215">
        <f t="shared" si="31"/>
        <v>1.0045709917216816</v>
      </c>
      <c r="P55" s="215">
        <f t="shared" si="31"/>
        <v>1.046454875582894</v>
      </c>
      <c r="Q55" s="215">
        <f t="shared" si="31"/>
        <v>1.01777344281225</v>
      </c>
      <c r="R55" s="215">
        <f t="shared" si="31"/>
        <v>1.0020404745634686</v>
      </c>
      <c r="S55" s="215">
        <f t="shared" si="31"/>
        <v>0.97967273849289394</v>
      </c>
      <c r="T55" s="215">
        <f t="shared" si="31"/>
        <v>0.99656732341372312</v>
      </c>
      <c r="U55" s="215">
        <f t="shared" si="31"/>
        <v>0.99932958764286828</v>
      </c>
      <c r="V55" s="215">
        <f t="shared" si="31"/>
        <v>0.98719135089594667</v>
      </c>
      <c r="W55" s="215">
        <f t="shared" si="31"/>
        <v>0.98714446248838483</v>
      </c>
      <c r="X55" s="215">
        <f t="shared" si="31"/>
        <v>0.99672406095806776</v>
      </c>
      <c r="Y55" s="215">
        <f t="shared" si="31"/>
        <v>1.0417295589254816</v>
      </c>
      <c r="Z55" s="215">
        <f t="shared" si="31"/>
        <v>0.97828016913475302</v>
      </c>
      <c r="AA55" s="215">
        <f t="shared" si="31"/>
        <v>1.0133916224259867</v>
      </c>
      <c r="AB55" s="215">
        <f t="shared" si="31"/>
        <v>1.054013936801566</v>
      </c>
      <c r="AC55" s="215">
        <f t="shared" si="31"/>
        <v>1.0296955159921406</v>
      </c>
      <c r="AD55" s="215">
        <f t="shared" si="31"/>
        <v>0.98700832961926432</v>
      </c>
      <c r="AE55" s="215">
        <f t="shared" si="31"/>
        <v>0.97130049198575952</v>
      </c>
      <c r="AF55" s="215">
        <f t="shared" si="31"/>
        <v>0.9946372833721232</v>
      </c>
      <c r="AG55" s="215">
        <f t="shared" si="31"/>
        <v>0.99869873529834685</v>
      </c>
      <c r="AH55" s="215">
        <f t="shared" si="31"/>
        <v>0.98282691037574843</v>
      </c>
      <c r="AI55" s="215">
        <f t="shared" si="31"/>
        <v>0.99408458345099715</v>
      </c>
      <c r="AJ55" s="215">
        <f t="shared" si="31"/>
        <v>1.0065996135848976</v>
      </c>
      <c r="AK55" s="215">
        <f t="shared" si="31"/>
        <v>1.0471786006123913</v>
      </c>
      <c r="AL55" s="215">
        <f t="shared" si="31"/>
        <v>0.99141870112357788</v>
      </c>
      <c r="AM55" s="215">
        <f t="shared" si="31"/>
        <v>1.0208240123523704</v>
      </c>
      <c r="AN55" s="215">
        <f t="shared" si="31"/>
        <v>1.0568273900779559</v>
      </c>
      <c r="AO55" s="215">
        <f t="shared" si="31"/>
        <v>0.97563514649311711</v>
      </c>
      <c r="AP55" s="215">
        <f t="shared" si="31"/>
        <v>0.96177362058852367</v>
      </c>
      <c r="AQ55" s="215">
        <f t="shared" si="31"/>
        <v>0.95198045486736615</v>
      </c>
      <c r="AR55" s="215">
        <f t="shared" si="31"/>
        <v>0.97120734327565084</v>
      </c>
      <c r="AS55" s="215">
        <f t="shared" si="31"/>
        <v>0.98362410007755308</v>
      </c>
      <c r="AT55" s="215">
        <f t="shared" si="31"/>
        <v>0.96694463401098329</v>
      </c>
      <c r="AU55" s="215">
        <f t="shared" si="31"/>
        <v>0.96621481386590169</v>
      </c>
      <c r="AV55" s="215">
        <f t="shared" si="31"/>
        <v>0.98507548070128603</v>
      </c>
      <c r="AW55" s="215">
        <f t="shared" si="31"/>
        <v>1.0448619366947125</v>
      </c>
      <c r="AX55" s="215">
        <f>AX49/AX54</f>
        <v>0.95620066441304208</v>
      </c>
      <c r="AY55" s="215">
        <f t="shared" ref="AY55:BD55" si="32">AY49/AY54</f>
        <v>0.99415573410660663</v>
      </c>
      <c r="AZ55" s="215">
        <f t="shared" si="32"/>
        <v>1.0028599997827143</v>
      </c>
      <c r="BA55" s="215">
        <f t="shared" si="32"/>
        <v>1.0218291946844231</v>
      </c>
      <c r="BB55" s="215">
        <f t="shared" si="32"/>
        <v>0.96872932983775084</v>
      </c>
      <c r="BC55" s="215">
        <f t="shared" si="32"/>
        <v>0.97333843329035097</v>
      </c>
      <c r="BD55" s="215">
        <f t="shared" si="32"/>
        <v>0.99514463249418672</v>
      </c>
      <c r="BE55" s="174">
        <f>BE$72</f>
        <v>0.98184641342430989</v>
      </c>
      <c r="BF55" s="174">
        <f>BF$72</f>
        <v>0.970820865362781</v>
      </c>
      <c r="BG55" s="174">
        <f>BG$72</f>
        <v>0.9727380092866571</v>
      </c>
      <c r="BH55" s="174">
        <f>BH$72</f>
        <v>0.98379373817868676</v>
      </c>
      <c r="BI55" s="174">
        <f>BI$72</f>
        <v>1.0297341311847712</v>
      </c>
    </row>
    <row r="56" spans="1:62" ht="15">
      <c r="A56" s="214"/>
    </row>
    <row r="57" spans="1:62" ht="18">
      <c r="A57" s="237" t="s">
        <v>241</v>
      </c>
      <c r="B57" s="213">
        <v>1</v>
      </c>
      <c r="C57" s="213">
        <v>2</v>
      </c>
      <c r="D57" s="213">
        <v>3</v>
      </c>
      <c r="E57" s="213">
        <v>4</v>
      </c>
      <c r="F57" s="213">
        <v>5</v>
      </c>
      <c r="G57" s="213">
        <v>6</v>
      </c>
      <c r="H57" s="213">
        <v>7</v>
      </c>
      <c r="I57" s="213">
        <v>8</v>
      </c>
      <c r="J57" s="213">
        <v>9</v>
      </c>
      <c r="K57" s="213">
        <v>10</v>
      </c>
      <c r="L57" s="213">
        <v>11</v>
      </c>
      <c r="M57" s="213">
        <v>12</v>
      </c>
      <c r="N57" s="241" t="s">
        <v>236</v>
      </c>
    </row>
    <row r="58" spans="1:62" ht="36">
      <c r="A58" s="176">
        <v>2017</v>
      </c>
      <c r="B58" s="180">
        <f>B$33</f>
        <v>-7.2123552123552148E-2</v>
      </c>
      <c r="C58" s="180">
        <f t="shared" ref="C58:M58" si="33">C$33</f>
        <v>3.3455392809587314E-2</v>
      </c>
      <c r="D58" s="180">
        <f t="shared" si="33"/>
        <v>8.7453696247382862E-2</v>
      </c>
      <c r="E58" s="180">
        <f t="shared" si="33"/>
        <v>-1.377369668246442E-2</v>
      </c>
      <c r="F58" s="180">
        <f t="shared" si="33"/>
        <v>2.7181258447214196E-2</v>
      </c>
      <c r="G58" s="180">
        <f t="shared" si="33"/>
        <v>7.6023391812865437E-2</v>
      </c>
      <c r="H58" s="180">
        <f t="shared" si="33"/>
        <v>-2.8532608695651662E-3</v>
      </c>
      <c r="I58" s="180">
        <f t="shared" si="33"/>
        <v>-3.0658127810328395E-2</v>
      </c>
      <c r="J58" s="180">
        <f t="shared" si="33"/>
        <v>3.3314590947427503E-2</v>
      </c>
      <c r="K58" s="180">
        <f t="shared" si="33"/>
        <v>3.5369337505102294E-3</v>
      </c>
      <c r="L58" s="180">
        <f t="shared" si="33"/>
        <v>1.3826758845058906E-2</v>
      </c>
      <c r="M58" s="180">
        <f t="shared" si="33"/>
        <v>0.173552613985827</v>
      </c>
      <c r="AW58" s="276" t="s">
        <v>281</v>
      </c>
      <c r="AX58" s="161">
        <v>1</v>
      </c>
      <c r="AY58" s="161">
        <v>2</v>
      </c>
      <c r="AZ58" s="161">
        <v>3</v>
      </c>
      <c r="BA58" s="161">
        <v>4</v>
      </c>
      <c r="BB58" s="161">
        <v>5</v>
      </c>
      <c r="BC58" s="161">
        <v>6</v>
      </c>
      <c r="BD58" s="161">
        <v>7</v>
      </c>
      <c r="BE58" s="161">
        <v>8</v>
      </c>
      <c r="BF58" s="161">
        <v>9</v>
      </c>
      <c r="BG58" s="161">
        <v>10</v>
      </c>
      <c r="BH58" s="161">
        <v>11</v>
      </c>
      <c r="BI58" s="161">
        <v>12</v>
      </c>
      <c r="BJ58" s="278" t="s">
        <v>283</v>
      </c>
    </row>
    <row r="59" spans="1:62">
      <c r="A59" s="176">
        <v>2018</v>
      </c>
      <c r="B59" s="180">
        <f>N$33</f>
        <v>-0.12140025065512128</v>
      </c>
      <c r="C59" s="180">
        <f t="shared" ref="C59:M59" si="34">O$33</f>
        <v>1.513200466318354E-2</v>
      </c>
      <c r="D59" s="180">
        <f t="shared" si="34"/>
        <v>7.0742038997670065E-2</v>
      </c>
      <c r="E59" s="180">
        <f t="shared" si="34"/>
        <v>1.1727595282237768E-2</v>
      </c>
      <c r="F59" s="180">
        <f t="shared" si="34"/>
        <v>2.8832910389328559E-2</v>
      </c>
      <c r="G59" s="180">
        <f t="shared" si="34"/>
        <v>4.7728588211696676E-2</v>
      </c>
      <c r="H59" s="180">
        <f t="shared" si="34"/>
        <v>3.1844938886378404E-3</v>
      </c>
      <c r="I59" s="180">
        <f t="shared" si="34"/>
        <v>-2.1046249405688777E-2</v>
      </c>
      <c r="J59" s="180">
        <f t="shared" si="34"/>
        <v>7.2093106152419928E-3</v>
      </c>
      <c r="K59" s="180">
        <f t="shared" si="34"/>
        <v>1.9464720194647178E-2</v>
      </c>
      <c r="L59" s="180">
        <f t="shared" si="34"/>
        <v>-6.1835539162508057E-3</v>
      </c>
      <c r="M59" s="180">
        <f t="shared" si="34"/>
        <v>0.15413164501691945</v>
      </c>
      <c r="AW59" s="176">
        <v>2017</v>
      </c>
      <c r="AX59" s="175">
        <f>B52</f>
        <v>0.96909686513225368</v>
      </c>
      <c r="AY59" s="175">
        <f t="shared" ref="AY59:BI59" si="35">C52</f>
        <v>0.99691835421190511</v>
      </c>
      <c r="AZ59" s="175">
        <f t="shared" si="35"/>
        <v>1.0384022857601605</v>
      </c>
      <c r="BA59" s="175">
        <f t="shared" si="35"/>
        <v>1.0297811407707003</v>
      </c>
      <c r="BB59" s="175">
        <f t="shared" si="35"/>
        <v>0.98462867617709671</v>
      </c>
      <c r="BC59" s="175">
        <f t="shared" si="35"/>
        <v>0.97018027455813116</v>
      </c>
      <c r="BD59" s="175">
        <f t="shared" si="35"/>
        <v>1.0007664123850053</v>
      </c>
      <c r="BE59" s="175">
        <f t="shared" si="35"/>
        <v>0.99788667554446076</v>
      </c>
      <c r="BF59" s="175">
        <f t="shared" si="35"/>
        <v>1.0002956664876417</v>
      </c>
      <c r="BG59" s="175">
        <f t="shared" si="35"/>
        <v>0.99990596309556101</v>
      </c>
      <c r="BH59" s="175">
        <f t="shared" si="35"/>
        <v>1.0042120844862268</v>
      </c>
      <c r="BI59" s="175">
        <f t="shared" si="35"/>
        <v>1.0502003080308215</v>
      </c>
    </row>
    <row r="60" spans="1:62">
      <c r="A60" s="176">
        <v>2019</v>
      </c>
      <c r="B60" s="180">
        <f>Z$33</f>
        <v>-0.12768372268987038</v>
      </c>
      <c r="C60" s="180">
        <f t="shared" ref="C60:M60" si="36">AA$33</f>
        <v>2.2335465683616995E-2</v>
      </c>
      <c r="D60" s="180">
        <f t="shared" si="36"/>
        <v>8.5693074557217086E-2</v>
      </c>
      <c r="E60" s="180">
        <f t="shared" si="36"/>
        <v>3.1259157956433636E-3</v>
      </c>
      <c r="F60" s="180">
        <f t="shared" si="36"/>
        <v>-2.9214139643587433E-3</v>
      </c>
      <c r="G60" s="180">
        <f t="shared" si="36"/>
        <v>5.3130188494970199E-2</v>
      </c>
      <c r="H60" s="180">
        <f t="shared" si="36"/>
        <v>1.7434851154595199E-2</v>
      </c>
      <c r="I60" s="180">
        <f t="shared" si="36"/>
        <v>-3.9558836933734409E-2</v>
      </c>
      <c r="J60" s="180">
        <f t="shared" si="36"/>
        <v>1.4241245136186631E-2</v>
      </c>
      <c r="K60" s="180">
        <f t="shared" si="36"/>
        <v>3.7690440588900032E-3</v>
      </c>
      <c r="L60" s="180">
        <f t="shared" si="36"/>
        <v>-4.4931921613373671E-3</v>
      </c>
      <c r="M60" s="180">
        <f t="shared" si="36"/>
        <v>0.14837056167444196</v>
      </c>
      <c r="AW60" s="176">
        <v>2018</v>
      </c>
      <c r="AX60" s="175">
        <f>N52</f>
        <v>0.97958549108935988</v>
      </c>
      <c r="AY60" s="175">
        <f t="shared" ref="AY60:BI60" si="37">O52</f>
        <v>1.0044506861943141</v>
      </c>
      <c r="AZ60" s="175">
        <f t="shared" si="37"/>
        <v>1.0438649889212803</v>
      </c>
      <c r="BA60" s="175">
        <f t="shared" si="37"/>
        <v>1.0147031439299239</v>
      </c>
      <c r="BB60" s="175">
        <f t="shared" si="37"/>
        <v>0.99948324925579846</v>
      </c>
      <c r="BC60" s="175">
        <f t="shared" si="37"/>
        <v>0.97780058546442428</v>
      </c>
      <c r="BD60" s="175">
        <f t="shared" si="37"/>
        <v>0.99536748318864621</v>
      </c>
      <c r="BE60" s="175">
        <f t="shared" si="37"/>
        <v>1.0015971725604189</v>
      </c>
      <c r="BF60" s="175">
        <f t="shared" si="37"/>
        <v>0.99187851561700857</v>
      </c>
      <c r="BG60" s="175">
        <f t="shared" si="37"/>
        <v>0.99173211907705372</v>
      </c>
      <c r="BH60" s="175">
        <f t="shared" si="37"/>
        <v>1.0006668039772291</v>
      </c>
      <c r="BI60" s="175">
        <f t="shared" si="37"/>
        <v>1.0463448164143565</v>
      </c>
    </row>
    <row r="61" spans="1:62">
      <c r="A61" s="176">
        <v>2020</v>
      </c>
      <c r="B61" s="180">
        <f>AL$33</f>
        <v>-0.1252983420053313</v>
      </c>
      <c r="C61" s="180">
        <f t="shared" ref="C61:L61" si="38">AM$33</f>
        <v>1.1186725086230975E-2</v>
      </c>
      <c r="D61" s="180">
        <f t="shared" si="38"/>
        <v>5.5222642205217998E-2</v>
      </c>
      <c r="E61" s="180">
        <f t="shared" si="38"/>
        <v>-8.8764633933251846E-2</v>
      </c>
      <c r="F61" s="180">
        <f t="shared" si="38"/>
        <v>1.0738255033557076E-2</v>
      </c>
      <c r="G61" s="180">
        <f t="shared" si="38"/>
        <v>9.8368431037753723E-2</v>
      </c>
      <c r="H61" s="180">
        <f t="shared" si="38"/>
        <v>1.943172985577335E-2</v>
      </c>
      <c r="I61" s="180">
        <f t="shared" si="38"/>
        <v>-3.032870213486949E-2</v>
      </c>
      <c r="J61" s="180">
        <f t="shared" si="38"/>
        <v>4.7352786999825369E-2</v>
      </c>
      <c r="K61" s="180">
        <f t="shared" si="38"/>
        <v>1.5515515515515554E-2</v>
      </c>
      <c r="L61" s="180">
        <f t="shared" si="38"/>
        <v>-1.5326918022014246E-2</v>
      </c>
      <c r="M61" s="180">
        <f>AW$33</f>
        <v>0.18282430330801813</v>
      </c>
      <c r="N61" s="180"/>
      <c r="AW61" s="176">
        <v>2019</v>
      </c>
      <c r="AX61" s="175">
        <f>Z52</f>
        <v>0.98201562310204604</v>
      </c>
      <c r="AY61" s="175">
        <f t="shared" ref="AY61:BI61" si="39">AA52</f>
        <v>1.0182286001996861</v>
      </c>
      <c r="AZ61" s="175">
        <f t="shared" si="39"/>
        <v>1.0554886543208035</v>
      </c>
      <c r="BA61" s="175">
        <f t="shared" si="39"/>
        <v>1.0310022560220442</v>
      </c>
      <c r="BB61" s="175">
        <f t="shared" si="39"/>
        <v>0.98693161119356143</v>
      </c>
      <c r="BC61" s="175">
        <f t="shared" si="39"/>
        <v>0.97207995071250308</v>
      </c>
      <c r="BD61" s="175">
        <f t="shared" si="39"/>
        <v>0.99346682909086093</v>
      </c>
      <c r="BE61" s="175">
        <f t="shared" si="39"/>
        <v>0.99555614288335448</v>
      </c>
      <c r="BF61" s="175">
        <f>AH52</f>
        <v>0.97854079842838237</v>
      </c>
      <c r="BG61" s="175">
        <f t="shared" si="39"/>
        <v>0.98991482465302338</v>
      </c>
      <c r="BH61" s="175">
        <f t="shared" si="39"/>
        <v>1.0010104538162397</v>
      </c>
      <c r="BI61" s="175">
        <f t="shared" si="39"/>
        <v>1.0414241310883749</v>
      </c>
    </row>
    <row r="62" spans="1:62" ht="15.75">
      <c r="A62" s="217" t="s">
        <v>213</v>
      </c>
      <c r="B62" s="238">
        <f>AVERAGE(B59:B61)+0.005</f>
        <v>-0.11979410511677431</v>
      </c>
      <c r="C62" s="238">
        <f>AVERAGE(C59:C61)</f>
        <v>1.6218065144343836E-2</v>
      </c>
      <c r="D62" s="238">
        <f>AVERAGE(D59:D61)</f>
        <v>7.0552585253368383E-2</v>
      </c>
      <c r="E62" s="238">
        <f t="shared" ref="E62:M62" si="40">AVERAGE(E59:E60)</f>
        <v>7.4267555389405659E-3</v>
      </c>
      <c r="F62" s="238">
        <f t="shared" si="40"/>
        <v>1.2955748212484908E-2</v>
      </c>
      <c r="G62" s="238">
        <f t="shared" si="40"/>
        <v>5.0429388353333438E-2</v>
      </c>
      <c r="H62" s="238">
        <f t="shared" si="40"/>
        <v>1.030967252161652E-2</v>
      </c>
      <c r="I62" s="238">
        <f t="shared" si="40"/>
        <v>-3.0302543169711593E-2</v>
      </c>
      <c r="J62" s="238">
        <f t="shared" si="40"/>
        <v>1.0725277875714312E-2</v>
      </c>
      <c r="K62" s="238">
        <f t="shared" si="40"/>
        <v>1.1616882126768591E-2</v>
      </c>
      <c r="L62" s="238">
        <f t="shared" si="40"/>
        <v>-5.3383730387940864E-3</v>
      </c>
      <c r="M62" s="238">
        <f t="shared" si="40"/>
        <v>0.1512511033456807</v>
      </c>
      <c r="AW62" s="176">
        <v>2020</v>
      </c>
      <c r="AX62" s="175">
        <f>AL52</f>
        <v>0.98526273618876592</v>
      </c>
      <c r="AY62" s="175">
        <f t="shared" ref="AY62:BH62" si="41">AM52</f>
        <v>1.0160767597773619</v>
      </c>
      <c r="AZ62" s="175">
        <f t="shared" si="41"/>
        <v>1.0580133851455251</v>
      </c>
      <c r="BA62" s="175">
        <f t="shared" si="41"/>
        <v>0.97822097728872848</v>
      </c>
      <c r="BB62" s="175">
        <f t="shared" si="41"/>
        <v>0.96323150492789533</v>
      </c>
      <c r="BC62" s="175">
        <f t="shared" si="41"/>
        <v>0.9539174929393347</v>
      </c>
      <c r="BD62" s="175">
        <f t="shared" si="41"/>
        <v>0.97491761594550641</v>
      </c>
      <c r="BE62" s="175">
        <f t="shared" si="41"/>
        <v>0.98773400797771505</v>
      </c>
      <c r="BF62" s="175">
        <f t="shared" si="41"/>
        <v>0.97240338031379869</v>
      </c>
      <c r="BG62" s="175">
        <f t="shared" si="41"/>
        <v>0.97209052206517699</v>
      </c>
      <c r="BH62" s="175">
        <f t="shared" si="41"/>
        <v>0.99099121169419624</v>
      </c>
      <c r="BI62" s="175">
        <f>AW52</f>
        <v>1.0521804515137285</v>
      </c>
    </row>
    <row r="63" spans="1:62" ht="14.25">
      <c r="A63" s="178" t="s">
        <v>237</v>
      </c>
      <c r="B63" s="239">
        <f>$AW$29*(1+B$62)</f>
        <v>12480.439383549256</v>
      </c>
      <c r="C63" s="239">
        <f>B$63*(1+C$62)</f>
        <v>12682.847962501692</v>
      </c>
      <c r="D63" s="239">
        <f t="shared" ref="D63:L63" si="42">C$63*(1+D$62)</f>
        <v>13577.655674631602</v>
      </c>
      <c r="E63" s="239">
        <f t="shared" si="42"/>
        <v>13678.493604118998</v>
      </c>
      <c r="F63" s="239">
        <f t="shared" si="42"/>
        <v>13855.708723180049</v>
      </c>
      <c r="G63" s="239">
        <f t="shared" si="42"/>
        <v>14554.443639291963</v>
      </c>
      <c r="H63" s="239">
        <f t="shared" si="42"/>
        <v>14704.495186947388</v>
      </c>
      <c r="I63" s="239">
        <f t="shared" si="42"/>
        <v>14258.911586756098</v>
      </c>
      <c r="J63" s="239">
        <f t="shared" si="42"/>
        <v>14411.842375729299</v>
      </c>
      <c r="K63" s="239">
        <f t="shared" si="42"/>
        <v>14579.263049837715</v>
      </c>
      <c r="L63" s="239">
        <f t="shared" si="42"/>
        <v>14501.433505046973</v>
      </c>
      <c r="M63" s="239">
        <f>L$63*(1+M$62)</f>
        <v>16694.791322779351</v>
      </c>
      <c r="N63" s="240">
        <f>AVERAGE(B63:M63)</f>
        <v>14165.027167864197</v>
      </c>
      <c r="AW63" s="176">
        <v>2021</v>
      </c>
      <c r="AX63" s="175">
        <f t="shared" ref="AX63:BD63" si="43">AX52</f>
        <v>0.96237165788956058</v>
      </c>
      <c r="AY63" s="175">
        <f t="shared" si="43"/>
        <v>0.99980459936483235</v>
      </c>
      <c r="AZ63" s="175">
        <f t="shared" si="43"/>
        <v>1.0087626256674109</v>
      </c>
      <c r="BA63" s="175">
        <f t="shared" si="43"/>
        <v>1.0281409767252687</v>
      </c>
      <c r="BB63" s="175">
        <f t="shared" si="43"/>
        <v>0.97394155171072672</v>
      </c>
      <c r="BC63" s="175">
        <f t="shared" si="43"/>
        <v>0.97809942853363396</v>
      </c>
      <c r="BD63" s="175">
        <f t="shared" si="43"/>
        <v>0.99996936532102809</v>
      </c>
    </row>
    <row r="64" spans="1:62" ht="15">
      <c r="AW64" s="177" t="s">
        <v>280</v>
      </c>
      <c r="AX64" s="277">
        <f>AVERAGE(AX59:AX63)*$BJ$64</f>
        <v>0.97078814230699528</v>
      </c>
      <c r="AY64" s="277">
        <f t="shared" ref="AY64:BI64" si="44">AVERAGE(AY59:AY63)*$BJ$64</f>
        <v>1.0020603209498717</v>
      </c>
      <c r="AZ64" s="277">
        <f t="shared" si="44"/>
        <v>1.0357018560232207</v>
      </c>
      <c r="BA64" s="277">
        <f t="shared" si="44"/>
        <v>1.0112878504525964</v>
      </c>
      <c r="BB64" s="277">
        <f t="shared" si="44"/>
        <v>0.97673510205975056</v>
      </c>
      <c r="BC64" s="277">
        <f t="shared" si="44"/>
        <v>0.96556346870939735</v>
      </c>
      <c r="BD64" s="277">
        <f t="shared" si="44"/>
        <v>0.98793305348027838</v>
      </c>
      <c r="BE64" s="277">
        <f>AVERAGE(BE59:BE63)*$BJ$64</f>
        <v>0.9907150322427799</v>
      </c>
      <c r="BF64" s="277">
        <f>AVERAGE(BF59:BF63)*$BJ$64</f>
        <v>0.98085069226064925</v>
      </c>
      <c r="BG64" s="277">
        <f t="shared" si="44"/>
        <v>0.98346880293659034</v>
      </c>
      <c r="BH64" s="277">
        <f t="shared" si="44"/>
        <v>0.99422403780100554</v>
      </c>
      <c r="BI64" s="277">
        <f t="shared" si="44"/>
        <v>1.0422997396280111</v>
      </c>
      <c r="BJ64" s="279">
        <v>0.995</v>
      </c>
    </row>
    <row r="66" spans="1:62" ht="36">
      <c r="AW66" s="276" t="s">
        <v>282</v>
      </c>
      <c r="AX66" s="161">
        <v>1</v>
      </c>
      <c r="AY66" s="161">
        <v>2</v>
      </c>
      <c r="AZ66" s="161">
        <v>3</v>
      </c>
      <c r="BA66" s="161">
        <v>4</v>
      </c>
      <c r="BB66" s="161">
        <v>5</v>
      </c>
      <c r="BC66" s="161">
        <v>6</v>
      </c>
      <c r="BD66" s="161">
        <v>7</v>
      </c>
      <c r="BE66" s="161">
        <v>8</v>
      </c>
      <c r="BF66" s="161">
        <v>9</v>
      </c>
      <c r="BG66" s="161">
        <v>10</v>
      </c>
      <c r="BH66" s="161">
        <v>11</v>
      </c>
      <c r="BI66" s="161">
        <v>12</v>
      </c>
    </row>
    <row r="67" spans="1:62" ht="36">
      <c r="A67" s="244" t="s">
        <v>243</v>
      </c>
      <c r="B67" s="213">
        <v>1</v>
      </c>
      <c r="C67" s="213">
        <v>2</v>
      </c>
      <c r="D67" s="213">
        <v>3</v>
      </c>
      <c r="E67" s="213">
        <v>4</v>
      </c>
      <c r="F67" s="213">
        <v>5</v>
      </c>
      <c r="G67" s="213">
        <v>6</v>
      </c>
      <c r="H67" s="213">
        <v>7</v>
      </c>
      <c r="I67" s="213">
        <v>8</v>
      </c>
      <c r="J67" s="213">
        <v>9</v>
      </c>
      <c r="K67" s="213">
        <v>10</v>
      </c>
      <c r="L67" s="213">
        <v>11</v>
      </c>
      <c r="M67" s="213">
        <v>12</v>
      </c>
      <c r="N67" s="241" t="s">
        <v>236</v>
      </c>
      <c r="AW67" s="176">
        <v>2017</v>
      </c>
      <c r="AX67" s="175">
        <f t="shared" ref="AX67:BI67" si="45">B55</f>
        <v>0.97220110947117755</v>
      </c>
      <c r="AY67" s="175">
        <f t="shared" si="45"/>
        <v>1.0002912737662137</v>
      </c>
      <c r="AZ67" s="175">
        <f t="shared" si="45"/>
        <v>1.0409614646680609</v>
      </c>
      <c r="BA67" s="175">
        <f t="shared" si="45"/>
        <v>1.0331628255153134</v>
      </c>
      <c r="BB67" s="175">
        <f t="shared" si="45"/>
        <v>0.98940620673190405</v>
      </c>
      <c r="BC67" s="175">
        <f t="shared" si="45"/>
        <v>0.97516771396526891</v>
      </c>
      <c r="BD67" s="175">
        <f t="shared" si="45"/>
        <v>1.0065330045162391</v>
      </c>
      <c r="BE67" s="175">
        <f t="shared" si="45"/>
        <v>1.0055411340342673</v>
      </c>
      <c r="BF67" s="175">
        <f t="shared" si="45"/>
        <v>1.0054568625357214</v>
      </c>
      <c r="BG67" s="175">
        <f t="shared" si="45"/>
        <v>1.0027612540491611</v>
      </c>
      <c r="BH67" s="175">
        <f t="shared" si="45"/>
        <v>1.0067023195930553</v>
      </c>
      <c r="BI67" s="175">
        <f t="shared" si="45"/>
        <v>1.0478913502030329</v>
      </c>
    </row>
    <row r="68" spans="1:62">
      <c r="A68" s="176">
        <v>2017</v>
      </c>
      <c r="B68" s="180">
        <f>B$35</f>
        <v>0.84555210226939537</v>
      </c>
      <c r="C68" s="180">
        <f t="shared" ref="C68:M68" si="46">C$35</f>
        <v>0.87384037999179032</v>
      </c>
      <c r="D68" s="180">
        <f t="shared" si="46"/>
        <v>0.95026095115228992</v>
      </c>
      <c r="E68" s="180">
        <f t="shared" si="46"/>
        <v>0.93717234504192803</v>
      </c>
      <c r="F68" s="180">
        <f t="shared" si="46"/>
        <v>0.96264586876209457</v>
      </c>
      <c r="G68" s="180">
        <f t="shared" si="46"/>
        <v>1.0358294728200317</v>
      </c>
      <c r="H68" s="180">
        <f t="shared" si="46"/>
        <v>1.0328739811176919</v>
      </c>
      <c r="I68" s="180">
        <f t="shared" si="46"/>
        <v>1.001207998592623</v>
      </c>
      <c r="J68" s="180">
        <f t="shared" si="46"/>
        <v>1.0345628335190289</v>
      </c>
      <c r="K68" s="180">
        <f t="shared" si="46"/>
        <v>1.0382220137219258</v>
      </c>
      <c r="L68" s="180">
        <f t="shared" si="46"/>
        <v>1.0525772591332903</v>
      </c>
      <c r="M68" s="180">
        <f t="shared" si="46"/>
        <v>1.2352547938779099</v>
      </c>
      <c r="AW68" s="176">
        <v>2018</v>
      </c>
      <c r="AX68" s="175">
        <f t="shared" ref="AX68:BI68" si="47">N55</f>
        <v>0.97500701046231186</v>
      </c>
      <c r="AY68" s="175">
        <f t="shared" si="47"/>
        <v>1.0045709917216816</v>
      </c>
      <c r="AZ68" s="175">
        <f t="shared" si="47"/>
        <v>1.046454875582894</v>
      </c>
      <c r="BA68" s="175">
        <f t="shared" si="47"/>
        <v>1.01777344281225</v>
      </c>
      <c r="BB68" s="175">
        <f t="shared" si="47"/>
        <v>1.0020404745634686</v>
      </c>
      <c r="BC68" s="175">
        <f t="shared" si="47"/>
        <v>0.97967273849289394</v>
      </c>
      <c r="BD68" s="175">
        <f t="shared" si="47"/>
        <v>0.99656732341372312</v>
      </c>
      <c r="BE68" s="175">
        <f t="shared" si="47"/>
        <v>0.99932958764286828</v>
      </c>
      <c r="BF68" s="175">
        <f t="shared" si="47"/>
        <v>0.98719135089594667</v>
      </c>
      <c r="BG68" s="175">
        <f t="shared" si="47"/>
        <v>0.98714446248838483</v>
      </c>
      <c r="BH68" s="175">
        <f t="shared" si="47"/>
        <v>0.99672406095806776</v>
      </c>
      <c r="BI68" s="175">
        <f t="shared" si="47"/>
        <v>1.0417295589254816</v>
      </c>
    </row>
    <row r="69" spans="1:62">
      <c r="A69" s="176">
        <v>2018</v>
      </c>
      <c r="B69" s="180">
        <f>N$35</f>
        <v>0.86963873173103601</v>
      </c>
      <c r="C69" s="180">
        <f t="shared" ref="C69:M69" si="48">O$35</f>
        <v>0.88279810907487499</v>
      </c>
      <c r="D69" s="180">
        <f t="shared" si="48"/>
        <v>0.94524904733411919</v>
      </c>
      <c r="E69" s="180">
        <f t="shared" si="48"/>
        <v>0.95633454560217446</v>
      </c>
      <c r="F69" s="180">
        <f t="shared" si="48"/>
        <v>0.98390845385774128</v>
      </c>
      <c r="G69" s="180">
        <f t="shared" si="48"/>
        <v>1.0308690152899245</v>
      </c>
      <c r="H69" s="180">
        <f t="shared" si="48"/>
        <v>1.0341518113691015</v>
      </c>
      <c r="I69" s="180">
        <f t="shared" si="48"/>
        <v>1.0123867944236826</v>
      </c>
      <c r="J69" s="180">
        <f t="shared" si="48"/>
        <v>1.019685405287452</v>
      </c>
      <c r="K69" s="180">
        <f t="shared" si="48"/>
        <v>1.0395332963879378</v>
      </c>
      <c r="L69" s="180">
        <f t="shared" si="48"/>
        <v>1.0331052862019849</v>
      </c>
      <c r="M69" s="180">
        <f t="shared" si="48"/>
        <v>1.1923395034399724</v>
      </c>
      <c r="AW69" s="176">
        <v>2019</v>
      </c>
      <c r="AX69" s="175">
        <f t="shared" ref="AX69:BI69" si="49">Z55</f>
        <v>0.97828016913475302</v>
      </c>
      <c r="AY69" s="175">
        <f t="shared" si="49"/>
        <v>1.0133916224259867</v>
      </c>
      <c r="AZ69" s="175">
        <f t="shared" si="49"/>
        <v>1.054013936801566</v>
      </c>
      <c r="BA69" s="175">
        <f t="shared" si="49"/>
        <v>1.0296955159921406</v>
      </c>
      <c r="BB69" s="175">
        <f t="shared" si="49"/>
        <v>0.98700832961926432</v>
      </c>
      <c r="BC69" s="175">
        <f t="shared" si="49"/>
        <v>0.97130049198575952</v>
      </c>
      <c r="BD69" s="175">
        <f t="shared" si="49"/>
        <v>0.9946372833721232</v>
      </c>
      <c r="BE69" s="175">
        <f t="shared" si="49"/>
        <v>0.99869873529834685</v>
      </c>
      <c r="BF69" s="175">
        <f t="shared" si="49"/>
        <v>0.98282691037574843</v>
      </c>
      <c r="BG69" s="175">
        <f t="shared" si="49"/>
        <v>0.99408458345099715</v>
      </c>
      <c r="BH69" s="175">
        <f t="shared" si="49"/>
        <v>1.0065996135848976</v>
      </c>
      <c r="BI69" s="175">
        <f t="shared" si="49"/>
        <v>1.0471786006123913</v>
      </c>
    </row>
    <row r="70" spans="1:62">
      <c r="A70" s="176">
        <v>2019</v>
      </c>
      <c r="B70" s="180">
        <f>Z$35</f>
        <v>0.87806631195250284</v>
      </c>
      <c r="C70" s="180">
        <f t="shared" ref="C70:M70" si="50">AA$35</f>
        <v>0.89767833193105817</v>
      </c>
      <c r="D70" s="180">
        <f t="shared" si="50"/>
        <v>0.97460314815762461</v>
      </c>
      <c r="E70" s="180">
        <f t="shared" si="50"/>
        <v>0.97764967553293414</v>
      </c>
      <c r="F70" s="180">
        <f t="shared" si="50"/>
        <v>0.97479355611858143</v>
      </c>
      <c r="G70" s="180">
        <f t="shared" si="50"/>
        <v>1.026584521498844</v>
      </c>
      <c r="H70" s="180">
        <f t="shared" si="50"/>
        <v>1.0444828698287876</v>
      </c>
      <c r="I70" s="180">
        <f t="shared" si="50"/>
        <v>1.0031643423011518</v>
      </c>
      <c r="J70" s="180">
        <f t="shared" si="50"/>
        <v>1.0174506516117439</v>
      </c>
      <c r="K70" s="180">
        <f t="shared" si="50"/>
        <v>1.0212854679454149</v>
      </c>
      <c r="L70" s="180">
        <f t="shared" si="50"/>
        <v>1.0166966360863547</v>
      </c>
      <c r="M70" s="180">
        <f t="shared" si="50"/>
        <v>1.1675444870350031</v>
      </c>
      <c r="AW70" s="176">
        <v>2020</v>
      </c>
      <c r="AX70" s="175">
        <f t="shared" ref="AX70:BH70" si="51">AL55</f>
        <v>0.99141870112357788</v>
      </c>
      <c r="AY70" s="175">
        <f t="shared" si="51"/>
        <v>1.0208240123523704</v>
      </c>
      <c r="AZ70" s="175">
        <f t="shared" si="51"/>
        <v>1.0568273900779559</v>
      </c>
      <c r="BA70" s="175">
        <f t="shared" si="51"/>
        <v>0.97563514649311711</v>
      </c>
      <c r="BB70" s="175">
        <f t="shared" si="51"/>
        <v>0.96177362058852367</v>
      </c>
      <c r="BC70" s="175">
        <f t="shared" si="51"/>
        <v>0.95198045486736615</v>
      </c>
      <c r="BD70" s="175">
        <f t="shared" si="51"/>
        <v>0.97120734327565084</v>
      </c>
      <c r="BE70" s="175">
        <f t="shared" si="51"/>
        <v>0.98362410007755308</v>
      </c>
      <c r="BF70" s="175">
        <f t="shared" si="51"/>
        <v>0.96694463401098329</v>
      </c>
      <c r="BG70" s="175">
        <f t="shared" si="51"/>
        <v>0.96621481386590169</v>
      </c>
      <c r="BH70" s="175">
        <f t="shared" si="51"/>
        <v>0.98507548070128603</v>
      </c>
      <c r="BI70" s="175">
        <f>AW55</f>
        <v>1.0448619366947125</v>
      </c>
    </row>
    <row r="71" spans="1:62">
      <c r="A71" s="176">
        <v>2020</v>
      </c>
      <c r="B71" s="180">
        <f>AL$35</f>
        <v>0.92507758320708833</v>
      </c>
      <c r="C71" s="180">
        <f t="shared" ref="C71:M71" si="52">AM$35</f>
        <v>0.93542617181386101</v>
      </c>
      <c r="D71" s="180">
        <f t="shared" si="52"/>
        <v>0.98708287660933469</v>
      </c>
      <c r="E71" s="180">
        <f t="shared" si="52"/>
        <v>0.89946482640532599</v>
      </c>
      <c r="F71" s="180">
        <f t="shared" si="52"/>
        <v>0.90912350910498052</v>
      </c>
      <c r="G71" s="180">
        <f t="shared" si="52"/>
        <v>0.99855256231517442</v>
      </c>
      <c r="H71" s="180">
        <f t="shared" si="52"/>
        <v>1.0179561659528733</v>
      </c>
      <c r="I71" s="180">
        <f t="shared" si="52"/>
        <v>0.98708287660933469</v>
      </c>
      <c r="J71" s="180">
        <f t="shared" si="52"/>
        <v>1.0338240018165914</v>
      </c>
      <c r="K71" s="180">
        <f t="shared" si="52"/>
        <v>1.0498643141570889</v>
      </c>
      <c r="L71" s="180">
        <f t="shared" si="52"/>
        <v>1.0337731298797652</v>
      </c>
      <c r="M71" s="180">
        <f t="shared" si="52"/>
        <v>1.2227719821285827</v>
      </c>
      <c r="N71" s="180"/>
      <c r="AW71" s="176">
        <v>2021</v>
      </c>
      <c r="AX71" s="175">
        <f>AX55</f>
        <v>0.95620066441304208</v>
      </c>
      <c r="AY71" s="175">
        <f t="shared" ref="AY71:BD71" si="53">AY55</f>
        <v>0.99415573410660663</v>
      </c>
      <c r="AZ71" s="175">
        <f t="shared" si="53"/>
        <v>1.0028599997827143</v>
      </c>
      <c r="BA71" s="175">
        <f t="shared" si="53"/>
        <v>1.0218291946844231</v>
      </c>
      <c r="BB71" s="175">
        <f t="shared" si="53"/>
        <v>0.96872932983775084</v>
      </c>
      <c r="BC71" s="175">
        <f t="shared" si="53"/>
        <v>0.97333843329035097</v>
      </c>
      <c r="BD71" s="175">
        <f t="shared" si="53"/>
        <v>0.99514463249418672</v>
      </c>
    </row>
    <row r="72" spans="1:62" ht="15">
      <c r="A72" s="217" t="s">
        <v>213</v>
      </c>
      <c r="B72" s="245">
        <f>AVERAGE(B69:B70)</f>
        <v>0.87385252184176943</v>
      </c>
      <c r="C72" s="245">
        <f t="shared" ref="C72:M72" si="54">AVERAGE(C69:C70)</f>
        <v>0.89023822050296664</v>
      </c>
      <c r="D72" s="245">
        <f t="shared" si="54"/>
        <v>0.9599260977458719</v>
      </c>
      <c r="E72" s="245">
        <f t="shared" si="54"/>
        <v>0.9669921105675543</v>
      </c>
      <c r="F72" s="245">
        <f t="shared" si="54"/>
        <v>0.9793510049881613</v>
      </c>
      <c r="G72" s="245">
        <f t="shared" si="54"/>
        <v>1.0287267683943844</v>
      </c>
      <c r="H72" s="245">
        <f t="shared" si="54"/>
        <v>1.0393173405989447</v>
      </c>
      <c r="I72" s="245">
        <f t="shared" si="54"/>
        <v>1.0077755683624172</v>
      </c>
      <c r="J72" s="245">
        <f t="shared" si="54"/>
        <v>1.0185680284495979</v>
      </c>
      <c r="K72" s="245">
        <f t="shared" si="54"/>
        <v>1.0304093821666762</v>
      </c>
      <c r="L72" s="245">
        <f t="shared" si="54"/>
        <v>1.0249009611441697</v>
      </c>
      <c r="M72" s="245">
        <f t="shared" si="54"/>
        <v>1.1799419952374879</v>
      </c>
      <c r="AW72" s="177" t="s">
        <v>280</v>
      </c>
      <c r="AX72" s="277">
        <f>AVERAGE(AX67:AX71)*$BJ$72</f>
        <v>0.96000220795715774</v>
      </c>
      <c r="AY72" s="277">
        <f t="shared" ref="AY72:BI72" si="55">AVERAGE(AY67:AY71)*$BJ$72</f>
        <v>0.99154702597145317</v>
      </c>
      <c r="AZ72" s="277">
        <f t="shared" si="55"/>
        <v>1.0246201803818986</v>
      </c>
      <c r="BA72" s="277">
        <f t="shared" si="55"/>
        <v>1.0003849367229569</v>
      </c>
      <c r="BB72" s="277">
        <f t="shared" si="55"/>
        <v>0.96706471838415964</v>
      </c>
      <c r="BC72" s="277">
        <f t="shared" si="55"/>
        <v>0.95573758702252298</v>
      </c>
      <c r="BD72" s="277">
        <f t="shared" si="55"/>
        <v>0.97792564865316889</v>
      </c>
      <c r="BE72" s="277">
        <f t="shared" si="55"/>
        <v>0.98184641342430989</v>
      </c>
      <c r="BF72" s="277">
        <f t="shared" si="55"/>
        <v>0.970820865362781</v>
      </c>
      <c r="BG72" s="277">
        <f t="shared" si="55"/>
        <v>0.9727380092866571</v>
      </c>
      <c r="BH72" s="277">
        <f t="shared" si="55"/>
        <v>0.98379373817868676</v>
      </c>
      <c r="BI72" s="277">
        <f t="shared" si="55"/>
        <v>1.0297341311847712</v>
      </c>
      <c r="BJ72" s="279">
        <v>0.98499999999999999</v>
      </c>
    </row>
    <row r="74" spans="1:62">
      <c r="A74" s="924" t="s">
        <v>245</v>
      </c>
      <c r="B74" s="956">
        <v>2021</v>
      </c>
      <c r="C74" s="956"/>
      <c r="D74" s="956"/>
      <c r="E74" s="956"/>
      <c r="F74" s="956"/>
      <c r="G74" s="956"/>
      <c r="H74" s="956"/>
      <c r="I74" s="956"/>
      <c r="J74" s="956"/>
      <c r="K74" s="956"/>
      <c r="L74" s="956"/>
      <c r="M74" s="956"/>
      <c r="N74" s="957" t="s">
        <v>236</v>
      </c>
    </row>
    <row r="75" spans="1:62">
      <c r="A75" s="924"/>
      <c r="B75" s="213">
        <v>1</v>
      </c>
      <c r="C75" s="213">
        <v>2</v>
      </c>
      <c r="D75" s="213">
        <v>3</v>
      </c>
      <c r="E75" s="213">
        <v>4</v>
      </c>
      <c r="F75" s="213">
        <v>5</v>
      </c>
      <c r="G75" s="213">
        <v>6</v>
      </c>
      <c r="H75" s="213">
        <v>7</v>
      </c>
      <c r="I75" s="213">
        <v>8</v>
      </c>
      <c r="J75" s="213">
        <v>9</v>
      </c>
      <c r="K75" s="213">
        <v>10</v>
      </c>
      <c r="L75" s="213">
        <v>11</v>
      </c>
      <c r="M75" s="213">
        <v>12</v>
      </c>
      <c r="N75" s="957"/>
    </row>
    <row r="76" spans="1:62">
      <c r="A76" s="178" t="s">
        <v>238</v>
      </c>
      <c r="B76" s="219">
        <f t="shared" ref="B76:M76" si="56">$N$76*B$72</f>
        <v>12166.058368133119</v>
      </c>
      <c r="C76" s="219">
        <f t="shared" si="56"/>
        <v>12394.185381939304</v>
      </c>
      <c r="D76" s="219">
        <f t="shared" si="56"/>
        <v>13364.402622145426</v>
      </c>
      <c r="E76" s="219">
        <f t="shared" si="56"/>
        <v>13462.777945520793</v>
      </c>
      <c r="F76" s="219">
        <f t="shared" si="56"/>
        <v>13634.842484019575</v>
      </c>
      <c r="G76" s="219">
        <f t="shared" si="56"/>
        <v>14322.267884252055</v>
      </c>
      <c r="H76" s="219">
        <f t="shared" si="56"/>
        <v>14469.7132670508</v>
      </c>
      <c r="I76" s="219">
        <f t="shared" si="56"/>
        <v>14030.578478888641</v>
      </c>
      <c r="J76" s="219">
        <f t="shared" si="56"/>
        <v>14180.834610300439</v>
      </c>
      <c r="K76" s="219">
        <f t="shared" si="56"/>
        <v>14345.693779186342</v>
      </c>
      <c r="L76" s="219">
        <f t="shared" si="56"/>
        <v>14269.003754266783</v>
      </c>
      <c r="M76" s="219">
        <f t="shared" si="56"/>
        <v>16427.535340648781</v>
      </c>
      <c r="N76" s="242">
        <f>$W$10</f>
        <v>13922.324493029337</v>
      </c>
    </row>
    <row r="77" spans="1:62">
      <c r="A77" s="178" t="s">
        <v>239</v>
      </c>
      <c r="B77" s="232">
        <f>AX$29</f>
        <v>12337</v>
      </c>
      <c r="C77" s="232">
        <f t="shared" ref="C77:L77" si="57">AY$29</f>
        <v>12549</v>
      </c>
      <c r="D77" s="232">
        <f t="shared" si="57"/>
        <v>13612</v>
      </c>
      <c r="E77" s="232">
        <f t="shared" si="57"/>
        <v>13543</v>
      </c>
      <c r="F77" s="232">
        <f t="shared" si="57"/>
        <v>13499</v>
      </c>
      <c r="G77" s="232">
        <f t="shared" si="57"/>
        <v>14313</v>
      </c>
      <c r="H77" s="232">
        <f t="shared" si="57"/>
        <v>14345</v>
      </c>
      <c r="I77" s="232">
        <f t="shared" si="57"/>
        <v>13997</v>
      </c>
      <c r="J77" s="232">
        <f t="shared" si="57"/>
        <v>14609.556044208508</v>
      </c>
      <c r="K77" s="232">
        <f t="shared" si="57"/>
        <v>14758.153084203665</v>
      </c>
      <c r="L77" s="232">
        <f t="shared" si="57"/>
        <v>14457.329782955441</v>
      </c>
      <c r="M77" s="232">
        <f>BI$29</f>
        <v>17014.8</v>
      </c>
      <c r="N77" s="232">
        <f>AVERAGE(B77:M77)</f>
        <v>14086.236575947301</v>
      </c>
    </row>
    <row r="78" spans="1:62">
      <c r="A78" s="178" t="s">
        <v>237</v>
      </c>
      <c r="B78" s="232">
        <f>B$63</f>
        <v>12480.439383549256</v>
      </c>
      <c r="C78" s="232">
        <f t="shared" ref="C78:L78" si="58">C$63</f>
        <v>12682.847962501692</v>
      </c>
      <c r="D78" s="232">
        <f t="shared" si="58"/>
        <v>13577.655674631602</v>
      </c>
      <c r="E78" s="232">
        <f t="shared" si="58"/>
        <v>13678.493604118998</v>
      </c>
      <c r="F78" s="232">
        <f t="shared" si="58"/>
        <v>13855.708723180049</v>
      </c>
      <c r="G78" s="232">
        <f t="shared" si="58"/>
        <v>14554.443639291963</v>
      </c>
      <c r="H78" s="232">
        <f t="shared" si="58"/>
        <v>14704.495186947388</v>
      </c>
      <c r="I78" s="232">
        <f t="shared" si="58"/>
        <v>14258.911586756098</v>
      </c>
      <c r="J78" s="232">
        <f t="shared" si="58"/>
        <v>14411.842375729299</v>
      </c>
      <c r="K78" s="232">
        <f t="shared" si="58"/>
        <v>14579.263049837715</v>
      </c>
      <c r="L78" s="232">
        <f t="shared" si="58"/>
        <v>14501.433505046973</v>
      </c>
      <c r="M78" s="232">
        <f>M$63</f>
        <v>16694.791322779351</v>
      </c>
      <c r="N78" s="232">
        <f>AVERAGE(B78:M78)</f>
        <v>14165.027167864197</v>
      </c>
    </row>
    <row r="79" spans="1:62" ht="15.75">
      <c r="A79" s="236" t="s">
        <v>244</v>
      </c>
      <c r="B79" s="235">
        <f>AVERAGE(B78,B76,B77)</f>
        <v>12327.832583894124</v>
      </c>
      <c r="C79" s="235">
        <f t="shared" ref="C79:M79" si="59">AVERAGE(C78,C76,C77)</f>
        <v>12542.011114813664</v>
      </c>
      <c r="D79" s="235">
        <f t="shared" si="59"/>
        <v>13518.019432259011</v>
      </c>
      <c r="E79" s="235">
        <f t="shared" si="59"/>
        <v>13561.42384987993</v>
      </c>
      <c r="F79" s="235">
        <f t="shared" si="59"/>
        <v>13663.183735733206</v>
      </c>
      <c r="G79" s="235">
        <f t="shared" si="59"/>
        <v>14396.570507848004</v>
      </c>
      <c r="H79" s="235">
        <f t="shared" si="59"/>
        <v>14506.402817999397</v>
      </c>
      <c r="I79" s="235">
        <f t="shared" si="59"/>
        <v>14095.496688548248</v>
      </c>
      <c r="J79" s="235">
        <f t="shared" si="59"/>
        <v>14400.744343412749</v>
      </c>
      <c r="K79" s="235">
        <f t="shared" si="59"/>
        <v>14561.036637742574</v>
      </c>
      <c r="L79" s="235">
        <f t="shared" si="59"/>
        <v>14409.255680756398</v>
      </c>
      <c r="M79" s="235">
        <f t="shared" si="59"/>
        <v>16712.375554476046</v>
      </c>
      <c r="N79" s="235">
        <f>AVERAGE(B79:M79)</f>
        <v>14057.862745613615</v>
      </c>
    </row>
    <row r="81" spans="1:16" ht="18">
      <c r="A81" s="266" t="s">
        <v>273</v>
      </c>
      <c r="B81" s="292">
        <v>12337</v>
      </c>
      <c r="C81" s="293">
        <v>12549</v>
      </c>
      <c r="D81" s="293">
        <v>13612</v>
      </c>
      <c r="E81" s="293">
        <v>13543</v>
      </c>
      <c r="F81" s="293">
        <v>13499</v>
      </c>
      <c r="G81" s="293">
        <v>14313</v>
      </c>
      <c r="H81" s="293">
        <v>14345</v>
      </c>
      <c r="I81" s="293">
        <v>13997</v>
      </c>
      <c r="J81" s="293">
        <v>14239</v>
      </c>
      <c r="K81" s="293">
        <v>14045</v>
      </c>
      <c r="L81" s="458">
        <f>L79*$M$82</f>
        <v>14300.160072592294</v>
      </c>
      <c r="M81" s="458">
        <v>17453</v>
      </c>
      <c r="N81" s="235">
        <f>AVERAGE(B81:M81)</f>
        <v>14019.346672716025</v>
      </c>
    </row>
    <row r="82" spans="1:16" ht="18">
      <c r="A82" s="268" t="s">
        <v>274</v>
      </c>
      <c r="B82" s="275">
        <f t="shared" ref="B82:G82" si="60">B81/B79</f>
        <v>1.0007436356750865</v>
      </c>
      <c r="C82" s="275">
        <f t="shared" si="60"/>
        <v>1.0005572379997401</v>
      </c>
      <c r="D82" s="275">
        <f t="shared" si="60"/>
        <v>1.0069522438706306</v>
      </c>
      <c r="E82" s="275">
        <f t="shared" si="60"/>
        <v>0.99864145165847817</v>
      </c>
      <c r="F82" s="275">
        <f t="shared" si="60"/>
        <v>0.9879834935320515</v>
      </c>
      <c r="G82" s="275">
        <f t="shared" si="60"/>
        <v>0.99419511002273442</v>
      </c>
      <c r="H82" s="275">
        <f>H81/H79</f>
        <v>0.9888736842603647</v>
      </c>
      <c r="I82" s="275">
        <f>I81/I79</f>
        <v>0.99301218745783748</v>
      </c>
      <c r="J82" s="275">
        <f>J81/J79</f>
        <v>0.98876833450024171</v>
      </c>
      <c r="K82" s="275">
        <f>K81/K79</f>
        <v>0.96456044644479544</v>
      </c>
      <c r="L82" s="275">
        <f>L81/L79</f>
        <v>0.99242878254219602</v>
      </c>
      <c r="M82" s="366">
        <f>AVERAGE(B82:K82)</f>
        <v>0.99242878254219602</v>
      </c>
    </row>
    <row r="83" spans="1:16">
      <c r="A83" s="268"/>
      <c r="B83" s="215"/>
    </row>
    <row r="84" spans="1:16" ht="18">
      <c r="A84" s="211" t="s">
        <v>5</v>
      </c>
      <c r="B84" s="331">
        <v>28.219770967741901</v>
      </c>
      <c r="C84" s="331">
        <v>27.884660714285701</v>
      </c>
      <c r="D84" s="331">
        <v>27.795558064516101</v>
      </c>
      <c r="E84" s="331">
        <v>27.93</v>
      </c>
      <c r="F84" s="331">
        <v>27.6</v>
      </c>
      <c r="G84" s="331">
        <v>27.239873333333321</v>
      </c>
      <c r="H84" s="331">
        <v>27.214548387096801</v>
      </c>
      <c r="I84" s="331">
        <v>26.76</v>
      </c>
      <c r="J84" s="331">
        <v>26.73</v>
      </c>
      <c r="K84" s="331">
        <v>26.37</v>
      </c>
      <c r="L84" s="331">
        <v>26.45</v>
      </c>
      <c r="M84" s="331">
        <v>27.21</v>
      </c>
      <c r="N84" s="367">
        <f>AVERAGE(B84:M84)</f>
        <v>27.28370095558115</v>
      </c>
    </row>
    <row r="85" spans="1:16">
      <c r="C85" s="215">
        <f t="shared" ref="C85:M85" si="61">C84/B84-1</f>
        <v>-1.1875016768891022E-2</v>
      </c>
      <c r="D85" s="215">
        <f t="shared" si="61"/>
        <v>-3.1954001765548412E-3</v>
      </c>
      <c r="E85" s="215">
        <f t="shared" si="61"/>
        <v>4.8368136797918293E-3</v>
      </c>
      <c r="F85" s="215">
        <f t="shared" si="61"/>
        <v>-1.1815252416756072E-2</v>
      </c>
      <c r="G85" s="215">
        <f t="shared" si="61"/>
        <v>-1.3048067632850713E-2</v>
      </c>
      <c r="H85" s="215">
        <f t="shared" si="61"/>
        <v>-9.2970132153769036E-4</v>
      </c>
      <c r="I85" s="215">
        <f t="shared" si="61"/>
        <v>-1.6702404193204012E-2</v>
      </c>
      <c r="J85" s="215">
        <f t="shared" si="61"/>
        <v>-1.1210762331839152E-3</v>
      </c>
      <c r="K85" s="215">
        <f t="shared" si="61"/>
        <v>-1.3468013468013407E-2</v>
      </c>
      <c r="L85" s="215">
        <f t="shared" si="61"/>
        <v>3.0337504740234333E-3</v>
      </c>
      <c r="M85" s="215">
        <f t="shared" si="61"/>
        <v>2.8733459357277891E-2</v>
      </c>
    </row>
    <row r="86" spans="1:16" ht="15.75">
      <c r="A86" s="236" t="s">
        <v>246</v>
      </c>
      <c r="B86" s="219">
        <f t="shared" ref="B86:N86" si="62">B81/B84</f>
        <v>437.17576638387527</v>
      </c>
      <c r="C86" s="219">
        <f t="shared" si="62"/>
        <v>450.03237186855824</v>
      </c>
      <c r="D86" s="219">
        <f t="shared" si="62"/>
        <v>489.71853590437973</v>
      </c>
      <c r="E86" s="219">
        <f t="shared" si="62"/>
        <v>484.89079842463303</v>
      </c>
      <c r="F86" s="219">
        <f t="shared" si="62"/>
        <v>489.09420289855069</v>
      </c>
      <c r="G86" s="219">
        <f t="shared" si="62"/>
        <v>525.44297195704064</v>
      </c>
      <c r="H86" s="219">
        <f t="shared" si="62"/>
        <v>527.10777323798527</v>
      </c>
      <c r="I86" s="219">
        <f t="shared" si="62"/>
        <v>523.05680119581461</v>
      </c>
      <c r="J86" s="219">
        <f t="shared" si="62"/>
        <v>532.69734380845489</v>
      </c>
      <c r="K86" s="219">
        <f t="shared" si="62"/>
        <v>532.61281759575274</v>
      </c>
      <c r="L86" s="219">
        <f t="shared" si="62"/>
        <v>540.64877401105082</v>
      </c>
      <c r="M86" s="219">
        <f>M81/M84</f>
        <v>641.41859610437336</v>
      </c>
      <c r="N86" s="219">
        <f t="shared" si="62"/>
        <v>513.83595999457793</v>
      </c>
      <c r="P86" s="215">
        <f>N86/AVERAGEA(AL41:AW41)</f>
        <v>1.1930434345546272</v>
      </c>
    </row>
    <row r="87" spans="1:16">
      <c r="D87" s="215">
        <f t="shared" ref="D87:M87" si="63">D86/C86-1</f>
        <v>8.8185131818500961E-2</v>
      </c>
      <c r="E87" s="215">
        <f t="shared" si="63"/>
        <v>-9.8581881750323674E-3</v>
      </c>
      <c r="F87" s="215">
        <f t="shared" si="63"/>
        <v>8.6687651891397266E-3</v>
      </c>
      <c r="G87" s="215">
        <f t="shared" si="63"/>
        <v>7.431854404136029E-2</v>
      </c>
      <c r="H87" s="215">
        <f t="shared" si="63"/>
        <v>3.1683767217287606E-3</v>
      </c>
      <c r="I87" s="215">
        <f t="shared" si="63"/>
        <v>-7.6852823043869201E-3</v>
      </c>
      <c r="J87" s="215">
        <f t="shared" si="63"/>
        <v>1.8431158127759861E-2</v>
      </c>
      <c r="K87" s="215">
        <f t="shared" si="63"/>
        <v>-1.5867586667095424E-4</v>
      </c>
      <c r="L87" s="215">
        <f t="shared" si="63"/>
        <v>1.5087801400598844E-2</v>
      </c>
      <c r="M87" s="215">
        <f t="shared" si="63"/>
        <v>0.18638685027567048</v>
      </c>
    </row>
    <row r="88" spans="1:16">
      <c r="I88" s="215">
        <f>I81/H81-1</f>
        <v>-2.4259323806204214E-2</v>
      </c>
      <c r="J88" s="215">
        <f>J81/I81-1</f>
        <v>1.7289419161248931E-2</v>
      </c>
      <c r="K88" s="215">
        <f>K81/J81-1</f>
        <v>-1.3624552285975144E-2</v>
      </c>
      <c r="L88" s="215">
        <f>L81/K81-1</f>
        <v>1.8167324499273274E-2</v>
      </c>
      <c r="M88" s="215">
        <f>M81/L81-1</f>
        <v>0.22047584862007552</v>
      </c>
    </row>
    <row r="89" spans="1:16" ht="18">
      <c r="A89" s="266" t="s">
        <v>273</v>
      </c>
      <c r="B89" s="274">
        <f>B81/B84</f>
        <v>437.17576638387527</v>
      </c>
      <c r="H89" s="336">
        <f>H81/B81</f>
        <v>1.1627624219826538</v>
      </c>
    </row>
    <row r="90" spans="1:16">
      <c r="A90" s="268" t="s">
        <v>274</v>
      </c>
      <c r="B90" s="275">
        <f>B89/B86</f>
        <v>1</v>
      </c>
    </row>
    <row r="91" spans="1:16">
      <c r="A91" s="268"/>
      <c r="G91" s="215">
        <f>G81/F81-1</f>
        <v>6.030076301948295E-2</v>
      </c>
      <c r="H91" s="215">
        <f>H81/G81-1</f>
        <v>2.2357297561657052E-3</v>
      </c>
      <c r="I91" s="215">
        <f>I81/H81-1</f>
        <v>-2.4259323806204214E-2</v>
      </c>
      <c r="J91" s="215">
        <f>J81/I81-1</f>
        <v>1.7289419161248931E-2</v>
      </c>
      <c r="N91" s="215">
        <f>K84/B84-1</f>
        <v>-6.5548759054649297E-2</v>
      </c>
    </row>
    <row r="92" spans="1:16" ht="18">
      <c r="A92" s="237" t="s">
        <v>242</v>
      </c>
      <c r="G92" s="215">
        <f>G86/F86-1</f>
        <v>7.431854404136029E-2</v>
      </c>
      <c r="H92" s="215">
        <f>H86/G86-1</f>
        <v>3.1683767217287606E-3</v>
      </c>
      <c r="I92" s="215">
        <f>I86/H86-1</f>
        <v>-7.6852823043869201E-3</v>
      </c>
      <c r="J92" s="215">
        <f>J86/I86-1</f>
        <v>1.8431158127759861E-2</v>
      </c>
    </row>
    <row r="93" spans="1:16">
      <c r="J93" s="234">
        <v>2021</v>
      </c>
    </row>
    <row r="94" spans="1:16" ht="15.75">
      <c r="A94" s="233" t="s">
        <v>227</v>
      </c>
      <c r="J94" s="177">
        <v>13600</v>
      </c>
    </row>
    <row r="95" spans="1:16" ht="15.75">
      <c r="A95" s="233" t="s">
        <v>228</v>
      </c>
      <c r="J95" s="177">
        <v>13183</v>
      </c>
    </row>
    <row r="97" spans="1:27">
      <c r="B97" s="933">
        <v>2020</v>
      </c>
      <c r="C97" s="933"/>
      <c r="D97" s="933"/>
      <c r="E97" s="933"/>
      <c r="F97" s="933">
        <v>2021</v>
      </c>
      <c r="G97" s="933"/>
      <c r="H97" s="933"/>
      <c r="I97" s="933"/>
      <c r="J97" s="234">
        <v>2021</v>
      </c>
    </row>
    <row r="98" spans="1:27" ht="15.75">
      <c r="A98" s="233" t="s">
        <v>173</v>
      </c>
      <c r="B98" s="228" t="s">
        <v>230</v>
      </c>
      <c r="C98" s="228" t="s">
        <v>231</v>
      </c>
      <c r="D98" s="228" t="s">
        <v>232</v>
      </c>
      <c r="E98" s="228" t="s">
        <v>233</v>
      </c>
      <c r="F98" s="228" t="s">
        <v>230</v>
      </c>
      <c r="G98" s="228" t="s">
        <v>231</v>
      </c>
      <c r="H98" s="228" t="s">
        <v>232</v>
      </c>
      <c r="I98" s="228" t="s">
        <v>233</v>
      </c>
      <c r="W98" s="219"/>
    </row>
    <row r="99" spans="1:27">
      <c r="A99" s="216" t="s">
        <v>234</v>
      </c>
      <c r="B99" s="232">
        <f>AVERAGE(Z$29:AB$29)</f>
        <v>9629.6666666666661</v>
      </c>
      <c r="C99" s="232">
        <f>AVERAGE(AC$29:AE$29)</f>
        <v>10430.333333333334</v>
      </c>
      <c r="D99" s="232">
        <f>AVERAGE(AF$29:AH$29)</f>
        <v>10731.686666666666</v>
      </c>
      <c r="E99" s="232">
        <f>AVERAGE(AI$29:AK$29)</f>
        <v>11223.363333333333</v>
      </c>
    </row>
    <row r="100" spans="1:27">
      <c r="A100" s="216" t="s">
        <v>229</v>
      </c>
      <c r="F100" s="215">
        <v>0.13500000000000001</v>
      </c>
      <c r="G100" s="215">
        <v>0.21099999999999999</v>
      </c>
      <c r="H100" s="215">
        <v>0.16400000000000001</v>
      </c>
      <c r="I100" s="215">
        <v>0.13900000000000001</v>
      </c>
    </row>
    <row r="102" spans="1:27" ht="15.75">
      <c r="A102" s="211" t="s">
        <v>235</v>
      </c>
      <c r="F102" s="219">
        <f>B99*(1+F$100)</f>
        <v>10929.671666666665</v>
      </c>
      <c r="G102" s="219">
        <f>C99*(1+G$100)</f>
        <v>12631.133666666668</v>
      </c>
      <c r="H102" s="219">
        <f>D99*(1+H$100)</f>
        <v>12491.683279999999</v>
      </c>
      <c r="I102" s="219">
        <f>E99*(1+I$100)</f>
        <v>12783.410836666666</v>
      </c>
      <c r="J102" s="235">
        <f>AVERAGE(F102:I102)</f>
        <v>12208.974862499999</v>
      </c>
      <c r="N102" s="247">
        <f>N110/B110</f>
        <v>1.1500885615735994</v>
      </c>
      <c r="O102" s="247">
        <f t="shared" ref="O102:X102" si="64">O110/C110</f>
        <v>1.1569097446298515</v>
      </c>
      <c r="P102" s="247">
        <f t="shared" si="64"/>
        <v>1.1892364144679364</v>
      </c>
      <c r="Q102" s="247">
        <f t="shared" si="64"/>
        <v>1.2984659635666347</v>
      </c>
      <c r="R102" s="247">
        <f t="shared" si="64"/>
        <v>1.2804970593815215</v>
      </c>
      <c r="S102" s="247">
        <f t="shared" si="64"/>
        <v>1.2361171085585974</v>
      </c>
      <c r="T102" s="247">
        <f t="shared" si="64"/>
        <v>1.2152660115215181</v>
      </c>
      <c r="U102" s="247">
        <f t="shared" si="64"/>
        <v>1.2228726192556352</v>
      </c>
      <c r="V102" s="247">
        <f t="shared" si="64"/>
        <v>1.187771104437771</v>
      </c>
      <c r="W102" s="247">
        <f t="shared" si="64"/>
        <v>1.1536881879415146</v>
      </c>
      <c r="X102" s="247">
        <f t="shared" si="64"/>
        <v>1.1929315801577769</v>
      </c>
      <c r="Y102" s="247">
        <f>Y110/M110</f>
        <v>1.2309048592989633</v>
      </c>
    </row>
    <row r="103" spans="1:27">
      <c r="N103" s="247">
        <f>N113/B113</f>
        <v>1.90625</v>
      </c>
      <c r="O103" s="247">
        <f t="shared" ref="O103:X103" si="65">O113/C113</f>
        <v>3.125</v>
      </c>
      <c r="P103" s="247">
        <f t="shared" si="65"/>
        <v>3.6956521739130439</v>
      </c>
      <c r="Q103" s="247">
        <f t="shared" si="65"/>
        <v>4</v>
      </c>
      <c r="R103" s="247">
        <f t="shared" si="65"/>
        <v>5.5882352941176467</v>
      </c>
      <c r="S103" s="247">
        <f t="shared" si="65"/>
        <v>3.9583333333333335</v>
      </c>
      <c r="T103" s="247">
        <f t="shared" si="65"/>
        <v>4.25</v>
      </c>
      <c r="U103" s="247">
        <f t="shared" si="65"/>
        <v>4.0799999999999992</v>
      </c>
      <c r="V103" s="247">
        <f t="shared" si="65"/>
        <v>4.7705856992581861</v>
      </c>
      <c r="W103" s="247">
        <f t="shared" si="65"/>
        <v>4.315770607053941</v>
      </c>
      <c r="X103" s="247">
        <f t="shared" si="65"/>
        <v>2.1905439983097734</v>
      </c>
      <c r="Y103" s="247">
        <f>Y113/M113</f>
        <v>2.7934874858297896</v>
      </c>
    </row>
    <row r="104" spans="1:27">
      <c r="N104" s="247">
        <f>N102/N103</f>
        <v>0.60332514705500295</v>
      </c>
      <c r="O104" s="247">
        <f t="shared" ref="O104:X104" si="66">O102/O103</f>
        <v>0.37021111828155251</v>
      </c>
      <c r="P104" s="247">
        <f t="shared" si="66"/>
        <v>0.32179338273838276</v>
      </c>
      <c r="Q104" s="247">
        <f t="shared" si="66"/>
        <v>0.32461649089165867</v>
      </c>
      <c r="R104" s="247">
        <f t="shared" si="66"/>
        <v>0.22914157904721966</v>
      </c>
      <c r="S104" s="247">
        <f t="shared" si="66"/>
        <v>0.31228221689901403</v>
      </c>
      <c r="T104" s="247">
        <f t="shared" si="66"/>
        <v>0.28594494388741604</v>
      </c>
      <c r="U104" s="247">
        <f t="shared" si="66"/>
        <v>0.29972368119010673</v>
      </c>
      <c r="V104" s="247">
        <f t="shared" si="66"/>
        <v>0.24897804574026758</v>
      </c>
      <c r="W104" s="247">
        <f t="shared" si="66"/>
        <v>0.26731916336235784</v>
      </c>
      <c r="X104" s="247">
        <f t="shared" si="66"/>
        <v>0.54458234168236042</v>
      </c>
      <c r="Y104" s="247">
        <f>Y102/Y103</f>
        <v>0.44063374743679229</v>
      </c>
    </row>
    <row r="108" spans="1:27">
      <c r="B108" s="956">
        <v>2020</v>
      </c>
      <c r="C108" s="956"/>
      <c r="D108" s="956"/>
      <c r="E108" s="956"/>
      <c r="F108" s="956"/>
      <c r="G108" s="956"/>
      <c r="H108" s="956"/>
      <c r="I108" s="956"/>
      <c r="J108" s="956"/>
      <c r="K108" s="956"/>
      <c r="L108" s="956"/>
      <c r="M108" s="956"/>
      <c r="N108" s="956">
        <v>2021</v>
      </c>
      <c r="O108" s="956"/>
      <c r="P108" s="956"/>
      <c r="Q108" s="956"/>
      <c r="R108" s="956"/>
      <c r="S108" s="956"/>
      <c r="T108" s="956"/>
      <c r="U108" s="956"/>
      <c r="V108" s="956"/>
      <c r="W108" s="956"/>
      <c r="X108" s="956"/>
      <c r="Y108" s="956"/>
    </row>
    <row r="109" spans="1:27" ht="20.25">
      <c r="B109" s="213">
        <v>1</v>
      </c>
      <c r="C109" s="213">
        <v>2</v>
      </c>
      <c r="D109" s="213">
        <v>3</v>
      </c>
      <c r="E109" s="213">
        <v>4</v>
      </c>
      <c r="F109" s="213">
        <v>5</v>
      </c>
      <c r="G109" s="213">
        <v>6</v>
      </c>
      <c r="H109" s="213">
        <v>7</v>
      </c>
      <c r="I109" s="213">
        <v>8</v>
      </c>
      <c r="J109" s="213">
        <v>9</v>
      </c>
      <c r="K109" s="213">
        <v>10</v>
      </c>
      <c r="L109" s="213">
        <v>11</v>
      </c>
      <c r="M109" s="213">
        <v>12</v>
      </c>
      <c r="N109" s="213">
        <v>1</v>
      </c>
      <c r="O109" s="213">
        <v>2</v>
      </c>
      <c r="P109" s="213">
        <v>3</v>
      </c>
      <c r="Q109" s="213">
        <v>4</v>
      </c>
      <c r="R109" s="213">
        <v>5</v>
      </c>
      <c r="S109" s="213">
        <v>6</v>
      </c>
      <c r="T109" s="213">
        <v>7</v>
      </c>
      <c r="U109" s="213">
        <v>8</v>
      </c>
      <c r="V109" s="213">
        <v>9</v>
      </c>
      <c r="W109" s="213">
        <v>10</v>
      </c>
      <c r="X109" s="213">
        <v>11</v>
      </c>
      <c r="Y109" s="213">
        <v>12</v>
      </c>
      <c r="AA109" s="330" t="s">
        <v>348</v>
      </c>
    </row>
    <row r="110" spans="1:27" ht="21.75">
      <c r="A110" s="222" t="s">
        <v>252</v>
      </c>
      <c r="B110" s="232">
        <f>AL$29</f>
        <v>10727</v>
      </c>
      <c r="C110" s="232">
        <f t="shared" ref="C110:M110" si="67">AM$29</f>
        <v>10847</v>
      </c>
      <c r="D110" s="232">
        <f t="shared" si="67"/>
        <v>11446</v>
      </c>
      <c r="E110" s="232">
        <f t="shared" si="67"/>
        <v>10430</v>
      </c>
      <c r="F110" s="232">
        <f t="shared" si="67"/>
        <v>10542</v>
      </c>
      <c r="G110" s="232">
        <f t="shared" si="67"/>
        <v>11579</v>
      </c>
      <c r="H110" s="232">
        <f t="shared" si="67"/>
        <v>11804</v>
      </c>
      <c r="I110" s="232">
        <f t="shared" si="67"/>
        <v>11446</v>
      </c>
      <c r="J110" s="232">
        <f t="shared" si="67"/>
        <v>11988</v>
      </c>
      <c r="K110" s="232">
        <f>AU$29</f>
        <v>12174</v>
      </c>
      <c r="L110" s="232">
        <f>AV$29</f>
        <v>11987.410099999999</v>
      </c>
      <c r="M110" s="232">
        <f t="shared" si="67"/>
        <v>14179</v>
      </c>
      <c r="N110" s="232">
        <f t="shared" ref="N110:X110" si="68">B$81</f>
        <v>12337</v>
      </c>
      <c r="O110" s="232">
        <f t="shared" si="68"/>
        <v>12549</v>
      </c>
      <c r="P110" s="232">
        <f t="shared" si="68"/>
        <v>13612</v>
      </c>
      <c r="Q110" s="232">
        <f t="shared" si="68"/>
        <v>13543</v>
      </c>
      <c r="R110" s="232">
        <f t="shared" si="68"/>
        <v>13499</v>
      </c>
      <c r="S110" s="232">
        <f t="shared" si="68"/>
        <v>14313</v>
      </c>
      <c r="T110" s="232">
        <f t="shared" si="68"/>
        <v>14345</v>
      </c>
      <c r="U110" s="232">
        <f t="shared" si="68"/>
        <v>13997</v>
      </c>
      <c r="V110" s="232">
        <f t="shared" si="68"/>
        <v>14239</v>
      </c>
      <c r="W110" s="232">
        <f t="shared" si="68"/>
        <v>14045</v>
      </c>
      <c r="X110" s="232">
        <f t="shared" si="68"/>
        <v>14300.160072592294</v>
      </c>
      <c r="Y110" s="232">
        <f>M$81</f>
        <v>17453</v>
      </c>
      <c r="AA110" s="215">
        <f>AVERAGE(N110:Y110)/AVERAGE(B110:M110)-1</f>
        <v>0.2090037604305468</v>
      </c>
    </row>
    <row r="111" spans="1:27" ht="21.75">
      <c r="A111" s="222" t="s">
        <v>251</v>
      </c>
      <c r="B111" s="232">
        <f>AL$41</f>
        <v>444.74661558734994</v>
      </c>
      <c r="C111" s="232">
        <f t="shared" ref="C111:M111" si="69">AM$41</f>
        <v>440.99727014974906</v>
      </c>
      <c r="D111" s="232">
        <f t="shared" si="69"/>
        <v>433.35880615710346</v>
      </c>
      <c r="E111" s="232">
        <f t="shared" si="69"/>
        <v>383.10864319545681</v>
      </c>
      <c r="F111" s="232">
        <f t="shared" si="69"/>
        <v>393.14800632593904</v>
      </c>
      <c r="G111" s="232">
        <f t="shared" si="69"/>
        <v>433.55117188119181</v>
      </c>
      <c r="H111" s="232">
        <f t="shared" si="69"/>
        <v>432.17770680927566</v>
      </c>
      <c r="I111" s="232">
        <f t="shared" si="69"/>
        <v>415.8942477647908</v>
      </c>
      <c r="J111" s="232">
        <f t="shared" si="69"/>
        <v>428.70052507589355</v>
      </c>
      <c r="K111" s="232">
        <f t="shared" si="69"/>
        <v>433.23843416370107</v>
      </c>
      <c r="L111" s="232">
        <f t="shared" si="69"/>
        <v>426.59822419928821</v>
      </c>
      <c r="M111" s="232">
        <f t="shared" si="69"/>
        <v>502.80141843971631</v>
      </c>
      <c r="N111" s="232">
        <f>B$86</f>
        <v>437.17576638387527</v>
      </c>
      <c r="O111" s="232">
        <f t="shared" ref="O111:W111" si="70">C$86</f>
        <v>450.03237186855824</v>
      </c>
      <c r="P111" s="232">
        <f t="shared" si="70"/>
        <v>489.71853590437973</v>
      </c>
      <c r="Q111" s="232">
        <f>E$86</f>
        <v>484.89079842463303</v>
      </c>
      <c r="R111" s="232">
        <f t="shared" si="70"/>
        <v>489.09420289855069</v>
      </c>
      <c r="S111" s="232">
        <f t="shared" si="70"/>
        <v>525.44297195704064</v>
      </c>
      <c r="T111" s="232">
        <f t="shared" si="70"/>
        <v>527.10777323798527</v>
      </c>
      <c r="U111" s="232">
        <f t="shared" si="70"/>
        <v>523.05680119581461</v>
      </c>
      <c r="V111" s="232">
        <f t="shared" si="70"/>
        <v>532.69734380845489</v>
      </c>
      <c r="W111" s="232">
        <f t="shared" si="70"/>
        <v>532.61281759575274</v>
      </c>
      <c r="X111" s="232">
        <f>L$86</f>
        <v>540.64877401105082</v>
      </c>
      <c r="Y111" s="232">
        <f>M$86</f>
        <v>641.41859610437336</v>
      </c>
      <c r="AA111" s="215">
        <f>AVERAGE(N111:Y111)/AVERAGE(B111:M111)-1</f>
        <v>0.1945652505078912</v>
      </c>
    </row>
    <row r="113" spans="1:26">
      <c r="A113" s="178" t="s">
        <v>248</v>
      </c>
      <c r="B113" s="215">
        <v>3.2000000000000001E-2</v>
      </c>
      <c r="C113" s="215">
        <v>2.4E-2</v>
      </c>
      <c r="D113" s="215">
        <v>2.3E-2</v>
      </c>
      <c r="E113" s="215">
        <v>2.1000000000000001E-2</v>
      </c>
      <c r="F113" s="215">
        <v>1.7000000000000001E-2</v>
      </c>
      <c r="G113" s="215">
        <v>2.4E-2</v>
      </c>
      <c r="H113" s="215">
        <v>2.4E-2</v>
      </c>
      <c r="I113" s="215">
        <v>2.5000000000000001E-2</v>
      </c>
      <c r="J113" s="215">
        <v>2.3057965401838337E-2</v>
      </c>
      <c r="K113" s="215">
        <v>2.5256207969405094E-2</v>
      </c>
      <c r="L113" s="215">
        <v>4.7020283582285924E-2</v>
      </c>
      <c r="M113" s="215">
        <v>3.5797547154679872E-2</v>
      </c>
      <c r="N113" s="215">
        <f t="array" ref="N113:Y113">TRANSPOSE('ІСЦ (Стрим Інфл)'!J110:J121)</f>
        <v>6.0999999999999999E-2</v>
      </c>
      <c r="O113" s="215">
        <v>7.4999999999999997E-2</v>
      </c>
      <c r="P113" s="215">
        <v>8.5000000000000006E-2</v>
      </c>
      <c r="Q113" s="215">
        <v>8.4000000000000005E-2</v>
      </c>
      <c r="R113" s="215">
        <v>9.5000000000000001E-2</v>
      </c>
      <c r="S113" s="215">
        <v>9.5000000000000001E-2</v>
      </c>
      <c r="T113" s="215">
        <v>0.10199999999999999</v>
      </c>
      <c r="U113" s="215">
        <v>0.10199999999999999</v>
      </c>
      <c r="V113" s="215">
        <v>0.11</v>
      </c>
      <c r="W113" s="215">
        <v>0.109</v>
      </c>
      <c r="X113" s="215">
        <v>0.10299999999999999</v>
      </c>
      <c r="Y113" s="215">
        <v>0.1</v>
      </c>
    </row>
    <row r="114" spans="1:26">
      <c r="A114" s="178" t="s">
        <v>5</v>
      </c>
      <c r="B114" s="218">
        <f>AL$37</f>
        <v>24.119351612903227</v>
      </c>
      <c r="C114" s="218">
        <f t="shared" ref="C114:M114" si="71">AM$37</f>
        <v>24.596524137931045</v>
      </c>
      <c r="D114" s="218">
        <f t="shared" si="71"/>
        <v>26.412293548387101</v>
      </c>
      <c r="E114" s="218">
        <f t="shared" si="71"/>
        <v>27.224653333333325</v>
      </c>
      <c r="F114" s="218">
        <f t="shared" si="71"/>
        <v>26.814329032258055</v>
      </c>
      <c r="G114" s="218">
        <f t="shared" si="71"/>
        <v>26.707343333333327</v>
      </c>
      <c r="H114" s="218">
        <f t="shared" si="71"/>
        <v>27.312838709677415</v>
      </c>
      <c r="I114" s="218">
        <f t="shared" si="71"/>
        <v>27.521419354838709</v>
      </c>
      <c r="J114" s="218">
        <f t="shared" si="71"/>
        <v>27.963576666666654</v>
      </c>
      <c r="K114" s="218">
        <f t="shared" si="71"/>
        <v>28.1</v>
      </c>
      <c r="L114" s="218">
        <f t="shared" si="71"/>
        <v>28.1</v>
      </c>
      <c r="M114" s="218">
        <f t="shared" si="71"/>
        <v>28.2</v>
      </c>
      <c r="N114" s="218">
        <v>28.22</v>
      </c>
      <c r="O114" s="218">
        <v>27.88</v>
      </c>
      <c r="P114" s="218">
        <v>27.975239411213717</v>
      </c>
      <c r="Q114" s="218">
        <v>27.848981480104225</v>
      </c>
      <c r="R114" s="218">
        <v>27.754860459665828</v>
      </c>
      <c r="S114" s="218">
        <v>27.581472953563082</v>
      </c>
      <c r="T114" s="218">
        <v>27.545007922813518</v>
      </c>
      <c r="U114" s="218">
        <v>27.337591608669246</v>
      </c>
      <c r="V114" s="218">
        <v>27.220670348433924</v>
      </c>
      <c r="W114" s="218">
        <v>27.157215543349967</v>
      </c>
      <c r="X114" s="218">
        <v>27.120803380056323</v>
      </c>
      <c r="Y114" s="218">
        <v>27.226694548908714</v>
      </c>
      <c r="Z114" s="218"/>
    </row>
    <row r="116" spans="1:26" ht="21.75">
      <c r="A116" s="222" t="s">
        <v>250</v>
      </c>
      <c r="B116" s="246">
        <f t="shared" ref="B116:X116" si="72">B110*(1-B$113)</f>
        <v>10383.735999999999</v>
      </c>
      <c r="C116" s="246">
        <f t="shared" si="72"/>
        <v>10586.672</v>
      </c>
      <c r="D116" s="246">
        <f t="shared" si="72"/>
        <v>11182.742</v>
      </c>
      <c r="E116" s="246">
        <f t="shared" si="72"/>
        <v>10210.969999999999</v>
      </c>
      <c r="F116" s="246">
        <f t="shared" si="72"/>
        <v>10362.786</v>
      </c>
      <c r="G116" s="246">
        <f t="shared" si="72"/>
        <v>11301.103999999999</v>
      </c>
      <c r="H116" s="246">
        <f t="shared" si="72"/>
        <v>11520.704</v>
      </c>
      <c r="I116" s="246">
        <f t="shared" si="72"/>
        <v>11159.85</v>
      </c>
      <c r="J116" s="246">
        <f t="shared" si="72"/>
        <v>11711.581110762761</v>
      </c>
      <c r="K116" s="246">
        <f t="shared" si="72"/>
        <v>11866.530924180463</v>
      </c>
      <c r="L116" s="246">
        <f t="shared" si="72"/>
        <v>11423.75867768084</v>
      </c>
      <c r="M116" s="246">
        <f t="shared" si="72"/>
        <v>13671.426578893794</v>
      </c>
      <c r="N116" s="246">
        <f t="shared" si="72"/>
        <v>11584.443000000001</v>
      </c>
      <c r="O116" s="246">
        <f t="shared" si="72"/>
        <v>11607.825000000001</v>
      </c>
      <c r="P116" s="246">
        <f t="shared" si="72"/>
        <v>12454.980000000001</v>
      </c>
      <c r="Q116" s="246">
        <f t="shared" si="72"/>
        <v>12405.388000000001</v>
      </c>
      <c r="R116" s="246">
        <f t="shared" si="72"/>
        <v>12216.595000000001</v>
      </c>
      <c r="S116" s="246">
        <f>S110*(1-S$113)</f>
        <v>12953.265000000001</v>
      </c>
      <c r="T116" s="246">
        <f t="shared" si="72"/>
        <v>12881.81</v>
      </c>
      <c r="U116" s="246">
        <f t="shared" si="72"/>
        <v>12569.306</v>
      </c>
      <c r="V116" s="246">
        <f t="shared" si="72"/>
        <v>12672.710000000001</v>
      </c>
      <c r="W116" s="246">
        <f t="shared" si="72"/>
        <v>12514.094999999999</v>
      </c>
      <c r="X116" s="246">
        <f t="shared" si="72"/>
        <v>12827.243585115288</v>
      </c>
      <c r="Y116" s="246">
        <f>Y110*(1-Y$113)</f>
        <v>15707.7</v>
      </c>
    </row>
    <row r="117" spans="1:26" ht="21.75">
      <c r="A117" s="222" t="s">
        <v>249</v>
      </c>
      <c r="B117" s="246">
        <f>B$116/B$114</f>
        <v>430.51472388855467</v>
      </c>
      <c r="C117" s="246">
        <f t="shared" ref="C117:X117" si="73">C$116/C$114</f>
        <v>430.41333566615509</v>
      </c>
      <c r="D117" s="246">
        <f t="shared" si="73"/>
        <v>423.39155361549007</v>
      </c>
      <c r="E117" s="246">
        <f t="shared" si="73"/>
        <v>375.06336168835219</v>
      </c>
      <c r="F117" s="246">
        <f t="shared" si="73"/>
        <v>386.46449021839805</v>
      </c>
      <c r="G117" s="246">
        <f t="shared" si="73"/>
        <v>423.14594375604321</v>
      </c>
      <c r="H117" s="246">
        <f t="shared" si="73"/>
        <v>421.80544184585301</v>
      </c>
      <c r="I117" s="246">
        <f t="shared" si="73"/>
        <v>405.4968915706711</v>
      </c>
      <c r="J117" s="246">
        <f t="shared" si="73"/>
        <v>418.81556320094364</v>
      </c>
      <c r="K117" s="246">
        <f t="shared" si="73"/>
        <v>422.29647417012319</v>
      </c>
      <c r="L117" s="246">
        <f t="shared" si="73"/>
        <v>406.53945472173808</v>
      </c>
      <c r="M117" s="246">
        <f t="shared" si="73"/>
        <v>484.80236095368065</v>
      </c>
      <c r="N117" s="246">
        <f t="shared" si="73"/>
        <v>410.5047129695252</v>
      </c>
      <c r="O117" s="246">
        <f t="shared" si="73"/>
        <v>416.34953371592542</v>
      </c>
      <c r="P117" s="246">
        <f t="shared" si="73"/>
        <v>445.21442039947271</v>
      </c>
      <c r="Q117" s="246">
        <f t="shared" si="73"/>
        <v>445.45212573977312</v>
      </c>
      <c r="R117" s="246">
        <f t="shared" si="73"/>
        <v>440.16056278695811</v>
      </c>
      <c r="S117" s="246">
        <f t="shared" si="73"/>
        <v>469.63644841624193</v>
      </c>
      <c r="T117" s="246">
        <f t="shared" si="73"/>
        <v>467.66405136267679</v>
      </c>
      <c r="U117" s="246">
        <f t="shared" si="73"/>
        <v>459.78102899210938</v>
      </c>
      <c r="V117" s="246">
        <f t="shared" si="73"/>
        <v>465.55466260694402</v>
      </c>
      <c r="W117" s="246">
        <f t="shared" si="73"/>
        <v>460.80184398964815</v>
      </c>
      <c r="X117" s="246">
        <f t="shared" si="73"/>
        <v>472.96694737840943</v>
      </c>
      <c r="Y117" s="246">
        <f>Y$116/Y$114</f>
        <v>576.92276863735515</v>
      </c>
    </row>
    <row r="119" spans="1:26">
      <c r="A119" s="176" t="s">
        <v>254</v>
      </c>
      <c r="N119" s="329">
        <f t="shared" ref="N119:X119" si="74">N$110/B$110-1</f>
        <v>0.1500885615735994</v>
      </c>
      <c r="O119" s="329">
        <f t="shared" si="74"/>
        <v>0.15690974462985152</v>
      </c>
      <c r="P119" s="329">
        <f t="shared" si="74"/>
        <v>0.18923641446793638</v>
      </c>
      <c r="Q119" s="329">
        <f t="shared" si="74"/>
        <v>0.29846596356663468</v>
      </c>
      <c r="R119" s="329">
        <f t="shared" si="74"/>
        <v>0.28049705938152147</v>
      </c>
      <c r="S119" s="329">
        <f t="shared" si="74"/>
        <v>0.23611710855859736</v>
      </c>
      <c r="T119" s="329">
        <f>T$110/H$110-1</f>
        <v>0.21526601152151814</v>
      </c>
      <c r="U119" s="329">
        <f t="shared" si="74"/>
        <v>0.22287261925563517</v>
      </c>
      <c r="V119" s="329">
        <f t="shared" si="74"/>
        <v>0.18777110443777101</v>
      </c>
      <c r="W119" s="329">
        <f t="shared" si="74"/>
        <v>0.15368818794151462</v>
      </c>
      <c r="X119" s="329">
        <f t="shared" si="74"/>
        <v>0.19293158015777689</v>
      </c>
      <c r="Y119" s="329">
        <f>Y$110/M$110-1</f>
        <v>0.23090485929896332</v>
      </c>
    </row>
    <row r="120" spans="1:26">
      <c r="A120" s="176" t="s">
        <v>253</v>
      </c>
    </row>
    <row r="121" spans="1:26" ht="21.75">
      <c r="A121" s="222" t="s">
        <v>258</v>
      </c>
    </row>
    <row r="122" spans="1:26">
      <c r="A122" s="176" t="s">
        <v>254</v>
      </c>
      <c r="I122" s="247"/>
      <c r="J122" s="247"/>
      <c r="K122" s="247"/>
      <c r="L122" s="247"/>
      <c r="M122" s="247"/>
      <c r="N122" s="247">
        <f t="shared" ref="N122:X122" si="75">N$116/B$116-1</f>
        <v>0.11563342904711771</v>
      </c>
      <c r="O122" s="247">
        <f t="shared" si="75"/>
        <v>9.6456469039562176E-2</v>
      </c>
      <c r="P122" s="247">
        <f t="shared" si="75"/>
        <v>0.11376798284356382</v>
      </c>
      <c r="Q122" s="247">
        <f t="shared" si="75"/>
        <v>0.21490788828093721</v>
      </c>
      <c r="R122" s="247">
        <f t="shared" si="75"/>
        <v>0.17889098549366955</v>
      </c>
      <c r="S122" s="247">
        <f t="shared" si="75"/>
        <v>0.14619465496468331</v>
      </c>
      <c r="T122" s="247">
        <f t="shared" si="75"/>
        <v>0.11814434256795425</v>
      </c>
      <c r="U122" s="247">
        <f>U$116/I$116-1</f>
        <v>0.12629703804262604</v>
      </c>
      <c r="V122" s="247">
        <f t="shared" si="75"/>
        <v>8.2066535692091769E-2</v>
      </c>
      <c r="W122" s="247">
        <f t="shared" si="75"/>
        <v>5.4570630621287419E-2</v>
      </c>
      <c r="X122" s="247">
        <f t="shared" si="75"/>
        <v>0.1228566662718904</v>
      </c>
    </row>
    <row r="123" spans="1:26">
      <c r="A123" s="176" t="s">
        <v>253</v>
      </c>
      <c r="B123" s="247">
        <f>B$111/Z$41-1</f>
        <v>0.34437479416864925</v>
      </c>
      <c r="C123" s="247">
        <f t="shared" ref="C123:L123" si="76">C$111/AA$41-1</f>
        <v>0.31538436032465844</v>
      </c>
      <c r="D123" s="247">
        <f t="shared" si="76"/>
        <v>0.1372032113928352</v>
      </c>
      <c r="E123" s="247">
        <f t="shared" si="76"/>
        <v>2.6444507005218831E-4</v>
      </c>
      <c r="F123" s="247">
        <f t="shared" si="76"/>
        <v>1.2871509545389515E-2</v>
      </c>
      <c r="G123" s="247">
        <f t="shared" si="76"/>
        <v>6.548771400008313E-2</v>
      </c>
      <c r="H123" s="247">
        <f t="shared" si="76"/>
        <v>1.4416344765852518E-2</v>
      </c>
      <c r="I123" s="247">
        <f t="shared" si="76"/>
        <v>-3.5040568108688497E-3</v>
      </c>
      <c r="J123" s="247">
        <f t="shared" si="76"/>
        <v>-6.387747777681585E-3</v>
      </c>
      <c r="K123" s="247">
        <f t="shared" si="76"/>
        <v>1.9136659654179766E-3</v>
      </c>
      <c r="L123" s="247">
        <f t="shared" si="76"/>
        <v>-2.6593885170241749E-2</v>
      </c>
      <c r="M123" s="247">
        <f>M$111/AK$41-1</f>
        <v>-3.2025849530612605E-2</v>
      </c>
      <c r="N123" s="329">
        <f t="shared" ref="N123:X123" si="77">N$111/B$111-1</f>
        <v>-1.7022837134974766E-2</v>
      </c>
      <c r="O123" s="329">
        <f t="shared" si="77"/>
        <v>2.0487885822379592E-2</v>
      </c>
      <c r="P123" s="329">
        <f t="shared" si="77"/>
        <v>0.13005326982289245</v>
      </c>
      <c r="Q123" s="329">
        <f t="shared" si="77"/>
        <v>0.26567439037716611</v>
      </c>
      <c r="R123" s="329">
        <f t="shared" si="77"/>
        <v>0.24404599547445627</v>
      </c>
      <c r="S123" s="329">
        <f t="shared" si="77"/>
        <v>0.21195145126036108</v>
      </c>
      <c r="T123" s="329">
        <f>T$111/H$111-1</f>
        <v>0.21965516715234745</v>
      </c>
      <c r="U123" s="329">
        <f t="shared" si="77"/>
        <v>0.25766779417355545</v>
      </c>
      <c r="V123" s="329">
        <f t="shared" si="77"/>
        <v>0.2425861706470982</v>
      </c>
      <c r="W123" s="329">
        <f>W$111/K$111-1</f>
        <v>0.22937573307381731</v>
      </c>
      <c r="X123" s="329">
        <f t="shared" si="77"/>
        <v>0.26734886209578579</v>
      </c>
      <c r="Y123" s="329">
        <f>Y$111/M$111-1</f>
        <v>0.27568971085008309</v>
      </c>
    </row>
    <row r="166" spans="38:41">
      <c r="AL166" s="161">
        <v>1</v>
      </c>
      <c r="AM166" s="161">
        <v>6500</v>
      </c>
      <c r="AO166" s="161">
        <v>6000</v>
      </c>
    </row>
    <row r="167" spans="38:41">
      <c r="AL167" s="161">
        <v>2</v>
      </c>
      <c r="AM167" s="161">
        <v>6500</v>
      </c>
      <c r="AO167" s="161">
        <v>6000</v>
      </c>
    </row>
    <row r="168" spans="38:41">
      <c r="AL168" s="161">
        <v>3</v>
      </c>
      <c r="AM168" s="161">
        <v>6500</v>
      </c>
      <c r="AO168" s="161">
        <v>6000</v>
      </c>
    </row>
    <row r="169" spans="38:41">
      <c r="AL169" s="161">
        <v>4</v>
      </c>
      <c r="AM169" s="161">
        <v>6500</v>
      </c>
      <c r="AO169" s="161">
        <v>6000</v>
      </c>
    </row>
    <row r="170" spans="38:41">
      <c r="AL170" s="161">
        <v>5</v>
      </c>
      <c r="AM170" s="161">
        <v>6500</v>
      </c>
      <c r="AO170" s="161">
        <v>6000</v>
      </c>
    </row>
    <row r="171" spans="38:41">
      <c r="AL171" s="161">
        <v>6</v>
      </c>
      <c r="AM171" s="161">
        <v>6500</v>
      </c>
      <c r="AO171" s="161">
        <v>6000</v>
      </c>
    </row>
    <row r="172" spans="38:41">
      <c r="AL172" s="161">
        <v>7</v>
      </c>
      <c r="AM172" s="161">
        <v>6500</v>
      </c>
      <c r="AO172" s="161">
        <v>6000</v>
      </c>
    </row>
    <row r="173" spans="38:41">
      <c r="AL173" s="161">
        <v>8</v>
      </c>
      <c r="AM173" s="161">
        <v>6500</v>
      </c>
      <c r="AO173" s="161">
        <v>6000</v>
      </c>
    </row>
    <row r="174" spans="38:41">
      <c r="AL174" s="161">
        <v>9</v>
      </c>
      <c r="AM174" s="161">
        <v>6500</v>
      </c>
      <c r="AO174" s="161">
        <v>6000</v>
      </c>
    </row>
    <row r="175" spans="38:41">
      <c r="AL175" s="161">
        <v>10</v>
      </c>
      <c r="AM175" s="161">
        <v>6700</v>
      </c>
      <c r="AO175" s="161">
        <v>6000</v>
      </c>
    </row>
    <row r="176" spans="38:41">
      <c r="AL176" s="161">
        <v>11</v>
      </c>
      <c r="AM176" s="161">
        <v>6700</v>
      </c>
      <c r="AO176" s="161">
        <v>6000</v>
      </c>
    </row>
    <row r="177" spans="38:41">
      <c r="AL177" s="161">
        <v>12</v>
      </c>
      <c r="AM177" s="161">
        <v>6700</v>
      </c>
      <c r="AO177" s="161">
        <v>6500</v>
      </c>
    </row>
    <row r="179" spans="38:41">
      <c r="AM179" s="215">
        <f>AVERAGE(AM166:AM177)/AVERAGE(AO166:AO177)</f>
        <v>1.0841379310344827</v>
      </c>
    </row>
    <row r="199" spans="1:13">
      <c r="B199" s="161">
        <v>1</v>
      </c>
      <c r="C199" s="161">
        <v>2</v>
      </c>
      <c r="D199" s="161">
        <v>3</v>
      </c>
      <c r="E199" s="161">
        <v>4</v>
      </c>
      <c r="F199" s="161">
        <v>5</v>
      </c>
      <c r="G199" s="161">
        <v>6</v>
      </c>
      <c r="H199" s="161">
        <v>7</v>
      </c>
      <c r="I199" s="161">
        <v>8</v>
      </c>
      <c r="J199" s="161">
        <v>9</v>
      </c>
      <c r="K199" s="161">
        <v>10</v>
      </c>
      <c r="L199" s="161">
        <v>11</v>
      </c>
      <c r="M199" s="161">
        <v>12</v>
      </c>
    </row>
    <row r="200" spans="1:13">
      <c r="A200" s="176" t="s">
        <v>286</v>
      </c>
      <c r="B200" s="298">
        <v>112.5</v>
      </c>
      <c r="C200" s="298">
        <v>112.2</v>
      </c>
      <c r="D200" s="298">
        <v>109.3</v>
      </c>
      <c r="E200" s="298">
        <v>99.6</v>
      </c>
      <c r="F200" s="298">
        <v>101.4</v>
      </c>
      <c r="G200" s="298">
        <v>104.8</v>
      </c>
      <c r="H200" s="298">
        <v>105.1</v>
      </c>
      <c r="I200" s="298">
        <v>106</v>
      </c>
      <c r="J200" s="298">
        <v>109.7</v>
      </c>
      <c r="K200" s="298">
        <v>110.6</v>
      </c>
      <c r="L200" s="298">
        <v>108.1</v>
      </c>
      <c r="M200" s="298">
        <v>110.1</v>
      </c>
    </row>
    <row r="201" spans="1:13">
      <c r="A201" s="176" t="s">
        <v>287</v>
      </c>
      <c r="B201" s="298">
        <v>108.3</v>
      </c>
      <c r="C201" s="298">
        <v>107.6</v>
      </c>
      <c r="D201" s="298">
        <v>109.5</v>
      </c>
      <c r="E201" s="298">
        <v>119.7</v>
      </c>
      <c r="F201" s="298">
        <v>116.8</v>
      </c>
      <c r="G201" s="298">
        <v>112.9</v>
      </c>
      <c r="H201" s="298">
        <v>110.2</v>
      </c>
      <c r="I201" s="298">
        <v>110.9</v>
      </c>
      <c r="J201" s="298">
        <v>106.9</v>
      </c>
      <c r="K201" s="298">
        <f>W116/K116*100</f>
        <v>105.45706306212874</v>
      </c>
      <c r="L201" s="298">
        <f>X116/L116*100</f>
        <v>112.28566662718904</v>
      </c>
      <c r="M201" s="298">
        <f>Y116/M116*100</f>
        <v>114.89437411198801</v>
      </c>
    </row>
    <row r="202" spans="1:13">
      <c r="A202" s="176" t="s">
        <v>288</v>
      </c>
      <c r="B202" s="232">
        <f>B110</f>
        <v>10727</v>
      </c>
      <c r="C202" s="232">
        <f t="shared" ref="C202:M202" si="78">C110</f>
        <v>10847</v>
      </c>
      <c r="D202" s="232">
        <f t="shared" si="78"/>
        <v>11446</v>
      </c>
      <c r="E202" s="232">
        <f t="shared" si="78"/>
        <v>10430</v>
      </c>
      <c r="F202" s="232">
        <f t="shared" si="78"/>
        <v>10542</v>
      </c>
      <c r="G202" s="232">
        <f t="shared" si="78"/>
        <v>11579</v>
      </c>
      <c r="H202" s="232">
        <f t="shared" si="78"/>
        <v>11804</v>
      </c>
      <c r="I202" s="232">
        <f t="shared" si="78"/>
        <v>11446</v>
      </c>
      <c r="J202" s="232">
        <f t="shared" si="78"/>
        <v>11988</v>
      </c>
      <c r="K202" s="232">
        <f t="shared" si="78"/>
        <v>12174</v>
      </c>
      <c r="L202" s="232">
        <f t="shared" si="78"/>
        <v>11987.410099999999</v>
      </c>
      <c r="M202" s="232">
        <f t="shared" si="78"/>
        <v>14179</v>
      </c>
    </row>
    <row r="203" spans="1:13">
      <c r="A203" s="176" t="s">
        <v>289</v>
      </c>
      <c r="B203" s="232">
        <f>N110</f>
        <v>12337</v>
      </c>
      <c r="C203" s="232">
        <v>12549</v>
      </c>
      <c r="D203" s="232">
        <v>13612</v>
      </c>
      <c r="E203" s="232">
        <v>13543</v>
      </c>
      <c r="F203" s="232">
        <v>13499</v>
      </c>
      <c r="G203" s="232">
        <f>S110</f>
        <v>14313</v>
      </c>
      <c r="H203" s="232">
        <f t="shared" ref="H203:M203" si="79">T110</f>
        <v>14345</v>
      </c>
      <c r="I203" s="232">
        <f t="shared" si="79"/>
        <v>13997</v>
      </c>
      <c r="J203" s="232">
        <f>V110</f>
        <v>14239</v>
      </c>
      <c r="K203" s="232">
        <f t="shared" si="79"/>
        <v>14045</v>
      </c>
      <c r="L203" s="232">
        <f t="shared" si="79"/>
        <v>14300.160072592294</v>
      </c>
      <c r="M203" s="232">
        <f t="shared" si="79"/>
        <v>17453</v>
      </c>
    </row>
  </sheetData>
  <mergeCells count="12">
    <mergeCell ref="B108:M108"/>
    <mergeCell ref="N108:Y108"/>
    <mergeCell ref="AX27:BI27"/>
    <mergeCell ref="F97:I97"/>
    <mergeCell ref="B97:E97"/>
    <mergeCell ref="B74:M74"/>
    <mergeCell ref="N74:N75"/>
    <mergeCell ref="A74:A75"/>
    <mergeCell ref="B27:M27"/>
    <mergeCell ref="N27:Y27"/>
    <mergeCell ref="Z27:AK27"/>
    <mergeCell ref="AL27:AW27"/>
  </mergeCells>
  <phoneticPr fontId="34" type="noConversion"/>
  <conditionalFormatting sqref="B58:M61">
    <cfRule type="colorScale" priority="2">
      <colorScale>
        <cfvo type="min"/>
        <cfvo type="percentile" val="50"/>
        <cfvo type="max"/>
        <color rgb="FFF8696B"/>
        <color rgb="FFFCFCFF"/>
        <color rgb="FF63BE7B"/>
      </colorScale>
    </cfRule>
  </conditionalFormatting>
  <conditionalFormatting sqref="B48:BI48">
    <cfRule type="colorScale" priority="1">
      <colorScale>
        <cfvo type="min"/>
        <cfvo type="percentile" val="50"/>
        <cfvo type="max"/>
        <color rgb="FFF8696B"/>
        <color rgb="FFFCFCFF"/>
        <color rgb="FF63BE7B"/>
      </colorScale>
    </cfRule>
  </conditionalFormatting>
  <hyperlinks>
    <hyperlink ref="A1" location="'1'!A1" display="to title" xr:uid="{00000000-0004-0000-0A00-000000000000}"/>
  </hyperlinks>
  <printOptions horizontalCentered="1"/>
  <pageMargins left="0.39370078740157483" right="0.31496062992125984" top="0.36" bottom="0.35433070866141736" header="0.23622047244094491" footer="0.19685039370078741"/>
  <pageSetup paperSize="8" scale="63" orientation="landscape" horizontalDpi="4294967295" verticalDpi="4294967295"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Аркуш9">
    <tabColor theme="5"/>
    <pageSetUpPr fitToPage="1"/>
  </sheetPr>
  <dimension ref="A1:BX174"/>
  <sheetViews>
    <sheetView topLeftCell="A4" zoomScale="70" zoomScaleNormal="70" zoomScaleSheetLayoutView="100" workbookViewId="0">
      <pane xSplit="1" ySplit="2" topLeftCell="E55" activePane="bottomRight" state="frozen"/>
      <selection activeCell="M246" sqref="M246"/>
      <selection pane="topRight" activeCell="M246" sqref="M246"/>
      <selection pane="bottomLeft" activeCell="M246" sqref="M246"/>
      <selection pane="bottomRight" activeCell="N92" sqref="M92:N92"/>
    </sheetView>
  </sheetViews>
  <sheetFormatPr defaultColWidth="9.09765625" defaultRowHeight="12.75" outlineLevelCol="1"/>
  <cols>
    <col min="1" max="1" width="41.3984375" style="176" customWidth="1"/>
    <col min="2" max="2" width="16.3984375" style="161" customWidth="1" outlineLevel="1"/>
    <col min="3" max="3" width="12.09765625" style="161" customWidth="1" outlineLevel="1"/>
    <col min="4" max="5" width="10.09765625" style="161" customWidth="1" outlineLevel="1"/>
    <col min="6" max="6" width="13.59765625" style="161" customWidth="1" outlineLevel="1"/>
    <col min="7" max="8" width="10.09765625" style="161" customWidth="1" outlineLevel="1"/>
    <col min="9" max="9" width="10.69921875" style="161" customWidth="1" outlineLevel="1"/>
    <col min="10" max="10" width="9.69921875" style="161" customWidth="1" outlineLevel="1"/>
    <col min="11" max="11" width="11.09765625" style="161" customWidth="1" outlineLevel="1"/>
    <col min="12" max="12" width="11.59765625" style="161" customWidth="1"/>
    <col min="13" max="13" width="12.59765625" style="161" customWidth="1"/>
    <col min="14" max="14" width="12.69921875" style="161" customWidth="1"/>
    <col min="15" max="16" width="11.59765625" style="161" customWidth="1"/>
    <col min="17" max="17" width="10.59765625" style="161" customWidth="1"/>
    <col min="18" max="18" width="11" style="161" customWidth="1"/>
    <col min="19" max="19" width="10.69921875" style="161" customWidth="1"/>
    <col min="20" max="20" width="11.59765625" style="161" customWidth="1"/>
    <col min="21" max="21" width="16.59765625" style="161" customWidth="1"/>
    <col min="22" max="22" width="11.09765625" style="161" customWidth="1"/>
    <col min="23" max="24" width="10.09765625" style="161" customWidth="1"/>
    <col min="25" max="25" width="10.5" style="161" customWidth="1"/>
    <col min="26" max="26" width="11" style="161" bestFit="1" customWidth="1"/>
    <col min="27" max="27" width="23.3984375" style="161" customWidth="1"/>
    <col min="28" max="37" width="11" style="161" bestFit="1" customWidth="1"/>
    <col min="38" max="41" width="9.09765625" style="161"/>
    <col min="42" max="42" width="10" style="161" customWidth="1"/>
    <col min="43" max="46" width="9.09765625" style="161"/>
    <col min="47" max="48" width="10.59765625" style="161" customWidth="1"/>
    <col min="49" max="49" width="22.59765625" style="161" customWidth="1"/>
    <col min="50" max="61" width="10.59765625" style="161" customWidth="1"/>
    <col min="62" max="62" width="24.3984375" style="161" customWidth="1"/>
    <col min="63" max="16384" width="9.09765625" style="161"/>
  </cols>
  <sheetData>
    <row r="1" spans="1:26" s="162" customFormat="1" ht="15">
      <c r="A1" s="160" t="s">
        <v>206</v>
      </c>
      <c r="B1" s="161"/>
      <c r="C1" s="161"/>
      <c r="D1" s="161"/>
      <c r="E1" s="161"/>
      <c r="F1" s="161"/>
      <c r="G1" s="161"/>
      <c r="H1" s="161"/>
      <c r="I1" s="161"/>
      <c r="J1" s="161"/>
      <c r="K1" s="161"/>
      <c r="L1" s="161"/>
      <c r="M1" s="161"/>
      <c r="N1" s="161"/>
      <c r="O1" s="161"/>
      <c r="P1" s="161"/>
      <c r="Q1" s="161"/>
      <c r="R1" s="161"/>
      <c r="S1" s="161"/>
      <c r="T1" s="161"/>
      <c r="U1" s="161"/>
    </row>
    <row r="2" spans="1:26" s="166" customFormat="1" ht="15.75">
      <c r="A2" s="163" t="s">
        <v>207</v>
      </c>
      <c r="B2" s="164"/>
      <c r="C2" s="164"/>
      <c r="D2" s="164"/>
      <c r="E2" s="164"/>
      <c r="F2" s="164"/>
      <c r="G2" s="164"/>
      <c r="H2" s="164"/>
      <c r="I2" s="164"/>
      <c r="J2" s="164"/>
      <c r="K2" s="164"/>
      <c r="L2" s="164"/>
      <c r="M2" s="164"/>
      <c r="N2" s="164"/>
      <c r="O2" s="164"/>
      <c r="P2" s="164"/>
      <c r="Q2" s="164"/>
      <c r="R2" s="164"/>
      <c r="S2" s="164"/>
      <c r="T2" s="164"/>
      <c r="U2" s="165"/>
    </row>
    <row r="3" spans="1:26">
      <c r="A3" s="163" t="s">
        <v>208</v>
      </c>
      <c r="B3" s="164"/>
      <c r="C3" s="164"/>
      <c r="D3" s="164"/>
      <c r="E3" s="164"/>
      <c r="F3" s="164"/>
      <c r="G3" s="164"/>
      <c r="H3" s="164"/>
      <c r="I3" s="164"/>
      <c r="J3" s="164"/>
      <c r="K3" s="164"/>
      <c r="L3" s="164"/>
      <c r="M3" s="164"/>
      <c r="N3" s="164"/>
      <c r="O3" s="164"/>
      <c r="P3" s="164"/>
      <c r="Q3" s="164"/>
      <c r="R3" s="164"/>
      <c r="S3" s="164"/>
      <c r="T3" s="164"/>
    </row>
    <row r="4" spans="1:26">
      <c r="A4" s="167"/>
      <c r="B4" s="168"/>
      <c r="C4" s="168"/>
      <c r="D4" s="168"/>
      <c r="E4" s="168"/>
      <c r="F4" s="168"/>
      <c r="G4" s="168"/>
      <c r="H4" s="168"/>
      <c r="I4" s="168"/>
      <c r="J4" s="168"/>
      <c r="K4" s="168"/>
      <c r="L4" s="168"/>
      <c r="M4" s="168"/>
      <c r="N4" s="169"/>
      <c r="O4" s="169"/>
    </row>
    <row r="5" spans="1:26">
      <c r="A5" s="170"/>
      <c r="B5" s="171">
        <v>2000</v>
      </c>
      <c r="C5" s="171">
        <v>2001</v>
      </c>
      <c r="D5" s="171">
        <v>2002</v>
      </c>
      <c r="E5" s="171">
        <v>2003</v>
      </c>
      <c r="F5" s="171">
        <v>2004</v>
      </c>
      <c r="G5" s="171">
        <v>2005</v>
      </c>
      <c r="H5" s="171">
        <v>2006</v>
      </c>
      <c r="I5" s="171">
        <v>2007</v>
      </c>
      <c r="J5" s="171">
        <v>2008</v>
      </c>
      <c r="K5" s="171">
        <v>2009</v>
      </c>
      <c r="L5" s="171">
        <v>2010</v>
      </c>
      <c r="M5" s="172">
        <v>2011</v>
      </c>
      <c r="N5" s="172">
        <v>2012</v>
      </c>
      <c r="O5" s="172">
        <v>2013</v>
      </c>
      <c r="P5" s="173">
        <v>2014</v>
      </c>
      <c r="Q5" s="173">
        <v>2015</v>
      </c>
      <c r="R5" s="173">
        <v>2016</v>
      </c>
      <c r="S5" s="173">
        <v>2017</v>
      </c>
      <c r="T5" s="173">
        <v>2018</v>
      </c>
      <c r="U5" s="173">
        <v>2019</v>
      </c>
      <c r="V5" s="173">
        <v>2020</v>
      </c>
      <c r="W5" s="173">
        <v>2021</v>
      </c>
      <c r="X5" s="173">
        <v>2022</v>
      </c>
      <c r="Y5" s="173">
        <v>2023</v>
      </c>
      <c r="Z5" s="172" t="s">
        <v>1921</v>
      </c>
    </row>
    <row r="6" spans="1:26">
      <c r="X6" s="176"/>
    </row>
    <row r="7" spans="1:26">
      <c r="A7" s="176" t="s">
        <v>423</v>
      </c>
      <c r="B7" s="403">
        <v>32.331000000000003</v>
      </c>
      <c r="C7" s="403">
        <v>39.308999999999997</v>
      </c>
      <c r="D7" s="403">
        <v>43.956000000000003</v>
      </c>
      <c r="E7" s="403">
        <v>52.01</v>
      </c>
      <c r="F7" s="403">
        <v>67.225999999999999</v>
      </c>
      <c r="G7" s="403">
        <v>89.281999999999996</v>
      </c>
      <c r="H7" s="403">
        <v>111.88500000000001</v>
      </c>
      <c r="I7" s="403">
        <v>148.73400000000001</v>
      </c>
      <c r="J7" s="403">
        <v>188.24</v>
      </c>
      <c r="K7" s="403">
        <v>121.55200000000001</v>
      </c>
      <c r="L7" s="403">
        <v>136.011</v>
      </c>
      <c r="M7" s="403">
        <v>163.161</v>
      </c>
      <c r="N7" s="403">
        <v>175.70699999999999</v>
      </c>
      <c r="O7" s="403">
        <v>179.572</v>
      </c>
      <c r="P7" s="403">
        <v>132.34299999999999</v>
      </c>
      <c r="Q7" s="403">
        <v>90.938999999999993</v>
      </c>
      <c r="R7" s="403">
        <v>93.263000000000005</v>
      </c>
      <c r="S7" s="403">
        <v>112.24</v>
      </c>
      <c r="T7" s="403">
        <v>130.90189511328558</v>
      </c>
      <c r="U7" s="403">
        <v>153.30479571199976</v>
      </c>
      <c r="V7" s="403">
        <v>147.69999999999999</v>
      </c>
      <c r="X7" s="176"/>
    </row>
    <row r="8" spans="1:26">
      <c r="X8" s="176"/>
    </row>
    <row r="9" spans="1:26" s="176" customFormat="1">
      <c r="A9" s="187"/>
      <c r="B9" s="188">
        <v>2000</v>
      </c>
      <c r="C9" s="188">
        <v>2001</v>
      </c>
      <c r="D9" s="188">
        <v>2002</v>
      </c>
      <c r="E9" s="188">
        <v>2003</v>
      </c>
      <c r="F9" s="188">
        <v>2004</v>
      </c>
      <c r="G9" s="188">
        <v>2005</v>
      </c>
      <c r="H9" s="188">
        <v>2006</v>
      </c>
      <c r="I9" s="188">
        <v>2007</v>
      </c>
      <c r="J9" s="188">
        <v>2008</v>
      </c>
      <c r="K9" s="188">
        <v>2009</v>
      </c>
      <c r="L9" s="188">
        <v>2010</v>
      </c>
      <c r="M9" s="189">
        <v>2011</v>
      </c>
      <c r="N9" s="189">
        <v>2012</v>
      </c>
      <c r="O9" s="189">
        <v>2013</v>
      </c>
      <c r="P9" s="189">
        <v>2014</v>
      </c>
      <c r="Q9" s="189">
        <v>2015</v>
      </c>
      <c r="R9" s="189">
        <v>2016</v>
      </c>
      <c r="S9" s="189">
        <v>2017</v>
      </c>
      <c r="T9" s="189" t="s">
        <v>210</v>
      </c>
      <c r="U9" s="190">
        <v>2019</v>
      </c>
      <c r="V9" s="189" t="s">
        <v>212</v>
      </c>
      <c r="W9" s="189" t="s">
        <v>213</v>
      </c>
      <c r="X9" s="189" t="s">
        <v>212</v>
      </c>
    </row>
    <row r="10" spans="1:26" s="176" customFormat="1" ht="15.75">
      <c r="A10" s="191" t="s">
        <v>5</v>
      </c>
      <c r="B10" s="404">
        <v>5.4402242497837099</v>
      </c>
      <c r="C10" s="404">
        <v>5.3721457814900146</v>
      </c>
      <c r="D10" s="404">
        <v>5.3266259658218127</v>
      </c>
      <c r="E10" s="404">
        <v>5.332684415002559</v>
      </c>
      <c r="F10" s="404">
        <v>5.3191828970461001</v>
      </c>
      <c r="G10" s="404">
        <v>5.1247306368407584</v>
      </c>
      <c r="H10" s="404">
        <v>5.0500000000000007</v>
      </c>
      <c r="I10" s="404">
        <v>5.0500000000000007</v>
      </c>
      <c r="J10" s="404">
        <v>5.2672187096774188</v>
      </c>
      <c r="K10" s="404">
        <v>7.7912380734767011</v>
      </c>
      <c r="L10" s="404">
        <v>7.9356404985919093</v>
      </c>
      <c r="M10" s="404">
        <v>7.9675627112135183</v>
      </c>
      <c r="N10" s="404">
        <v>7.9910293455691512</v>
      </c>
      <c r="O10" s="404">
        <v>7.9929999999999977</v>
      </c>
      <c r="P10" s="404">
        <v>11.986366700524831</v>
      </c>
      <c r="Q10" s="404">
        <v>21.856680146070151</v>
      </c>
      <c r="R10" s="404">
        <v>25.551334234714499</v>
      </c>
      <c r="S10" s="404">
        <v>26.596606422619047</v>
      </c>
      <c r="T10" s="404">
        <v>27.200492375748851</v>
      </c>
      <c r="U10" s="193">
        <v>25.93</v>
      </c>
      <c r="V10" s="405">
        <v>26.957524502533676</v>
      </c>
      <c r="W10" s="406">
        <v>27.2</v>
      </c>
      <c r="X10" s="406">
        <v>27.25</v>
      </c>
    </row>
    <row r="11" spans="1:26" s="176" customFormat="1" ht="15">
      <c r="A11" s="195" t="s">
        <v>214</v>
      </c>
      <c r="B11" s="404"/>
      <c r="C11" s="407">
        <f>C10/B10-1</f>
        <v>-1.2513908465519918E-2</v>
      </c>
      <c r="D11" s="407">
        <f t="shared" ref="D11:T11" si="0">D10/C10-1</f>
        <v>-8.4733023859930867E-3</v>
      </c>
      <c r="E11" s="407">
        <f t="shared" si="0"/>
        <v>1.1373896383226612E-3</v>
      </c>
      <c r="F11" s="407">
        <f t="shared" si="0"/>
        <v>-2.5318426716710585E-3</v>
      </c>
      <c r="G11" s="407">
        <f t="shared" si="0"/>
        <v>-3.655679151648028E-2</v>
      </c>
      <c r="H11" s="407">
        <f t="shared" si="0"/>
        <v>-1.4582354105312945E-2</v>
      </c>
      <c r="I11" s="407">
        <f t="shared" si="0"/>
        <v>0</v>
      </c>
      <c r="J11" s="407">
        <f t="shared" si="0"/>
        <v>4.3013605876716543E-2</v>
      </c>
      <c r="K11" s="407">
        <f t="shared" si="0"/>
        <v>0.47919395470742865</v>
      </c>
      <c r="L11" s="407">
        <f t="shared" si="0"/>
        <v>1.8533951055454079E-2</v>
      </c>
      <c r="M11" s="407">
        <f t="shared" si="0"/>
        <v>4.0226384533514903E-3</v>
      </c>
      <c r="N11" s="407">
        <f t="shared" si="0"/>
        <v>2.9452713717088574E-3</v>
      </c>
      <c r="O11" s="407">
        <f t="shared" si="0"/>
        <v>2.466083336234437E-4</v>
      </c>
      <c r="P11" s="407">
        <f>P10/O10-1</f>
        <v>0.49960799456084515</v>
      </c>
      <c r="Q11" s="407">
        <f t="shared" si="0"/>
        <v>0.82346166208256766</v>
      </c>
      <c r="R11" s="407">
        <f t="shared" si="0"/>
        <v>0.16904004011371554</v>
      </c>
      <c r="S11" s="407">
        <f t="shared" si="0"/>
        <v>4.0908712566736449E-2</v>
      </c>
      <c r="T11" s="407">
        <f t="shared" si="0"/>
        <v>2.2705376149651624E-2</v>
      </c>
      <c r="U11" s="407">
        <f>U10/T10-1</f>
        <v>-4.6708433001807936E-2</v>
      </c>
      <c r="V11" s="407">
        <f>V10/U10-1</f>
        <v>3.9626860876732506E-2</v>
      </c>
      <c r="W11" s="407">
        <f>W10/V10-1</f>
        <v>8.9947241796453081E-3</v>
      </c>
      <c r="X11" s="407">
        <f>X10/W10-1</f>
        <v>1.8382352941177516E-3</v>
      </c>
    </row>
    <row r="12" spans="1:26" ht="15">
      <c r="A12" s="197" t="s">
        <v>215</v>
      </c>
      <c r="B12" s="198"/>
      <c r="C12" s="198"/>
      <c r="D12" s="408">
        <v>375.97916666666657</v>
      </c>
      <c r="E12" s="408">
        <v>462.58249999999998</v>
      </c>
      <c r="F12" s="408">
        <v>590.52750000000003</v>
      </c>
      <c r="G12" s="408">
        <v>806.13916666666682</v>
      </c>
      <c r="H12" s="408">
        <v>1042.8758333333333</v>
      </c>
      <c r="I12" s="408">
        <v>1352.75</v>
      </c>
      <c r="J12" s="408">
        <v>1808.9166666666667</v>
      </c>
      <c r="K12" s="408">
        <v>1909.25</v>
      </c>
      <c r="L12" s="408">
        <v>2246.75</v>
      </c>
      <c r="M12" s="408">
        <v>2639.1666666666665</v>
      </c>
      <c r="N12" s="408">
        <v>3031.9166666666665</v>
      </c>
      <c r="O12" s="408">
        <v>3273.8333333333335</v>
      </c>
      <c r="P12" s="408">
        <v>3474.75</v>
      </c>
      <c r="Q12" s="408">
        <v>4207.333333333333</v>
      </c>
      <c r="R12" s="408">
        <v>5187.333333333333</v>
      </c>
      <c r="S12" s="408">
        <v>7105.416666666667</v>
      </c>
      <c r="T12" s="408">
        <v>8867.4408333333322</v>
      </c>
      <c r="U12" s="408">
        <f>AVERAGE(Z31:AK31)</f>
        <v>10503.762499999999</v>
      </c>
      <c r="V12" s="408">
        <f>AVERAGE(AL31:AW31)</f>
        <v>11595.784174999999</v>
      </c>
      <c r="W12" s="200">
        <f>AVERAGE(B92:M92)</f>
        <v>14017.833333333334</v>
      </c>
      <c r="X12" s="200">
        <f>X24*W25</f>
        <v>16174.383362324956</v>
      </c>
    </row>
    <row r="13" spans="1:26" ht="14.25">
      <c r="A13" s="201" t="s">
        <v>216</v>
      </c>
      <c r="B13" s="198"/>
      <c r="C13" s="198"/>
      <c r="D13" s="408"/>
      <c r="E13" s="409">
        <f>E12/D12-1</f>
        <v>0.2303407768604202</v>
      </c>
      <c r="F13" s="409">
        <f t="shared" ref="F13:T13" si="1">F12/E12-1</f>
        <v>0.27658850042965311</v>
      </c>
      <c r="G13" s="409">
        <f t="shared" si="1"/>
        <v>0.36511706341646533</v>
      </c>
      <c r="H13" s="409">
        <f t="shared" si="1"/>
        <v>0.29366724314556913</v>
      </c>
      <c r="I13" s="409">
        <f t="shared" si="1"/>
        <v>0.29713428652020735</v>
      </c>
      <c r="J13" s="409">
        <f t="shared" si="1"/>
        <v>0.33721431651573952</v>
      </c>
      <c r="K13" s="409">
        <f t="shared" si="1"/>
        <v>5.5465978716543018E-2</v>
      </c>
      <c r="L13" s="409">
        <f t="shared" si="1"/>
        <v>0.1767709833704334</v>
      </c>
      <c r="M13" s="409">
        <f t="shared" si="1"/>
        <v>0.17465969363154188</v>
      </c>
      <c r="N13" s="409">
        <f t="shared" si="1"/>
        <v>0.14881591411430373</v>
      </c>
      <c r="O13" s="409">
        <f t="shared" si="1"/>
        <v>7.9790011818706708E-2</v>
      </c>
      <c r="P13" s="409">
        <f t="shared" si="1"/>
        <v>6.1370462760270694E-2</v>
      </c>
      <c r="Q13" s="409">
        <f t="shared" si="1"/>
        <v>0.2108305153847998</v>
      </c>
      <c r="R13" s="409">
        <f>R12/Q12-1</f>
        <v>0.23292663603232455</v>
      </c>
      <c r="S13" s="409">
        <f t="shared" si="1"/>
        <v>0.36976288394807888</v>
      </c>
      <c r="T13" s="409">
        <f t="shared" si="1"/>
        <v>0.24798322875740308</v>
      </c>
      <c r="U13" s="409">
        <f>U12/T12-1</f>
        <v>0.18453144457593873</v>
      </c>
      <c r="V13" s="409">
        <f>V12/U12-1</f>
        <v>0.10396481022871562</v>
      </c>
      <c r="W13" s="409">
        <f>W12/V12-1</f>
        <v>0.20887325270809765</v>
      </c>
      <c r="X13" s="409">
        <f>X12/W12-1</f>
        <v>0.15384332069803608</v>
      </c>
    </row>
    <row r="14" spans="1:26" ht="14.25">
      <c r="A14" s="201"/>
      <c r="B14" s="198"/>
      <c r="C14" s="198"/>
      <c r="D14" s="408"/>
      <c r="E14" s="409"/>
      <c r="F14" s="409">
        <f>F13/E13</f>
        <v>1.2007795762417597</v>
      </c>
      <c r="G14" s="409">
        <f t="shared" ref="G14:U14" si="2">G13/F13</f>
        <v>1.3200731876028533</v>
      </c>
      <c r="H14" s="409">
        <f t="shared" si="2"/>
        <v>0.80430982983285548</v>
      </c>
      <c r="I14" s="409">
        <f t="shared" si="2"/>
        <v>1.0118060269082161</v>
      </c>
      <c r="J14" s="409">
        <f t="shared" si="2"/>
        <v>1.1348886069827773</v>
      </c>
      <c r="K14" s="409">
        <f t="shared" si="2"/>
        <v>0.16448287038831619</v>
      </c>
      <c r="L14" s="409">
        <f t="shared" si="2"/>
        <v>3.1870163920448507</v>
      </c>
      <c r="M14" s="409">
        <f t="shared" si="2"/>
        <v>0.98805635575117445</v>
      </c>
      <c r="N14" s="409">
        <f t="shared" si="2"/>
        <v>0.85203352313351932</v>
      </c>
      <c r="O14" s="409">
        <f t="shared" si="2"/>
        <v>0.53616585493283297</v>
      </c>
      <c r="P14" s="409">
        <f t="shared" si="2"/>
        <v>0.76914968880706991</v>
      </c>
      <c r="Q14" s="409">
        <f t="shared" si="2"/>
        <v>3.4353743788499642</v>
      </c>
      <c r="R14" s="409">
        <f t="shared" si="2"/>
        <v>1.1048051350972403</v>
      </c>
      <c r="S14" s="409">
        <f t="shared" si="2"/>
        <v>1.5874650072083847</v>
      </c>
      <c r="T14" s="409">
        <f t="shared" si="2"/>
        <v>0.67065473448715374</v>
      </c>
      <c r="U14" s="409">
        <f t="shared" si="2"/>
        <v>0.74412872798128649</v>
      </c>
      <c r="V14" s="198"/>
      <c r="W14" s="198"/>
      <c r="X14" s="176"/>
    </row>
    <row r="15" spans="1:26">
      <c r="A15" s="203" t="s">
        <v>217</v>
      </c>
      <c r="B15" s="198"/>
      <c r="C15" s="198"/>
      <c r="D15" s="404">
        <f>D12/D10</f>
        <v>70.584863491284963</v>
      </c>
      <c r="E15" s="404">
        <f t="shared" ref="E15:T15" si="3">E12/E10</f>
        <v>86.744773176264928</v>
      </c>
      <c r="F15" s="404">
        <f t="shared" si="3"/>
        <v>111.01846118657387</v>
      </c>
      <c r="G15" s="404">
        <f t="shared" si="3"/>
        <v>157.30371482775675</v>
      </c>
      <c r="H15" s="404">
        <f t="shared" si="3"/>
        <v>206.51006600660062</v>
      </c>
      <c r="I15" s="404">
        <f t="shared" si="3"/>
        <v>267.87128712871282</v>
      </c>
      <c r="J15" s="404">
        <f t="shared" si="3"/>
        <v>343.42919221166164</v>
      </c>
      <c r="K15" s="404">
        <f t="shared" si="3"/>
        <v>245.05091257569944</v>
      </c>
      <c r="L15" s="404">
        <f t="shared" si="3"/>
        <v>283.12144437473705</v>
      </c>
      <c r="M15" s="404">
        <f>M12/M10</f>
        <v>331.23889479430306</v>
      </c>
      <c r="N15" s="404">
        <f t="shared" si="3"/>
        <v>379.41503347723244</v>
      </c>
      <c r="O15" s="404">
        <f t="shared" si="3"/>
        <v>409.58755577797251</v>
      </c>
      <c r="P15" s="404">
        <f t="shared" si="3"/>
        <v>289.89184853220416</v>
      </c>
      <c r="Q15" s="404">
        <f t="shared" si="3"/>
        <v>192.49644983663336</v>
      </c>
      <c r="R15" s="404">
        <f t="shared" si="3"/>
        <v>203.01614333257515</v>
      </c>
      <c r="S15" s="404">
        <f t="shared" si="3"/>
        <v>267.15501044614007</v>
      </c>
      <c r="T15" s="404">
        <f t="shared" si="3"/>
        <v>326.00295284504767</v>
      </c>
      <c r="U15" s="404">
        <f>U12/U10</f>
        <v>405.08146934053218</v>
      </c>
      <c r="V15" s="404">
        <f>V12/V10</f>
        <v>430.15018585664785</v>
      </c>
      <c r="W15" s="404">
        <f>W12/W10</f>
        <v>515.36151960784321</v>
      </c>
      <c r="X15" s="404">
        <f>X12/X10</f>
        <v>593.55535274586998</v>
      </c>
    </row>
    <row r="16" spans="1:26">
      <c r="A16" s="204" t="s">
        <v>218</v>
      </c>
      <c r="B16" s="198"/>
      <c r="C16" s="198"/>
      <c r="D16" s="198"/>
      <c r="E16" s="410">
        <f>E15/D15-1</f>
        <v>0.22894298983768957</v>
      </c>
      <c r="F16" s="410">
        <f t="shared" ref="F16:X16" si="4">F15/E15-1</f>
        <v>0.27982882566290113</v>
      </c>
      <c r="G16" s="410">
        <f t="shared" si="4"/>
        <v>0.41691492699937038</v>
      </c>
      <c r="H16" s="410">
        <f t="shared" si="4"/>
        <v>0.31281111976740972</v>
      </c>
      <c r="I16" s="410">
        <f t="shared" si="4"/>
        <v>0.29713428652020735</v>
      </c>
      <c r="J16" s="410">
        <f t="shared" si="4"/>
        <v>0.28206795096573023</v>
      </c>
      <c r="K16" s="410">
        <f t="shared" si="4"/>
        <v>-0.28645869910595689</v>
      </c>
      <c r="L16" s="410">
        <f t="shared" si="4"/>
        <v>0.15535764139330488</v>
      </c>
      <c r="M16" s="410">
        <f t="shared" si="4"/>
        <v>0.16995339411972687</v>
      </c>
      <c r="N16" s="410">
        <f t="shared" si="4"/>
        <v>0.14544227577152857</v>
      </c>
      <c r="O16" s="410">
        <f t="shared" si="4"/>
        <v>7.9523792255191683E-2</v>
      </c>
      <c r="P16" s="410">
        <f t="shared" si="4"/>
        <v>-0.29223472626852098</v>
      </c>
      <c r="Q16" s="410">
        <f t="shared" si="4"/>
        <v>-0.33597149829741113</v>
      </c>
      <c r="R16" s="410">
        <f t="shared" si="4"/>
        <v>5.4648766275271932E-2</v>
      </c>
      <c r="S16" s="410">
        <f t="shared" si="4"/>
        <v>0.31592988646471576</v>
      </c>
      <c r="T16" s="410">
        <f t="shared" si="4"/>
        <v>0.22027639422009515</v>
      </c>
      <c r="U16" s="410">
        <f t="shared" si="4"/>
        <v>0.24256993933754734</v>
      </c>
      <c r="V16" s="410">
        <f t="shared" si="4"/>
        <v>6.1885616631457419E-2</v>
      </c>
      <c r="W16" s="410">
        <f t="shared" si="4"/>
        <v>0.19809670332118134</v>
      </c>
      <c r="X16" s="410">
        <f t="shared" si="4"/>
        <v>0.15172617699033331</v>
      </c>
    </row>
    <row r="17" spans="1:75">
      <c r="A17" s="206" t="s">
        <v>219</v>
      </c>
      <c r="B17" s="207" t="s">
        <v>220</v>
      </c>
      <c r="C17" s="198" t="s">
        <v>220</v>
      </c>
      <c r="D17" s="198" t="s">
        <v>220</v>
      </c>
      <c r="E17" s="410">
        <f>E12/D12-1</f>
        <v>0.2303407768604202</v>
      </c>
      <c r="F17" s="410">
        <f t="shared" ref="F17:T17" si="5">F12/E12-1</f>
        <v>0.27658850042965311</v>
      </c>
      <c r="G17" s="410">
        <f t="shared" si="5"/>
        <v>0.36511706341646533</v>
      </c>
      <c r="H17" s="410">
        <f t="shared" si="5"/>
        <v>0.29366724314556913</v>
      </c>
      <c r="I17" s="410">
        <f t="shared" si="5"/>
        <v>0.29713428652020735</v>
      </c>
      <c r="J17" s="410">
        <f t="shared" si="5"/>
        <v>0.33721431651573952</v>
      </c>
      <c r="K17" s="410">
        <f t="shared" si="5"/>
        <v>5.5465978716543018E-2</v>
      </c>
      <c r="L17" s="410">
        <f t="shared" si="5"/>
        <v>0.1767709833704334</v>
      </c>
      <c r="M17" s="410">
        <f t="shared" si="5"/>
        <v>0.17465969363154188</v>
      </c>
      <c r="N17" s="410">
        <f t="shared" si="5"/>
        <v>0.14881591411430373</v>
      </c>
      <c r="O17" s="410">
        <f t="shared" si="5"/>
        <v>7.9790011818706708E-2</v>
      </c>
      <c r="P17" s="410">
        <f>P12/O12-1</f>
        <v>6.1370462760270694E-2</v>
      </c>
      <c r="Q17" s="410">
        <f t="shared" si="5"/>
        <v>0.2108305153847998</v>
      </c>
      <c r="R17" s="410">
        <f t="shared" si="5"/>
        <v>0.23292663603232455</v>
      </c>
      <c r="S17" s="410">
        <f t="shared" si="5"/>
        <v>0.36976288394807888</v>
      </c>
      <c r="T17" s="410">
        <f t="shared" si="5"/>
        <v>0.24798322875740308</v>
      </c>
      <c r="U17" s="411">
        <v>0.192</v>
      </c>
      <c r="V17" s="209"/>
      <c r="W17" s="209"/>
      <c r="X17" s="176"/>
    </row>
    <row r="18" spans="1:75">
      <c r="A18" s="204"/>
      <c r="B18" s="198"/>
      <c r="C18" s="198"/>
      <c r="D18" s="198"/>
      <c r="E18" s="210">
        <f t="shared" ref="E18:U18" si="6">E13-E11</f>
        <v>0.22920338722209754</v>
      </c>
      <c r="F18" s="210">
        <f t="shared" si="6"/>
        <v>0.27912034310132416</v>
      </c>
      <c r="G18" s="210">
        <f t="shared" si="6"/>
        <v>0.40167385493294561</v>
      </c>
      <c r="H18" s="210">
        <f t="shared" si="6"/>
        <v>0.30824959725088208</v>
      </c>
      <c r="I18" s="210">
        <f t="shared" si="6"/>
        <v>0.29713428652020735</v>
      </c>
      <c r="J18" s="210">
        <f t="shared" si="6"/>
        <v>0.29420071063902298</v>
      </c>
      <c r="K18" s="210">
        <f t="shared" si="6"/>
        <v>-0.42372797599088563</v>
      </c>
      <c r="L18" s="210">
        <f t="shared" si="6"/>
        <v>0.15823703231497932</v>
      </c>
      <c r="M18" s="210">
        <f t="shared" si="6"/>
        <v>0.17063705517819039</v>
      </c>
      <c r="N18" s="210">
        <f t="shared" si="6"/>
        <v>0.14587064274259487</v>
      </c>
      <c r="O18" s="210">
        <f t="shared" si="6"/>
        <v>7.9543403485083264E-2</v>
      </c>
      <c r="P18" s="210">
        <f t="shared" si="6"/>
        <v>-0.43823753180057445</v>
      </c>
      <c r="Q18" s="210">
        <f t="shared" si="6"/>
        <v>-0.61263114669776786</v>
      </c>
      <c r="R18" s="210">
        <f t="shared" si="6"/>
        <v>6.3886595918609013E-2</v>
      </c>
      <c r="S18" s="210">
        <f t="shared" si="6"/>
        <v>0.32885417138134243</v>
      </c>
      <c r="T18" s="210">
        <f t="shared" si="6"/>
        <v>0.22527785260775146</v>
      </c>
      <c r="U18" s="210">
        <f t="shared" si="6"/>
        <v>0.23123987757774667</v>
      </c>
      <c r="V18" s="198"/>
      <c r="W18" s="198"/>
      <c r="X18" s="176"/>
    </row>
    <row r="19" spans="1:75">
      <c r="X19" s="176"/>
    </row>
    <row r="20" spans="1:75" ht="18">
      <c r="B20" s="412">
        <v>2000</v>
      </c>
      <c r="C20" s="412">
        <v>2001</v>
      </c>
      <c r="D20" s="412">
        <v>2002</v>
      </c>
      <c r="E20" s="412">
        <v>2003</v>
      </c>
      <c r="F20" s="412">
        <v>2004</v>
      </c>
      <c r="G20" s="412">
        <v>2005</v>
      </c>
      <c r="H20" s="412">
        <v>2006</v>
      </c>
      <c r="I20" s="412">
        <v>2007</v>
      </c>
      <c r="J20" s="412">
        <v>2008</v>
      </c>
      <c r="K20" s="412">
        <v>2009</v>
      </c>
      <c r="L20" s="412">
        <v>2010</v>
      </c>
      <c r="M20" s="412">
        <v>2011</v>
      </c>
      <c r="N20" s="412">
        <v>2012</v>
      </c>
      <c r="O20" s="412">
        <v>2013</v>
      </c>
      <c r="P20" s="412">
        <v>2014</v>
      </c>
      <c r="Q20" s="412">
        <v>2015</v>
      </c>
      <c r="R20" s="412">
        <v>2016</v>
      </c>
      <c r="S20" s="412">
        <v>2017</v>
      </c>
      <c r="T20" s="412">
        <v>2018</v>
      </c>
      <c r="U20" s="412">
        <v>2019</v>
      </c>
      <c r="V20" s="183">
        <v>2020</v>
      </c>
      <c r="W20" s="183">
        <v>2021</v>
      </c>
      <c r="X20" s="183">
        <v>2022</v>
      </c>
    </row>
    <row r="21" spans="1:75" ht="18">
      <c r="A21" s="184" t="s">
        <v>222</v>
      </c>
      <c r="B21" s="412">
        <v>104</v>
      </c>
      <c r="C21" s="412">
        <v>104</v>
      </c>
      <c r="D21" s="412">
        <v>152.5</v>
      </c>
      <c r="E21" s="412">
        <v>195</v>
      </c>
      <c r="F21" s="412">
        <v>237</v>
      </c>
      <c r="G21" s="412">
        <v>298.5</v>
      </c>
      <c r="H21" s="412">
        <v>375</v>
      </c>
      <c r="I21" s="412">
        <v>440</v>
      </c>
      <c r="J21" s="412">
        <v>547.5</v>
      </c>
      <c r="K21" s="412">
        <v>662.25</v>
      </c>
      <c r="L21" s="412">
        <v>894</v>
      </c>
      <c r="M21" s="412">
        <v>972.5</v>
      </c>
      <c r="N21" s="412">
        <v>1104.2</v>
      </c>
      <c r="O21" s="412">
        <v>1182.5</v>
      </c>
      <c r="P21" s="412">
        <v>1218</v>
      </c>
      <c r="Q21" s="412">
        <v>1298</v>
      </c>
      <c r="R21" s="412">
        <v>1476</v>
      </c>
      <c r="S21" s="412">
        <v>3200</v>
      </c>
      <c r="T21" s="412">
        <v>3723</v>
      </c>
      <c r="U21" s="412">
        <v>4173</v>
      </c>
      <c r="V21" s="413">
        <v>4815.333333333333</v>
      </c>
      <c r="W21" s="185">
        <f>(11/12)*6000+(1/12)*6500</f>
        <v>6041.666666666667</v>
      </c>
      <c r="X21" s="185">
        <f>(9/12)*6500+(3/12)*6700</f>
        <v>6550</v>
      </c>
      <c r="Y21" s="161">
        <v>6700</v>
      </c>
      <c r="Z21" s="161">
        <v>6751</v>
      </c>
    </row>
    <row r="22" spans="1:75">
      <c r="C22" s="414">
        <f>C21/B21-1</f>
        <v>0</v>
      </c>
      <c r="D22" s="414">
        <f t="shared" ref="D22:V22" si="7">D21/C21-1</f>
        <v>0.46634615384615374</v>
      </c>
      <c r="E22" s="414">
        <f t="shared" si="7"/>
        <v>0.27868852459016402</v>
      </c>
      <c r="F22" s="414">
        <f t="shared" si="7"/>
        <v>0.21538461538461529</v>
      </c>
      <c r="G22" s="414">
        <f t="shared" si="7"/>
        <v>0.259493670886076</v>
      </c>
      <c r="H22" s="414">
        <f t="shared" si="7"/>
        <v>0.25628140703517599</v>
      </c>
      <c r="I22" s="414">
        <f t="shared" si="7"/>
        <v>0.17333333333333334</v>
      </c>
      <c r="J22" s="414">
        <f t="shared" si="7"/>
        <v>0.24431818181818188</v>
      </c>
      <c r="K22" s="414">
        <f t="shared" si="7"/>
        <v>0.20958904109589049</v>
      </c>
      <c r="L22" s="414">
        <f t="shared" si="7"/>
        <v>0.34994337485843707</v>
      </c>
      <c r="M22" s="414">
        <f t="shared" si="7"/>
        <v>8.7807606263982096E-2</v>
      </c>
      <c r="N22" s="414">
        <f t="shared" si="7"/>
        <v>0.13542416452442163</v>
      </c>
      <c r="O22" s="414">
        <f t="shared" si="7"/>
        <v>7.0911066835718017E-2</v>
      </c>
      <c r="P22" s="414">
        <f t="shared" si="7"/>
        <v>3.0021141649048566E-2</v>
      </c>
      <c r="Q22" s="414">
        <f t="shared" si="7"/>
        <v>6.5681444991789739E-2</v>
      </c>
      <c r="R22" s="414">
        <f t="shared" si="7"/>
        <v>0.13713405238828957</v>
      </c>
      <c r="S22" s="414">
        <f t="shared" si="7"/>
        <v>1.168021680216802</v>
      </c>
      <c r="T22" s="414">
        <f t="shared" si="7"/>
        <v>0.1634374999999999</v>
      </c>
      <c r="U22" s="414">
        <f t="shared" si="7"/>
        <v>0.12087026591458505</v>
      </c>
      <c r="V22" s="414">
        <f t="shared" si="7"/>
        <v>0.15392603243070524</v>
      </c>
      <c r="W22" s="414">
        <f>W21/V21-1</f>
        <v>0.25467257372282992</v>
      </c>
      <c r="X22" s="414">
        <f>X21/W21-1</f>
        <v>8.4137931034482749E-2</v>
      </c>
    </row>
    <row r="23" spans="1:75">
      <c r="X23" s="176"/>
    </row>
    <row r="24" spans="1:75" ht="15">
      <c r="A24" s="184" t="s">
        <v>223</v>
      </c>
      <c r="C24" s="185">
        <f t="shared" ref="C24:V24" si="8">C21*2.3504+379.24</f>
        <v>623.6816</v>
      </c>
      <c r="D24" s="185">
        <f t="shared" si="8"/>
        <v>737.67599999999993</v>
      </c>
      <c r="E24" s="185">
        <f t="shared" si="8"/>
        <v>837.56799999999998</v>
      </c>
      <c r="F24" s="185">
        <f t="shared" si="8"/>
        <v>936.28480000000002</v>
      </c>
      <c r="G24" s="185">
        <f t="shared" si="8"/>
        <v>1080.8344000000002</v>
      </c>
      <c r="H24" s="185">
        <f t="shared" si="8"/>
        <v>1260.6399999999999</v>
      </c>
      <c r="I24" s="185">
        <f t="shared" si="8"/>
        <v>1413.4159999999999</v>
      </c>
      <c r="J24" s="185">
        <f t="shared" si="8"/>
        <v>1666.0840000000001</v>
      </c>
      <c r="K24" s="185">
        <f t="shared" si="8"/>
        <v>1935.7924</v>
      </c>
      <c r="L24" s="185">
        <f t="shared" si="8"/>
        <v>2480.4975999999997</v>
      </c>
      <c r="M24" s="185">
        <f t="shared" si="8"/>
        <v>2665.0039999999999</v>
      </c>
      <c r="N24" s="185">
        <f t="shared" si="8"/>
        <v>2974.5516800000005</v>
      </c>
      <c r="O24" s="185">
        <f t="shared" si="8"/>
        <v>3158.5879999999997</v>
      </c>
      <c r="P24" s="185">
        <f t="shared" si="8"/>
        <v>3242.0272000000004</v>
      </c>
      <c r="Q24" s="185">
        <f t="shared" si="8"/>
        <v>3430.0591999999997</v>
      </c>
      <c r="R24" s="185">
        <f t="shared" si="8"/>
        <v>3848.4304000000002</v>
      </c>
      <c r="S24" s="185">
        <f t="shared" si="8"/>
        <v>7900.5199999999995</v>
      </c>
      <c r="T24" s="185">
        <f t="shared" si="8"/>
        <v>9129.7792000000009</v>
      </c>
      <c r="U24" s="185">
        <f t="shared" si="8"/>
        <v>10187.459199999999</v>
      </c>
      <c r="V24" s="185">
        <f t="shared" si="8"/>
        <v>11697.199466666665</v>
      </c>
      <c r="W24" s="185">
        <f>W21*2.3504+379.24</f>
        <v>14579.573333333334</v>
      </c>
      <c r="X24" s="185">
        <f>X21*2.3504+379.24</f>
        <v>15774.36</v>
      </c>
    </row>
    <row r="25" spans="1:75">
      <c r="A25" s="178" t="s">
        <v>221</v>
      </c>
      <c r="D25" s="415">
        <f t="shared" ref="D25:V25" si="9">D12/D24</f>
        <v>0.5096806276287511</v>
      </c>
      <c r="E25" s="415">
        <f t="shared" si="9"/>
        <v>0.55229247058149311</v>
      </c>
      <c r="F25" s="415">
        <f t="shared" si="9"/>
        <v>0.63071353929915341</v>
      </c>
      <c r="G25" s="415">
        <f t="shared" si="9"/>
        <v>0.74584891697254152</v>
      </c>
      <c r="H25" s="415">
        <f t="shared" si="9"/>
        <v>0.82725903773744558</v>
      </c>
      <c r="I25" s="415">
        <f t="shared" si="9"/>
        <v>0.95707845390175295</v>
      </c>
      <c r="J25" s="415">
        <f t="shared" si="9"/>
        <v>1.0857295710580419</v>
      </c>
      <c r="K25" s="415">
        <f t="shared" si="9"/>
        <v>0.98628861235326681</v>
      </c>
      <c r="L25" s="415">
        <f t="shared" si="9"/>
        <v>0.90576584311147901</v>
      </c>
      <c r="M25" s="415">
        <f t="shared" si="9"/>
        <v>0.99030495513952943</v>
      </c>
      <c r="N25" s="415">
        <f t="shared" si="9"/>
        <v>1.0192852546662312</v>
      </c>
      <c r="O25" s="415">
        <f t="shared" si="9"/>
        <v>1.0364863455864879</v>
      </c>
      <c r="P25" s="415">
        <f t="shared" si="9"/>
        <v>1.0717831115050482</v>
      </c>
      <c r="Q25" s="415">
        <f t="shared" si="9"/>
        <v>1.2266066233881134</v>
      </c>
      <c r="R25" s="415">
        <f t="shared" si="9"/>
        <v>1.3479088340361651</v>
      </c>
      <c r="S25" s="415">
        <f t="shared" si="9"/>
        <v>0.89936063280222911</v>
      </c>
      <c r="T25" s="415">
        <f t="shared" si="9"/>
        <v>0.97126563951659761</v>
      </c>
      <c r="U25" s="415">
        <f t="shared" si="9"/>
        <v>1.031048301032705</v>
      </c>
      <c r="V25" s="415">
        <f t="shared" si="9"/>
        <v>0.99132995107455701</v>
      </c>
      <c r="W25" s="186">
        <f>AVERAGE($T$26:$V$26)*V25</f>
        <v>1.0253590866650029</v>
      </c>
      <c r="X25" s="186"/>
    </row>
    <row r="26" spans="1:75">
      <c r="M26" s="175"/>
      <c r="N26" s="175"/>
      <c r="O26" s="175"/>
      <c r="P26" s="175"/>
      <c r="Q26" s="175"/>
      <c r="R26" s="175"/>
      <c r="T26" s="174">
        <f>T25/S25</f>
        <v>1.0799512499122035</v>
      </c>
      <c r="U26" s="174">
        <f>U25/T25</f>
        <v>1.0615512987218012</v>
      </c>
      <c r="V26" s="174">
        <f>V25/U25</f>
        <v>0.9614777019482349</v>
      </c>
    </row>
    <row r="27" spans="1:75">
      <c r="Z27" s="218">
        <f>AVERAGE(Z39:AK39)</f>
        <v>25.925894761091907</v>
      </c>
      <c r="AL27" s="218">
        <f>AVERAGE(AL39:AW39)</f>
        <v>26.922694144110739</v>
      </c>
    </row>
    <row r="28" spans="1:75">
      <c r="BV28" s="161" t="s">
        <v>424</v>
      </c>
    </row>
    <row r="29" spans="1:75" ht="23.25">
      <c r="A29" s="220" t="s">
        <v>224</v>
      </c>
      <c r="B29" s="928">
        <v>2017</v>
      </c>
      <c r="C29" s="928"/>
      <c r="D29" s="928"/>
      <c r="E29" s="928"/>
      <c r="F29" s="928"/>
      <c r="G29" s="928"/>
      <c r="H29" s="928"/>
      <c r="I29" s="928"/>
      <c r="J29" s="928"/>
      <c r="K29" s="928"/>
      <c r="L29" s="928"/>
      <c r="M29" s="928"/>
      <c r="N29" s="928">
        <v>2018</v>
      </c>
      <c r="O29" s="928"/>
      <c r="P29" s="928"/>
      <c r="Q29" s="928"/>
      <c r="R29" s="928"/>
      <c r="S29" s="928"/>
      <c r="T29" s="928"/>
      <c r="U29" s="928"/>
      <c r="V29" s="928"/>
      <c r="W29" s="928"/>
      <c r="X29" s="928"/>
      <c r="Y29" s="928"/>
      <c r="Z29" s="928">
        <v>2019</v>
      </c>
      <c r="AA29" s="928"/>
      <c r="AB29" s="928"/>
      <c r="AC29" s="928"/>
      <c r="AD29" s="928"/>
      <c r="AE29" s="928"/>
      <c r="AF29" s="928"/>
      <c r="AG29" s="928"/>
      <c r="AH29" s="928"/>
      <c r="AI29" s="928"/>
      <c r="AJ29" s="928"/>
      <c r="AK29" s="928"/>
      <c r="AL29" s="928">
        <v>2020</v>
      </c>
      <c r="AM29" s="928"/>
      <c r="AN29" s="928"/>
      <c r="AO29" s="928"/>
      <c r="AP29" s="928"/>
      <c r="AQ29" s="928"/>
      <c r="AR29" s="928"/>
      <c r="AS29" s="928"/>
      <c r="AT29" s="928"/>
      <c r="AU29" s="928"/>
      <c r="AV29" s="928"/>
      <c r="AW29" s="928"/>
      <c r="AX29" s="928">
        <v>2021</v>
      </c>
      <c r="AY29" s="928"/>
      <c r="AZ29" s="928"/>
      <c r="BA29" s="928"/>
      <c r="BB29" s="928"/>
      <c r="BC29" s="928"/>
      <c r="BD29" s="928"/>
      <c r="BE29" s="928"/>
      <c r="BF29" s="928"/>
      <c r="BG29" s="928"/>
      <c r="BH29" s="928"/>
      <c r="BI29" s="928"/>
      <c r="BJ29" s="928">
        <v>2022</v>
      </c>
      <c r="BK29" s="928"/>
      <c r="BL29" s="928"/>
      <c r="BM29" s="928"/>
      <c r="BN29" s="928"/>
      <c r="BO29" s="928"/>
      <c r="BP29" s="928"/>
      <c r="BQ29" s="928"/>
      <c r="BR29" s="928"/>
      <c r="BS29" s="928"/>
      <c r="BT29" s="928"/>
      <c r="BU29" s="928"/>
    </row>
    <row r="30" spans="1:75">
      <c r="A30" s="221"/>
      <c r="B30" s="213">
        <v>1</v>
      </c>
      <c r="C30" s="213">
        <v>2</v>
      </c>
      <c r="D30" s="213">
        <v>3</v>
      </c>
      <c r="E30" s="213">
        <v>4</v>
      </c>
      <c r="F30" s="213">
        <v>5</v>
      </c>
      <c r="G30" s="213">
        <v>6</v>
      </c>
      <c r="H30" s="213">
        <v>7</v>
      </c>
      <c r="I30" s="213">
        <v>8</v>
      </c>
      <c r="J30" s="213">
        <v>9</v>
      </c>
      <c r="K30" s="213">
        <v>10</v>
      </c>
      <c r="L30" s="213">
        <v>11</v>
      </c>
      <c r="M30" s="213">
        <v>12</v>
      </c>
      <c r="N30" s="213">
        <v>1</v>
      </c>
      <c r="O30" s="213">
        <v>2</v>
      </c>
      <c r="P30" s="213">
        <v>3</v>
      </c>
      <c r="Q30" s="213">
        <v>4</v>
      </c>
      <c r="R30" s="213">
        <v>5</v>
      </c>
      <c r="S30" s="213">
        <v>6</v>
      </c>
      <c r="T30" s="213">
        <v>7</v>
      </c>
      <c r="U30" s="213">
        <v>8</v>
      </c>
      <c r="V30" s="213">
        <v>9</v>
      </c>
      <c r="W30" s="213">
        <v>10</v>
      </c>
      <c r="X30" s="213">
        <v>11</v>
      </c>
      <c r="Y30" s="213">
        <v>12</v>
      </c>
      <c r="Z30" s="213">
        <v>1</v>
      </c>
      <c r="AA30" s="213">
        <v>2</v>
      </c>
      <c r="AB30" s="213">
        <v>3</v>
      </c>
      <c r="AC30" s="213">
        <v>4</v>
      </c>
      <c r="AD30" s="213">
        <v>5</v>
      </c>
      <c r="AE30" s="213">
        <v>6</v>
      </c>
      <c r="AF30" s="213">
        <v>7</v>
      </c>
      <c r="AG30" s="213">
        <v>8</v>
      </c>
      <c r="AH30" s="213">
        <v>9</v>
      </c>
      <c r="AI30" s="213">
        <v>10</v>
      </c>
      <c r="AJ30" s="213">
        <v>11</v>
      </c>
      <c r="AK30" s="213">
        <v>12</v>
      </c>
      <c r="AL30" s="213">
        <v>1</v>
      </c>
      <c r="AM30" s="213">
        <v>2</v>
      </c>
      <c r="AN30" s="213">
        <v>3</v>
      </c>
      <c r="AO30" s="213">
        <v>4</v>
      </c>
      <c r="AP30" s="213">
        <v>5</v>
      </c>
      <c r="AQ30" s="213">
        <v>6</v>
      </c>
      <c r="AR30" s="213">
        <v>7</v>
      </c>
      <c r="AS30" s="213">
        <v>8</v>
      </c>
      <c r="AT30" s="213">
        <v>9</v>
      </c>
      <c r="AU30" s="213">
        <v>10</v>
      </c>
      <c r="AV30" s="213">
        <v>11</v>
      </c>
      <c r="AW30" s="213">
        <v>12</v>
      </c>
      <c r="AX30" s="213">
        <v>1</v>
      </c>
      <c r="AY30" s="213">
        <v>2</v>
      </c>
      <c r="AZ30" s="213">
        <v>3</v>
      </c>
      <c r="BA30" s="213">
        <v>4</v>
      </c>
      <c r="BB30" s="213">
        <v>5</v>
      </c>
      <c r="BC30" s="213">
        <v>6</v>
      </c>
      <c r="BD30" s="213">
        <v>7</v>
      </c>
      <c r="BE30" s="213">
        <v>8</v>
      </c>
      <c r="BF30" s="213">
        <v>9</v>
      </c>
      <c r="BG30" s="213">
        <v>10</v>
      </c>
      <c r="BH30" s="213">
        <v>11</v>
      </c>
      <c r="BI30" s="213">
        <v>12</v>
      </c>
      <c r="BJ30" s="213">
        <v>1</v>
      </c>
      <c r="BK30" s="213">
        <v>2</v>
      </c>
      <c r="BL30" s="213">
        <v>3</v>
      </c>
      <c r="BM30" s="213">
        <v>4</v>
      </c>
      <c r="BN30" s="213">
        <v>5</v>
      </c>
      <c r="BO30" s="213">
        <v>6</v>
      </c>
      <c r="BP30" s="213">
        <v>7</v>
      </c>
      <c r="BQ30" s="213">
        <v>8</v>
      </c>
      <c r="BR30" s="213">
        <v>9</v>
      </c>
      <c r="BS30" s="213">
        <v>10</v>
      </c>
      <c r="BT30" s="213">
        <v>11</v>
      </c>
      <c r="BU30" s="213">
        <v>12</v>
      </c>
      <c r="BV30" s="161">
        <v>2021</v>
      </c>
      <c r="BW30" s="161">
        <v>2022</v>
      </c>
    </row>
    <row r="31" spans="1:75" ht="43.5">
      <c r="A31" s="416" t="s">
        <v>425</v>
      </c>
      <c r="B31" s="417">
        <v>6008</v>
      </c>
      <c r="C31" s="417">
        <v>6209</v>
      </c>
      <c r="D31" s="417">
        <v>6752</v>
      </c>
      <c r="E31" s="417">
        <v>6659</v>
      </c>
      <c r="F31" s="417">
        <v>6840</v>
      </c>
      <c r="G31" s="417">
        <v>7360</v>
      </c>
      <c r="H31" s="417">
        <v>7339</v>
      </c>
      <c r="I31" s="417">
        <v>7114</v>
      </c>
      <c r="J31" s="417">
        <v>7351</v>
      </c>
      <c r="K31" s="417">
        <v>7377</v>
      </c>
      <c r="L31" s="417">
        <v>7479</v>
      </c>
      <c r="M31" s="417">
        <v>8777</v>
      </c>
      <c r="N31" s="417">
        <v>7711.47</v>
      </c>
      <c r="O31" s="417">
        <v>7828.16</v>
      </c>
      <c r="P31" s="417">
        <v>8381.94</v>
      </c>
      <c r="Q31" s="417">
        <v>8480.24</v>
      </c>
      <c r="R31" s="417">
        <v>8724.75</v>
      </c>
      <c r="S31" s="417">
        <v>9141.17</v>
      </c>
      <c r="T31" s="417">
        <v>9170.2800000000007</v>
      </c>
      <c r="U31" s="417">
        <v>8977.2800000000007</v>
      </c>
      <c r="V31" s="417">
        <v>9042</v>
      </c>
      <c r="W31" s="417">
        <v>9218</v>
      </c>
      <c r="X31" s="417">
        <v>9161</v>
      </c>
      <c r="Y31" s="417">
        <v>10573</v>
      </c>
      <c r="Z31" s="417">
        <v>9223</v>
      </c>
      <c r="AA31" s="417">
        <v>9429</v>
      </c>
      <c r="AB31" s="417">
        <v>10237</v>
      </c>
      <c r="AC31" s="417">
        <v>10269</v>
      </c>
      <c r="AD31" s="417">
        <v>10239</v>
      </c>
      <c r="AE31" s="417">
        <v>10783</v>
      </c>
      <c r="AF31" s="417">
        <v>10971</v>
      </c>
      <c r="AG31" s="417">
        <v>10537</v>
      </c>
      <c r="AH31" s="417">
        <v>10687.06</v>
      </c>
      <c r="AI31" s="417">
        <v>10727.34</v>
      </c>
      <c r="AJ31" s="417">
        <v>10679.14</v>
      </c>
      <c r="AK31" s="417">
        <v>12263.61</v>
      </c>
      <c r="AL31" s="417">
        <v>10727</v>
      </c>
      <c r="AM31" s="417">
        <v>10847</v>
      </c>
      <c r="AN31" s="417">
        <v>11446</v>
      </c>
      <c r="AO31" s="417">
        <v>10430</v>
      </c>
      <c r="AP31" s="417">
        <v>10542</v>
      </c>
      <c r="AQ31" s="417">
        <v>11579</v>
      </c>
      <c r="AR31" s="417">
        <v>11804</v>
      </c>
      <c r="AS31" s="417">
        <v>11446</v>
      </c>
      <c r="AT31" s="417">
        <v>11988</v>
      </c>
      <c r="AU31" s="269">
        <v>12174</v>
      </c>
      <c r="AV31" s="269">
        <v>11987.410099999999</v>
      </c>
      <c r="AW31" s="267">
        <v>14179</v>
      </c>
      <c r="AX31" s="418">
        <v>12337</v>
      </c>
      <c r="AY31" s="418">
        <v>12549</v>
      </c>
      <c r="AZ31" s="418">
        <v>13612</v>
      </c>
      <c r="BA31" s="418">
        <v>13543</v>
      </c>
      <c r="BB31" s="418">
        <v>13499</v>
      </c>
      <c r="BC31" s="418">
        <v>14313</v>
      </c>
      <c r="BD31" s="418">
        <v>14345</v>
      </c>
      <c r="BE31" s="418">
        <v>13997</v>
      </c>
      <c r="BF31" s="418">
        <v>14239</v>
      </c>
      <c r="BG31" s="419">
        <f t="shared" ref="BG31:BU31" si="10">AU$31*(1+BG$33)</f>
        <v>14508.510346865345</v>
      </c>
      <c r="BH31" s="419">
        <f t="shared" si="10"/>
        <v>14334.996656588699</v>
      </c>
      <c r="BI31" s="419">
        <f t="shared" si="10"/>
        <v>17014.8</v>
      </c>
      <c r="BJ31" s="420">
        <f t="shared" si="10"/>
        <v>14665.915479110812</v>
      </c>
      <c r="BK31" s="420">
        <f t="shared" si="10"/>
        <v>14784.977602788624</v>
      </c>
      <c r="BL31" s="420">
        <f t="shared" si="10"/>
        <v>15901.256400886712</v>
      </c>
      <c r="BM31" s="420">
        <f t="shared" si="10"/>
        <v>15692.817244680533</v>
      </c>
      <c r="BN31" s="420">
        <f t="shared" si="10"/>
        <v>15521.564723075833</v>
      </c>
      <c r="BO31" s="420">
        <f t="shared" si="10"/>
        <v>16337.16387182461</v>
      </c>
      <c r="BP31" s="420">
        <f t="shared" si="10"/>
        <v>16259.827770806916</v>
      </c>
      <c r="BQ31" s="420">
        <f t="shared" si="10"/>
        <v>15760.511493537855</v>
      </c>
      <c r="BR31" s="420">
        <f t="shared" si="10"/>
        <v>15932.312011052376</v>
      </c>
      <c r="BS31" s="420">
        <f t="shared" si="10"/>
        <v>16137.035571051367</v>
      </c>
      <c r="BT31" s="420">
        <f t="shared" si="10"/>
        <v>15853.736648130662</v>
      </c>
      <c r="BU31" s="420">
        <f t="shared" si="10"/>
        <v>18716.280000000002</v>
      </c>
    </row>
    <row r="32" spans="1:75">
      <c r="A32" s="221"/>
      <c r="B32" s="212"/>
      <c r="C32" s="212"/>
      <c r="D32" s="212"/>
      <c r="E32" s="212"/>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c r="AK32" s="212"/>
      <c r="AL32" s="212"/>
      <c r="AM32" s="212"/>
      <c r="AN32" s="212"/>
      <c r="AO32" s="212"/>
      <c r="AP32" s="212"/>
      <c r="AQ32" s="212"/>
      <c r="AR32" s="212"/>
      <c r="AS32" s="212"/>
      <c r="AT32" s="212"/>
      <c r="AU32" s="212"/>
      <c r="AV32" s="212"/>
      <c r="AW32" s="212"/>
      <c r="AX32" s="212"/>
      <c r="AY32" s="212"/>
      <c r="AZ32" s="212"/>
      <c r="BA32" s="212"/>
      <c r="BB32" s="212"/>
      <c r="BC32" s="212"/>
      <c r="BD32" s="212"/>
      <c r="BE32" s="212"/>
      <c r="BF32" s="212"/>
      <c r="BG32" s="212"/>
      <c r="BH32" s="212"/>
      <c r="BI32" s="212"/>
    </row>
    <row r="33" spans="1:76" ht="15.75">
      <c r="A33" s="224" t="s">
        <v>225</v>
      </c>
      <c r="B33" s="225">
        <v>0.37734983952315448</v>
      </c>
      <c r="C33" s="225">
        <v>0.35419847328244281</v>
      </c>
      <c r="D33" s="225">
        <v>0.37235772357723573</v>
      </c>
      <c r="E33" s="225">
        <v>0.36036772216547508</v>
      </c>
      <c r="F33" s="225">
        <v>0.37239165329052959</v>
      </c>
      <c r="G33" s="225">
        <v>0.37905190181750048</v>
      </c>
      <c r="H33" s="225">
        <v>0.3656494231484928</v>
      </c>
      <c r="I33" s="225">
        <v>0.36755094194540572</v>
      </c>
      <c r="J33" s="225">
        <v>0.37196715192235907</v>
      </c>
      <c r="K33" s="225">
        <v>0.3788785046728973</v>
      </c>
      <c r="L33" s="225">
        <v>0.3834628190899001</v>
      </c>
      <c r="M33" s="225">
        <v>0.3555212355212356</v>
      </c>
      <c r="N33" s="225">
        <f>N31/B31-1</f>
        <v>0.28353362183754993</v>
      </c>
      <c r="O33" s="225">
        <f t="shared" ref="O33:BF33" si="11">O31/C31-1</f>
        <v>0.26077629247866008</v>
      </c>
      <c r="P33" s="225">
        <f t="shared" si="11"/>
        <v>0.2414010663507109</v>
      </c>
      <c r="Q33" s="225">
        <f t="shared" si="11"/>
        <v>0.27350052560444515</v>
      </c>
      <c r="R33" s="225">
        <f t="shared" si="11"/>
        <v>0.27554824561403501</v>
      </c>
      <c r="S33" s="225">
        <f t="shared" si="11"/>
        <v>0.24200679347826082</v>
      </c>
      <c r="T33" s="225">
        <f t="shared" si="11"/>
        <v>0.24952718353999193</v>
      </c>
      <c r="U33" s="225">
        <f t="shared" si="11"/>
        <v>0.26191734607815587</v>
      </c>
      <c r="V33" s="225">
        <f t="shared" si="11"/>
        <v>0.23003672969663991</v>
      </c>
      <c r="W33" s="225">
        <f t="shared" si="11"/>
        <v>0.24955944150738785</v>
      </c>
      <c r="X33" s="225">
        <f t="shared" si="11"/>
        <v>0.22489637652092531</v>
      </c>
      <c r="Y33" s="225">
        <f t="shared" si="11"/>
        <v>0.20462572633018117</v>
      </c>
      <c r="Z33" s="225">
        <f t="shared" si="11"/>
        <v>0.19601061794962571</v>
      </c>
      <c r="AA33" s="225">
        <f t="shared" si="11"/>
        <v>0.20449760863344646</v>
      </c>
      <c r="AB33" s="225">
        <f t="shared" si="11"/>
        <v>0.22131630624891119</v>
      </c>
      <c r="AC33" s="225">
        <f t="shared" si="11"/>
        <v>0.21093270945161935</v>
      </c>
      <c r="AD33" s="225">
        <f t="shared" si="11"/>
        <v>0.17355798160405733</v>
      </c>
      <c r="AE33" s="225">
        <f t="shared" si="11"/>
        <v>0.17960829959403446</v>
      </c>
      <c r="AF33" s="225">
        <f t="shared" si="11"/>
        <v>0.19636477839280797</v>
      </c>
      <c r="AG33" s="225">
        <f t="shared" si="11"/>
        <v>0.17374082127325874</v>
      </c>
      <c r="AH33" s="225">
        <f t="shared" si="11"/>
        <v>0.18193541251935397</v>
      </c>
      <c r="AI33" s="225">
        <f t="shared" si="11"/>
        <v>0.16373833803428073</v>
      </c>
      <c r="AJ33" s="225">
        <f t="shared" si="11"/>
        <v>0.16571771640650579</v>
      </c>
      <c r="AK33" s="225">
        <f t="shared" si="11"/>
        <v>0.15989879882720137</v>
      </c>
      <c r="AL33" s="225">
        <f t="shared" si="11"/>
        <v>0.16307058440854383</v>
      </c>
      <c r="AM33" s="225">
        <f t="shared" si="11"/>
        <v>0.15038710361650232</v>
      </c>
      <c r="AN33" s="225">
        <f t="shared" si="11"/>
        <v>0.11810100615414676</v>
      </c>
      <c r="AO33" s="225">
        <f t="shared" si="11"/>
        <v>1.5678254942058656E-2</v>
      </c>
      <c r="AP33" s="225">
        <f t="shared" si="11"/>
        <v>2.9592733665396942E-2</v>
      </c>
      <c r="AQ33" s="225">
        <f t="shared" si="11"/>
        <v>7.381990169711572E-2</v>
      </c>
      <c r="AR33" s="225">
        <f t="shared" si="11"/>
        <v>7.5927445082490275E-2</v>
      </c>
      <c r="AS33" s="225">
        <f t="shared" si="11"/>
        <v>8.6267438549871844E-2</v>
      </c>
      <c r="AT33" s="225">
        <f t="shared" si="11"/>
        <v>0.12173039170735445</v>
      </c>
      <c r="AU33" s="225">
        <f t="shared" si="11"/>
        <v>0.13485728987801271</v>
      </c>
      <c r="AV33" s="225">
        <f t="shared" si="11"/>
        <v>0.12250706517566012</v>
      </c>
      <c r="AW33" s="225">
        <f t="shared" si="11"/>
        <v>0.15618484279914302</v>
      </c>
      <c r="AX33" s="225">
        <f t="shared" si="11"/>
        <v>0.1500885615735994</v>
      </c>
      <c r="AY33" s="225">
        <f t="shared" si="11"/>
        <v>0.15690974462985152</v>
      </c>
      <c r="AZ33" s="225">
        <f t="shared" si="11"/>
        <v>0.18923641446793638</v>
      </c>
      <c r="BA33" s="225">
        <f t="shared" si="11"/>
        <v>0.29846596356663468</v>
      </c>
      <c r="BB33" s="225">
        <f t="shared" si="11"/>
        <v>0.28049705938152147</v>
      </c>
      <c r="BC33" s="225">
        <f t="shared" si="11"/>
        <v>0.23611710855859736</v>
      </c>
      <c r="BD33" s="225">
        <f t="shared" si="11"/>
        <v>0.21526601152151814</v>
      </c>
      <c r="BE33" s="225">
        <f t="shared" si="11"/>
        <v>0.22287261925563517</v>
      </c>
      <c r="BF33" s="225">
        <f t="shared" si="11"/>
        <v>0.18777110443777101</v>
      </c>
      <c r="BG33" s="230">
        <f>BF33*$BV$33</f>
        <v>0.19176198019265203</v>
      </c>
      <c r="BH33" s="230">
        <f>BG33*$BV$33</f>
        <v>0.19583767778068245</v>
      </c>
      <c r="BI33" s="231">
        <v>0.2</v>
      </c>
      <c r="BJ33" s="421">
        <f>BI33*$BW$33</f>
        <v>0.18877486253633871</v>
      </c>
      <c r="BK33" s="421">
        <f t="shared" ref="BK33:BT33" si="12">BJ33*$BW$33</f>
        <v>0.17817974362806788</v>
      </c>
      <c r="BL33" s="421">
        <f t="shared" si="12"/>
        <v>0.16817928305074292</v>
      </c>
      <c r="BM33" s="421">
        <f t="shared" si="12"/>
        <v>0.15874010519681997</v>
      </c>
      <c r="BN33" s="421">
        <f t="shared" si="12"/>
        <v>0.14983070768766818</v>
      </c>
      <c r="BO33" s="421">
        <f t="shared" si="12"/>
        <v>0.14142135623730953</v>
      </c>
      <c r="BP33" s="421">
        <f t="shared" si="12"/>
        <v>0.13348398541700346</v>
      </c>
      <c r="BQ33" s="421">
        <f t="shared" si="12"/>
        <v>0.12599210498948735</v>
      </c>
      <c r="BR33" s="421">
        <f t="shared" si="12"/>
        <v>0.11892071150027214</v>
      </c>
      <c r="BS33" s="421">
        <f t="shared" si="12"/>
        <v>0.11224620483093734</v>
      </c>
      <c r="BT33" s="421">
        <f t="shared" si="12"/>
        <v>0.10594630943592956</v>
      </c>
      <c r="BU33" s="422">
        <v>0.1</v>
      </c>
      <c r="BV33" s="183">
        <f>(BI33/BF33)^(1/3)</f>
        <v>1.0212539398265277</v>
      </c>
      <c r="BW33" s="183">
        <f>(BU33/BI33)^(1/12)</f>
        <v>0.94387431268169353</v>
      </c>
    </row>
    <row r="34" spans="1:76" ht="15">
      <c r="A34" s="224"/>
      <c r="B34" s="212"/>
      <c r="C34" s="212"/>
      <c r="D34" s="212"/>
      <c r="E34" s="212"/>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c r="AK34" s="212"/>
      <c r="AL34" s="212"/>
      <c r="AM34" s="212"/>
      <c r="AN34" s="212"/>
      <c r="AO34" s="212"/>
      <c r="AP34" s="212"/>
      <c r="AQ34" s="212"/>
      <c r="AR34" s="212"/>
      <c r="AS34" s="212"/>
      <c r="AT34" s="212"/>
      <c r="AU34" s="212"/>
      <c r="AV34" s="212"/>
      <c r="AW34" s="212"/>
      <c r="AX34" s="212"/>
      <c r="AY34" s="212"/>
      <c r="AZ34" s="212"/>
      <c r="BA34" s="212"/>
      <c r="BB34" s="212"/>
      <c r="BC34" s="212"/>
      <c r="BD34" s="212"/>
      <c r="BE34" s="212"/>
      <c r="BF34" s="212"/>
      <c r="BG34" s="212"/>
      <c r="BH34" s="212"/>
      <c r="BI34" s="212"/>
    </row>
    <row r="35" spans="1:76" ht="15">
      <c r="A35" s="224" t="s">
        <v>226</v>
      </c>
      <c r="B35" s="225">
        <v>-7.2123552123552148E-2</v>
      </c>
      <c r="C35" s="225">
        <f>C31/B31-1</f>
        <v>3.3455392809587314E-2</v>
      </c>
      <c r="D35" s="225">
        <f t="shared" ref="D35:BI35" si="13">D31/C31-1</f>
        <v>8.7453696247382862E-2</v>
      </c>
      <c r="E35" s="225">
        <f t="shared" si="13"/>
        <v>-1.377369668246442E-2</v>
      </c>
      <c r="F35" s="225">
        <f t="shared" si="13"/>
        <v>2.7181258447214196E-2</v>
      </c>
      <c r="G35" s="225">
        <f t="shared" si="13"/>
        <v>7.6023391812865437E-2</v>
      </c>
      <c r="H35" s="225">
        <f t="shared" si="13"/>
        <v>-2.8532608695651662E-3</v>
      </c>
      <c r="I35" s="225">
        <f t="shared" si="13"/>
        <v>-3.0658127810328395E-2</v>
      </c>
      <c r="J35" s="225">
        <f t="shared" si="13"/>
        <v>3.3314590947427503E-2</v>
      </c>
      <c r="K35" s="225">
        <f t="shared" si="13"/>
        <v>3.5369337505102294E-3</v>
      </c>
      <c r="L35" s="225">
        <f t="shared" si="13"/>
        <v>1.3826758845058906E-2</v>
      </c>
      <c r="M35" s="225">
        <f t="shared" si="13"/>
        <v>0.173552613985827</v>
      </c>
      <c r="N35" s="225">
        <f t="shared" si="13"/>
        <v>-0.12140025065512128</v>
      </c>
      <c r="O35" s="225">
        <f t="shared" si="13"/>
        <v>1.513200466318354E-2</v>
      </c>
      <c r="P35" s="225">
        <f t="shared" si="13"/>
        <v>7.0742038997670065E-2</v>
      </c>
      <c r="Q35" s="225">
        <f t="shared" si="13"/>
        <v>1.1727595282237768E-2</v>
      </c>
      <c r="R35" s="225">
        <f t="shared" si="13"/>
        <v>2.8832910389328559E-2</v>
      </c>
      <c r="S35" s="225">
        <f t="shared" si="13"/>
        <v>4.7728588211696676E-2</v>
      </c>
      <c r="T35" s="225">
        <f t="shared" si="13"/>
        <v>3.1844938886378404E-3</v>
      </c>
      <c r="U35" s="225">
        <f t="shared" si="13"/>
        <v>-2.1046249405688777E-2</v>
      </c>
      <c r="V35" s="225">
        <f t="shared" si="13"/>
        <v>7.2093106152419928E-3</v>
      </c>
      <c r="W35" s="225">
        <f t="shared" si="13"/>
        <v>1.9464720194647178E-2</v>
      </c>
      <c r="X35" s="225">
        <f t="shared" si="13"/>
        <v>-6.1835539162508057E-3</v>
      </c>
      <c r="Y35" s="225">
        <f t="shared" si="13"/>
        <v>0.15413164501691945</v>
      </c>
      <c r="Z35" s="225">
        <f t="shared" si="13"/>
        <v>-0.12768372268987038</v>
      </c>
      <c r="AA35" s="225">
        <f t="shared" si="13"/>
        <v>2.2335465683616995E-2</v>
      </c>
      <c r="AB35" s="225">
        <f t="shared" si="13"/>
        <v>8.5693074557217086E-2</v>
      </c>
      <c r="AC35" s="225">
        <f t="shared" si="13"/>
        <v>3.1259157956433636E-3</v>
      </c>
      <c r="AD35" s="225">
        <f t="shared" si="13"/>
        <v>-2.9214139643587433E-3</v>
      </c>
      <c r="AE35" s="225">
        <f t="shared" si="13"/>
        <v>5.3130188494970199E-2</v>
      </c>
      <c r="AF35" s="225">
        <f t="shared" si="13"/>
        <v>1.7434851154595199E-2</v>
      </c>
      <c r="AG35" s="225">
        <f t="shared" si="13"/>
        <v>-3.9558836933734409E-2</v>
      </c>
      <c r="AH35" s="225">
        <f t="shared" si="13"/>
        <v>1.4241245136186631E-2</v>
      </c>
      <c r="AI35" s="225">
        <f t="shared" si="13"/>
        <v>3.7690440588900032E-3</v>
      </c>
      <c r="AJ35" s="225">
        <f t="shared" si="13"/>
        <v>-4.4931921613373671E-3</v>
      </c>
      <c r="AK35" s="225">
        <f t="shared" si="13"/>
        <v>0.14837056167444196</v>
      </c>
      <c r="AL35" s="225">
        <f t="shared" si="13"/>
        <v>-0.1252983420053313</v>
      </c>
      <c r="AM35" s="225">
        <f t="shared" si="13"/>
        <v>1.1186725086230975E-2</v>
      </c>
      <c r="AN35" s="225">
        <f t="shared" si="13"/>
        <v>5.5222642205217998E-2</v>
      </c>
      <c r="AO35" s="225">
        <f t="shared" si="13"/>
        <v>-8.8764633933251846E-2</v>
      </c>
      <c r="AP35" s="225">
        <f t="shared" si="13"/>
        <v>1.0738255033557076E-2</v>
      </c>
      <c r="AQ35" s="225">
        <f t="shared" si="13"/>
        <v>9.8368431037753723E-2</v>
      </c>
      <c r="AR35" s="225">
        <f t="shared" si="13"/>
        <v>1.943172985577335E-2</v>
      </c>
      <c r="AS35" s="225">
        <f t="shared" si="13"/>
        <v>-3.032870213486949E-2</v>
      </c>
      <c r="AT35" s="225">
        <f t="shared" si="13"/>
        <v>4.7352786999825369E-2</v>
      </c>
      <c r="AU35" s="230">
        <f t="shared" si="13"/>
        <v>1.5515515515515554E-2</v>
      </c>
      <c r="AV35" s="230">
        <f t="shared" si="13"/>
        <v>-1.5326918022014246E-2</v>
      </c>
      <c r="AW35" s="230">
        <f t="shared" si="13"/>
        <v>0.18282430330801813</v>
      </c>
      <c r="AX35" s="230">
        <f t="shared" si="13"/>
        <v>-0.1299104309189647</v>
      </c>
      <c r="AY35" s="230">
        <f t="shared" si="13"/>
        <v>1.7184080408527258E-2</v>
      </c>
      <c r="AZ35" s="230">
        <f t="shared" si="13"/>
        <v>8.4707944856163842E-2</v>
      </c>
      <c r="BA35" s="230">
        <f t="shared" si="13"/>
        <v>-5.0690567146635113E-3</v>
      </c>
      <c r="BB35" s="230">
        <f t="shared" si="13"/>
        <v>-3.2489108764675034E-3</v>
      </c>
      <c r="BC35" s="230">
        <f t="shared" si="13"/>
        <v>6.030076301948295E-2</v>
      </c>
      <c r="BD35" s="230">
        <f t="shared" si="13"/>
        <v>2.2357297561657052E-3</v>
      </c>
      <c r="BE35" s="230">
        <f t="shared" si="13"/>
        <v>-2.4259323806204214E-2</v>
      </c>
      <c r="BF35" s="230">
        <f t="shared" si="13"/>
        <v>1.7289419161248931E-2</v>
      </c>
      <c r="BG35" s="423">
        <f t="shared" si="13"/>
        <v>1.892761759009387E-2</v>
      </c>
      <c r="BH35" s="423">
        <f t="shared" si="13"/>
        <v>-1.1959442156936229E-2</v>
      </c>
      <c r="BI35" s="423">
        <f t="shared" si="13"/>
        <v>0.18694133020112003</v>
      </c>
    </row>
    <row r="36" spans="1:76">
      <c r="A36" s="221"/>
      <c r="B36" s="212"/>
      <c r="C36" s="212"/>
      <c r="D36" s="212"/>
      <c r="E36" s="212"/>
      <c r="F36" s="212"/>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212"/>
      <c r="AJ36" s="212"/>
      <c r="AK36" s="212"/>
      <c r="AL36" s="212"/>
      <c r="AM36" s="212"/>
      <c r="AN36" s="212"/>
      <c r="AO36" s="212"/>
      <c r="AP36" s="212"/>
      <c r="AQ36" s="212"/>
      <c r="AR36" s="212"/>
      <c r="AS36" s="212"/>
      <c r="AT36" s="212"/>
      <c r="AU36" s="212"/>
      <c r="AV36" s="212"/>
      <c r="AW36" s="212"/>
      <c r="AX36" s="212"/>
      <c r="AY36" s="212"/>
      <c r="AZ36" s="212"/>
      <c r="BA36" s="212"/>
      <c r="BB36" s="212"/>
      <c r="BC36" s="212"/>
      <c r="BD36" s="212"/>
      <c r="BE36" s="212"/>
      <c r="BF36" s="212"/>
      <c r="BG36" s="212"/>
      <c r="BH36" s="212"/>
      <c r="BI36" s="212"/>
    </row>
    <row r="37" spans="1:76">
      <c r="A37" s="243" t="s">
        <v>240</v>
      </c>
      <c r="B37" s="225">
        <f>B$31/AVERAGE($B$31:$M$31)</f>
        <v>0.84555210226939537</v>
      </c>
      <c r="C37" s="225">
        <f t="shared" ref="C37:M37" si="14">C$31/AVERAGE($B$31:$M$31)</f>
        <v>0.87384037999179032</v>
      </c>
      <c r="D37" s="225">
        <f t="shared" si="14"/>
        <v>0.95026095115228992</v>
      </c>
      <c r="E37" s="225">
        <f t="shared" si="14"/>
        <v>0.93717234504192803</v>
      </c>
      <c r="F37" s="225">
        <f t="shared" si="14"/>
        <v>0.96264586876209457</v>
      </c>
      <c r="G37" s="225">
        <f t="shared" si="14"/>
        <v>1.0358294728200317</v>
      </c>
      <c r="H37" s="225">
        <f t="shared" si="14"/>
        <v>1.0328739811176919</v>
      </c>
      <c r="I37" s="225">
        <f t="shared" si="14"/>
        <v>1.001207998592623</v>
      </c>
      <c r="J37" s="225">
        <f t="shared" si="14"/>
        <v>1.0345628335190289</v>
      </c>
      <c r="K37" s="225">
        <f t="shared" si="14"/>
        <v>1.0382220137219258</v>
      </c>
      <c r="L37" s="225">
        <f t="shared" si="14"/>
        <v>1.0525772591332903</v>
      </c>
      <c r="M37" s="225">
        <f t="shared" si="14"/>
        <v>1.2352547938779099</v>
      </c>
      <c r="N37" s="225">
        <f>N$31/AVERAGE($N$31:$Y$31)</f>
        <v>0.86963873173103601</v>
      </c>
      <c r="O37" s="225">
        <f t="shared" ref="O37:Y37" si="15">O$31/AVERAGE($N$31:$Y$31)</f>
        <v>0.88279810907487499</v>
      </c>
      <c r="P37" s="225">
        <f t="shared" si="15"/>
        <v>0.94524904733411919</v>
      </c>
      <c r="Q37" s="225">
        <f t="shared" si="15"/>
        <v>0.95633454560217446</v>
      </c>
      <c r="R37" s="225">
        <f t="shared" si="15"/>
        <v>0.98390845385774128</v>
      </c>
      <c r="S37" s="225">
        <f t="shared" si="15"/>
        <v>1.0308690152899245</v>
      </c>
      <c r="T37" s="225">
        <f t="shared" si="15"/>
        <v>1.0341518113691015</v>
      </c>
      <c r="U37" s="225">
        <f t="shared" si="15"/>
        <v>1.0123867944236826</v>
      </c>
      <c r="V37" s="225">
        <f t="shared" si="15"/>
        <v>1.019685405287452</v>
      </c>
      <c r="W37" s="225">
        <f t="shared" si="15"/>
        <v>1.0395332963879378</v>
      </c>
      <c r="X37" s="225">
        <f t="shared" si="15"/>
        <v>1.0331052862019849</v>
      </c>
      <c r="Y37" s="225">
        <f t="shared" si="15"/>
        <v>1.1923395034399724</v>
      </c>
      <c r="Z37" s="225">
        <f>Z$31/AVERAGE($Z$31:$AK$31)</f>
        <v>0.87806631195250284</v>
      </c>
      <c r="AA37" s="225">
        <f t="shared" ref="AA37:AK37" si="16">AA$31/AVERAGE($Z$31:$AK$31)</f>
        <v>0.89767833193105817</v>
      </c>
      <c r="AB37" s="225">
        <f t="shared" si="16"/>
        <v>0.97460314815762461</v>
      </c>
      <c r="AC37" s="225">
        <f t="shared" si="16"/>
        <v>0.97764967553293414</v>
      </c>
      <c r="AD37" s="225">
        <f t="shared" si="16"/>
        <v>0.97479355611858143</v>
      </c>
      <c r="AE37" s="225">
        <f t="shared" si="16"/>
        <v>1.026584521498844</v>
      </c>
      <c r="AF37" s="225">
        <f t="shared" si="16"/>
        <v>1.0444828698287876</v>
      </c>
      <c r="AG37" s="225">
        <f t="shared" si="16"/>
        <v>1.0031643423011518</v>
      </c>
      <c r="AH37" s="225">
        <f t="shared" si="16"/>
        <v>1.0174506516117439</v>
      </c>
      <c r="AI37" s="225">
        <f t="shared" si="16"/>
        <v>1.0212854679454149</v>
      </c>
      <c r="AJ37" s="225">
        <f t="shared" si="16"/>
        <v>1.0166966360863547</v>
      </c>
      <c r="AK37" s="225">
        <f t="shared" si="16"/>
        <v>1.1675444870350031</v>
      </c>
      <c r="AL37" s="225">
        <f>AL$31/AVERAGE($AL$31:$AW$31)</f>
        <v>0.92507758320708833</v>
      </c>
      <c r="AM37" s="225">
        <f t="shared" ref="AM37:AW37" si="17">AM$31/AVERAGE($AL$31:$AW$31)</f>
        <v>0.93542617181386101</v>
      </c>
      <c r="AN37" s="225">
        <f t="shared" si="17"/>
        <v>0.98708287660933469</v>
      </c>
      <c r="AO37" s="225">
        <f t="shared" si="17"/>
        <v>0.89946482640532599</v>
      </c>
      <c r="AP37" s="225">
        <f t="shared" si="17"/>
        <v>0.90912350910498052</v>
      </c>
      <c r="AQ37" s="225">
        <f t="shared" si="17"/>
        <v>0.99855256231517442</v>
      </c>
      <c r="AR37" s="225">
        <f t="shared" si="17"/>
        <v>1.0179561659528733</v>
      </c>
      <c r="AS37" s="225">
        <f t="shared" si="17"/>
        <v>0.98708287660933469</v>
      </c>
      <c r="AT37" s="225">
        <f t="shared" si="17"/>
        <v>1.0338240018165914</v>
      </c>
      <c r="AU37" s="225">
        <f t="shared" si="17"/>
        <v>1.0498643141570889</v>
      </c>
      <c r="AV37" s="225">
        <f t="shared" si="17"/>
        <v>1.0337731298797652</v>
      </c>
      <c r="AW37" s="225">
        <f t="shared" si="17"/>
        <v>1.2227719821285827</v>
      </c>
      <c r="AX37" s="225">
        <f>AX$31/AVERAGE($AX$31:$BI$31)</f>
        <v>0.87968370412179064</v>
      </c>
      <c r="AY37" s="225">
        <f t="shared" ref="AY37:BI37" si="18">AY$31/AVERAGE($AX$31:$BI$31)</f>
        <v>0.89480025962749055</v>
      </c>
      <c r="AZ37" s="225">
        <f t="shared" si="18"/>
        <v>0.97059695067729712</v>
      </c>
      <c r="BA37" s="225">
        <f t="shared" si="18"/>
        <v>0.96567693968723445</v>
      </c>
      <c r="BB37" s="225">
        <f t="shared" si="18"/>
        <v>0.96253954137473063</v>
      </c>
      <c r="BC37" s="225">
        <f t="shared" si="18"/>
        <v>1.02058141015605</v>
      </c>
      <c r="BD37" s="225">
        <f t="shared" si="18"/>
        <v>1.0228631543833255</v>
      </c>
      <c r="BE37" s="225">
        <f t="shared" si="18"/>
        <v>0.99804918591170499</v>
      </c>
      <c r="BF37" s="225">
        <f t="shared" si="18"/>
        <v>1.0153048766304755</v>
      </c>
      <c r="BG37" s="225">
        <f t="shared" si="18"/>
        <v>1.0345221790726946</v>
      </c>
      <c r="BH37" s="225">
        <f t="shared" si="18"/>
        <v>1.0221498709120072</v>
      </c>
      <c r="BI37" s="225">
        <f t="shared" si="18"/>
        <v>1.2132319274452008</v>
      </c>
    </row>
    <row r="38" spans="1:76">
      <c r="A38" s="221"/>
      <c r="B38" s="212"/>
      <c r="C38" s="212"/>
      <c r="D38" s="212"/>
      <c r="E38" s="212"/>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c r="AK38" s="212"/>
      <c r="AL38" s="212"/>
      <c r="AM38" s="212"/>
      <c r="AN38" s="212"/>
      <c r="AO38" s="212"/>
      <c r="AP38" s="212"/>
      <c r="AQ38" s="212"/>
      <c r="AR38" s="212"/>
      <c r="AS38" s="212"/>
      <c r="AT38" s="212"/>
      <c r="AU38" s="212"/>
      <c r="AV38" s="212"/>
      <c r="AW38" s="212"/>
      <c r="AX38" s="212"/>
      <c r="AY38" s="212"/>
      <c r="AZ38" s="212"/>
      <c r="BA38" s="212"/>
      <c r="BB38" s="212"/>
      <c r="BC38" s="212"/>
      <c r="BD38" s="212"/>
      <c r="BE38" s="212"/>
      <c r="BF38" s="212"/>
      <c r="BG38" s="212"/>
      <c r="BH38" s="212"/>
      <c r="BI38" s="212"/>
    </row>
    <row r="39" spans="1:76" ht="15.75">
      <c r="A39" s="226" t="s">
        <v>426</v>
      </c>
      <c r="B39" s="424">
        <v>27.150611903225798</v>
      </c>
      <c r="C39" s="424">
        <v>27.027771071428578</v>
      </c>
      <c r="D39" s="424">
        <v>27.001562419354837</v>
      </c>
      <c r="E39" s="424">
        <v>26.856827100000014</v>
      </c>
      <c r="F39" s="424">
        <v>26.423692999999993</v>
      </c>
      <c r="G39" s="424">
        <v>26.108858166666668</v>
      </c>
      <c r="H39" s="424">
        <v>25.969315225806444</v>
      </c>
      <c r="I39" s="424">
        <v>25.635271419354826</v>
      </c>
      <c r="J39" s="424">
        <v>26.10860709999999</v>
      </c>
      <c r="K39" s="424">
        <v>26.654977096774203</v>
      </c>
      <c r="L39" s="424">
        <v>26.705274633333335</v>
      </c>
      <c r="M39" s="424">
        <v>27.516507935483883</v>
      </c>
      <c r="N39" s="424">
        <v>28.434328612903219</v>
      </c>
      <c r="O39" s="424">
        <v>27.171049392857139</v>
      </c>
      <c r="P39" s="424">
        <v>26.341204741935485</v>
      </c>
      <c r="Q39" s="424">
        <v>26.151748566666662</v>
      </c>
      <c r="R39" s="424">
        <v>26.181224580645161</v>
      </c>
      <c r="S39" s="424">
        <v>26.202170466666676</v>
      </c>
      <c r="T39" s="424">
        <v>26.400686419354855</v>
      </c>
      <c r="U39" s="424">
        <v>27.482209032258066</v>
      </c>
      <c r="V39" s="424">
        <v>28.191267433333341</v>
      </c>
      <c r="W39" s="424">
        <v>28.127382419354841</v>
      </c>
      <c r="X39" s="424">
        <v>27.933498133333334</v>
      </c>
      <c r="Y39" s="424">
        <v>27.789138709677424</v>
      </c>
      <c r="Z39" s="424">
        <v>27.879174999999993</v>
      </c>
      <c r="AA39" s="424">
        <v>28.124344464285709</v>
      </c>
      <c r="AB39" s="424">
        <v>26.863534580645165</v>
      </c>
      <c r="AC39" s="424">
        <v>26.811495299999994</v>
      </c>
      <c r="AD39" s="424">
        <v>26.378847709677427</v>
      </c>
      <c r="AE39" s="424">
        <v>26.500110633333332</v>
      </c>
      <c r="AF39" s="424">
        <v>25.751355387096769</v>
      </c>
      <c r="AG39" s="424">
        <v>25.246989612903228</v>
      </c>
      <c r="AH39" s="424">
        <v>24.769724166666666</v>
      </c>
      <c r="AI39" s="424">
        <v>24.808206516129029</v>
      </c>
      <c r="AJ39" s="424">
        <v>24.367518633333326</v>
      </c>
      <c r="AK39" s="424">
        <v>23.609435129032253</v>
      </c>
      <c r="AL39" s="424">
        <v>24.119351612903227</v>
      </c>
      <c r="AM39" s="424">
        <v>24.596524137931045</v>
      </c>
      <c r="AN39" s="424">
        <v>26.412293548387101</v>
      </c>
      <c r="AO39" s="424">
        <v>27.224653333333325</v>
      </c>
      <c r="AP39" s="424">
        <v>26.814329032258055</v>
      </c>
      <c r="AQ39" s="424">
        <v>26.707343333333327</v>
      </c>
      <c r="AR39" s="424">
        <v>27.312838709677415</v>
      </c>
      <c r="AS39" s="424">
        <v>27.521419354838709</v>
      </c>
      <c r="AT39" s="424">
        <v>27.963576666666654</v>
      </c>
      <c r="AU39" s="424">
        <v>28.1</v>
      </c>
      <c r="AV39" s="424">
        <v>28.1</v>
      </c>
      <c r="AW39" s="424">
        <v>28.2</v>
      </c>
      <c r="AX39" s="425">
        <v>28.219770967741901</v>
      </c>
      <c r="AY39" s="426">
        <v>27.884660714285701</v>
      </c>
      <c r="AZ39" s="426">
        <v>27.795558064516101</v>
      </c>
      <c r="BA39" s="426">
        <v>27.93</v>
      </c>
      <c r="BB39" s="426">
        <v>27.6</v>
      </c>
      <c r="BC39" s="426">
        <v>27.239873333333321</v>
      </c>
      <c r="BD39" s="426">
        <v>27.214548387096801</v>
      </c>
      <c r="BE39" s="426">
        <v>26.76</v>
      </c>
      <c r="BF39" s="426">
        <v>26.731762615434441</v>
      </c>
      <c r="BG39" s="426">
        <v>26.398426526515998</v>
      </c>
      <c r="BH39" s="426">
        <v>26.345306827638101</v>
      </c>
      <c r="BI39" s="425">
        <v>26.316584904855794</v>
      </c>
      <c r="BJ39" s="427">
        <v>27.05</v>
      </c>
      <c r="BK39" s="428">
        <f t="shared" ref="BK39:BS39" si="19">BJ39*$BW$39</f>
        <v>27.139416462767002</v>
      </c>
      <c r="BL39" s="428">
        <f t="shared" si="19"/>
        <v>27.229128500536358</v>
      </c>
      <c r="BM39" s="428">
        <f t="shared" si="19"/>
        <v>27.319137090360613</v>
      </c>
      <c r="BN39" s="428">
        <f t="shared" si="19"/>
        <v>27.409443212522046</v>
      </c>
      <c r="BO39" s="428">
        <f t="shared" si="19"/>
        <v>27.500047850543364</v>
      </c>
      <c r="BP39" s="428">
        <f t="shared" si="19"/>
        <v>27.590951991198406</v>
      </c>
      <c r="BQ39" s="428">
        <f>BP39*$BW$39</f>
        <v>27.682156624522882</v>
      </c>
      <c r="BR39" s="428">
        <f t="shared" si="19"/>
        <v>27.77366274382517</v>
      </c>
      <c r="BS39" s="428">
        <f t="shared" si="19"/>
        <v>27.865471345697127</v>
      </c>
      <c r="BT39" s="428">
        <f>BS39*$BW$39</f>
        <v>27.957583430024943</v>
      </c>
      <c r="BU39" s="429">
        <v>28.05</v>
      </c>
      <c r="BW39" s="183">
        <f>(BU39/BJ39)^(1/11)</f>
        <v>1.0033055993629205</v>
      </c>
      <c r="BX39" s="430">
        <f>AVERAGE(BJ39:BU39)</f>
        <v>27.547249937666493</v>
      </c>
    </row>
    <row r="40" spans="1:76">
      <c r="A40" s="221"/>
      <c r="B40" s="212"/>
      <c r="C40" s="212"/>
      <c r="D40" s="212"/>
      <c r="E40" s="212"/>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c r="AK40" s="212"/>
      <c r="AL40" s="212"/>
      <c r="AM40" s="212"/>
      <c r="AN40" s="212"/>
      <c r="AO40" s="212"/>
      <c r="AP40" s="212"/>
      <c r="AQ40" s="212"/>
      <c r="AR40" s="212"/>
      <c r="AS40" s="212"/>
      <c r="AT40" s="212"/>
      <c r="AU40" s="212"/>
      <c r="AV40" s="212"/>
      <c r="AW40" s="212"/>
      <c r="AX40" s="212"/>
      <c r="AY40" s="212"/>
      <c r="AZ40" s="212"/>
      <c r="BA40" s="212"/>
      <c r="BB40" s="212"/>
      <c r="BC40" s="212"/>
      <c r="BD40" s="212"/>
      <c r="BE40" s="212"/>
      <c r="BF40" s="212"/>
      <c r="BG40" s="212"/>
      <c r="BH40" s="212"/>
      <c r="BI40" s="212"/>
      <c r="BJ40" s="430"/>
      <c r="BK40" s="430"/>
      <c r="BL40" s="430"/>
      <c r="BM40" s="430"/>
      <c r="BN40" s="430"/>
      <c r="BO40" s="430"/>
      <c r="BP40" s="430"/>
      <c r="BQ40" s="430"/>
      <c r="BR40" s="430"/>
      <c r="BS40" s="430"/>
      <c r="BT40" s="430"/>
    </row>
    <row r="41" spans="1:76" ht="15">
      <c r="A41" s="431" t="s">
        <v>427</v>
      </c>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3">
        <v>31.81745022580645</v>
      </c>
      <c r="AA41" s="433">
        <v>30.848378964285711</v>
      </c>
      <c r="AB41" s="433">
        <v>30.404446774193541</v>
      </c>
      <c r="AC41" s="433">
        <v>30.114637500000011</v>
      </c>
      <c r="AD41" s="433">
        <v>29.503724645161295</v>
      </c>
      <c r="AE41" s="433">
        <v>29.890845266666666</v>
      </c>
      <c r="AF41" s="433">
        <v>28.913548516129026</v>
      </c>
      <c r="AG41" s="433">
        <v>28.086067354838704</v>
      </c>
      <c r="AH41" s="433">
        <v>27.276622466666659</v>
      </c>
      <c r="AI41" s="433">
        <v>27.401062096774194</v>
      </c>
      <c r="AJ41" s="433">
        <v>26.95844906666666</v>
      </c>
      <c r="AK41" s="433">
        <v>26.20693009677419</v>
      </c>
      <c r="AL41" s="434">
        <f t="shared" ref="AL41:AX41" si="20">B$127</f>
        <v>26.792258064516126</v>
      </c>
      <c r="AM41" s="434">
        <f t="shared" si="20"/>
        <v>26.844610344827586</v>
      </c>
      <c r="AN41" s="434">
        <f t="shared" si="20"/>
        <v>29.15953870967741</v>
      </c>
      <c r="AO41" s="434">
        <f t="shared" si="20"/>
        <v>29.594646666666662</v>
      </c>
      <c r="AP41" s="434">
        <f t="shared" si="20"/>
        <v>29.187087096774192</v>
      </c>
      <c r="AQ41" s="434">
        <f t="shared" si="20"/>
        <v>30.04057666666667</v>
      </c>
      <c r="AR41" s="434">
        <f t="shared" si="20"/>
        <v>31.21335483870968</v>
      </c>
      <c r="AS41" s="434">
        <f t="shared" si="20"/>
        <v>32.539045161290318</v>
      </c>
      <c r="AT41" s="434">
        <f t="shared" si="20"/>
        <v>33.000729999999997</v>
      </c>
      <c r="AU41" s="434">
        <f t="shared" si="20"/>
        <v>33.349348387096782</v>
      </c>
      <c r="AV41" s="434">
        <f t="shared" si="20"/>
        <v>33.476926666666678</v>
      </c>
      <c r="AW41" s="434">
        <f t="shared" si="20"/>
        <v>34.256112903225805</v>
      </c>
      <c r="AX41" s="434">
        <f t="shared" si="20"/>
        <v>34.386274193548346</v>
      </c>
      <c r="AY41" s="434">
        <f>O$127</f>
        <v>33.742985714285702</v>
      </c>
      <c r="AZ41" s="434">
        <f t="shared" ref="AZ41:BI41" si="21">P$127</f>
        <v>33.140067741935454</v>
      </c>
      <c r="BA41" s="434">
        <f t="shared" si="21"/>
        <v>33.515999999999998</v>
      </c>
      <c r="BB41" s="434">
        <f t="shared" si="21"/>
        <v>33.119999999999997</v>
      </c>
      <c r="BC41" s="434">
        <f t="shared" si="21"/>
        <v>33.096446099999987</v>
      </c>
      <c r="BD41" s="434">
        <f t="shared" si="21"/>
        <v>32.385312580645191</v>
      </c>
      <c r="BE41" s="434">
        <f t="shared" si="21"/>
        <v>31.8444</v>
      </c>
      <c r="BF41" s="434">
        <f t="shared" si="21"/>
        <v>31.703870461905247</v>
      </c>
      <c r="BG41" s="434">
        <f t="shared" si="21"/>
        <v>31.063859999999998</v>
      </c>
      <c r="BH41" s="434">
        <f t="shared" si="21"/>
        <v>30.92005</v>
      </c>
      <c r="BI41" s="434">
        <f t="shared" si="21"/>
        <v>31.563599999999997</v>
      </c>
      <c r="BJ41" s="434">
        <f>BJ39*Z$126</f>
        <v>30.701750000000001</v>
      </c>
      <c r="BK41" s="434">
        <f t="shared" ref="BK41:BU41" si="22">BK39*AA$126</f>
        <v>30.827811625129399</v>
      </c>
      <c r="BL41" s="434">
        <f t="shared" si="22"/>
        <v>30.954390860275502</v>
      </c>
      <c r="BM41" s="434">
        <f t="shared" si="22"/>
        <v>31.081489830749074</v>
      </c>
      <c r="BN41" s="434">
        <f t="shared" si="22"/>
        <v>31.209110670587421</v>
      </c>
      <c r="BO41" s="434">
        <f t="shared" si="22"/>
        <v>31.337255522590244</v>
      </c>
      <c r="BP41" s="434">
        <f t="shared" si="22"/>
        <v>31.465926538355568</v>
      </c>
      <c r="BQ41" s="434">
        <f t="shared" si="22"/>
        <v>31.595125878315908</v>
      </c>
      <c r="BR41" s="434">
        <f t="shared" si="22"/>
        <v>31.724855711774538</v>
      </c>
      <c r="BS41" s="434">
        <f t="shared" si="22"/>
        <v>31.8551182169419</v>
      </c>
      <c r="BT41" s="434">
        <f t="shared" si="22"/>
        <v>31.985915580972186</v>
      </c>
      <c r="BU41" s="434">
        <f t="shared" si="22"/>
        <v>32.117249999999999</v>
      </c>
    </row>
    <row r="42" spans="1:76">
      <c r="A42" s="221"/>
      <c r="B42" s="212"/>
      <c r="C42" s="212"/>
      <c r="D42" s="212"/>
      <c r="E42" s="212"/>
      <c r="F42" s="212"/>
      <c r="G42" s="212"/>
      <c r="H42" s="212"/>
      <c r="I42" s="212"/>
      <c r="J42" s="212"/>
      <c r="K42" s="212"/>
      <c r="L42" s="212"/>
      <c r="M42" s="212"/>
      <c r="N42" s="212"/>
      <c r="O42" s="212"/>
      <c r="P42" s="212"/>
      <c r="Q42" s="212"/>
      <c r="R42" s="212"/>
      <c r="S42" s="212"/>
      <c r="T42" s="212"/>
      <c r="U42" s="212"/>
      <c r="V42" s="212"/>
      <c r="W42" s="212"/>
      <c r="X42" s="212"/>
      <c r="Y42" s="212"/>
      <c r="Z42" s="212"/>
      <c r="AA42" s="212"/>
      <c r="AB42" s="212"/>
      <c r="AC42" s="212"/>
      <c r="AD42" s="212"/>
      <c r="AE42" s="212"/>
      <c r="AF42" s="212"/>
      <c r="AG42" s="212"/>
      <c r="AH42" s="212"/>
      <c r="AI42" s="212"/>
      <c r="AJ42" s="212"/>
      <c r="AK42" s="212"/>
      <c r="AL42" s="212"/>
      <c r="AM42" s="212"/>
      <c r="AN42" s="212"/>
      <c r="AO42" s="212"/>
      <c r="AP42" s="212"/>
      <c r="AQ42" s="212"/>
      <c r="AR42" s="212"/>
      <c r="AS42" s="212"/>
      <c r="AT42" s="212"/>
      <c r="AU42" s="212"/>
      <c r="AV42" s="212"/>
      <c r="AW42" s="212"/>
      <c r="AX42" s="212"/>
      <c r="AY42" s="212"/>
      <c r="AZ42" s="212"/>
      <c r="BA42" s="212"/>
      <c r="BB42" s="212"/>
      <c r="BC42" s="212"/>
      <c r="BD42" s="212"/>
      <c r="BE42" s="212"/>
      <c r="BF42" s="212"/>
      <c r="BG42" s="212"/>
      <c r="BH42" s="212"/>
      <c r="BI42" s="212"/>
    </row>
    <row r="43" spans="1:76" ht="15">
      <c r="A43" s="224" t="s">
        <v>225</v>
      </c>
      <c r="B43" s="225">
        <v>0.11916553967337506</v>
      </c>
      <c r="C43" s="225">
        <v>2.4048710227086767E-2</v>
      </c>
      <c r="D43" s="225">
        <v>2.4487641793782267E-2</v>
      </c>
      <c r="E43" s="225">
        <v>4.7887381722597322E-2</v>
      </c>
      <c r="F43" s="225">
        <v>4.8289790467862297E-2</v>
      </c>
      <c r="G43" s="225">
        <v>4.6390966235829723E-2</v>
      </c>
      <c r="H43" s="225">
        <v>4.6441729320432223E-2</v>
      </c>
      <c r="I43" s="225">
        <v>2.2759488069563183E-2</v>
      </c>
      <c r="J43" s="225">
        <v>-6.3502251161164924E-3</v>
      </c>
      <c r="K43" s="225">
        <v>3.4852475688657902E-2</v>
      </c>
      <c r="L43" s="225">
        <v>3.9077828254707958E-2</v>
      </c>
      <c r="M43" s="225">
        <v>5.0067040071519742E-2</v>
      </c>
      <c r="N43" s="225">
        <f>N39/B39-1</f>
        <v>4.7281317793242739E-2</v>
      </c>
      <c r="O43" s="225">
        <f t="shared" ref="O43:AW43" si="23">O39/C39-1</f>
        <v>5.3011519540366869E-3</v>
      </c>
      <c r="P43" s="225">
        <f t="shared" si="23"/>
        <v>-2.4456276535538723E-2</v>
      </c>
      <c r="Q43" s="225">
        <f t="shared" si="23"/>
        <v>-2.6253232770499291E-2</v>
      </c>
      <c r="R43" s="225">
        <f t="shared" si="23"/>
        <v>-9.176174554965999E-3</v>
      </c>
      <c r="S43" s="225">
        <f t="shared" si="23"/>
        <v>3.5739709260491637E-3</v>
      </c>
      <c r="T43" s="225">
        <f t="shared" si="23"/>
        <v>1.6610803550173969E-2</v>
      </c>
      <c r="U43" s="225">
        <f t="shared" si="23"/>
        <v>7.204673524575167E-2</v>
      </c>
      <c r="V43" s="225">
        <f t="shared" si="23"/>
        <v>7.9769109296273122E-2</v>
      </c>
      <c r="W43" s="225">
        <f t="shared" si="23"/>
        <v>5.5239414284052435E-2</v>
      </c>
      <c r="X43" s="225">
        <f t="shared" si="23"/>
        <v>4.5991794387575391E-2</v>
      </c>
      <c r="Y43" s="225">
        <f t="shared" si="23"/>
        <v>9.9078987360154969E-3</v>
      </c>
      <c r="Z43" s="225">
        <f>Z39/N39-1</f>
        <v>-1.9524062637839235E-2</v>
      </c>
      <c r="AA43" s="225">
        <f t="shared" si="23"/>
        <v>3.5084955963429865E-2</v>
      </c>
      <c r="AB43" s="225">
        <f t="shared" si="23"/>
        <v>1.9829383045572246E-2</v>
      </c>
      <c r="AC43" s="225">
        <f t="shared" si="23"/>
        <v>2.5227633695371843E-2</v>
      </c>
      <c r="AD43" s="225">
        <f t="shared" si="23"/>
        <v>7.5482767593064715E-3</v>
      </c>
      <c r="AE43" s="225">
        <f t="shared" si="23"/>
        <v>1.1370820102314827E-2</v>
      </c>
      <c r="AF43" s="225">
        <f t="shared" si="23"/>
        <v>-2.4595232939930267E-2</v>
      </c>
      <c r="AG43" s="225">
        <f t="shared" si="23"/>
        <v>-8.1333324287402919E-2</v>
      </c>
      <c r="AH43" s="225">
        <f t="shared" si="23"/>
        <v>-0.12136890527387367</v>
      </c>
      <c r="AI43" s="225">
        <f t="shared" si="23"/>
        <v>-0.11800514721703503</v>
      </c>
      <c r="AJ43" s="225">
        <f t="shared" si="23"/>
        <v>-0.12765961080057808</v>
      </c>
      <c r="AK43" s="225">
        <f t="shared" si="23"/>
        <v>-0.15040781307805018</v>
      </c>
      <c r="AL43" s="225">
        <f t="shared" si="23"/>
        <v>-0.13486135752212058</v>
      </c>
      <c r="AM43" s="225">
        <f t="shared" si="23"/>
        <v>-0.12543653527052123</v>
      </c>
      <c r="AN43" s="225">
        <f t="shared" si="23"/>
        <v>-1.6797530157597995E-2</v>
      </c>
      <c r="AO43" s="225">
        <f t="shared" si="23"/>
        <v>1.5409734843596423E-2</v>
      </c>
      <c r="AP43" s="225">
        <f t="shared" si="23"/>
        <v>1.6508731820793932E-2</v>
      </c>
      <c r="AQ43" s="225">
        <f t="shared" si="23"/>
        <v>7.8200692392327298E-3</v>
      </c>
      <c r="AR43" s="225">
        <f t="shared" si="23"/>
        <v>6.0636937322648965E-2</v>
      </c>
      <c r="AS43" s="225">
        <f t="shared" si="23"/>
        <v>9.0087165908012468E-2</v>
      </c>
      <c r="AT43" s="225">
        <f t="shared" si="23"/>
        <v>0.12894178709902815</v>
      </c>
      <c r="AU43" s="225">
        <f t="shared" si="23"/>
        <v>0.13268970014945713</v>
      </c>
      <c r="AV43" s="225">
        <f t="shared" si="23"/>
        <v>0.1531744541916904</v>
      </c>
      <c r="AW43" s="225">
        <f t="shared" si="23"/>
        <v>0.19443772567530782</v>
      </c>
      <c r="AX43" s="212"/>
      <c r="AY43" s="212"/>
      <c r="AZ43" s="212"/>
      <c r="BA43" s="212"/>
      <c r="BB43" s="212"/>
      <c r="BC43" s="212"/>
      <c r="BD43" s="212"/>
      <c r="BE43" s="212"/>
      <c r="BF43" s="212"/>
      <c r="BG43" s="212"/>
      <c r="BH43" s="212"/>
      <c r="BI43" s="212"/>
    </row>
    <row r="44" spans="1:76" ht="15">
      <c r="A44" s="214"/>
    </row>
    <row r="45" spans="1:76" ht="21.75">
      <c r="A45" s="435" t="s">
        <v>428</v>
      </c>
      <c r="B45" s="436"/>
      <c r="C45" s="436"/>
      <c r="D45" s="436"/>
      <c r="E45" s="436"/>
      <c r="F45" s="436"/>
      <c r="G45" s="436"/>
      <c r="H45" s="436"/>
      <c r="I45" s="436"/>
      <c r="J45" s="436"/>
      <c r="K45" s="436"/>
      <c r="L45" s="436"/>
      <c r="M45" s="436"/>
      <c r="N45" s="436"/>
      <c r="O45" s="436"/>
      <c r="P45" s="436"/>
      <c r="Q45" s="436"/>
      <c r="R45" s="436"/>
      <c r="S45" s="436"/>
      <c r="T45" s="436"/>
      <c r="U45" s="436"/>
      <c r="V45" s="436"/>
      <c r="W45" s="436"/>
      <c r="X45" s="436"/>
      <c r="Y45" s="436"/>
      <c r="Z45" s="437">
        <f>Z31/Z41</f>
        <v>289.87237929327921</v>
      </c>
      <c r="AA45" s="437">
        <f t="shared" ref="AA45:AV45" si="24">AA31/AA41</f>
        <v>305.65625541997832</v>
      </c>
      <c r="AB45" s="437">
        <f t="shared" si="24"/>
        <v>336.69417095557498</v>
      </c>
      <c r="AC45" s="437">
        <f t="shared" si="24"/>
        <v>340.99696534617084</v>
      </c>
      <c r="AD45" s="437">
        <f t="shared" si="24"/>
        <v>347.0409286672633</v>
      </c>
      <c r="AE45" s="437">
        <f t="shared" si="24"/>
        <v>360.74590409876646</v>
      </c>
      <c r="AF45" s="437">
        <f t="shared" si="24"/>
        <v>379.44149241591629</v>
      </c>
      <c r="AG45" s="437">
        <f t="shared" si="24"/>
        <v>375.16822369169006</v>
      </c>
      <c r="AH45" s="437">
        <f t="shared" si="24"/>
        <v>391.80290789521683</v>
      </c>
      <c r="AI45" s="437">
        <f t="shared" si="24"/>
        <v>391.49358379297576</v>
      </c>
      <c r="AJ45" s="437">
        <f t="shared" si="24"/>
        <v>396.13332256581651</v>
      </c>
      <c r="AK45" s="437">
        <f t="shared" si="24"/>
        <v>467.95294048994805</v>
      </c>
      <c r="AL45" s="437">
        <f t="shared" si="24"/>
        <v>400.37685417068008</v>
      </c>
      <c r="AM45" s="437">
        <f>AM31/AM41</f>
        <v>404.0662114542481</v>
      </c>
      <c r="AN45" s="437">
        <f t="shared" si="24"/>
        <v>392.53021503393416</v>
      </c>
      <c r="AO45" s="437">
        <f t="shared" si="24"/>
        <v>352.42860364160458</v>
      </c>
      <c r="AP45" s="437">
        <f t="shared" si="24"/>
        <v>361.18712240952334</v>
      </c>
      <c r="AQ45" s="437">
        <f t="shared" si="24"/>
        <v>385.44533044361219</v>
      </c>
      <c r="AR45" s="437">
        <f t="shared" si="24"/>
        <v>378.17146093380211</v>
      </c>
      <c r="AS45" s="437">
        <f t="shared" si="24"/>
        <v>351.76201216920145</v>
      </c>
      <c r="AT45" s="437">
        <f t="shared" si="24"/>
        <v>363.26469141743229</v>
      </c>
      <c r="AU45" s="437">
        <f>AU31/AU41</f>
        <v>365.04461372655334</v>
      </c>
      <c r="AV45" s="437">
        <f t="shared" si="24"/>
        <v>358.07976697980428</v>
      </c>
      <c r="AW45" s="437">
        <f>AW31/AW41</f>
        <v>413.91152697493595</v>
      </c>
      <c r="AX45" s="437">
        <f t="shared" ref="AX45:BF45" si="25">AX31/AX41</f>
        <v>358.77687505658014</v>
      </c>
      <c r="AY45" s="437">
        <f t="shared" si="25"/>
        <v>371.89951435409449</v>
      </c>
      <c r="AZ45" s="437">
        <f t="shared" si="25"/>
        <v>410.74146576880321</v>
      </c>
      <c r="BA45" s="437">
        <f t="shared" si="25"/>
        <v>404.07566535386087</v>
      </c>
      <c r="BB45" s="437">
        <f t="shared" si="25"/>
        <v>407.57850241545896</v>
      </c>
      <c r="BC45" s="437">
        <f t="shared" si="25"/>
        <v>432.46335140497172</v>
      </c>
      <c r="BD45" s="437">
        <f t="shared" si="25"/>
        <v>442.94770860334904</v>
      </c>
      <c r="BE45" s="437">
        <f t="shared" si="25"/>
        <v>439.54353041665098</v>
      </c>
      <c r="BF45" s="437">
        <f t="shared" si="25"/>
        <v>449.12497409769907</v>
      </c>
      <c r="BG45" s="438">
        <f t="shared" ref="BG45:BU45" si="26">K92/BG41</f>
        <v>452.13312189792254</v>
      </c>
      <c r="BH45" s="438">
        <f t="shared" si="26"/>
        <v>461.90093483031239</v>
      </c>
      <c r="BI45" s="438">
        <f t="shared" si="26"/>
        <v>552.94706560721852</v>
      </c>
      <c r="BJ45" s="438">
        <f t="shared" si="26"/>
        <v>474.79378211339741</v>
      </c>
      <c r="BK45" s="438">
        <f t="shared" si="26"/>
        <v>506.69640888694863</v>
      </c>
      <c r="BL45" s="438">
        <f t="shared" si="26"/>
        <v>539.2429160569643</v>
      </c>
      <c r="BM45" s="438">
        <f t="shared" si="26"/>
        <v>510.34934713247907</v>
      </c>
      <c r="BN45" s="438">
        <f t="shared" si="26"/>
        <v>512.4217209316389</v>
      </c>
      <c r="BO45" s="438">
        <f t="shared" si="26"/>
        <v>542.97740688468537</v>
      </c>
      <c r="BP45" s="438">
        <f t="shared" si="26"/>
        <v>531.80996636666453</v>
      </c>
      <c r="BQ45" s="438">
        <f t="shared" si="26"/>
        <v>510.8499644156305</v>
      </c>
      <c r="BR45" s="438">
        <f t="shared" si="26"/>
        <v>524.94355179682907</v>
      </c>
      <c r="BS45" s="438">
        <f t="shared" si="26"/>
        <v>524.68925093451583</v>
      </c>
      <c r="BT45" s="438">
        <f t="shared" si="26"/>
        <v>514.40934670477759</v>
      </c>
      <c r="BU45" s="438">
        <f t="shared" si="26"/>
        <v>601.72960907464142</v>
      </c>
    </row>
    <row r="46" spans="1:76" ht="21.75">
      <c r="A46" s="439" t="s">
        <v>429</v>
      </c>
      <c r="B46" s="440">
        <f>B31/B39</f>
        <v>221.28414716451314</v>
      </c>
      <c r="C46" s="440">
        <f t="shared" ref="C46:BH46" si="27">C31/C39</f>
        <v>229.72667570666297</v>
      </c>
      <c r="D46" s="440">
        <f t="shared" si="27"/>
        <v>250.05960377908121</v>
      </c>
      <c r="E46" s="440">
        <f t="shared" si="27"/>
        <v>247.94440442296315</v>
      </c>
      <c r="F46" s="440">
        <f t="shared" si="27"/>
        <v>258.85859330866435</v>
      </c>
      <c r="G46" s="440">
        <f t="shared" si="27"/>
        <v>281.89666330933443</v>
      </c>
      <c r="H46" s="440">
        <f t="shared" si="27"/>
        <v>282.60275391116312</v>
      </c>
      <c r="I46" s="440">
        <f t="shared" si="27"/>
        <v>277.50827692149477</v>
      </c>
      <c r="J46" s="440">
        <f t="shared" si="27"/>
        <v>281.55466018713815</v>
      </c>
      <c r="K46" s="440">
        <f t="shared" si="27"/>
        <v>276.75881968372681</v>
      </c>
      <c r="L46" s="440">
        <f t="shared" si="27"/>
        <v>280.05703377656954</v>
      </c>
      <c r="M46" s="440">
        <f t="shared" si="27"/>
        <v>318.97216102344254</v>
      </c>
      <c r="N46" s="440">
        <f t="shared" si="27"/>
        <v>271.20281632043213</v>
      </c>
      <c r="O46" s="440">
        <f t="shared" si="27"/>
        <v>288.10664935370164</v>
      </c>
      <c r="P46" s="440">
        <f t="shared" si="27"/>
        <v>318.2064025589483</v>
      </c>
      <c r="Q46" s="440">
        <f t="shared" si="27"/>
        <v>324.27047768457891</v>
      </c>
      <c r="R46" s="440">
        <f t="shared" si="27"/>
        <v>333.24453457573924</v>
      </c>
      <c r="S46" s="440">
        <f t="shared" si="27"/>
        <v>348.87071708922053</v>
      </c>
      <c r="T46" s="440">
        <f t="shared" si="27"/>
        <v>347.35005955288688</v>
      </c>
      <c r="U46" s="440">
        <f t="shared" si="27"/>
        <v>326.65787489872628</v>
      </c>
      <c r="V46" s="440">
        <f t="shared" si="27"/>
        <v>320.73761924264335</v>
      </c>
      <c r="W46" s="440">
        <f t="shared" si="27"/>
        <v>327.72335024168359</v>
      </c>
      <c r="X46" s="440">
        <f t="shared" si="27"/>
        <v>327.95749233670392</v>
      </c>
      <c r="Y46" s="440">
        <f t="shared" si="27"/>
        <v>380.4723892474583</v>
      </c>
      <c r="Z46" s="440">
        <f t="shared" si="27"/>
        <v>330.82040627098911</v>
      </c>
      <c r="AA46" s="440">
        <f t="shared" si="27"/>
        <v>335.26114757887473</v>
      </c>
      <c r="AB46" s="440">
        <f t="shared" si="27"/>
        <v>381.07420188018102</v>
      </c>
      <c r="AC46" s="440">
        <f t="shared" si="27"/>
        <v>383.00735878763174</v>
      </c>
      <c r="AD46" s="440">
        <f t="shared" si="27"/>
        <v>388.15190537089643</v>
      </c>
      <c r="AE46" s="440">
        <f t="shared" si="27"/>
        <v>406.9039616172974</v>
      </c>
      <c r="AF46" s="440">
        <f t="shared" si="27"/>
        <v>426.03582743831959</v>
      </c>
      <c r="AG46" s="440">
        <f t="shared" si="27"/>
        <v>417.35668931454512</v>
      </c>
      <c r="AH46" s="440">
        <f t="shared" si="27"/>
        <v>431.45656076307404</v>
      </c>
      <c r="AI46" s="440">
        <f t="shared" si="27"/>
        <v>432.41094405698499</v>
      </c>
      <c r="AJ46" s="440">
        <f t="shared" si="27"/>
        <v>438.25307618279879</v>
      </c>
      <c r="AK46" s="440">
        <f t="shared" si="27"/>
        <v>519.43682400599153</v>
      </c>
      <c r="AL46" s="440">
        <f t="shared" si="27"/>
        <v>444.74661558734994</v>
      </c>
      <c r="AM46" s="440">
        <f t="shared" si="27"/>
        <v>440.99727014974906</v>
      </c>
      <c r="AN46" s="440">
        <f t="shared" si="27"/>
        <v>433.35880615710346</v>
      </c>
      <c r="AO46" s="440">
        <f t="shared" si="27"/>
        <v>383.10864319545681</v>
      </c>
      <c r="AP46" s="440">
        <f t="shared" si="27"/>
        <v>393.14800632593904</v>
      </c>
      <c r="AQ46" s="440">
        <f t="shared" si="27"/>
        <v>433.55117188119181</v>
      </c>
      <c r="AR46" s="440">
        <f t="shared" si="27"/>
        <v>432.17770680927566</v>
      </c>
      <c r="AS46" s="440">
        <f t="shared" si="27"/>
        <v>415.8942477647908</v>
      </c>
      <c r="AT46" s="440">
        <f t="shared" si="27"/>
        <v>428.70052507589355</v>
      </c>
      <c r="AU46" s="440">
        <f t="shared" si="27"/>
        <v>433.23843416370107</v>
      </c>
      <c r="AV46" s="440">
        <f t="shared" si="27"/>
        <v>426.59822419928821</v>
      </c>
      <c r="AW46" s="440">
        <f t="shared" si="27"/>
        <v>502.80141843971631</v>
      </c>
      <c r="AX46" s="440">
        <f t="shared" si="27"/>
        <v>437.17576638387527</v>
      </c>
      <c r="AY46" s="440">
        <f t="shared" si="27"/>
        <v>450.03237186855824</v>
      </c>
      <c r="AZ46" s="440">
        <f t="shared" si="27"/>
        <v>489.71853590437973</v>
      </c>
      <c r="BA46" s="440">
        <f t="shared" si="27"/>
        <v>484.89079842463303</v>
      </c>
      <c r="BB46" s="440">
        <f t="shared" si="27"/>
        <v>489.09420289855069</v>
      </c>
      <c r="BC46" s="440">
        <f t="shared" si="27"/>
        <v>525.44297195704064</v>
      </c>
      <c r="BD46" s="440">
        <f t="shared" si="27"/>
        <v>527.10777323798527</v>
      </c>
      <c r="BE46" s="440">
        <f>BE31/BE39</f>
        <v>523.05680119581461</v>
      </c>
      <c r="BF46" s="440">
        <f t="shared" si="27"/>
        <v>532.66221927987112</v>
      </c>
      <c r="BG46" s="440">
        <f t="shared" si="27"/>
        <v>549.59754257672205</v>
      </c>
      <c r="BH46" s="440">
        <f t="shared" si="27"/>
        <v>544.11955610819712</v>
      </c>
      <c r="BI46" s="440">
        <f>BI31/BI39</f>
        <v>646.54285734698499</v>
      </c>
      <c r="BJ46" s="440">
        <f t="shared" ref="BJ46:BU46" si="28">BJ31/BJ39</f>
        <v>542.17802140890251</v>
      </c>
      <c r="BK46" s="440">
        <f t="shared" si="28"/>
        <v>544.77875834479971</v>
      </c>
      <c r="BL46" s="440">
        <f t="shared" si="28"/>
        <v>583.97963051125521</v>
      </c>
      <c r="BM46" s="440">
        <f t="shared" si="28"/>
        <v>574.42580242469103</v>
      </c>
      <c r="BN46" s="440">
        <f t="shared" si="28"/>
        <v>566.28529819915434</v>
      </c>
      <c r="BO46" s="440">
        <f t="shared" si="28"/>
        <v>594.07765254131402</v>
      </c>
      <c r="BP46" s="440">
        <f t="shared" si="28"/>
        <v>589.31738839579907</v>
      </c>
      <c r="BQ46" s="440">
        <f t="shared" si="28"/>
        <v>569.33828195943522</v>
      </c>
      <c r="BR46" s="440">
        <f t="shared" si="28"/>
        <v>573.64821334537726</v>
      </c>
      <c r="BS46" s="440">
        <f t="shared" si="28"/>
        <v>579.10506414395115</v>
      </c>
      <c r="BT46" s="440">
        <f t="shared" si="28"/>
        <v>567.06391265221441</v>
      </c>
      <c r="BU46" s="440">
        <f t="shared" si="28"/>
        <v>667.24705882352953</v>
      </c>
    </row>
    <row r="47" spans="1:76" ht="15">
      <c r="A47" s="214"/>
    </row>
    <row r="48" spans="1:76" ht="21.75">
      <c r="A48" s="222" t="s">
        <v>275</v>
      </c>
      <c r="B48" s="271">
        <v>9292</v>
      </c>
      <c r="C48" s="271">
        <v>9832</v>
      </c>
      <c r="D48" s="271">
        <v>11010</v>
      </c>
      <c r="E48" s="271">
        <v>10788</v>
      </c>
      <c r="F48" s="271">
        <v>10558</v>
      </c>
      <c r="G48" s="271">
        <v>11091</v>
      </c>
      <c r="H48" s="271">
        <v>11412</v>
      </c>
      <c r="I48" s="271">
        <v>11073</v>
      </c>
      <c r="J48" s="271">
        <v>11423</v>
      </c>
      <c r="K48" s="271">
        <v>11454</v>
      </c>
      <c r="L48" s="271">
        <v>11643</v>
      </c>
      <c r="M48" s="271">
        <v>14035</v>
      </c>
      <c r="N48" s="271">
        <v>11668</v>
      </c>
      <c r="O48" s="271">
        <v>12124</v>
      </c>
      <c r="P48" s="271">
        <v>13388</v>
      </c>
      <c r="Q48" s="271">
        <v>13150</v>
      </c>
      <c r="R48" s="271">
        <v>13286</v>
      </c>
      <c r="S48" s="271">
        <v>13553</v>
      </c>
      <c r="T48" s="271">
        <v>13836</v>
      </c>
      <c r="U48" s="271">
        <v>13659</v>
      </c>
      <c r="V48" s="271">
        <v>13614</v>
      </c>
      <c r="W48" s="271">
        <v>13850</v>
      </c>
      <c r="X48" s="271">
        <v>13897</v>
      </c>
      <c r="Y48" s="271">
        <v>16546</v>
      </c>
      <c r="Z48" s="271">
        <v>13721</v>
      </c>
      <c r="AA48" s="271">
        <v>14513</v>
      </c>
      <c r="AB48" s="271">
        <v>16207</v>
      </c>
      <c r="AC48" s="271">
        <v>15876</v>
      </c>
      <c r="AD48" s="271">
        <v>15157</v>
      </c>
      <c r="AE48" s="271">
        <v>15650</v>
      </c>
      <c r="AF48" s="271">
        <v>16249</v>
      </c>
      <c r="AG48" s="271">
        <v>15694</v>
      </c>
      <c r="AH48" s="271">
        <v>15626</v>
      </c>
      <c r="AI48" s="271">
        <v>15862</v>
      </c>
      <c r="AJ48" s="271">
        <v>15974</v>
      </c>
      <c r="AK48" s="271">
        <v>18869</v>
      </c>
      <c r="AL48" s="271">
        <v>15787</v>
      </c>
      <c r="AM48" s="271">
        <v>16447</v>
      </c>
      <c r="AN48" s="271">
        <v>17990</v>
      </c>
      <c r="AO48" s="271">
        <v>15278</v>
      </c>
      <c r="AP48" s="271">
        <v>15191</v>
      </c>
      <c r="AQ48" s="271">
        <v>16393</v>
      </c>
      <c r="AR48" s="271">
        <v>17053</v>
      </c>
      <c r="AS48" s="271">
        <v>16795</v>
      </c>
      <c r="AT48" s="271">
        <v>17253</v>
      </c>
      <c r="AU48" s="271">
        <v>17494</v>
      </c>
      <c r="AV48" s="271">
        <v>17582</v>
      </c>
      <c r="AW48" s="271">
        <v>21812</v>
      </c>
      <c r="AX48" s="337">
        <v>17533</v>
      </c>
      <c r="AY48" s="338">
        <v>18504</v>
      </c>
      <c r="AZ48" s="338">
        <v>20132</v>
      </c>
      <c r="BA48" s="338">
        <v>20422</v>
      </c>
      <c r="BB48" s="338">
        <v>19287</v>
      </c>
      <c r="BC48" s="338">
        <v>20455</v>
      </c>
      <c r="BD48" s="338">
        <v>20956</v>
      </c>
      <c r="BE48" s="338">
        <v>20358</v>
      </c>
      <c r="BF48" s="232">
        <f>BF52*BF53</f>
        <v>20387.67262177376</v>
      </c>
      <c r="BG48" s="232">
        <f>BG52*BG53</f>
        <v>20183.743003119609</v>
      </c>
      <c r="BH48" s="232">
        <f>BH52*BH53</f>
        <v>20724.442683389199</v>
      </c>
      <c r="BI48" s="232">
        <f>BI52*BI53</f>
        <v>26229.007103807802</v>
      </c>
      <c r="BJ48" s="441">
        <f>BJ52*BJ53</f>
        <v>20617.665526196404</v>
      </c>
      <c r="BK48" s="441">
        <f t="shared" ref="BK48:BU48" si="29">BK52*BK53</f>
        <v>22703.124381740538</v>
      </c>
      <c r="BL48" s="441">
        <f t="shared" si="29"/>
        <v>24978.957715899112</v>
      </c>
      <c r="BM48" s="441">
        <f t="shared" si="29"/>
        <v>23249.344433064405</v>
      </c>
      <c r="BN48" s="441">
        <f t="shared" si="29"/>
        <v>22628.279156435987</v>
      </c>
      <c r="BO48" s="441">
        <f t="shared" si="29"/>
        <v>23716.752769611256</v>
      </c>
      <c r="BP48" s="441">
        <f t="shared" si="29"/>
        <v>23888.909806793705</v>
      </c>
      <c r="BQ48" s="441">
        <f t="shared" si="29"/>
        <v>23146.870396810857</v>
      </c>
      <c r="BR48" s="441">
        <f t="shared" si="29"/>
        <v>23604.309593052549</v>
      </c>
      <c r="BS48" s="441">
        <f t="shared" si="29"/>
        <v>23748.724181303533</v>
      </c>
      <c r="BT48" s="441">
        <f t="shared" si="29"/>
        <v>23657.062338445627</v>
      </c>
      <c r="BU48" s="441">
        <f t="shared" si="29"/>
        <v>28881.621055088686</v>
      </c>
    </row>
    <row r="49" spans="1:73" ht="15">
      <c r="A49" s="270" t="s">
        <v>276</v>
      </c>
      <c r="B49" s="247">
        <f>B48/B31</f>
        <v>1.5466045272969373</v>
      </c>
      <c r="C49" s="247">
        <f t="shared" ref="C49:BN49" si="30">C48/C31</f>
        <v>1.5835078112417458</v>
      </c>
      <c r="D49" s="247">
        <f t="shared" si="30"/>
        <v>1.6306279620853081</v>
      </c>
      <c r="E49" s="247">
        <f t="shared" si="30"/>
        <v>1.6200630725334135</v>
      </c>
      <c r="F49" s="247">
        <f t="shared" si="30"/>
        <v>1.5435672514619883</v>
      </c>
      <c r="G49" s="247">
        <f t="shared" si="30"/>
        <v>1.506929347826087</v>
      </c>
      <c r="H49" s="247">
        <f t="shared" si="30"/>
        <v>1.5549802425398556</v>
      </c>
      <c r="I49" s="247">
        <f t="shared" si="30"/>
        <v>1.5565082935057633</v>
      </c>
      <c r="J49" s="247">
        <f t="shared" si="30"/>
        <v>1.5539382396952794</v>
      </c>
      <c r="K49" s="247">
        <f t="shared" si="30"/>
        <v>1.5526636844245629</v>
      </c>
      <c r="L49" s="247">
        <f t="shared" si="30"/>
        <v>1.5567589249899718</v>
      </c>
      <c r="M49" s="247">
        <f t="shared" si="30"/>
        <v>1.5990657400022787</v>
      </c>
      <c r="N49" s="247">
        <f t="shared" si="30"/>
        <v>1.5130707893566337</v>
      </c>
      <c r="O49" s="247">
        <f t="shared" si="30"/>
        <v>1.5487675264685443</v>
      </c>
      <c r="P49" s="247">
        <f t="shared" si="30"/>
        <v>1.5972435975442438</v>
      </c>
      <c r="Q49" s="247">
        <f t="shared" si="30"/>
        <v>1.5506636604624398</v>
      </c>
      <c r="R49" s="247">
        <f t="shared" si="30"/>
        <v>1.5227943494082925</v>
      </c>
      <c r="S49" s="247">
        <f t="shared" si="30"/>
        <v>1.4826329671147129</v>
      </c>
      <c r="T49" s="247">
        <f t="shared" si="30"/>
        <v>1.508787081746686</v>
      </c>
      <c r="U49" s="247">
        <f t="shared" si="30"/>
        <v>1.5215076281457189</v>
      </c>
      <c r="V49" s="247">
        <f t="shared" si="30"/>
        <v>1.5056403450564035</v>
      </c>
      <c r="W49" s="247">
        <f t="shared" si="30"/>
        <v>1.5024951182469082</v>
      </c>
      <c r="X49" s="247">
        <f t="shared" si="30"/>
        <v>1.5169741294618491</v>
      </c>
      <c r="Y49" s="247">
        <f t="shared" si="30"/>
        <v>1.5649295375011822</v>
      </c>
      <c r="Z49" s="247">
        <f t="shared" si="30"/>
        <v>1.4876938089558711</v>
      </c>
      <c r="AA49" s="247">
        <f t="shared" si="30"/>
        <v>1.5391876126842718</v>
      </c>
      <c r="AB49" s="247">
        <f t="shared" si="30"/>
        <v>1.5831786656246947</v>
      </c>
      <c r="AC49" s="247">
        <f t="shared" si="30"/>
        <v>1.5460122699386503</v>
      </c>
      <c r="AD49" s="247">
        <f t="shared" si="30"/>
        <v>1.4803203437835726</v>
      </c>
      <c r="AE49" s="247">
        <f t="shared" si="30"/>
        <v>1.4513586200500788</v>
      </c>
      <c r="AF49" s="247">
        <f t="shared" si="30"/>
        <v>1.4810865007747698</v>
      </c>
      <c r="AG49" s="247">
        <f t="shared" si="30"/>
        <v>1.4894182404859069</v>
      </c>
      <c r="AH49" s="247">
        <f t="shared" si="30"/>
        <v>1.4621420671353955</v>
      </c>
      <c r="AI49" s="247">
        <f t="shared" si="30"/>
        <v>1.4786517440483848</v>
      </c>
      <c r="AJ49" s="247">
        <f t="shared" si="30"/>
        <v>1.4958133332833918</v>
      </c>
      <c r="AK49" s="247">
        <f t="shared" si="30"/>
        <v>1.5386170956186636</v>
      </c>
      <c r="AL49" s="247">
        <f t="shared" si="30"/>
        <v>1.4717069078027407</v>
      </c>
      <c r="AM49" s="247">
        <f t="shared" si="30"/>
        <v>1.5162717802157279</v>
      </c>
      <c r="AN49" s="247">
        <f t="shared" si="30"/>
        <v>1.5717281146251967</v>
      </c>
      <c r="AO49" s="247">
        <f t="shared" si="30"/>
        <v>1.4648130393096837</v>
      </c>
      <c r="AP49" s="247">
        <f t="shared" si="30"/>
        <v>1.4409979131094668</v>
      </c>
      <c r="AQ49" s="247">
        <f t="shared" si="30"/>
        <v>1.4157526556697471</v>
      </c>
      <c r="AR49" s="247">
        <f t="shared" si="30"/>
        <v>1.4446797695696374</v>
      </c>
      <c r="AS49" s="247">
        <f t="shared" si="30"/>
        <v>1.4673248296348069</v>
      </c>
      <c r="AT49" s="247">
        <f t="shared" si="30"/>
        <v>1.4391891891891893</v>
      </c>
      <c r="AU49" s="247">
        <f t="shared" si="30"/>
        <v>1.4369968785937244</v>
      </c>
      <c r="AV49" s="247">
        <f t="shared" si="30"/>
        <v>1.4667054729361433</v>
      </c>
      <c r="AW49" s="247">
        <f t="shared" si="30"/>
        <v>1.5383313350729952</v>
      </c>
      <c r="AX49" s="247">
        <f t="shared" si="30"/>
        <v>1.4211720839750344</v>
      </c>
      <c r="AY49" s="247">
        <f t="shared" si="30"/>
        <v>1.4745398039684436</v>
      </c>
      <c r="AZ49" s="247">
        <f t="shared" si="30"/>
        <v>1.4789891272406699</v>
      </c>
      <c r="BA49" s="247">
        <f t="shared" si="30"/>
        <v>1.5079376799822786</v>
      </c>
      <c r="BB49" s="247">
        <f t="shared" si="30"/>
        <v>1.42877250166679</v>
      </c>
      <c r="BC49" s="247">
        <f t="shared" si="30"/>
        <v>1.4291203800740586</v>
      </c>
      <c r="BD49" s="247">
        <f t="shared" si="30"/>
        <v>1.4608574416172881</v>
      </c>
      <c r="BE49" s="247">
        <f t="shared" si="30"/>
        <v>1.4544545259698507</v>
      </c>
      <c r="BF49" s="247">
        <f t="shared" si="30"/>
        <v>1.4318191320860847</v>
      </c>
      <c r="BG49" s="247">
        <f t="shared" si="30"/>
        <v>1.3911657724033972</v>
      </c>
      <c r="BH49" s="247">
        <f t="shared" si="30"/>
        <v>1.4457235798421872</v>
      </c>
      <c r="BI49" s="247">
        <f t="shared" si="30"/>
        <v>1.5415407235940359</v>
      </c>
      <c r="BJ49" s="247">
        <f t="shared" si="30"/>
        <v>1.4058219246908168</v>
      </c>
      <c r="BK49" s="247">
        <f t="shared" si="30"/>
        <v>1.5355535186917333</v>
      </c>
      <c r="BL49" s="247">
        <f t="shared" si="30"/>
        <v>1.5708795007233638</v>
      </c>
      <c r="BM49" s="247">
        <f t="shared" si="30"/>
        <v>1.4815277633431527</v>
      </c>
      <c r="BN49" s="247">
        <f t="shared" si="30"/>
        <v>1.4578606964022536</v>
      </c>
      <c r="BO49" s="247">
        <f t="shared" ref="BO49:BU49" si="31">BO48/BO31</f>
        <v>1.4517056299174196</v>
      </c>
      <c r="BP49" s="247">
        <f t="shared" si="31"/>
        <v>1.4691982069874154</v>
      </c>
      <c r="BQ49" s="247">
        <f t="shared" si="31"/>
        <v>1.468662384866225</v>
      </c>
      <c r="BR49" s="247">
        <f t="shared" si="31"/>
        <v>1.4815369907818805</v>
      </c>
      <c r="BS49" s="247">
        <f t="shared" si="31"/>
        <v>1.4716906383912896</v>
      </c>
      <c r="BT49" s="247">
        <f t="shared" si="31"/>
        <v>1.4922073491888783</v>
      </c>
      <c r="BU49" s="247">
        <f t="shared" si="31"/>
        <v>1.5431282848455292</v>
      </c>
    </row>
    <row r="50" spans="1:73" ht="15">
      <c r="A50" s="214" t="s">
        <v>217</v>
      </c>
      <c r="B50" s="413">
        <f t="shared" ref="B50:BC50" si="32">B48/B$39</f>
        <v>342.23906382367778</v>
      </c>
      <c r="C50" s="413">
        <f t="shared" si="32"/>
        <v>363.77398543210023</v>
      </c>
      <c r="D50" s="413">
        <f t="shared" si="32"/>
        <v>407.75418211014278</v>
      </c>
      <c r="E50" s="413">
        <f t="shared" si="32"/>
        <v>401.68557364693294</v>
      </c>
      <c r="F50" s="413">
        <f t="shared" si="32"/>
        <v>399.56564739077169</v>
      </c>
      <c r="G50" s="413">
        <f t="shared" si="32"/>
        <v>424.79835499508533</v>
      </c>
      <c r="H50" s="413">
        <f t="shared" si="32"/>
        <v>439.44169881921152</v>
      </c>
      <c r="I50" s="413">
        <f t="shared" si="32"/>
        <v>431.94393454480064</v>
      </c>
      <c r="J50" s="413">
        <f t="shared" si="32"/>
        <v>437.5185530292041</v>
      </c>
      <c r="K50" s="413">
        <f t="shared" si="32"/>
        <v>429.71336866712852</v>
      </c>
      <c r="L50" s="413">
        <f t="shared" si="32"/>
        <v>435.9812868378927</v>
      </c>
      <c r="M50" s="413">
        <f t="shared" si="32"/>
        <v>510.05745470707717</v>
      </c>
      <c r="N50" s="413">
        <f t="shared" si="32"/>
        <v>410.34905936569839</v>
      </c>
      <c r="O50" s="413">
        <f t="shared" si="32"/>
        <v>446.21022267867278</v>
      </c>
      <c r="P50" s="413">
        <f t="shared" si="32"/>
        <v>508.25313918486643</v>
      </c>
      <c r="Q50" s="413">
        <f t="shared" si="32"/>
        <v>502.834445906273</v>
      </c>
      <c r="R50" s="413">
        <f t="shared" si="32"/>
        <v>507.46289422313203</v>
      </c>
      <c r="S50" s="413">
        <f t="shared" si="32"/>
        <v>517.24722641742869</v>
      </c>
      <c r="T50" s="413">
        <f t="shared" si="32"/>
        <v>524.07728269733775</v>
      </c>
      <c r="U50" s="413">
        <f t="shared" si="32"/>
        <v>497.012448452282</v>
      </c>
      <c r="V50" s="413">
        <f t="shared" si="32"/>
        <v>482.91549970906283</v>
      </c>
      <c r="W50" s="413">
        <f t="shared" si="32"/>
        <v>492.4027338736513</v>
      </c>
      <c r="X50" s="413">
        <f t="shared" si="32"/>
        <v>497.50303143796248</v>
      </c>
      <c r="Y50" s="413">
        <f t="shared" si="32"/>
        <v>595.41248013699476</v>
      </c>
      <c r="Z50" s="413">
        <f t="shared" si="32"/>
        <v>492.15947028561652</v>
      </c>
      <c r="AA50" s="413">
        <f t="shared" si="32"/>
        <v>516.02980536771759</v>
      </c>
      <c r="AB50" s="413">
        <f t="shared" si="32"/>
        <v>603.30854643666055</v>
      </c>
      <c r="AC50" s="413">
        <f t="shared" si="32"/>
        <v>592.13407616247366</v>
      </c>
      <c r="AD50" s="413">
        <f t="shared" si="32"/>
        <v>574.58916199889416</v>
      </c>
      <c r="AE50" s="413">
        <f t="shared" si="32"/>
        <v>590.56357222579095</v>
      </c>
      <c r="AF50" s="413">
        <f t="shared" si="32"/>
        <v>630.99591286530438</v>
      </c>
      <c r="AG50" s="413">
        <f t="shared" si="32"/>
        <v>621.61866585389305</v>
      </c>
      <c r="AH50" s="413">
        <f t="shared" si="32"/>
        <v>630.85078763324941</v>
      </c>
      <c r="AI50" s="413">
        <f t="shared" si="32"/>
        <v>639.38519657546942</v>
      </c>
      <c r="AJ50" s="413">
        <f t="shared" si="32"/>
        <v>655.54479470669253</v>
      </c>
      <c r="AK50" s="413">
        <f t="shared" si="32"/>
        <v>799.21437750948166</v>
      </c>
      <c r="AL50" s="413">
        <f t="shared" si="32"/>
        <v>654.536666381793</v>
      </c>
      <c r="AM50" s="413">
        <f t="shared" si="32"/>
        <v>668.67171588023621</v>
      </c>
      <c r="AN50" s="413">
        <f t="shared" si="32"/>
        <v>681.1222193575303</v>
      </c>
      <c r="AO50" s="413">
        <f t="shared" si="32"/>
        <v>561.18253602494622</v>
      </c>
      <c r="AP50" s="413">
        <f t="shared" si="32"/>
        <v>566.52545665882565</v>
      </c>
      <c r="AQ50" s="413">
        <f t="shared" si="32"/>
        <v>613.80122295952822</v>
      </c>
      <c r="AR50" s="413">
        <f t="shared" si="32"/>
        <v>624.35838988635862</v>
      </c>
      <c r="AS50" s="413">
        <f t="shared" si="32"/>
        <v>610.25195624756793</v>
      </c>
      <c r="AT50" s="413">
        <f t="shared" si="32"/>
        <v>616.98116108895488</v>
      </c>
      <c r="AU50" s="413">
        <f t="shared" si="32"/>
        <v>622.56227758007117</v>
      </c>
      <c r="AV50" s="413">
        <f t="shared" si="32"/>
        <v>625.6939501779359</v>
      </c>
      <c r="AW50" s="413">
        <f t="shared" si="32"/>
        <v>773.47517730496452</v>
      </c>
      <c r="AX50" s="413">
        <f t="shared" si="32"/>
        <v>621.30199497515491</v>
      </c>
      <c r="AY50" s="413">
        <f t="shared" si="32"/>
        <v>663.59064539451765</v>
      </c>
      <c r="AZ50" s="413">
        <f t="shared" si="32"/>
        <v>724.28839001079734</v>
      </c>
      <c r="BA50" s="413">
        <f t="shared" si="32"/>
        <v>731.18510562119582</v>
      </c>
      <c r="BB50" s="413">
        <f t="shared" si="32"/>
        <v>698.80434782608688</v>
      </c>
      <c r="BC50" s="413">
        <f t="shared" si="32"/>
        <v>750.92125979048888</v>
      </c>
      <c r="BD50" s="413">
        <f>BD48/BD$39</f>
        <v>770.02931306902894</v>
      </c>
      <c r="BE50" s="413">
        <f>BE48/BE$39</f>
        <v>760.76233183856493</v>
      </c>
      <c r="BF50" s="232">
        <f>BF55*BF56</f>
        <v>756.29412691442087</v>
      </c>
      <c r="BG50" s="232">
        <f>BG55*BG56</f>
        <v>757.74807736677838</v>
      </c>
      <c r="BH50" s="232">
        <f>BH55*BH56</f>
        <v>776.26438906237672</v>
      </c>
      <c r="BI50" s="232">
        <f>BI55*BI56</f>
        <v>956.39559753558001</v>
      </c>
      <c r="BJ50" s="441">
        <f>BJ55*BJ56</f>
        <v>737.88694133736226</v>
      </c>
      <c r="BK50" s="441">
        <f t="shared" ref="BK50:BU50" si="33">BK55*BK56</f>
        <v>814.33293471407751</v>
      </c>
      <c r="BL50" s="441">
        <f t="shared" si="33"/>
        <v>887.18682393357676</v>
      </c>
      <c r="BM50" s="441">
        <f t="shared" si="33"/>
        <v>830.67938611806608</v>
      </c>
      <c r="BN50" s="441">
        <f t="shared" si="33"/>
        <v>810.0434864661737</v>
      </c>
      <c r="BO50" s="441">
        <f t="shared" si="33"/>
        <v>847.82489683483846</v>
      </c>
      <c r="BP50" s="441">
        <f t="shared" si="33"/>
        <v>856.53735117147937</v>
      </c>
      <c r="BQ50" s="441">
        <f t="shared" si="33"/>
        <v>838.83841283338586</v>
      </c>
      <c r="BR50" s="441">
        <f t="shared" si="33"/>
        <v>835.96147509864647</v>
      </c>
      <c r="BS50" s="441">
        <f t="shared" si="33"/>
        <v>846.96805295170634</v>
      </c>
      <c r="BT50" s="441">
        <f t="shared" si="33"/>
        <v>842.61430516304119</v>
      </c>
      <c r="BU50" s="441">
        <f t="shared" si="33"/>
        <v>1034.5704504898054</v>
      </c>
    </row>
    <row r="51" spans="1:73" ht="15">
      <c r="A51" s="214"/>
    </row>
    <row r="52" spans="1:73" ht="15">
      <c r="A52" s="214" t="s">
        <v>277</v>
      </c>
      <c r="B52" s="232">
        <f t="shared" ref="B52:BD52" si="34">1.3578*B$31+1447.7</f>
        <v>9605.3624</v>
      </c>
      <c r="C52" s="232">
        <f t="shared" si="34"/>
        <v>9878.2801999999992</v>
      </c>
      <c r="D52" s="232">
        <f t="shared" si="34"/>
        <v>10615.5656</v>
      </c>
      <c r="E52" s="232">
        <f t="shared" si="34"/>
        <v>10489.290199999999</v>
      </c>
      <c r="F52" s="232">
        <f t="shared" si="34"/>
        <v>10735.052</v>
      </c>
      <c r="G52" s="232">
        <f t="shared" si="34"/>
        <v>11441.108</v>
      </c>
      <c r="H52" s="232">
        <f t="shared" si="34"/>
        <v>11412.5942</v>
      </c>
      <c r="I52" s="232">
        <f t="shared" si="34"/>
        <v>11107.0892</v>
      </c>
      <c r="J52" s="232">
        <f t="shared" si="34"/>
        <v>11428.8878</v>
      </c>
      <c r="K52" s="232">
        <f t="shared" si="34"/>
        <v>11464.1906</v>
      </c>
      <c r="L52" s="232">
        <f t="shared" si="34"/>
        <v>11602.6862</v>
      </c>
      <c r="M52" s="232">
        <f t="shared" si="34"/>
        <v>13365.1106</v>
      </c>
      <c r="N52" s="232">
        <f t="shared" si="34"/>
        <v>11918.333966</v>
      </c>
      <c r="O52" s="232">
        <f t="shared" si="34"/>
        <v>12076.775647999999</v>
      </c>
      <c r="P52" s="232">
        <f t="shared" si="34"/>
        <v>12828.698132000001</v>
      </c>
      <c r="Q52" s="232">
        <f t="shared" si="34"/>
        <v>12962.169872</v>
      </c>
      <c r="R52" s="232">
        <f t="shared" si="34"/>
        <v>13294.16555</v>
      </c>
      <c r="S52" s="232">
        <f t="shared" si="34"/>
        <v>13859.580625999999</v>
      </c>
      <c r="T52" s="232">
        <f t="shared" si="34"/>
        <v>13899.106184</v>
      </c>
      <c r="U52" s="232">
        <f t="shared" si="34"/>
        <v>13637.050784000001</v>
      </c>
      <c r="V52" s="232">
        <f t="shared" si="34"/>
        <v>13724.927599999999</v>
      </c>
      <c r="W52" s="232">
        <f t="shared" si="34"/>
        <v>13963.9004</v>
      </c>
      <c r="X52" s="232">
        <f t="shared" si="34"/>
        <v>13886.505799999999</v>
      </c>
      <c r="Y52" s="232">
        <f t="shared" si="34"/>
        <v>15803.7194</v>
      </c>
      <c r="Z52" s="232">
        <f t="shared" si="34"/>
        <v>13970.689399999999</v>
      </c>
      <c r="AA52" s="232">
        <f t="shared" si="34"/>
        <v>14250.396199999999</v>
      </c>
      <c r="AB52" s="232">
        <f t="shared" si="34"/>
        <v>15347.498599999999</v>
      </c>
      <c r="AC52" s="232">
        <f t="shared" si="34"/>
        <v>15390.948199999999</v>
      </c>
      <c r="AD52" s="232">
        <f t="shared" si="34"/>
        <v>15350.2142</v>
      </c>
      <c r="AE52" s="232">
        <f t="shared" si="34"/>
        <v>16088.857399999999</v>
      </c>
      <c r="AF52" s="232">
        <f t="shared" si="34"/>
        <v>16344.123799999999</v>
      </c>
      <c r="AG52" s="232">
        <f t="shared" si="34"/>
        <v>15754.838599999999</v>
      </c>
      <c r="AH52" s="232">
        <f t="shared" si="34"/>
        <v>15958.590068</v>
      </c>
      <c r="AI52" s="232">
        <f t="shared" si="34"/>
        <v>16013.282251999999</v>
      </c>
      <c r="AJ52" s="232">
        <f t="shared" si="34"/>
        <v>15947.836291999998</v>
      </c>
      <c r="AK52" s="232">
        <f t="shared" si="34"/>
        <v>18099.229658</v>
      </c>
      <c r="AL52" s="232">
        <f t="shared" si="34"/>
        <v>16012.820599999999</v>
      </c>
      <c r="AM52" s="232">
        <f t="shared" si="34"/>
        <v>16175.756599999999</v>
      </c>
      <c r="AN52" s="232">
        <f t="shared" si="34"/>
        <v>16989.078799999999</v>
      </c>
      <c r="AO52" s="232">
        <f t="shared" si="34"/>
        <v>15609.554</v>
      </c>
      <c r="AP52" s="232">
        <f t="shared" si="34"/>
        <v>15761.6276</v>
      </c>
      <c r="AQ52" s="232">
        <f t="shared" si="34"/>
        <v>17169.6662</v>
      </c>
      <c r="AR52" s="232">
        <f t="shared" si="34"/>
        <v>17475.171199999997</v>
      </c>
      <c r="AS52" s="232">
        <f t="shared" si="34"/>
        <v>16989.078799999999</v>
      </c>
      <c r="AT52" s="232">
        <f t="shared" si="34"/>
        <v>17725.006399999998</v>
      </c>
      <c r="AU52" s="232">
        <f t="shared" si="34"/>
        <v>17977.557199999999</v>
      </c>
      <c r="AV52" s="232">
        <f t="shared" si="34"/>
        <v>17724.205433779996</v>
      </c>
      <c r="AW52" s="232">
        <f t="shared" si="34"/>
        <v>20699.946199999998</v>
      </c>
      <c r="AX52" s="232">
        <f t="shared" si="34"/>
        <v>18198.8786</v>
      </c>
      <c r="AY52" s="232">
        <f t="shared" si="34"/>
        <v>18486.732199999999</v>
      </c>
      <c r="AZ52" s="232">
        <f t="shared" si="34"/>
        <v>19930.0736</v>
      </c>
      <c r="BA52" s="232">
        <f t="shared" si="34"/>
        <v>19836.385399999999</v>
      </c>
      <c r="BB52" s="232">
        <f t="shared" si="34"/>
        <v>19776.642199999998</v>
      </c>
      <c r="BC52" s="232">
        <f t="shared" si="34"/>
        <v>20881.8914</v>
      </c>
      <c r="BD52" s="232">
        <f t="shared" si="34"/>
        <v>20925.341</v>
      </c>
      <c r="BE52" s="232">
        <f>1.3578*BE$31+1447.7</f>
        <v>20452.8266</v>
      </c>
      <c r="BF52" s="232">
        <f>1.3578*J$92+1447.7</f>
        <v>20781.414199999999</v>
      </c>
      <c r="BG52" s="232">
        <f t="shared" ref="BG52:BU52" si="35">1.3578*K$92+1447.7</f>
        <v>20518.001</v>
      </c>
      <c r="BH52" s="232">
        <f t="shared" si="35"/>
        <v>20839.799599999998</v>
      </c>
      <c r="BI52" s="232">
        <f t="shared" si="35"/>
        <v>25145.383399999999</v>
      </c>
      <c r="BJ52" s="232">
        <f t="shared" si="35"/>
        <v>21240.350599999998</v>
      </c>
      <c r="BK52" s="232">
        <f t="shared" si="35"/>
        <v>22656.999613065644</v>
      </c>
      <c r="BL52" s="232">
        <f t="shared" si="35"/>
        <v>24112.010690293351</v>
      </c>
      <c r="BM52" s="232">
        <f t="shared" si="35"/>
        <v>22985.691218822845</v>
      </c>
      <c r="BN52" s="232">
        <f t="shared" si="35"/>
        <v>23161.944732416148</v>
      </c>
      <c r="BO52" s="232">
        <f t="shared" si="35"/>
        <v>24551.239642019234</v>
      </c>
      <c r="BP52" s="232">
        <f t="shared" si="35"/>
        <v>24168.980368985052</v>
      </c>
      <c r="BQ52" s="232">
        <f t="shared" si="35"/>
        <v>23363.092934029846</v>
      </c>
      <c r="BR52" s="232">
        <f t="shared" si="35"/>
        <v>24060.173206547275</v>
      </c>
      <c r="BS52" s="232">
        <f t="shared" si="35"/>
        <v>24142.020953467174</v>
      </c>
      <c r="BT52" s="232">
        <f t="shared" si="35"/>
        <v>23788.742876693337</v>
      </c>
      <c r="BU52" s="232">
        <f t="shared" si="35"/>
        <v>27688.407409759919</v>
      </c>
    </row>
    <row r="53" spans="1:73" ht="15">
      <c r="A53" s="214" t="s">
        <v>278</v>
      </c>
      <c r="B53" s="247">
        <f>B48/B52</f>
        <v>0.9673763063848585</v>
      </c>
      <c r="C53" s="247">
        <f t="shared" ref="C53:AW53" si="36">C48/C52</f>
        <v>0.99531495371026235</v>
      </c>
      <c r="D53" s="247">
        <f t="shared" si="36"/>
        <v>1.0371562302813144</v>
      </c>
      <c r="E53" s="247">
        <f t="shared" si="36"/>
        <v>1.0284775989894912</v>
      </c>
      <c r="F53" s="247">
        <f t="shared" si="36"/>
        <v>0.98350711296042159</v>
      </c>
      <c r="G53" s="247">
        <f t="shared" si="36"/>
        <v>0.96939911763790709</v>
      </c>
      <c r="H53" s="247">
        <f t="shared" si="36"/>
        <v>0.99994793471233745</v>
      </c>
      <c r="I53" s="247">
        <f t="shared" si="36"/>
        <v>0.99693086105763873</v>
      </c>
      <c r="J53" s="247">
        <f t="shared" si="36"/>
        <v>0.99948483176114478</v>
      </c>
      <c r="K53" s="247">
        <f t="shared" si="36"/>
        <v>0.99911109293664391</v>
      </c>
      <c r="L53" s="247">
        <f t="shared" si="36"/>
        <v>1.0034745229945115</v>
      </c>
      <c r="M53" s="247">
        <f t="shared" si="36"/>
        <v>1.0501222488948203</v>
      </c>
      <c r="N53" s="247">
        <f t="shared" si="36"/>
        <v>0.97899589265461595</v>
      </c>
      <c r="O53" s="247">
        <f t="shared" si="36"/>
        <v>1.0039103443979123</v>
      </c>
      <c r="P53" s="247">
        <f t="shared" si="36"/>
        <v>1.043597710558398</v>
      </c>
      <c r="Q53" s="247">
        <f t="shared" si="36"/>
        <v>1.0144906392876194</v>
      </c>
      <c r="R53" s="247">
        <f t="shared" si="36"/>
        <v>0.99938577942562179</v>
      </c>
      <c r="S53" s="247">
        <f t="shared" si="36"/>
        <v>0.97787951639569337</v>
      </c>
      <c r="T53" s="247">
        <f t="shared" si="36"/>
        <v>0.99545969480594043</v>
      </c>
      <c r="U53" s="247">
        <f t="shared" si="36"/>
        <v>1.0016095280678834</v>
      </c>
      <c r="V53" s="247">
        <f t="shared" si="36"/>
        <v>0.99191780071757907</v>
      </c>
      <c r="W53" s="247">
        <f t="shared" si="36"/>
        <v>0.99184322454777751</v>
      </c>
      <c r="X53" s="247">
        <f t="shared" si="36"/>
        <v>1.0007557120668902</v>
      </c>
      <c r="Y53" s="247">
        <f t="shared" si="36"/>
        <v>1.0469687281337077</v>
      </c>
      <c r="Z53" s="247">
        <f t="shared" si="36"/>
        <v>0.98212762499751805</v>
      </c>
      <c r="AA53" s="247">
        <f t="shared" si="36"/>
        <v>1.0184278244839255</v>
      </c>
      <c r="AB53" s="247">
        <f t="shared" si="36"/>
        <v>1.0560027026163079</v>
      </c>
      <c r="AC53" s="247">
        <f t="shared" si="36"/>
        <v>1.0315153942237296</v>
      </c>
      <c r="AD53" s="247">
        <f t="shared" si="36"/>
        <v>0.98741293134528374</v>
      </c>
      <c r="AE53" s="247">
        <f t="shared" si="36"/>
        <v>0.9727228982711974</v>
      </c>
      <c r="AF53" s="247">
        <f t="shared" si="36"/>
        <v>0.99417993884750189</v>
      </c>
      <c r="AG53" s="247">
        <f t="shared" si="36"/>
        <v>0.99613841807303571</v>
      </c>
      <c r="AH53" s="247">
        <f t="shared" si="36"/>
        <v>0.97915918219699716</v>
      </c>
      <c r="AI53" s="247">
        <f t="shared" si="36"/>
        <v>0.99055270183718236</v>
      </c>
      <c r="AJ53" s="247">
        <f t="shared" si="36"/>
        <v>1.0016405804223816</v>
      </c>
      <c r="AK53" s="247">
        <f t="shared" si="36"/>
        <v>1.042530558291455</v>
      </c>
      <c r="AL53" s="247">
        <f t="shared" si="36"/>
        <v>0.98589751264683501</v>
      </c>
      <c r="AM53" s="247">
        <f t="shared" si="36"/>
        <v>1.0167685139377036</v>
      </c>
      <c r="AN53" s="247">
        <f t="shared" si="36"/>
        <v>1.0589155663931584</v>
      </c>
      <c r="AO53" s="247">
        <f t="shared" si="36"/>
        <v>0.97875954687750844</v>
      </c>
      <c r="AP53" s="215">
        <f t="shared" si="36"/>
        <v>0.96379640386884924</v>
      </c>
      <c r="AQ53" s="215">
        <f t="shared" si="36"/>
        <v>0.95476521261665537</v>
      </c>
      <c r="AR53" s="215">
        <f t="shared" si="36"/>
        <v>0.97584165584598126</v>
      </c>
      <c r="AS53" s="215">
        <f t="shared" si="36"/>
        <v>0.98857626112135055</v>
      </c>
      <c r="AT53" s="215">
        <f t="shared" si="36"/>
        <v>0.97337059353614686</v>
      </c>
      <c r="AU53" s="215">
        <f t="shared" si="36"/>
        <v>0.97310217430430435</v>
      </c>
      <c r="AV53" s="215">
        <f t="shared" si="36"/>
        <v>0.9919767667830699</v>
      </c>
      <c r="AW53" s="215">
        <f t="shared" si="36"/>
        <v>1.0537225454238137</v>
      </c>
      <c r="AX53" s="215">
        <f>AX48/AX52</f>
        <v>0.96341100929152856</v>
      </c>
      <c r="AY53" s="215">
        <f t="shared" ref="AY53:BE53" si="37">AY48/AY52</f>
        <v>1.0009340644854476</v>
      </c>
      <c r="AZ53" s="215">
        <f t="shared" si="37"/>
        <v>1.0101317438185478</v>
      </c>
      <c r="BA53" s="215">
        <f t="shared" si="37"/>
        <v>1.0295222435030931</v>
      </c>
      <c r="BB53" s="215">
        <f t="shared" si="37"/>
        <v>0.97524138855078246</v>
      </c>
      <c r="BC53" s="215">
        <f t="shared" si="37"/>
        <v>0.97955686140576326</v>
      </c>
      <c r="BD53" s="215">
        <f t="shared" si="37"/>
        <v>1.0014651613084824</v>
      </c>
      <c r="BE53" s="215">
        <f t="shared" si="37"/>
        <v>0.99536364328243998</v>
      </c>
      <c r="BF53" s="174">
        <f>BF66</f>
        <v>0.98105318654270213</v>
      </c>
      <c r="BG53" s="174">
        <f>BG66</f>
        <v>0.98370903691444456</v>
      </c>
      <c r="BH53" s="174">
        <f>BH66</f>
        <v>0.99446458608887978</v>
      </c>
      <c r="BI53" s="174">
        <f>BI66</f>
        <v>1.0430943400850194</v>
      </c>
      <c r="BJ53" s="174">
        <f>AX66</f>
        <v>0.97068386084909575</v>
      </c>
      <c r="BK53" s="174">
        <f t="shared" ref="BK53:BU53" si="38">AY66</f>
        <v>1.0020357845020351</v>
      </c>
      <c r="BL53" s="174">
        <f t="shared" si="38"/>
        <v>1.0359549867798774</v>
      </c>
      <c r="BM53" s="174">
        <f t="shared" si="38"/>
        <v>1.0114703191534069</v>
      </c>
      <c r="BN53" s="174">
        <f t="shared" si="38"/>
        <v>0.976959379614041</v>
      </c>
      <c r="BO53" s="174">
        <f t="shared" si="38"/>
        <v>0.96601039765911612</v>
      </c>
      <c r="BP53" s="174">
        <f t="shared" si="38"/>
        <v>0.98841198271852837</v>
      </c>
      <c r="BQ53" s="174">
        <f t="shared" si="38"/>
        <v>0.99074512360886735</v>
      </c>
      <c r="BR53" s="174">
        <f t="shared" si="38"/>
        <v>0.98105318654270213</v>
      </c>
      <c r="BS53" s="174">
        <f t="shared" si="38"/>
        <v>0.98370903691444456</v>
      </c>
      <c r="BT53" s="174">
        <f t="shared" si="38"/>
        <v>0.99446458608887978</v>
      </c>
      <c r="BU53" s="174">
        <f t="shared" si="38"/>
        <v>1.0430943400850194</v>
      </c>
    </row>
    <row r="54" spans="1:73" ht="15">
      <c r="A54" s="214"/>
    </row>
    <row r="55" spans="1:73" ht="15">
      <c r="A55" s="214" t="s">
        <v>279</v>
      </c>
      <c r="B55" s="232">
        <f t="shared" ref="B55:BD55" si="39">1.3646*B$46+51.602</f>
        <v>353.56634722069464</v>
      </c>
      <c r="C55" s="232">
        <f t="shared" si="39"/>
        <v>365.08702166931226</v>
      </c>
      <c r="D55" s="232">
        <f t="shared" si="39"/>
        <v>392.83333531693421</v>
      </c>
      <c r="E55" s="232">
        <f t="shared" si="39"/>
        <v>389.94693427557547</v>
      </c>
      <c r="F55" s="232">
        <f t="shared" si="39"/>
        <v>404.84043642900338</v>
      </c>
      <c r="G55" s="232">
        <f t="shared" si="39"/>
        <v>436.27818675191776</v>
      </c>
      <c r="H55" s="232">
        <f t="shared" si="39"/>
        <v>437.24171798717316</v>
      </c>
      <c r="I55" s="232">
        <f t="shared" si="39"/>
        <v>430.28979468707172</v>
      </c>
      <c r="J55" s="232">
        <f t="shared" si="39"/>
        <v>435.81148929136873</v>
      </c>
      <c r="K55" s="232">
        <f t="shared" si="39"/>
        <v>429.26708534041359</v>
      </c>
      <c r="L55" s="232">
        <f t="shared" si="39"/>
        <v>433.76782829150676</v>
      </c>
      <c r="M55" s="232">
        <f t="shared" si="39"/>
        <v>486.8714109325897</v>
      </c>
      <c r="N55" s="232">
        <f t="shared" si="39"/>
        <v>421.68536315086169</v>
      </c>
      <c r="O55" s="232">
        <f t="shared" si="39"/>
        <v>444.75233370806126</v>
      </c>
      <c r="P55" s="232">
        <f t="shared" si="39"/>
        <v>485.82645693194081</v>
      </c>
      <c r="Q55" s="232">
        <f t="shared" si="39"/>
        <v>494.10149384837638</v>
      </c>
      <c r="R55" s="232">
        <f t="shared" si="39"/>
        <v>506.34749188205376</v>
      </c>
      <c r="S55" s="232">
        <f t="shared" si="39"/>
        <v>527.67098053995039</v>
      </c>
      <c r="T55" s="232">
        <f t="shared" si="39"/>
        <v>525.59589126586945</v>
      </c>
      <c r="U55" s="232">
        <f t="shared" si="39"/>
        <v>497.35933608680187</v>
      </c>
      <c r="V55" s="232">
        <f t="shared" si="39"/>
        <v>489.2805552185111</v>
      </c>
      <c r="W55" s="232">
        <f t="shared" si="39"/>
        <v>498.81328373980142</v>
      </c>
      <c r="X55" s="232">
        <f t="shared" si="39"/>
        <v>499.13279404266615</v>
      </c>
      <c r="Y55" s="232">
        <f t="shared" si="39"/>
        <v>570.79462236708162</v>
      </c>
      <c r="Z55" s="232">
        <f t="shared" si="39"/>
        <v>503.03952639739174</v>
      </c>
      <c r="AA55" s="232">
        <f t="shared" si="39"/>
        <v>509.09936198613246</v>
      </c>
      <c r="AB55" s="232">
        <f t="shared" si="39"/>
        <v>571.61585588569505</v>
      </c>
      <c r="AC55" s="232">
        <f t="shared" si="39"/>
        <v>574.25384180160222</v>
      </c>
      <c r="AD55" s="232">
        <f t="shared" si="39"/>
        <v>581.27409006912524</v>
      </c>
      <c r="AE55" s="232">
        <f t="shared" si="39"/>
        <v>606.86314602296397</v>
      </c>
      <c r="AF55" s="232">
        <f t="shared" si="39"/>
        <v>632.97049012233094</v>
      </c>
      <c r="AG55" s="232">
        <f t="shared" si="39"/>
        <v>621.12693823862821</v>
      </c>
      <c r="AH55" s="232">
        <f t="shared" si="39"/>
        <v>640.36762281729079</v>
      </c>
      <c r="AI55" s="232">
        <f t="shared" si="39"/>
        <v>641.66997426016167</v>
      </c>
      <c r="AJ55" s="232">
        <f t="shared" si="39"/>
        <v>649.64214775904725</v>
      </c>
      <c r="AK55" s="232">
        <f t="shared" si="39"/>
        <v>760.42549003857607</v>
      </c>
      <c r="AL55" s="232">
        <f t="shared" si="39"/>
        <v>658.50323163049768</v>
      </c>
      <c r="AM55" s="232">
        <f t="shared" si="39"/>
        <v>653.38687484634761</v>
      </c>
      <c r="AN55" s="232">
        <f t="shared" si="39"/>
        <v>642.96342688198342</v>
      </c>
      <c r="AO55" s="232">
        <f t="shared" si="39"/>
        <v>574.39205450452039</v>
      </c>
      <c r="AP55" s="232">
        <f t="shared" si="39"/>
        <v>588.0917694323764</v>
      </c>
      <c r="AQ55" s="232">
        <f t="shared" si="39"/>
        <v>643.22592914907432</v>
      </c>
      <c r="AR55" s="232">
        <f t="shared" si="39"/>
        <v>641.35169871193762</v>
      </c>
      <c r="AS55" s="232">
        <f t="shared" si="39"/>
        <v>619.13129049983354</v>
      </c>
      <c r="AT55" s="232">
        <f t="shared" si="39"/>
        <v>636.60673651856428</v>
      </c>
      <c r="AU55" s="232">
        <f t="shared" si="39"/>
        <v>642.79916725978649</v>
      </c>
      <c r="AV55" s="232">
        <f t="shared" si="39"/>
        <v>633.73793674234867</v>
      </c>
      <c r="AW55" s="232">
        <f t="shared" si="39"/>
        <v>737.72481560283688</v>
      </c>
      <c r="AX55" s="232">
        <f t="shared" si="39"/>
        <v>648.17205080743622</v>
      </c>
      <c r="AY55" s="232">
        <f t="shared" si="39"/>
        <v>665.71617465183454</v>
      </c>
      <c r="AZ55" s="232">
        <f t="shared" si="39"/>
        <v>719.87191409511661</v>
      </c>
      <c r="BA55" s="232">
        <f t="shared" si="39"/>
        <v>713.2839835302542</v>
      </c>
      <c r="BB55" s="232">
        <f t="shared" si="39"/>
        <v>719.01994927536225</v>
      </c>
      <c r="BC55" s="232">
        <f t="shared" si="39"/>
        <v>768.62147953257761</v>
      </c>
      <c r="BD55" s="232">
        <f t="shared" si="39"/>
        <v>770.89326736055466</v>
      </c>
      <c r="BE55" s="232">
        <f>1.3646*BE$46+51.602</f>
        <v>765.36531091180859</v>
      </c>
      <c r="BF55" s="232">
        <f t="shared" ref="BF55:BU55" si="40">1.3646*J$99+51.602</f>
        <v>778.47286442931215</v>
      </c>
      <c r="BG55" s="232">
        <f t="shared" si="40"/>
        <v>778.40545089116415</v>
      </c>
      <c r="BH55" s="232">
        <f t="shared" si="40"/>
        <v>788.43440831758028</v>
      </c>
      <c r="BI55" s="232">
        <f t="shared" si="40"/>
        <v>926.88181624402785</v>
      </c>
      <c r="BJ55" s="232">
        <f t="shared" si="40"/>
        <v>768.80961625030625</v>
      </c>
      <c r="BK55" s="232">
        <f t="shared" si="40"/>
        <v>821.23250341311859</v>
      </c>
      <c r="BL55" s="232">
        <f t="shared" si="40"/>
        <v>865.21116771860443</v>
      </c>
      <c r="BM55" s="232">
        <f t="shared" si="40"/>
        <v>829.88299381923355</v>
      </c>
      <c r="BN55" s="232">
        <f t="shared" si="40"/>
        <v>836.96140411950933</v>
      </c>
      <c r="BO55" s="232">
        <f t="shared" si="40"/>
        <v>885.84068715335513</v>
      </c>
      <c r="BP55" s="232">
        <f t="shared" si="40"/>
        <v>874.58265742355707</v>
      </c>
      <c r="BQ55" s="232">
        <f t="shared" si="40"/>
        <v>854.41803877446694</v>
      </c>
      <c r="BR55" s="232">
        <f t="shared" si="40"/>
        <v>860.47650102436296</v>
      </c>
      <c r="BS55" s="232">
        <f t="shared" si="40"/>
        <v>870.05769970323001</v>
      </c>
      <c r="BT55" s="232">
        <f t="shared" si="40"/>
        <v>855.82453670661414</v>
      </c>
      <c r="BU55" s="232">
        <f t="shared" si="40"/>
        <v>1002.6442412045071</v>
      </c>
    </row>
    <row r="56" spans="1:73" ht="15">
      <c r="A56" s="214" t="s">
        <v>278</v>
      </c>
      <c r="B56" s="215">
        <f t="shared" ref="B56:BE56" si="41">B50/B55</f>
        <v>0.96796277845428991</v>
      </c>
      <c r="C56" s="215">
        <f t="shared" si="41"/>
        <v>0.99640349790795535</v>
      </c>
      <c r="D56" s="215">
        <f t="shared" si="41"/>
        <v>1.037982639078149</v>
      </c>
      <c r="E56" s="215">
        <f t="shared" si="41"/>
        <v>1.0301031713280806</v>
      </c>
      <c r="F56" s="215">
        <f t="shared" si="41"/>
        <v>0.98697069619636002</v>
      </c>
      <c r="G56" s="215">
        <f t="shared" si="41"/>
        <v>0.97368689953926058</v>
      </c>
      <c r="H56" s="215">
        <f t="shared" si="41"/>
        <v>1.0050314980056476</v>
      </c>
      <c r="I56" s="215">
        <f t="shared" si="41"/>
        <v>1.0038442460828798</v>
      </c>
      <c r="J56" s="215">
        <f t="shared" si="41"/>
        <v>1.0039169773624166</v>
      </c>
      <c r="K56" s="215">
        <f t="shared" si="41"/>
        <v>1.0010396402192379</v>
      </c>
      <c r="L56" s="215">
        <f t="shared" si="41"/>
        <v>1.0051028647170634</v>
      </c>
      <c r="M56" s="215">
        <f t="shared" si="41"/>
        <v>1.047622520554401</v>
      </c>
      <c r="N56" s="215">
        <f t="shared" si="41"/>
        <v>0.97311667708725369</v>
      </c>
      <c r="O56" s="215">
        <f t="shared" si="41"/>
        <v>1.0032779793609099</v>
      </c>
      <c r="P56" s="215">
        <f t="shared" si="41"/>
        <v>1.046161920440795</v>
      </c>
      <c r="Q56" s="215">
        <f t="shared" si="41"/>
        <v>1.0176744093402326</v>
      </c>
      <c r="R56" s="215">
        <f t="shared" si="41"/>
        <v>1.002202839668332</v>
      </c>
      <c r="S56" s="215">
        <f t="shared" si="41"/>
        <v>0.98024573170225249</v>
      </c>
      <c r="T56" s="215">
        <f t="shared" si="41"/>
        <v>0.99711069170484912</v>
      </c>
      <c r="U56" s="215">
        <f t="shared" si="41"/>
        <v>0.99930254122251094</v>
      </c>
      <c r="V56" s="215">
        <f t="shared" si="41"/>
        <v>0.98699099025791925</v>
      </c>
      <c r="W56" s="215">
        <f t="shared" si="41"/>
        <v>0.98714839785723496</v>
      </c>
      <c r="X56" s="215">
        <f t="shared" si="41"/>
        <v>0.99673481160894362</v>
      </c>
      <c r="Y56" s="215">
        <f t="shared" si="41"/>
        <v>1.0431290989880442</v>
      </c>
      <c r="Z56" s="215">
        <f t="shared" si="41"/>
        <v>0.97837136936396485</v>
      </c>
      <c r="AA56" s="215">
        <f t="shared" si="41"/>
        <v>1.0136131448967989</v>
      </c>
      <c r="AB56" s="215">
        <f t="shared" si="41"/>
        <v>1.0554440368031062</v>
      </c>
      <c r="AC56" s="215">
        <f t="shared" si="41"/>
        <v>1.0311364645028336</v>
      </c>
      <c r="AD56" s="215">
        <f t="shared" si="41"/>
        <v>0.98849952512172679</v>
      </c>
      <c r="AE56" s="215">
        <f t="shared" si="41"/>
        <v>0.97314126932243095</v>
      </c>
      <c r="AF56" s="215">
        <f t="shared" si="41"/>
        <v>0.99688045921912571</v>
      </c>
      <c r="AG56" s="215">
        <f t="shared" si="41"/>
        <v>1.0007916700838306</v>
      </c>
      <c r="AH56" s="215">
        <f t="shared" si="41"/>
        <v>0.98513848163938678</v>
      </c>
      <c r="AI56" s="215">
        <f t="shared" si="41"/>
        <v>0.99643932585855122</v>
      </c>
      <c r="AJ56" s="215">
        <f t="shared" si="41"/>
        <v>1.0090859975264945</v>
      </c>
      <c r="AK56" s="215">
        <f t="shared" si="41"/>
        <v>1.0510094519174231</v>
      </c>
      <c r="AL56" s="215">
        <f t="shared" si="41"/>
        <v>0.9939763921296435</v>
      </c>
      <c r="AM56" s="215">
        <f t="shared" si="41"/>
        <v>1.0233932477408321</v>
      </c>
      <c r="AN56" s="215">
        <f t="shared" si="41"/>
        <v>1.059348309530755</v>
      </c>
      <c r="AO56" s="215">
        <f t="shared" si="41"/>
        <v>0.9770026093223575</v>
      </c>
      <c r="AP56" s="215">
        <f t="shared" si="41"/>
        <v>0.96332832068987051</v>
      </c>
      <c r="AQ56" s="215">
        <f t="shared" si="41"/>
        <v>0.95425447753875203</v>
      </c>
      <c r="AR56" s="215">
        <f t="shared" si="41"/>
        <v>0.97350391546524695</v>
      </c>
      <c r="AS56" s="215">
        <f t="shared" si="41"/>
        <v>0.98565839848750469</v>
      </c>
      <c r="AT56" s="215">
        <f t="shared" si="41"/>
        <v>0.96917158694088512</v>
      </c>
      <c r="AU56" s="215">
        <f t="shared" si="41"/>
        <v>0.9685175546104331</v>
      </c>
      <c r="AV56" s="215">
        <f t="shared" si="41"/>
        <v>0.98730707742420809</v>
      </c>
      <c r="AW56" s="215">
        <f t="shared" si="41"/>
        <v>1.0484602943347026</v>
      </c>
      <c r="AX56" s="215">
        <f t="shared" si="41"/>
        <v>0.95854487122854348</v>
      </c>
      <c r="AY56" s="215">
        <f t="shared" si="41"/>
        <v>0.99680715395201491</v>
      </c>
      <c r="AZ56" s="215">
        <f t="shared" si="41"/>
        <v>1.0061350857412352</v>
      </c>
      <c r="BA56" s="215">
        <f t="shared" si="41"/>
        <v>1.0250967672123292</v>
      </c>
      <c r="BB56" s="215">
        <f t="shared" si="41"/>
        <v>0.97188450547213756</v>
      </c>
      <c r="BC56" s="215">
        <f t="shared" si="41"/>
        <v>0.97697147397851436</v>
      </c>
      <c r="BD56" s="215">
        <f t="shared" si="41"/>
        <v>0.99887928157099648</v>
      </c>
      <c r="BE56" s="215">
        <f t="shared" si="41"/>
        <v>0.99398590580521617</v>
      </c>
      <c r="BF56" s="174">
        <f>BF75</f>
        <v>0.97150994141439961</v>
      </c>
      <c r="BG56" s="174">
        <f>BG75</f>
        <v>0.97346193619181876</v>
      </c>
      <c r="BH56" s="174">
        <f>BH75</f>
        <v>0.98456432250188974</v>
      </c>
      <c r="BI56" s="174">
        <f>BI75</f>
        <v>1.0318420113269131</v>
      </c>
      <c r="BJ56" s="174">
        <f>AX75</f>
        <v>0.95977850138794796</v>
      </c>
      <c r="BK56" s="174">
        <f t="shared" ref="BK56:BU56" si="42">AY75</f>
        <v>0.99159851970012658</v>
      </c>
      <c r="BL56" s="174">
        <f t="shared" si="42"/>
        <v>1.0253991823440258</v>
      </c>
      <c r="BM56" s="174">
        <f t="shared" si="42"/>
        <v>1.0009596440760491</v>
      </c>
      <c r="BN56" s="174">
        <f t="shared" si="42"/>
        <v>0.96783851976824009</v>
      </c>
      <c r="BO56" s="174">
        <f t="shared" si="42"/>
        <v>0.95708507085999828</v>
      </c>
      <c r="BP56" s="174">
        <f t="shared" si="42"/>
        <v>0.97936695165527565</v>
      </c>
      <c r="BQ56" s="174">
        <f t="shared" si="42"/>
        <v>0.98176580405134273</v>
      </c>
      <c r="BR56" s="174">
        <f t="shared" si="42"/>
        <v>0.97150994141439961</v>
      </c>
      <c r="BS56" s="174">
        <f t="shared" si="42"/>
        <v>0.97346193619181876</v>
      </c>
      <c r="BT56" s="174">
        <f t="shared" si="42"/>
        <v>0.98456432250188974</v>
      </c>
      <c r="BU56" s="174">
        <f t="shared" si="42"/>
        <v>1.0318420113269131</v>
      </c>
    </row>
    <row r="57" spans="1:73" ht="15">
      <c r="A57" s="214"/>
    </row>
    <row r="58" spans="1:73" ht="15">
      <c r="A58" s="214"/>
    </row>
    <row r="59" spans="1:73" ht="36">
      <c r="A59" s="214"/>
      <c r="AW59" s="442" t="s">
        <v>430</v>
      </c>
      <c r="AX59" s="161">
        <v>1</v>
      </c>
      <c r="AY59" s="161">
        <v>2</v>
      </c>
      <c r="AZ59" s="161">
        <v>3</v>
      </c>
      <c r="BA59" s="161">
        <v>4</v>
      </c>
      <c r="BB59" s="161">
        <v>5</v>
      </c>
      <c r="BC59" s="161">
        <v>6</v>
      </c>
      <c r="BD59" s="161">
        <v>7</v>
      </c>
      <c r="BE59" s="161">
        <v>8</v>
      </c>
      <c r="BF59" s="161">
        <v>9</v>
      </c>
      <c r="BG59" s="161">
        <v>10</v>
      </c>
      <c r="BH59" s="161">
        <v>11</v>
      </c>
      <c r="BI59" s="161">
        <v>12</v>
      </c>
      <c r="BJ59" s="443" t="s">
        <v>283</v>
      </c>
    </row>
    <row r="60" spans="1:73" ht="15">
      <c r="A60" s="214"/>
      <c r="AW60" s="176">
        <v>2017</v>
      </c>
      <c r="AX60" s="175">
        <f>B53</f>
        <v>0.9673763063848585</v>
      </c>
      <c r="AY60" s="175">
        <f t="shared" ref="AY60:BI60" si="43">C53</f>
        <v>0.99531495371026235</v>
      </c>
      <c r="AZ60" s="175">
        <f t="shared" si="43"/>
        <v>1.0371562302813144</v>
      </c>
      <c r="BA60" s="175">
        <f t="shared" si="43"/>
        <v>1.0284775989894912</v>
      </c>
      <c r="BB60" s="175">
        <f t="shared" si="43"/>
        <v>0.98350711296042159</v>
      </c>
      <c r="BC60" s="175">
        <f t="shared" si="43"/>
        <v>0.96939911763790709</v>
      </c>
      <c r="BD60" s="175">
        <f t="shared" si="43"/>
        <v>0.99994793471233745</v>
      </c>
      <c r="BE60" s="175">
        <f t="shared" si="43"/>
        <v>0.99693086105763873</v>
      </c>
      <c r="BF60" s="175">
        <f t="shared" si="43"/>
        <v>0.99948483176114478</v>
      </c>
      <c r="BG60" s="175">
        <f t="shared" si="43"/>
        <v>0.99911109293664391</v>
      </c>
      <c r="BH60" s="175">
        <f t="shared" si="43"/>
        <v>1.0034745229945115</v>
      </c>
      <c r="BI60" s="175">
        <f t="shared" si="43"/>
        <v>1.0501222488948203</v>
      </c>
    </row>
    <row r="61" spans="1:73" ht="15">
      <c r="A61" s="214"/>
      <c r="AW61" s="176">
        <v>2018</v>
      </c>
      <c r="AX61" s="175">
        <f>N53</f>
        <v>0.97899589265461595</v>
      </c>
      <c r="AY61" s="175">
        <f t="shared" ref="AY61:BI61" si="44">O53</f>
        <v>1.0039103443979123</v>
      </c>
      <c r="AZ61" s="175">
        <f t="shared" si="44"/>
        <v>1.043597710558398</v>
      </c>
      <c r="BA61" s="175">
        <f t="shared" si="44"/>
        <v>1.0144906392876194</v>
      </c>
      <c r="BB61" s="175">
        <f t="shared" si="44"/>
        <v>0.99938577942562179</v>
      </c>
      <c r="BC61" s="175">
        <f t="shared" si="44"/>
        <v>0.97787951639569337</v>
      </c>
      <c r="BD61" s="175">
        <f t="shared" si="44"/>
        <v>0.99545969480594043</v>
      </c>
      <c r="BE61" s="175">
        <f t="shared" si="44"/>
        <v>1.0016095280678834</v>
      </c>
      <c r="BF61" s="175">
        <f t="shared" si="44"/>
        <v>0.99191780071757907</v>
      </c>
      <c r="BG61" s="175">
        <f t="shared" si="44"/>
        <v>0.99184322454777751</v>
      </c>
      <c r="BH61" s="175">
        <f t="shared" si="44"/>
        <v>1.0007557120668902</v>
      </c>
      <c r="BI61" s="175">
        <f t="shared" si="44"/>
        <v>1.0469687281337077</v>
      </c>
    </row>
    <row r="62" spans="1:73" ht="15">
      <c r="A62" s="214"/>
      <c r="AW62" s="176">
        <v>2019</v>
      </c>
      <c r="AX62" s="175">
        <f>Z53</f>
        <v>0.98212762499751805</v>
      </c>
      <c r="AY62" s="175">
        <f t="shared" ref="AY62:BI62" si="45">AA53</f>
        <v>1.0184278244839255</v>
      </c>
      <c r="AZ62" s="175">
        <f t="shared" si="45"/>
        <v>1.0560027026163079</v>
      </c>
      <c r="BA62" s="175">
        <f t="shared" si="45"/>
        <v>1.0315153942237296</v>
      </c>
      <c r="BB62" s="175">
        <f t="shared" si="45"/>
        <v>0.98741293134528374</v>
      </c>
      <c r="BC62" s="175">
        <f t="shared" si="45"/>
        <v>0.9727228982711974</v>
      </c>
      <c r="BD62" s="175">
        <f t="shared" si="45"/>
        <v>0.99417993884750189</v>
      </c>
      <c r="BE62" s="175">
        <f t="shared" si="45"/>
        <v>0.99613841807303571</v>
      </c>
      <c r="BF62" s="175">
        <f>AH53</f>
        <v>0.97915918219699716</v>
      </c>
      <c r="BG62" s="175">
        <f t="shared" si="45"/>
        <v>0.99055270183718236</v>
      </c>
      <c r="BH62" s="175">
        <f t="shared" si="45"/>
        <v>1.0016405804223816</v>
      </c>
      <c r="BI62" s="175">
        <f t="shared" si="45"/>
        <v>1.042530558291455</v>
      </c>
    </row>
    <row r="63" spans="1:73" ht="18">
      <c r="A63" s="237" t="s">
        <v>241</v>
      </c>
      <c r="B63" s="213">
        <v>1</v>
      </c>
      <c r="C63" s="213">
        <v>2</v>
      </c>
      <c r="D63" s="213">
        <v>3</v>
      </c>
      <c r="E63" s="213">
        <v>4</v>
      </c>
      <c r="F63" s="213">
        <v>5</v>
      </c>
      <c r="G63" s="213">
        <v>6</v>
      </c>
      <c r="H63" s="213">
        <v>7</v>
      </c>
      <c r="I63" s="213">
        <v>8</v>
      </c>
      <c r="J63" s="213">
        <v>9</v>
      </c>
      <c r="K63" s="213">
        <v>10</v>
      </c>
      <c r="L63" s="213">
        <v>11</v>
      </c>
      <c r="M63" s="213">
        <v>12</v>
      </c>
      <c r="N63" s="241" t="s">
        <v>236</v>
      </c>
      <c r="AW63" s="176">
        <v>2020</v>
      </c>
      <c r="AX63" s="175">
        <f>AL53</f>
        <v>0.98589751264683501</v>
      </c>
      <c r="AY63" s="175">
        <f t="shared" ref="AY63:BH63" si="46">AM53</f>
        <v>1.0167685139377036</v>
      </c>
      <c r="AZ63" s="175">
        <f t="shared" si="46"/>
        <v>1.0589155663931584</v>
      </c>
      <c r="BA63" s="175">
        <f t="shared" si="46"/>
        <v>0.97875954687750844</v>
      </c>
      <c r="BB63" s="175">
        <f t="shared" si="46"/>
        <v>0.96379640386884924</v>
      </c>
      <c r="BC63" s="175">
        <f t="shared" si="46"/>
        <v>0.95476521261665537</v>
      </c>
      <c r="BD63" s="175">
        <f t="shared" si="46"/>
        <v>0.97584165584598126</v>
      </c>
      <c r="BE63" s="175">
        <f t="shared" si="46"/>
        <v>0.98857626112135055</v>
      </c>
      <c r="BF63" s="175">
        <f t="shared" si="46"/>
        <v>0.97337059353614686</v>
      </c>
      <c r="BG63" s="175">
        <f t="shared" si="46"/>
        <v>0.97310217430430435</v>
      </c>
      <c r="BH63" s="175">
        <f t="shared" si="46"/>
        <v>0.9919767667830699</v>
      </c>
      <c r="BI63" s="175">
        <f>AW53</f>
        <v>1.0537225454238137</v>
      </c>
    </row>
    <row r="64" spans="1:73">
      <c r="A64" s="176">
        <v>2017</v>
      </c>
      <c r="B64" s="180">
        <f>B$35</f>
        <v>-7.2123552123552148E-2</v>
      </c>
      <c r="C64" s="180">
        <f t="shared" ref="C64:M64" si="47">C$35</f>
        <v>3.3455392809587314E-2</v>
      </c>
      <c r="D64" s="180">
        <f t="shared" si="47"/>
        <v>8.7453696247382862E-2</v>
      </c>
      <c r="E64" s="180">
        <f t="shared" si="47"/>
        <v>-1.377369668246442E-2</v>
      </c>
      <c r="F64" s="180">
        <f t="shared" si="47"/>
        <v>2.7181258447214196E-2</v>
      </c>
      <c r="G64" s="180">
        <f t="shared" si="47"/>
        <v>7.6023391812865437E-2</v>
      </c>
      <c r="H64" s="180">
        <f t="shared" si="47"/>
        <v>-2.8532608695651662E-3</v>
      </c>
      <c r="I64" s="180">
        <f t="shared" si="47"/>
        <v>-3.0658127810328395E-2</v>
      </c>
      <c r="J64" s="180">
        <f t="shared" si="47"/>
        <v>3.3314590947427503E-2</v>
      </c>
      <c r="K64" s="180">
        <f t="shared" si="47"/>
        <v>3.5369337505102294E-3</v>
      </c>
      <c r="L64" s="180">
        <f t="shared" si="47"/>
        <v>1.3826758845058906E-2</v>
      </c>
      <c r="M64" s="180">
        <f t="shared" si="47"/>
        <v>0.173552613985827</v>
      </c>
      <c r="AW64" s="176">
        <v>2021</v>
      </c>
      <c r="AX64" s="175">
        <f t="shared" ref="AX64:BE64" si="48">AX53</f>
        <v>0.96341100929152856</v>
      </c>
      <c r="AY64" s="175">
        <f t="shared" si="48"/>
        <v>1.0009340644854476</v>
      </c>
      <c r="AZ64" s="175">
        <f t="shared" si="48"/>
        <v>1.0101317438185478</v>
      </c>
      <c r="BA64" s="175">
        <f t="shared" si="48"/>
        <v>1.0295222435030931</v>
      </c>
      <c r="BB64" s="175">
        <f t="shared" si="48"/>
        <v>0.97524138855078246</v>
      </c>
      <c r="BC64" s="175">
        <f t="shared" si="48"/>
        <v>0.97955686140576326</v>
      </c>
      <c r="BD64" s="175">
        <f t="shared" si="48"/>
        <v>1.0014651613084824</v>
      </c>
      <c r="BE64" s="175">
        <f t="shared" si="48"/>
        <v>0.99536364328243998</v>
      </c>
    </row>
    <row r="65" spans="1:62">
      <c r="A65" s="176">
        <v>2018</v>
      </c>
      <c r="B65" s="180">
        <f>N$35</f>
        <v>-0.12140025065512128</v>
      </c>
      <c r="C65" s="180">
        <f t="shared" ref="C65:M65" si="49">O$35</f>
        <v>1.513200466318354E-2</v>
      </c>
      <c r="D65" s="180">
        <f t="shared" si="49"/>
        <v>7.0742038997670065E-2</v>
      </c>
      <c r="E65" s="180">
        <f t="shared" si="49"/>
        <v>1.1727595282237768E-2</v>
      </c>
      <c r="F65" s="180">
        <f t="shared" si="49"/>
        <v>2.8832910389328559E-2</v>
      </c>
      <c r="G65" s="180">
        <f t="shared" si="49"/>
        <v>4.7728588211696676E-2</v>
      </c>
      <c r="H65" s="180">
        <f t="shared" si="49"/>
        <v>3.1844938886378404E-3</v>
      </c>
      <c r="I65" s="180">
        <f t="shared" si="49"/>
        <v>-2.1046249405688777E-2</v>
      </c>
      <c r="J65" s="180">
        <f t="shared" si="49"/>
        <v>7.2093106152419928E-3</v>
      </c>
      <c r="K65" s="180">
        <f t="shared" si="49"/>
        <v>1.9464720194647178E-2</v>
      </c>
      <c r="L65" s="180">
        <f t="shared" si="49"/>
        <v>-6.1835539162508057E-3</v>
      </c>
      <c r="M65" s="180">
        <f t="shared" si="49"/>
        <v>0.15413164501691945</v>
      </c>
      <c r="AW65" s="176">
        <v>2022</v>
      </c>
    </row>
    <row r="66" spans="1:62" ht="15">
      <c r="A66" s="176">
        <v>2019</v>
      </c>
      <c r="B66" s="180">
        <f>Z$35</f>
        <v>-0.12768372268987038</v>
      </c>
      <c r="C66" s="180">
        <f t="shared" ref="C66:L66" si="50">AA$35</f>
        <v>2.2335465683616995E-2</v>
      </c>
      <c r="D66" s="180">
        <f t="shared" si="50"/>
        <v>8.5693074557217086E-2</v>
      </c>
      <c r="E66" s="180">
        <f t="shared" si="50"/>
        <v>3.1259157956433636E-3</v>
      </c>
      <c r="F66" s="180">
        <f t="shared" si="50"/>
        <v>-2.9214139643587433E-3</v>
      </c>
      <c r="G66" s="180">
        <f t="shared" si="50"/>
        <v>5.3130188494970199E-2</v>
      </c>
      <c r="H66" s="180">
        <f t="shared" si="50"/>
        <v>1.7434851154595199E-2</v>
      </c>
      <c r="I66" s="180">
        <f t="shared" si="50"/>
        <v>-3.9558836933734409E-2</v>
      </c>
      <c r="J66" s="180">
        <f t="shared" si="50"/>
        <v>1.4241245136186631E-2</v>
      </c>
      <c r="K66" s="180">
        <f t="shared" si="50"/>
        <v>3.7690440588900032E-3</v>
      </c>
      <c r="L66" s="180">
        <f t="shared" si="50"/>
        <v>-4.4931921613373671E-3</v>
      </c>
      <c r="M66" s="180">
        <f>AK$35</f>
        <v>0.14837056167444196</v>
      </c>
      <c r="AW66" s="177" t="s">
        <v>280</v>
      </c>
      <c r="AX66" s="444">
        <f>AVERAGE(AX60:AX64)*$BJ$66</f>
        <v>0.97068386084909575</v>
      </c>
      <c r="AY66" s="444">
        <f t="shared" ref="AY66:BI66" si="51">AVERAGE(AY60:AY64)*$BJ$66</f>
        <v>1.0020357845020351</v>
      </c>
      <c r="AZ66" s="444">
        <f t="shared" si="51"/>
        <v>1.0359549867798774</v>
      </c>
      <c r="BA66" s="444">
        <f t="shared" si="51"/>
        <v>1.0114703191534069</v>
      </c>
      <c r="BB66" s="444">
        <f t="shared" si="51"/>
        <v>0.976959379614041</v>
      </c>
      <c r="BC66" s="444">
        <f t="shared" si="51"/>
        <v>0.96601039765911612</v>
      </c>
      <c r="BD66" s="444">
        <f t="shared" si="51"/>
        <v>0.98841198271852837</v>
      </c>
      <c r="BE66" s="444">
        <f t="shared" si="51"/>
        <v>0.99074512360886735</v>
      </c>
      <c r="BF66" s="444">
        <f t="shared" si="51"/>
        <v>0.98105318654270213</v>
      </c>
      <c r="BG66" s="444">
        <f t="shared" si="51"/>
        <v>0.98370903691444456</v>
      </c>
      <c r="BH66" s="444">
        <f t="shared" si="51"/>
        <v>0.99446458608887978</v>
      </c>
      <c r="BI66" s="444">
        <f t="shared" si="51"/>
        <v>1.0430943400850194</v>
      </c>
      <c r="BJ66" s="279">
        <v>0.995</v>
      </c>
    </row>
    <row r="67" spans="1:62">
      <c r="A67" s="176">
        <v>2020</v>
      </c>
      <c r="B67" s="180">
        <f>AL$35</f>
        <v>-0.1252983420053313</v>
      </c>
      <c r="C67" s="180">
        <f t="shared" ref="C67:L67" si="52">AM$35</f>
        <v>1.1186725086230975E-2</v>
      </c>
      <c r="D67" s="180">
        <f t="shared" si="52"/>
        <v>5.5222642205217998E-2</v>
      </c>
      <c r="E67" s="180">
        <f t="shared" si="52"/>
        <v>-8.8764633933251846E-2</v>
      </c>
      <c r="F67" s="180">
        <f t="shared" si="52"/>
        <v>1.0738255033557076E-2</v>
      </c>
      <c r="G67" s="180">
        <f t="shared" si="52"/>
        <v>9.8368431037753723E-2</v>
      </c>
      <c r="H67" s="180">
        <f t="shared" si="52"/>
        <v>1.943172985577335E-2</v>
      </c>
      <c r="I67" s="180">
        <f t="shared" si="52"/>
        <v>-3.032870213486949E-2</v>
      </c>
      <c r="J67" s="180">
        <f t="shared" si="52"/>
        <v>4.7352786999825369E-2</v>
      </c>
      <c r="K67" s="180">
        <f t="shared" si="52"/>
        <v>1.5515515515515554E-2</v>
      </c>
      <c r="L67" s="180">
        <f t="shared" si="52"/>
        <v>-1.5326918022014246E-2</v>
      </c>
      <c r="M67" s="180">
        <f>AW$35</f>
        <v>0.18282430330801813</v>
      </c>
    </row>
    <row r="68" spans="1:62" ht="36">
      <c r="A68" s="217" t="s">
        <v>213</v>
      </c>
      <c r="B68" s="277">
        <f t="shared" ref="B68:I68" si="53">AX$35</f>
        <v>-0.1299104309189647</v>
      </c>
      <c r="C68" s="277">
        <f t="shared" si="53"/>
        <v>1.7184080408527258E-2</v>
      </c>
      <c r="D68" s="277">
        <f t="shared" si="53"/>
        <v>8.4707944856163842E-2</v>
      </c>
      <c r="E68" s="277">
        <f t="shared" si="53"/>
        <v>-5.0690567146635113E-3</v>
      </c>
      <c r="F68" s="277">
        <f t="shared" si="53"/>
        <v>-3.2489108764675034E-3</v>
      </c>
      <c r="G68" s="277">
        <f t="shared" si="53"/>
        <v>6.030076301948295E-2</v>
      </c>
      <c r="H68" s="277">
        <f t="shared" si="53"/>
        <v>2.2357297561657052E-3</v>
      </c>
      <c r="I68" s="277">
        <f t="shared" si="53"/>
        <v>-2.4259323806204214E-2</v>
      </c>
      <c r="J68" s="238">
        <f>AVERAGE(J65:J66)</f>
        <v>1.0725277875714312E-2</v>
      </c>
      <c r="K68" s="238">
        <f>AVERAGE(K65:K66)</f>
        <v>1.1616882126768591E-2</v>
      </c>
      <c r="L68" s="238">
        <f>AVERAGE(L65:L66)</f>
        <v>-5.3383730387940864E-3</v>
      </c>
      <c r="M68" s="238">
        <f>AVERAGE(M65:M66)</f>
        <v>0.1512511033456807</v>
      </c>
      <c r="AW68" s="442" t="s">
        <v>431</v>
      </c>
      <c r="AX68" s="161">
        <v>1</v>
      </c>
      <c r="AY68" s="161">
        <v>2</v>
      </c>
      <c r="AZ68" s="161">
        <v>3</v>
      </c>
      <c r="BA68" s="161">
        <v>4</v>
      </c>
      <c r="BB68" s="161">
        <v>5</v>
      </c>
      <c r="BC68" s="161">
        <v>6</v>
      </c>
      <c r="BD68" s="161">
        <v>7</v>
      </c>
      <c r="BE68" s="161">
        <v>8</v>
      </c>
      <c r="BF68" s="161">
        <v>9</v>
      </c>
      <c r="BG68" s="161">
        <v>10</v>
      </c>
      <c r="BH68" s="161">
        <v>11</v>
      </c>
      <c r="BI68" s="161">
        <v>12</v>
      </c>
    </row>
    <row r="69" spans="1:62" ht="15.75">
      <c r="A69" s="217" t="s">
        <v>422</v>
      </c>
      <c r="B69" s="238">
        <f>AVERAGE(B66:B68)</f>
        <v>-0.12763083187138879</v>
      </c>
      <c r="C69" s="238">
        <f>AVERAGE(C66:C68)</f>
        <v>1.6902090392791742E-2</v>
      </c>
      <c r="D69" s="238">
        <f t="shared" ref="D69:L69" si="54">AVERAGE(D66:D68)</f>
        <v>7.5207887206199642E-2</v>
      </c>
      <c r="E69" s="238">
        <f t="shared" si="54"/>
        <v>-3.0235924950757331E-2</v>
      </c>
      <c r="F69" s="238">
        <f t="shared" si="54"/>
        <v>1.5226433975769431E-3</v>
      </c>
      <c r="G69" s="238">
        <f t="shared" si="54"/>
        <v>7.0599794184068962E-2</v>
      </c>
      <c r="H69" s="238">
        <f t="shared" si="54"/>
        <v>1.3034103588844751E-2</v>
      </c>
      <c r="I69" s="238">
        <f t="shared" si="54"/>
        <v>-3.1382287624936035E-2</v>
      </c>
      <c r="J69" s="238">
        <f t="shared" si="54"/>
        <v>2.4106436670575437E-2</v>
      </c>
      <c r="K69" s="238">
        <f t="shared" si="54"/>
        <v>1.0300480567058049E-2</v>
      </c>
      <c r="L69" s="238">
        <f t="shared" si="54"/>
        <v>-8.3861610740485672E-3</v>
      </c>
      <c r="M69" s="238">
        <f>AVERAGE(M66:M68)</f>
        <v>0.16081532277604693</v>
      </c>
      <c r="AW69" s="176">
        <v>2017</v>
      </c>
      <c r="AX69" s="175">
        <f t="shared" ref="AX69:BI69" si="55">B56</f>
        <v>0.96796277845428991</v>
      </c>
      <c r="AY69" s="175">
        <f t="shared" si="55"/>
        <v>0.99640349790795535</v>
      </c>
      <c r="AZ69" s="175">
        <f t="shared" si="55"/>
        <v>1.037982639078149</v>
      </c>
      <c r="BA69" s="175">
        <f t="shared" si="55"/>
        <v>1.0301031713280806</v>
      </c>
      <c r="BB69" s="175">
        <f t="shared" si="55"/>
        <v>0.98697069619636002</v>
      </c>
      <c r="BC69" s="175">
        <f t="shared" si="55"/>
        <v>0.97368689953926058</v>
      </c>
      <c r="BD69" s="175">
        <f t="shared" si="55"/>
        <v>1.0050314980056476</v>
      </c>
      <c r="BE69" s="175">
        <f t="shared" si="55"/>
        <v>1.0038442460828798</v>
      </c>
      <c r="BF69" s="175">
        <f t="shared" si="55"/>
        <v>1.0039169773624166</v>
      </c>
      <c r="BG69" s="175">
        <f t="shared" si="55"/>
        <v>1.0010396402192379</v>
      </c>
      <c r="BH69" s="175">
        <f t="shared" si="55"/>
        <v>1.0051028647170634</v>
      </c>
      <c r="BI69" s="175">
        <f t="shared" si="55"/>
        <v>1.047622520554401</v>
      </c>
    </row>
    <row r="70" spans="1:62">
      <c r="A70" s="445" t="s">
        <v>237</v>
      </c>
      <c r="AW70" s="176">
        <v>2018</v>
      </c>
      <c r="AX70" s="175">
        <f t="shared" ref="AX70:BI70" si="56">N56</f>
        <v>0.97311667708725369</v>
      </c>
      <c r="AY70" s="175">
        <f t="shared" si="56"/>
        <v>1.0032779793609099</v>
      </c>
      <c r="AZ70" s="175">
        <f t="shared" si="56"/>
        <v>1.046161920440795</v>
      </c>
      <c r="BA70" s="175">
        <f t="shared" si="56"/>
        <v>1.0176744093402326</v>
      </c>
      <c r="BB70" s="175">
        <f t="shared" si="56"/>
        <v>1.002202839668332</v>
      </c>
      <c r="BC70" s="175">
        <f t="shared" si="56"/>
        <v>0.98024573170225249</v>
      </c>
      <c r="BD70" s="175">
        <f t="shared" si="56"/>
        <v>0.99711069170484912</v>
      </c>
      <c r="BE70" s="175">
        <f t="shared" si="56"/>
        <v>0.99930254122251094</v>
      </c>
      <c r="BF70" s="175">
        <f t="shared" si="56"/>
        <v>0.98699099025791925</v>
      </c>
      <c r="BG70" s="175">
        <f t="shared" si="56"/>
        <v>0.98714839785723496</v>
      </c>
      <c r="BH70" s="175">
        <f t="shared" si="56"/>
        <v>0.99673481160894362</v>
      </c>
      <c r="BI70" s="175">
        <f t="shared" si="56"/>
        <v>1.0431290989880442</v>
      </c>
    </row>
    <row r="71" spans="1:62" ht="14.25">
      <c r="A71" s="161">
        <v>2021</v>
      </c>
      <c r="B71" s="446">
        <f>$AW$31*(1+B$68)</f>
        <v>12337</v>
      </c>
      <c r="C71" s="446">
        <f t="shared" ref="C71:M71" si="57">B$71*(1+C$68)</f>
        <v>12549</v>
      </c>
      <c r="D71" s="446">
        <f t="shared" si="57"/>
        <v>13612</v>
      </c>
      <c r="E71" s="446">
        <f t="shared" si="57"/>
        <v>13543</v>
      </c>
      <c r="F71" s="446">
        <f t="shared" si="57"/>
        <v>13499</v>
      </c>
      <c r="G71" s="446">
        <f t="shared" si="57"/>
        <v>14313</v>
      </c>
      <c r="H71" s="446">
        <f t="shared" si="57"/>
        <v>14345</v>
      </c>
      <c r="I71" s="446">
        <f t="shared" si="57"/>
        <v>13997</v>
      </c>
      <c r="J71" s="446">
        <f t="shared" si="57"/>
        <v>14147.121714426374</v>
      </c>
      <c r="K71" s="446">
        <f t="shared" si="57"/>
        <v>14311.467159815913</v>
      </c>
      <c r="L71" s="446">
        <f t="shared" si="57"/>
        <v>14235.067209384364</v>
      </c>
      <c r="M71" s="446">
        <f t="shared" si="57"/>
        <v>16388.136831003671</v>
      </c>
      <c r="N71" s="240">
        <f>AVERAGE(B71:M71)</f>
        <v>13939.732742885863</v>
      </c>
      <c r="AW71" s="176">
        <v>2019</v>
      </c>
      <c r="AX71" s="175">
        <f t="shared" ref="AX71:BI71" si="58">Z56</f>
        <v>0.97837136936396485</v>
      </c>
      <c r="AY71" s="175">
        <f t="shared" si="58"/>
        <v>1.0136131448967989</v>
      </c>
      <c r="AZ71" s="175">
        <f t="shared" si="58"/>
        <v>1.0554440368031062</v>
      </c>
      <c r="BA71" s="175">
        <f t="shared" si="58"/>
        <v>1.0311364645028336</v>
      </c>
      <c r="BB71" s="175">
        <f t="shared" si="58"/>
        <v>0.98849952512172679</v>
      </c>
      <c r="BC71" s="175">
        <f t="shared" si="58"/>
        <v>0.97314126932243095</v>
      </c>
      <c r="BD71" s="175">
        <f t="shared" si="58"/>
        <v>0.99688045921912571</v>
      </c>
      <c r="BE71" s="175">
        <f t="shared" si="58"/>
        <v>1.0007916700838306</v>
      </c>
      <c r="BF71" s="175">
        <f t="shared" si="58"/>
        <v>0.98513848163938678</v>
      </c>
      <c r="BG71" s="175">
        <f t="shared" si="58"/>
        <v>0.99643932585855122</v>
      </c>
      <c r="BH71" s="175">
        <f t="shared" si="58"/>
        <v>1.0090859975264945</v>
      </c>
      <c r="BI71" s="175">
        <f t="shared" si="58"/>
        <v>1.0510094519174231</v>
      </c>
    </row>
    <row r="72" spans="1:62" ht="14.25">
      <c r="A72" s="161">
        <v>2022</v>
      </c>
      <c r="B72" s="446">
        <f>$BI$31*(1+B$69)</f>
        <v>14843.186921874692</v>
      </c>
      <c r="C72" s="446">
        <f t="shared" ref="C72:M72" si="59">$BI$31*(1+C$69)</f>
        <v>17302.385687615271</v>
      </c>
      <c r="D72" s="446">
        <f t="shared" si="59"/>
        <v>18294.447159236046</v>
      </c>
      <c r="E72" s="446">
        <f t="shared" si="59"/>
        <v>16500.341784147855</v>
      </c>
      <c r="F72" s="446">
        <f t="shared" si="59"/>
        <v>17040.707472881091</v>
      </c>
      <c r="G72" s="446">
        <f t="shared" si="59"/>
        <v>18216.041378083097</v>
      </c>
      <c r="H72" s="446">
        <f t="shared" si="59"/>
        <v>17236.572665743475</v>
      </c>
      <c r="I72" s="446">
        <f t="shared" si="59"/>
        <v>16480.83665251924</v>
      </c>
      <c r="J72" s="446">
        <f t="shared" si="59"/>
        <v>17424.966198662507</v>
      </c>
      <c r="K72" s="446">
        <f t="shared" si="59"/>
        <v>17190.06061675238</v>
      </c>
      <c r="L72" s="446">
        <f t="shared" si="59"/>
        <v>16872.111146557279</v>
      </c>
      <c r="M72" s="446">
        <f t="shared" si="59"/>
        <v>19751.040553969884</v>
      </c>
      <c r="N72" s="240">
        <f>AVERAGE(B72:M72)</f>
        <v>17262.724853170235</v>
      </c>
      <c r="AW72" s="176">
        <v>2020</v>
      </c>
      <c r="AX72" s="175">
        <f t="shared" ref="AX72:BI72" si="60">AL56</f>
        <v>0.9939763921296435</v>
      </c>
      <c r="AY72" s="175">
        <f t="shared" si="60"/>
        <v>1.0233932477408321</v>
      </c>
      <c r="AZ72" s="175">
        <f t="shared" si="60"/>
        <v>1.059348309530755</v>
      </c>
      <c r="BA72" s="175">
        <f t="shared" si="60"/>
        <v>0.9770026093223575</v>
      </c>
      <c r="BB72" s="175">
        <f t="shared" si="60"/>
        <v>0.96332832068987051</v>
      </c>
      <c r="BC72" s="175">
        <f t="shared" si="60"/>
        <v>0.95425447753875203</v>
      </c>
      <c r="BD72" s="175">
        <f t="shared" si="60"/>
        <v>0.97350391546524695</v>
      </c>
      <c r="BE72" s="175">
        <f t="shared" si="60"/>
        <v>0.98565839848750469</v>
      </c>
      <c r="BF72" s="175">
        <f t="shared" si="60"/>
        <v>0.96917158694088512</v>
      </c>
      <c r="BG72" s="175">
        <f t="shared" si="60"/>
        <v>0.9685175546104331</v>
      </c>
      <c r="BH72" s="175">
        <f t="shared" si="60"/>
        <v>0.98730707742420809</v>
      </c>
      <c r="BI72" s="175">
        <f t="shared" si="60"/>
        <v>1.0484602943347026</v>
      </c>
    </row>
    <row r="73" spans="1:62">
      <c r="AW73" s="176">
        <v>2021</v>
      </c>
      <c r="AX73" s="175">
        <f t="shared" ref="AX73:BE73" si="61">AX56</f>
        <v>0.95854487122854348</v>
      </c>
      <c r="AY73" s="175">
        <f t="shared" si="61"/>
        <v>0.99680715395201491</v>
      </c>
      <c r="AZ73" s="175">
        <f t="shared" si="61"/>
        <v>1.0061350857412352</v>
      </c>
      <c r="BA73" s="175">
        <f t="shared" si="61"/>
        <v>1.0250967672123292</v>
      </c>
      <c r="BB73" s="175">
        <f t="shared" si="61"/>
        <v>0.97188450547213756</v>
      </c>
      <c r="BC73" s="175">
        <f t="shared" si="61"/>
        <v>0.97697147397851436</v>
      </c>
      <c r="BD73" s="175">
        <f t="shared" si="61"/>
        <v>0.99887928157099648</v>
      </c>
      <c r="BE73" s="175">
        <f t="shared" si="61"/>
        <v>0.99398590580521617</v>
      </c>
    </row>
    <row r="74" spans="1:62">
      <c r="AW74" s="176">
        <v>2022</v>
      </c>
    </row>
    <row r="75" spans="1:62" ht="15">
      <c r="AW75" s="177" t="s">
        <v>280</v>
      </c>
      <c r="AX75" s="444">
        <f>AVERAGE(AX69:AX73)*$BJ$75</f>
        <v>0.95977850138794796</v>
      </c>
      <c r="AY75" s="444">
        <f t="shared" ref="AY75:BI75" si="62">AVERAGE(AY69:AY73)*$BJ$75</f>
        <v>0.99159851970012658</v>
      </c>
      <c r="AZ75" s="444">
        <f t="shared" si="62"/>
        <v>1.0253991823440258</v>
      </c>
      <c r="BA75" s="444">
        <f t="shared" si="62"/>
        <v>1.0009596440760491</v>
      </c>
      <c r="BB75" s="444">
        <f t="shared" si="62"/>
        <v>0.96783851976824009</v>
      </c>
      <c r="BC75" s="444">
        <f t="shared" si="62"/>
        <v>0.95708507085999828</v>
      </c>
      <c r="BD75" s="444">
        <f t="shared" si="62"/>
        <v>0.97936695165527565</v>
      </c>
      <c r="BE75" s="444">
        <f t="shared" si="62"/>
        <v>0.98176580405134273</v>
      </c>
      <c r="BF75" s="444">
        <f t="shared" si="62"/>
        <v>0.97150994141439961</v>
      </c>
      <c r="BG75" s="444">
        <f t="shared" si="62"/>
        <v>0.97346193619181876</v>
      </c>
      <c r="BH75" s="444">
        <f t="shared" si="62"/>
        <v>0.98456432250188974</v>
      </c>
      <c r="BI75" s="444">
        <f t="shared" si="62"/>
        <v>1.0318420113269131</v>
      </c>
      <c r="BJ75" s="279">
        <v>0.98499999999999999</v>
      </c>
    </row>
    <row r="76" spans="1:62" ht="36">
      <c r="A76" s="244" t="s">
        <v>243</v>
      </c>
      <c r="B76" s="213">
        <v>1</v>
      </c>
      <c r="C76" s="213">
        <v>2</v>
      </c>
      <c r="D76" s="213">
        <v>3</v>
      </c>
      <c r="E76" s="213">
        <v>4</v>
      </c>
      <c r="F76" s="213">
        <v>5</v>
      </c>
      <c r="G76" s="213">
        <v>6</v>
      </c>
      <c r="H76" s="213">
        <v>7</v>
      </c>
      <c r="I76" s="213">
        <v>8</v>
      </c>
      <c r="J76" s="213">
        <v>9</v>
      </c>
      <c r="K76" s="213">
        <v>10</v>
      </c>
      <c r="L76" s="213">
        <v>11</v>
      </c>
      <c r="M76" s="213">
        <v>12</v>
      </c>
      <c r="N76" s="241" t="s">
        <v>236</v>
      </c>
    </row>
    <row r="77" spans="1:62">
      <c r="A77" s="176">
        <v>2017</v>
      </c>
      <c r="B77" s="180">
        <f>B$37</f>
        <v>0.84555210226939537</v>
      </c>
      <c r="C77" s="180">
        <f t="shared" ref="C77:M77" si="63">C$37</f>
        <v>0.87384037999179032</v>
      </c>
      <c r="D77" s="180">
        <f t="shared" si="63"/>
        <v>0.95026095115228992</v>
      </c>
      <c r="E77" s="180">
        <f t="shared" si="63"/>
        <v>0.93717234504192803</v>
      </c>
      <c r="F77" s="180">
        <f t="shared" si="63"/>
        <v>0.96264586876209457</v>
      </c>
      <c r="G77" s="180">
        <f t="shared" si="63"/>
        <v>1.0358294728200317</v>
      </c>
      <c r="H77" s="180">
        <f t="shared" si="63"/>
        <v>1.0328739811176919</v>
      </c>
      <c r="I77" s="180">
        <f t="shared" si="63"/>
        <v>1.001207998592623</v>
      </c>
      <c r="J77" s="180">
        <f t="shared" si="63"/>
        <v>1.0345628335190289</v>
      </c>
      <c r="K77" s="180">
        <f t="shared" si="63"/>
        <v>1.0382220137219258</v>
      </c>
      <c r="L77" s="180">
        <f t="shared" si="63"/>
        <v>1.0525772591332903</v>
      </c>
      <c r="M77" s="180">
        <f t="shared" si="63"/>
        <v>1.2352547938779099</v>
      </c>
    </row>
    <row r="78" spans="1:62">
      <c r="A78" s="176">
        <v>2018</v>
      </c>
      <c r="B78" s="180">
        <f>N$37</f>
        <v>0.86963873173103601</v>
      </c>
      <c r="C78" s="180">
        <f t="shared" ref="C78:M78" si="64">O$37</f>
        <v>0.88279810907487499</v>
      </c>
      <c r="D78" s="180">
        <f t="shared" si="64"/>
        <v>0.94524904733411919</v>
      </c>
      <c r="E78" s="180">
        <f t="shared" si="64"/>
        <v>0.95633454560217446</v>
      </c>
      <c r="F78" s="180">
        <f t="shared" si="64"/>
        <v>0.98390845385774128</v>
      </c>
      <c r="G78" s="180">
        <f t="shared" si="64"/>
        <v>1.0308690152899245</v>
      </c>
      <c r="H78" s="180">
        <f t="shared" si="64"/>
        <v>1.0341518113691015</v>
      </c>
      <c r="I78" s="180">
        <f t="shared" si="64"/>
        <v>1.0123867944236826</v>
      </c>
      <c r="J78" s="180">
        <f t="shared" si="64"/>
        <v>1.019685405287452</v>
      </c>
      <c r="K78" s="180">
        <f t="shared" si="64"/>
        <v>1.0395332963879378</v>
      </c>
      <c r="L78" s="180">
        <f t="shared" si="64"/>
        <v>1.0331052862019849</v>
      </c>
      <c r="M78" s="180">
        <f t="shared" si="64"/>
        <v>1.1923395034399724</v>
      </c>
    </row>
    <row r="79" spans="1:62">
      <c r="A79" s="176">
        <v>2019</v>
      </c>
      <c r="B79" s="180">
        <f>Z$37</f>
        <v>0.87806631195250284</v>
      </c>
      <c r="C79" s="180">
        <f>AA$37</f>
        <v>0.89767833193105817</v>
      </c>
      <c r="D79" s="180">
        <f t="shared" ref="D79:M79" si="65">AB$37</f>
        <v>0.97460314815762461</v>
      </c>
      <c r="E79" s="180">
        <f t="shared" si="65"/>
        <v>0.97764967553293414</v>
      </c>
      <c r="F79" s="180">
        <f t="shared" si="65"/>
        <v>0.97479355611858143</v>
      </c>
      <c r="G79" s="180">
        <f t="shared" si="65"/>
        <v>1.026584521498844</v>
      </c>
      <c r="H79" s="180">
        <f t="shared" si="65"/>
        <v>1.0444828698287876</v>
      </c>
      <c r="I79" s="180">
        <f t="shared" si="65"/>
        <v>1.0031643423011518</v>
      </c>
      <c r="J79" s="180">
        <f t="shared" si="65"/>
        <v>1.0174506516117439</v>
      </c>
      <c r="K79" s="180">
        <f t="shared" si="65"/>
        <v>1.0212854679454149</v>
      </c>
      <c r="L79" s="180">
        <f t="shared" si="65"/>
        <v>1.0166966360863547</v>
      </c>
      <c r="M79" s="180">
        <f t="shared" si="65"/>
        <v>1.1675444870350031</v>
      </c>
    </row>
    <row r="80" spans="1:62">
      <c r="A80" s="176">
        <v>2020</v>
      </c>
      <c r="B80" s="180">
        <f>AL$37</f>
        <v>0.92507758320708833</v>
      </c>
      <c r="C80" s="180">
        <f t="shared" ref="C80:L80" si="66">AM$37</f>
        <v>0.93542617181386101</v>
      </c>
      <c r="D80" s="180">
        <f t="shared" si="66"/>
        <v>0.98708287660933469</v>
      </c>
      <c r="E80" s="180">
        <f t="shared" si="66"/>
        <v>0.89946482640532599</v>
      </c>
      <c r="F80" s="180">
        <f t="shared" si="66"/>
        <v>0.90912350910498052</v>
      </c>
      <c r="G80" s="180">
        <f t="shared" si="66"/>
        <v>0.99855256231517442</v>
      </c>
      <c r="H80" s="180">
        <f t="shared" si="66"/>
        <v>1.0179561659528733</v>
      </c>
      <c r="I80" s="180">
        <f t="shared" si="66"/>
        <v>0.98708287660933469</v>
      </c>
      <c r="J80" s="180">
        <f t="shared" si="66"/>
        <v>1.0338240018165914</v>
      </c>
      <c r="K80" s="180">
        <f t="shared" si="66"/>
        <v>1.0498643141570889</v>
      </c>
      <c r="L80" s="180">
        <f t="shared" si="66"/>
        <v>1.0337731298797652</v>
      </c>
      <c r="M80" s="180">
        <f>AW$37</f>
        <v>1.2227719821285827</v>
      </c>
      <c r="N80" s="180"/>
    </row>
    <row r="81" spans="1:27" ht="15">
      <c r="A81" s="217" t="s">
        <v>213</v>
      </c>
      <c r="B81" s="245">
        <f>AX$37</f>
        <v>0.87968370412179064</v>
      </c>
      <c r="C81" s="245">
        <f t="shared" ref="C81:M81" si="67">AY$37</f>
        <v>0.89480025962749055</v>
      </c>
      <c r="D81" s="245">
        <f t="shared" si="67"/>
        <v>0.97059695067729712</v>
      </c>
      <c r="E81" s="245">
        <f t="shared" si="67"/>
        <v>0.96567693968723445</v>
      </c>
      <c r="F81" s="245">
        <f t="shared" si="67"/>
        <v>0.96253954137473063</v>
      </c>
      <c r="G81" s="245">
        <f t="shared" si="67"/>
        <v>1.02058141015605</v>
      </c>
      <c r="H81" s="245">
        <f t="shared" si="67"/>
        <v>1.0228631543833255</v>
      </c>
      <c r="I81" s="245">
        <f t="shared" si="67"/>
        <v>0.99804918591170499</v>
      </c>
      <c r="J81" s="245">
        <f t="shared" si="67"/>
        <v>1.0153048766304755</v>
      </c>
      <c r="K81" s="245">
        <f t="shared" si="67"/>
        <v>1.0345221790726946</v>
      </c>
      <c r="L81" s="245">
        <f t="shared" si="67"/>
        <v>1.0221498709120072</v>
      </c>
      <c r="M81" s="245">
        <f t="shared" si="67"/>
        <v>1.2132319274452008</v>
      </c>
    </row>
    <row r="82" spans="1:27" ht="15">
      <c r="A82" s="217" t="s">
        <v>422</v>
      </c>
      <c r="B82" s="245">
        <f t="shared" ref="B82:L82" si="68">AVERAGE(B79:B81)</f>
        <v>0.89427586642712731</v>
      </c>
      <c r="C82" s="245">
        <f t="shared" si="68"/>
        <v>0.90930158779080328</v>
      </c>
      <c r="D82" s="245">
        <f t="shared" si="68"/>
        <v>0.97742765848141888</v>
      </c>
      <c r="E82" s="245">
        <f>AVERAGE(E79:E81)</f>
        <v>0.94759714720849819</v>
      </c>
      <c r="F82" s="245">
        <f t="shared" si="68"/>
        <v>0.94881886886609745</v>
      </c>
      <c r="G82" s="245">
        <f t="shared" si="68"/>
        <v>1.0152394979900228</v>
      </c>
      <c r="H82" s="245">
        <f t="shared" si="68"/>
        <v>1.0284340633883289</v>
      </c>
      <c r="I82" s="245">
        <f t="shared" si="68"/>
        <v>0.99609880160739717</v>
      </c>
      <c r="J82" s="245">
        <f t="shared" si="68"/>
        <v>1.0221931766862704</v>
      </c>
      <c r="K82" s="245">
        <f t="shared" si="68"/>
        <v>1.0352239870583995</v>
      </c>
      <c r="L82" s="245">
        <f t="shared" si="68"/>
        <v>1.0242065456260423</v>
      </c>
      <c r="M82" s="245">
        <f>AVERAGE(M79:M81)</f>
        <v>1.2011827988695956</v>
      </c>
    </row>
    <row r="84" spans="1:27" ht="15.75">
      <c r="Z84" s="402" t="s">
        <v>236</v>
      </c>
    </row>
    <row r="85" spans="1:27" ht="12.75" customHeight="1">
      <c r="A85" s="924" t="s">
        <v>245</v>
      </c>
      <c r="B85" s="925">
        <v>2021</v>
      </c>
      <c r="C85" s="925"/>
      <c r="D85" s="925"/>
      <c r="E85" s="925"/>
      <c r="F85" s="925"/>
      <c r="G85" s="925"/>
      <c r="H85" s="925"/>
      <c r="I85" s="925"/>
      <c r="J85" s="925"/>
      <c r="K85" s="925"/>
      <c r="L85" s="925"/>
      <c r="M85" s="925"/>
      <c r="N85" s="926">
        <v>2022</v>
      </c>
      <c r="O85" s="926"/>
      <c r="P85" s="926"/>
      <c r="Q85" s="926"/>
      <c r="R85" s="926"/>
      <c r="S85" s="926"/>
      <c r="T85" s="926"/>
      <c r="U85" s="926"/>
      <c r="V85" s="926"/>
      <c r="W85" s="926"/>
      <c r="X85" s="926"/>
      <c r="Y85" s="926"/>
      <c r="Z85" s="927">
        <v>2021</v>
      </c>
      <c r="AA85" s="927">
        <v>2022</v>
      </c>
    </row>
    <row r="86" spans="1:27" ht="12.75" customHeight="1">
      <c r="A86" s="924"/>
      <c r="B86" s="447">
        <v>1</v>
      </c>
      <c r="C86" s="447">
        <v>2</v>
      </c>
      <c r="D86" s="447">
        <v>3</v>
      </c>
      <c r="E86" s="447">
        <v>4</v>
      </c>
      <c r="F86" s="447">
        <v>5</v>
      </c>
      <c r="G86" s="447">
        <v>6</v>
      </c>
      <c r="H86" s="447">
        <v>7</v>
      </c>
      <c r="I86" s="447">
        <v>8</v>
      </c>
      <c r="J86" s="447">
        <v>9</v>
      </c>
      <c r="K86" s="447">
        <v>10</v>
      </c>
      <c r="L86" s="447">
        <v>11</v>
      </c>
      <c r="M86" s="447">
        <v>12</v>
      </c>
      <c r="N86" s="448">
        <v>1</v>
      </c>
      <c r="O86" s="448">
        <v>2</v>
      </c>
      <c r="P86" s="448">
        <v>3</v>
      </c>
      <c r="Q86" s="448">
        <v>4</v>
      </c>
      <c r="R86" s="448">
        <v>5</v>
      </c>
      <c r="S86" s="448">
        <v>6</v>
      </c>
      <c r="T86" s="448">
        <v>7</v>
      </c>
      <c r="U86" s="448">
        <v>8</v>
      </c>
      <c r="V86" s="448">
        <v>9</v>
      </c>
      <c r="W86" s="448">
        <v>10</v>
      </c>
      <c r="X86" s="448">
        <v>11</v>
      </c>
      <c r="Y86" s="448">
        <v>12</v>
      </c>
      <c r="Z86" s="927"/>
      <c r="AA86" s="927"/>
    </row>
    <row r="87" spans="1:27">
      <c r="A87" s="178" t="s">
        <v>238</v>
      </c>
      <c r="B87" s="413">
        <f>$Z$87*B$81</f>
        <v>12331.259550428575</v>
      </c>
      <c r="C87" s="413">
        <f t="shared" ref="C87:M87" si="69">$Z$87*C$81</f>
        <v>12543.160906081559</v>
      </c>
      <c r="D87" s="413">
        <f t="shared" si="69"/>
        <v>13605.666288435905</v>
      </c>
      <c r="E87" s="413">
        <f t="shared" si="69"/>
        <v>13536.698394379038</v>
      </c>
      <c r="F87" s="413">
        <f t="shared" si="69"/>
        <v>13492.718867734078</v>
      </c>
      <c r="G87" s="413">
        <f t="shared" si="69"/>
        <v>14306.340110665817</v>
      </c>
      <c r="H87" s="413">
        <f t="shared" si="69"/>
        <v>14338.32522095306</v>
      </c>
      <c r="I87" s="413">
        <f t="shared" si="69"/>
        <v>13990.487146579297</v>
      </c>
      <c r="J87" s="413">
        <f t="shared" si="69"/>
        <v>14232.374543126569</v>
      </c>
      <c r="K87" s="413">
        <f t="shared" si="69"/>
        <v>14501.759485877856</v>
      </c>
      <c r="L87" s="413">
        <f t="shared" si="69"/>
        <v>14328.326532132698</v>
      </c>
      <c r="M87" s="413">
        <f t="shared" si="69"/>
        <v>17006.882953605585</v>
      </c>
      <c r="N87" s="413">
        <f>$AA$87*B$82</f>
        <v>14464.360695267662</v>
      </c>
      <c r="O87" s="413">
        <f t="shared" ref="O87:Y87" si="70">$AA$87*C$82</f>
        <v>14707.392472899233</v>
      </c>
      <c r="P87" s="413">
        <f t="shared" si="70"/>
        <v>15809.2896572181</v>
      </c>
      <c r="Q87" s="413">
        <f t="shared" si="70"/>
        <v>15326.799531995724</v>
      </c>
      <c r="R87" s="413">
        <f t="shared" si="70"/>
        <v>15346.56012644779</v>
      </c>
      <c r="S87" s="413">
        <f t="shared" si="70"/>
        <v>16420.872845064965</v>
      </c>
      <c r="T87" s="413">
        <f t="shared" si="70"/>
        <v>16634.286804116437</v>
      </c>
      <c r="U87" s="413">
        <f t="shared" si="70"/>
        <v>16111.283883950511</v>
      </c>
      <c r="V87" s="413">
        <f t="shared" si="70"/>
        <v>16533.344310076507</v>
      </c>
      <c r="W87" s="413">
        <f t="shared" si="70"/>
        <v>16744.10963255708</v>
      </c>
      <c r="X87" s="413">
        <f t="shared" si="70"/>
        <v>16565.909311158175</v>
      </c>
      <c r="Y87" s="413">
        <f t="shared" si="70"/>
        <v>19428.391077147309</v>
      </c>
      <c r="Z87" s="242">
        <f>$W$12</f>
        <v>14017.833333333334</v>
      </c>
      <c r="AA87" s="242">
        <f>$X$12</f>
        <v>16174.383362324956</v>
      </c>
    </row>
    <row r="88" spans="1:27">
      <c r="A88" s="178" t="s">
        <v>239</v>
      </c>
      <c r="B88" s="232">
        <f>AX$31</f>
        <v>12337</v>
      </c>
      <c r="C88" s="232">
        <f t="shared" ref="C88:L88" si="71">AY$31</f>
        <v>12549</v>
      </c>
      <c r="D88" s="232">
        <f t="shared" si="71"/>
        <v>13612</v>
      </c>
      <c r="E88" s="232">
        <f t="shared" si="71"/>
        <v>13543</v>
      </c>
      <c r="F88" s="232">
        <f>BB$31</f>
        <v>13499</v>
      </c>
      <c r="G88" s="232">
        <f t="shared" si="71"/>
        <v>14313</v>
      </c>
      <c r="H88" s="232">
        <f t="shared" si="71"/>
        <v>14345</v>
      </c>
      <c r="I88" s="232">
        <f t="shared" si="71"/>
        <v>13997</v>
      </c>
      <c r="J88" s="232">
        <f t="shared" si="71"/>
        <v>14239</v>
      </c>
      <c r="K88" s="232">
        <f>BG$31</f>
        <v>14508.510346865345</v>
      </c>
      <c r="L88" s="232">
        <f t="shared" si="71"/>
        <v>14334.996656588699</v>
      </c>
      <c r="M88" s="232">
        <f>BI$31</f>
        <v>17014.8</v>
      </c>
      <c r="N88" s="232">
        <f t="shared" ref="N88:Y88" si="72">BJ$31</f>
        <v>14665.915479110812</v>
      </c>
      <c r="O88" s="232">
        <f t="shared" si="72"/>
        <v>14784.977602788624</v>
      </c>
      <c r="P88" s="232">
        <f t="shared" si="72"/>
        <v>15901.256400886712</v>
      </c>
      <c r="Q88" s="232">
        <f t="shared" si="72"/>
        <v>15692.817244680533</v>
      </c>
      <c r="R88" s="232">
        <f t="shared" si="72"/>
        <v>15521.564723075833</v>
      </c>
      <c r="S88" s="232">
        <f t="shared" si="72"/>
        <v>16337.16387182461</v>
      </c>
      <c r="T88" s="232">
        <f t="shared" si="72"/>
        <v>16259.827770806916</v>
      </c>
      <c r="U88" s="232">
        <f t="shared" si="72"/>
        <v>15760.511493537855</v>
      </c>
      <c r="V88" s="232">
        <f t="shared" si="72"/>
        <v>15932.312011052376</v>
      </c>
      <c r="W88" s="232">
        <f t="shared" si="72"/>
        <v>16137.035571051367</v>
      </c>
      <c r="X88" s="232">
        <f t="shared" si="72"/>
        <v>15853.736648130662</v>
      </c>
      <c r="Y88" s="232">
        <f t="shared" si="72"/>
        <v>18716.280000000002</v>
      </c>
      <c r="Z88" s="232">
        <f>AVERAGE(B88:M88)</f>
        <v>14024.358916954501</v>
      </c>
      <c r="AA88" s="232">
        <f>AVERAGE(N88:Y88)</f>
        <v>15963.616568078856</v>
      </c>
    </row>
    <row r="89" spans="1:27">
      <c r="A89" s="178" t="s">
        <v>237</v>
      </c>
      <c r="B89" s="232">
        <f t="shared" ref="B89:M89" si="73">B$71</f>
        <v>12337</v>
      </c>
      <c r="C89" s="232">
        <f t="shared" si="73"/>
        <v>12549</v>
      </c>
      <c r="D89" s="232">
        <f t="shared" si="73"/>
        <v>13612</v>
      </c>
      <c r="E89" s="232">
        <f t="shared" si="73"/>
        <v>13543</v>
      </c>
      <c r="F89" s="232">
        <f t="shared" si="73"/>
        <v>13499</v>
      </c>
      <c r="G89" s="232">
        <f t="shared" si="73"/>
        <v>14313</v>
      </c>
      <c r="H89" s="232">
        <f t="shared" si="73"/>
        <v>14345</v>
      </c>
      <c r="I89" s="232">
        <f t="shared" si="73"/>
        <v>13997</v>
      </c>
      <c r="J89" s="232">
        <f t="shared" si="73"/>
        <v>14147.121714426374</v>
      </c>
      <c r="K89" s="232">
        <f t="shared" si="73"/>
        <v>14311.467159815913</v>
      </c>
      <c r="L89" s="232">
        <f t="shared" si="73"/>
        <v>14235.067209384364</v>
      </c>
      <c r="M89" s="232">
        <f t="shared" si="73"/>
        <v>16388.136831003671</v>
      </c>
      <c r="N89" s="232">
        <f>B$72</f>
        <v>14843.186921874692</v>
      </c>
      <c r="O89" s="232">
        <f t="shared" ref="O89:Y89" si="74">C$72</f>
        <v>17302.385687615271</v>
      </c>
      <c r="P89" s="232">
        <f t="shared" si="74"/>
        <v>18294.447159236046</v>
      </c>
      <c r="Q89" s="232">
        <f t="shared" si="74"/>
        <v>16500.341784147855</v>
      </c>
      <c r="R89" s="232">
        <f t="shared" si="74"/>
        <v>17040.707472881091</v>
      </c>
      <c r="S89" s="232">
        <f t="shared" si="74"/>
        <v>18216.041378083097</v>
      </c>
      <c r="T89" s="232">
        <f t="shared" si="74"/>
        <v>17236.572665743475</v>
      </c>
      <c r="U89" s="232">
        <f t="shared" si="74"/>
        <v>16480.83665251924</v>
      </c>
      <c r="V89" s="232">
        <f t="shared" si="74"/>
        <v>17424.966198662507</v>
      </c>
      <c r="W89" s="232">
        <f t="shared" si="74"/>
        <v>17190.06061675238</v>
      </c>
      <c r="X89" s="232">
        <f t="shared" si="74"/>
        <v>16872.111146557279</v>
      </c>
      <c r="Y89" s="232">
        <f t="shared" si="74"/>
        <v>19751.040553969884</v>
      </c>
      <c r="Z89" s="232">
        <f>AVERAGE(B89:M89)</f>
        <v>13939.732742885863</v>
      </c>
      <c r="AA89" s="232">
        <f>AVERAGE(N89:Y89)</f>
        <v>17262.724853170235</v>
      </c>
    </row>
    <row r="90" spans="1:27" ht="15.75">
      <c r="A90" s="236" t="s">
        <v>244</v>
      </c>
      <c r="B90" s="235">
        <f>AVERAGE(B87:B89)</f>
        <v>12335.086516809524</v>
      </c>
      <c r="C90" s="235">
        <f>AVERAGE(C87:C89)</f>
        <v>12547.05363536052</v>
      </c>
      <c r="D90" s="235">
        <f>AVERAGE(D87:D89)</f>
        <v>13609.888762811968</v>
      </c>
      <c r="E90" s="235">
        <f>AVERAGE(E87:E89)</f>
        <v>13540.899464793014</v>
      </c>
      <c r="F90" s="235">
        <f>AVERAGE(F87:F89)</f>
        <v>13496.906289244691</v>
      </c>
      <c r="G90" s="235">
        <f>AVERAGE(G87,G88*1.07,G89)</f>
        <v>14644.750036888605</v>
      </c>
      <c r="H90" s="235">
        <f>AVERAGE(H87,H88*1.07,H89)</f>
        <v>14677.491740317688</v>
      </c>
      <c r="I90" s="235">
        <f>AVERAGE(I87,I88*1.07,I89)</f>
        <v>14321.425715526433</v>
      </c>
      <c r="J90" s="235">
        <f>AVERAGE(J87,J88,J89)</f>
        <v>14206.165419184314</v>
      </c>
      <c r="K90" s="235">
        <f t="shared" ref="K90:Y90" si="75">AVERAGE(K87,K88,K89)</f>
        <v>14440.578997519704</v>
      </c>
      <c r="L90" s="235">
        <f t="shared" si="75"/>
        <v>14299.463466035255</v>
      </c>
      <c r="M90" s="235">
        <f t="shared" si="75"/>
        <v>16803.273261536418</v>
      </c>
      <c r="N90" s="235">
        <f t="shared" si="75"/>
        <v>14657.821032084388</v>
      </c>
      <c r="O90" s="235">
        <f t="shared" si="75"/>
        <v>15598.251921101042</v>
      </c>
      <c r="P90" s="235">
        <f t="shared" si="75"/>
        <v>16668.331072446952</v>
      </c>
      <c r="Q90" s="235">
        <f t="shared" si="75"/>
        <v>15839.986186941373</v>
      </c>
      <c r="R90" s="235">
        <f t="shared" si="75"/>
        <v>15969.610774134904</v>
      </c>
      <c r="S90" s="235">
        <f t="shared" si="75"/>
        <v>16991.359364990891</v>
      </c>
      <c r="T90" s="235">
        <f t="shared" si="75"/>
        <v>16710.229080222274</v>
      </c>
      <c r="U90" s="235">
        <f t="shared" si="75"/>
        <v>16117.544010002535</v>
      </c>
      <c r="V90" s="235">
        <f t="shared" si="75"/>
        <v>16630.207506597129</v>
      </c>
      <c r="W90" s="235">
        <f t="shared" si="75"/>
        <v>16690.401940120275</v>
      </c>
      <c r="X90" s="235">
        <f t="shared" si="75"/>
        <v>16430.585701948705</v>
      </c>
      <c r="Y90" s="235">
        <f t="shared" si="75"/>
        <v>19298.570543705733</v>
      </c>
      <c r="Z90" s="235">
        <f>AVERAGE(B90:M90)</f>
        <v>14076.915275502344</v>
      </c>
      <c r="AA90" s="235">
        <f>AVERAGE(N90:Y90)</f>
        <v>16466.908261191347</v>
      </c>
    </row>
    <row r="92" spans="1:27" ht="18">
      <c r="A92" s="266" t="s">
        <v>273</v>
      </c>
      <c r="B92" s="292">
        <v>12337</v>
      </c>
      <c r="C92" s="293">
        <v>12549</v>
      </c>
      <c r="D92" s="293">
        <v>13612</v>
      </c>
      <c r="E92" s="293">
        <v>13543</v>
      </c>
      <c r="F92" s="293">
        <v>13499</v>
      </c>
      <c r="G92" s="293">
        <v>14313</v>
      </c>
      <c r="H92" s="293">
        <v>14345</v>
      </c>
      <c r="I92" s="293">
        <v>13997</v>
      </c>
      <c r="J92" s="293">
        <v>14239</v>
      </c>
      <c r="K92" s="293">
        <v>14045</v>
      </c>
      <c r="L92" s="293">
        <v>14282</v>
      </c>
      <c r="M92" s="293">
        <v>17453</v>
      </c>
      <c r="N92" s="293">
        <v>14577</v>
      </c>
      <c r="O92" s="294">
        <f t="shared" ref="O92:Y92" si="76">O90*$M$93</f>
        <v>15620.341444296395</v>
      </c>
      <c r="P92" s="294">
        <f t="shared" si="76"/>
        <v>16691.935992262006</v>
      </c>
      <c r="Q92" s="294">
        <f t="shared" si="76"/>
        <v>15862.418043027577</v>
      </c>
      <c r="R92" s="294">
        <f t="shared" si="76"/>
        <v>15992.226198568382</v>
      </c>
      <c r="S92" s="294">
        <f t="shared" si="76"/>
        <v>17015.421742538838</v>
      </c>
      <c r="T92" s="294">
        <f t="shared" si="76"/>
        <v>16733.893334058812</v>
      </c>
      <c r="U92" s="294">
        <f t="shared" si="76"/>
        <v>16140.368930645049</v>
      </c>
      <c r="V92" s="294">
        <f t="shared" si="76"/>
        <v>16653.758437580847</v>
      </c>
      <c r="W92" s="294">
        <f t="shared" si="76"/>
        <v>16714.038115677697</v>
      </c>
      <c r="X92" s="294">
        <f t="shared" si="76"/>
        <v>16453.853937762069</v>
      </c>
      <c r="Y92" s="294">
        <f t="shared" si="76"/>
        <v>19325.900287052526</v>
      </c>
      <c r="Z92" s="235">
        <f>AVERAGE(B92:M92)</f>
        <v>14017.833333333334</v>
      </c>
      <c r="AA92" s="235">
        <f>AVERAGE(N92:Y92)</f>
        <v>16481.763038622517</v>
      </c>
    </row>
    <row r="93" spans="1:27" ht="18">
      <c r="A93" s="268" t="s">
        <v>274</v>
      </c>
      <c r="B93" s="275">
        <f t="shared" ref="B93:L93" si="77">B92/B90</f>
        <v>1.0001551252346603</v>
      </c>
      <c r="C93" s="275">
        <f t="shared" si="77"/>
        <v>1.0001551252346603</v>
      </c>
      <c r="D93" s="275">
        <f t="shared" si="77"/>
        <v>1.0001551252346603</v>
      </c>
      <c r="E93" s="275">
        <f t="shared" si="77"/>
        <v>1.0001551252346601</v>
      </c>
      <c r="F93" s="275">
        <f t="shared" si="77"/>
        <v>1.0001551252346605</v>
      </c>
      <c r="G93" s="275">
        <f t="shared" si="77"/>
        <v>0.97734682831369868</v>
      </c>
      <c r="H93" s="275">
        <f t="shared" si="77"/>
        <v>0.97734682831369857</v>
      </c>
      <c r="I93" s="275">
        <f t="shared" si="77"/>
        <v>0.97734682831369857</v>
      </c>
      <c r="J93" s="275">
        <f t="shared" si="77"/>
        <v>1.0023112908970739</v>
      </c>
      <c r="K93" s="275">
        <f t="shared" si="77"/>
        <v>0.97260643097567989</v>
      </c>
      <c r="L93" s="275">
        <f t="shared" si="77"/>
        <v>0.99877873277716089</v>
      </c>
      <c r="M93" s="366">
        <f>AVERAGE(B93:L93)*1.01</f>
        <v>1.0014161537656325</v>
      </c>
    </row>
    <row r="94" spans="1:27">
      <c r="K94" s="215">
        <f>K92/J92-1</f>
        <v>-1.3624552285975144E-2</v>
      </c>
      <c r="L94" s="215">
        <f>L92/K92-1</f>
        <v>1.6874332502669898E-2</v>
      </c>
      <c r="M94" s="215">
        <f>M92/L92-1</f>
        <v>0.22202772720907427</v>
      </c>
      <c r="O94" s="215">
        <f>O92/N92-1</f>
        <v>7.1574497104781143E-2</v>
      </c>
      <c r="P94" s="215">
        <f t="shared" ref="P94:Y94" si="78">P92/O92-1</f>
        <v>6.8602504739542214E-2</v>
      </c>
      <c r="Q94" s="215">
        <f t="shared" si="78"/>
        <v>-4.9695730298688789E-2</v>
      </c>
      <c r="R94" s="215">
        <f t="shared" si="78"/>
        <v>8.1833775398361119E-3</v>
      </c>
      <c r="S94" s="215">
        <f t="shared" si="78"/>
        <v>6.3980807378903437E-2</v>
      </c>
      <c r="T94" s="215">
        <f t="shared" si="78"/>
        <v>-1.6545485192188902E-2</v>
      </c>
      <c r="U94" s="215">
        <f t="shared" si="78"/>
        <v>-3.5468398869601514E-2</v>
      </c>
      <c r="V94" s="215">
        <f t="shared" si="78"/>
        <v>3.180779256916777E-2</v>
      </c>
      <c r="W94" s="215">
        <f t="shared" si="78"/>
        <v>3.6195840310029315E-3</v>
      </c>
      <c r="X94" s="215">
        <f t="shared" si="78"/>
        <v>-1.5566805347390966E-2</v>
      </c>
      <c r="Y94" s="215">
        <f t="shared" si="78"/>
        <v>0.17455158895625211</v>
      </c>
    </row>
    <row r="95" spans="1:27">
      <c r="N95" s="215">
        <f>N92/B92-1</f>
        <v>0.18156764205236287</v>
      </c>
      <c r="O95" s="215">
        <f t="shared" ref="O95:Y95" si="79">O92/C92-1</f>
        <v>0.24474790376096855</v>
      </c>
      <c r="P95" s="215">
        <f t="shared" si="79"/>
        <v>0.22626623510593635</v>
      </c>
      <c r="Q95" s="215">
        <f t="shared" si="79"/>
        <v>0.17126323879698568</v>
      </c>
      <c r="R95" s="215">
        <f t="shared" si="79"/>
        <v>0.18469710338309375</v>
      </c>
      <c r="S95" s="215">
        <f t="shared" si="79"/>
        <v>0.18880889698447834</v>
      </c>
      <c r="T95" s="215">
        <f t="shared" si="79"/>
        <v>0.16653142795809073</v>
      </c>
      <c r="U95" s="215">
        <f t="shared" si="79"/>
        <v>0.15313059445917321</v>
      </c>
      <c r="V95" s="215">
        <f t="shared" si="79"/>
        <v>0.16958764222072098</v>
      </c>
      <c r="W95" s="215">
        <f t="shared" si="79"/>
        <v>0.1900347536972371</v>
      </c>
      <c r="X95" s="215">
        <f t="shared" si="79"/>
        <v>0.15206931366489762</v>
      </c>
      <c r="Y95" s="215">
        <f t="shared" si="79"/>
        <v>0.10731108044763227</v>
      </c>
    </row>
    <row r="97" spans="1:37" ht="18">
      <c r="A97" s="449" t="s">
        <v>5</v>
      </c>
      <c r="B97" s="450">
        <v>28.219770967741901</v>
      </c>
      <c r="C97" s="450">
        <v>27.884660714285701</v>
      </c>
      <c r="D97" s="450">
        <v>27.795558064516101</v>
      </c>
      <c r="E97" s="450">
        <v>27.93</v>
      </c>
      <c r="F97" s="450">
        <v>27.6</v>
      </c>
      <c r="G97" s="450">
        <v>27.239873333333321</v>
      </c>
      <c r="H97" s="450">
        <v>27.214548387096801</v>
      </c>
      <c r="I97" s="450">
        <v>26.76</v>
      </c>
      <c r="J97" s="450">
        <v>26.731762615434441</v>
      </c>
      <c r="K97" s="450">
        <v>26.37</v>
      </c>
      <c r="L97" s="450">
        <v>26.45</v>
      </c>
      <c r="M97" s="450">
        <v>27.21</v>
      </c>
      <c r="N97" s="466">
        <v>27.735029229050671</v>
      </c>
      <c r="O97" s="430">
        <v>27.695781079827103</v>
      </c>
      <c r="P97" s="430">
        <v>27.996016710223071</v>
      </c>
      <c r="Q97" s="430">
        <v>27.812391454265658</v>
      </c>
      <c r="R97" s="430">
        <v>27.787267531395827</v>
      </c>
      <c r="S97" s="430">
        <v>27.832855113802921</v>
      </c>
      <c r="T97" s="430">
        <v>27.746789232136599</v>
      </c>
      <c r="U97" s="430">
        <v>27.434862258582381</v>
      </c>
      <c r="V97" s="430">
        <v>28.095481728182619</v>
      </c>
      <c r="W97" s="430">
        <v>27.867087272926195</v>
      </c>
      <c r="X97" s="430">
        <v>27.918801151006669</v>
      </c>
      <c r="Y97" s="430">
        <v>27.729707881651237</v>
      </c>
      <c r="Z97" s="451">
        <f>AVERAGE(B97:M97)</f>
        <v>27.283847840200682</v>
      </c>
      <c r="AA97" s="452">
        <f>AVERAGE(N97:Y97)</f>
        <v>27.804339220254239</v>
      </c>
    </row>
    <row r="99" spans="1:37" ht="15.75">
      <c r="A99" s="236" t="s">
        <v>246</v>
      </c>
      <c r="B99" s="413">
        <f>B92/B97</f>
        <v>437.17576638387527</v>
      </c>
      <c r="C99" s="413">
        <f t="shared" ref="C99:Y99" si="80">C92/C97</f>
        <v>450.03237186855824</v>
      </c>
      <c r="D99" s="413">
        <f t="shared" si="80"/>
        <v>489.71853590437973</v>
      </c>
      <c r="E99" s="413">
        <f t="shared" si="80"/>
        <v>484.89079842463303</v>
      </c>
      <c r="F99" s="413">
        <f t="shared" si="80"/>
        <v>489.09420289855069</v>
      </c>
      <c r="G99" s="413">
        <f t="shared" si="80"/>
        <v>525.44297195704064</v>
      </c>
      <c r="H99" s="413">
        <f t="shared" si="80"/>
        <v>527.10777323798527</v>
      </c>
      <c r="I99" s="413">
        <f t="shared" si="80"/>
        <v>523.05680119581461</v>
      </c>
      <c r="J99" s="413">
        <f t="shared" si="80"/>
        <v>532.66221927987112</v>
      </c>
      <c r="K99" s="413">
        <f t="shared" si="80"/>
        <v>532.61281759575274</v>
      </c>
      <c r="L99" s="413">
        <f t="shared" si="80"/>
        <v>539.96219281663514</v>
      </c>
      <c r="M99" s="413">
        <f t="shared" si="80"/>
        <v>641.41859610437336</v>
      </c>
      <c r="N99" s="413">
        <f t="shared" si="80"/>
        <v>525.58084145559599</v>
      </c>
      <c r="O99" s="413">
        <f t="shared" si="80"/>
        <v>563.9971445208256</v>
      </c>
      <c r="P99" s="413">
        <f t="shared" si="80"/>
        <v>596.22539038443824</v>
      </c>
      <c r="Q99" s="413">
        <f t="shared" si="80"/>
        <v>570.33635777461052</v>
      </c>
      <c r="R99" s="413">
        <f t="shared" si="80"/>
        <v>575.5235263956539</v>
      </c>
      <c r="S99" s="413">
        <f t="shared" si="80"/>
        <v>611.34302151059296</v>
      </c>
      <c r="T99" s="413">
        <f t="shared" si="80"/>
        <v>603.09296308336297</v>
      </c>
      <c r="U99" s="413">
        <f t="shared" si="80"/>
        <v>588.31601844823899</v>
      </c>
      <c r="V99" s="413">
        <f t="shared" si="80"/>
        <v>592.75575335216399</v>
      </c>
      <c r="W99" s="413">
        <f t="shared" si="80"/>
        <v>599.77700403285212</v>
      </c>
      <c r="X99" s="413">
        <f>X92/X97</f>
        <v>589.34672190137337</v>
      </c>
      <c r="Y99" s="413">
        <f t="shared" si="80"/>
        <v>696.93847369522723</v>
      </c>
      <c r="Z99" s="413">
        <f>Z92/Z97</f>
        <v>513.7777272265505</v>
      </c>
      <c r="AA99" s="413">
        <f>AA92/AA97</f>
        <v>592.77664928703928</v>
      </c>
    </row>
    <row r="101" spans="1:37">
      <c r="N101" s="232">
        <f>N99/8</f>
        <v>65.697605181949498</v>
      </c>
      <c r="Y101" s="215">
        <f>Y99/M99-1</f>
        <v>8.6557948160610465E-2</v>
      </c>
    </row>
    <row r="102" spans="1:37" ht="18">
      <c r="A102" s="237" t="s">
        <v>242</v>
      </c>
      <c r="B102" s="215">
        <f t="shared" ref="B102:L102" si="81">B97/$B$104-1</f>
        <v>7.0109814687602245E-4</v>
      </c>
      <c r="C102" s="215">
        <f t="shared" si="81"/>
        <v>-1.1182244174265943E-2</v>
      </c>
      <c r="D102" s="215">
        <f t="shared" si="81"/>
        <v>-1.4341912605811968E-2</v>
      </c>
      <c r="E102" s="215">
        <f t="shared" si="81"/>
        <v>-9.5744680851063135E-3</v>
      </c>
      <c r="F102" s="215">
        <f t="shared" si="81"/>
        <v>-2.1276595744680771E-2</v>
      </c>
      <c r="G102" s="215">
        <f t="shared" si="81"/>
        <v>-3.4047044917258074E-2</v>
      </c>
      <c r="H102" s="215">
        <f t="shared" si="81"/>
        <v>-3.4945092656141763E-2</v>
      </c>
      <c r="I102" s="215">
        <f t="shared" si="81"/>
        <v>-5.1063829787234005E-2</v>
      </c>
      <c r="J102" s="215">
        <f t="shared" si="81"/>
        <v>-5.2065155481048175E-2</v>
      </c>
      <c r="K102" s="215">
        <f t="shared" si="81"/>
        <v>-6.4893617021276495E-2</v>
      </c>
      <c r="L102" s="215">
        <f t="shared" si="81"/>
        <v>-6.2056737588652489E-2</v>
      </c>
      <c r="M102" s="215">
        <f>M97/$B$104-1</f>
        <v>-3.5106382978723372E-2</v>
      </c>
      <c r="Y102" s="215">
        <f>Y92/M92-1</f>
        <v>0.10731108044763227</v>
      </c>
    </row>
    <row r="103" spans="1:37">
      <c r="J103" s="234">
        <v>2021</v>
      </c>
    </row>
    <row r="104" spans="1:37" ht="18">
      <c r="A104" s="233" t="s">
        <v>227</v>
      </c>
      <c r="B104" s="161">
        <v>28.2</v>
      </c>
      <c r="J104" s="177">
        <v>13600</v>
      </c>
      <c r="N104" s="392">
        <v>27.735029229050671</v>
      </c>
      <c r="O104" s="392">
        <v>27.695781079827103</v>
      </c>
      <c r="P104" s="392">
        <v>27.996016710223071</v>
      </c>
      <c r="Q104" s="392">
        <v>27.812391454265658</v>
      </c>
      <c r="R104" s="392">
        <v>27.787267531395827</v>
      </c>
      <c r="S104" s="392">
        <v>27.832855113802921</v>
      </c>
      <c r="T104" s="392">
        <v>27.746789232136599</v>
      </c>
      <c r="U104" s="392">
        <v>27.434862258582381</v>
      </c>
      <c r="V104" s="392">
        <v>28.095481728182619</v>
      </c>
      <c r="W104" s="392">
        <v>27.867087272926195</v>
      </c>
      <c r="X104" s="392">
        <v>27.918801151006669</v>
      </c>
      <c r="Y104" s="392">
        <v>27.729707881651237</v>
      </c>
    </row>
    <row r="105" spans="1:37" ht="15.75">
      <c r="A105" s="233" t="s">
        <v>228</v>
      </c>
      <c r="J105" s="177">
        <v>13183</v>
      </c>
      <c r="AB105" s="232">
        <f>AVERAGE(Z112:AB112)</f>
        <v>14913.563953947567</v>
      </c>
      <c r="AC105" s="232">
        <f>AVERAGE(AC112:AE112)</f>
        <v>14262.934901846145</v>
      </c>
      <c r="AD105" s="232">
        <f>AVERAGE(AF112:AH112)</f>
        <v>13938.372919420668</v>
      </c>
      <c r="AE105" s="232">
        <f>AVERAGE(AI112:AK112)</f>
        <v>14448.516294850371</v>
      </c>
    </row>
    <row r="106" spans="1:37">
      <c r="Z106" s="247">
        <f>AVERAGE(B92:I92)/Z92</f>
        <v>0.96479781706635592</v>
      </c>
      <c r="AB106" s="232"/>
      <c r="AC106" s="232"/>
      <c r="AD106" s="232"/>
      <c r="AE106" s="232"/>
    </row>
    <row r="107" spans="1:37">
      <c r="B107" s="933">
        <v>2020</v>
      </c>
      <c r="C107" s="933"/>
      <c r="D107" s="933"/>
      <c r="E107" s="933"/>
      <c r="F107" s="933">
        <v>2021</v>
      </c>
      <c r="G107" s="933"/>
      <c r="H107" s="933"/>
      <c r="I107" s="933"/>
      <c r="J107" s="234">
        <v>2021</v>
      </c>
      <c r="AB107" s="232">
        <f>AVERAGE(Z114:AB114)</f>
        <v>522.55163437623685</v>
      </c>
      <c r="AC107" s="232">
        <f>AVERAGE(AC114:AE114)</f>
        <v>487.62170604602215</v>
      </c>
      <c r="AD107" s="232">
        <f>AVERAGE(AF114:AH114)</f>
        <v>381.14227288544345</v>
      </c>
      <c r="AE107" s="232">
        <f>AVERAGE(AI114:AK114)</f>
        <v>395.09205072054607</v>
      </c>
    </row>
    <row r="108" spans="1:37" ht="15.75">
      <c r="A108" s="233" t="s">
        <v>173</v>
      </c>
      <c r="B108" s="228" t="s">
        <v>230</v>
      </c>
      <c r="C108" s="228" t="s">
        <v>231</v>
      </c>
      <c r="D108" s="228" t="s">
        <v>232</v>
      </c>
      <c r="E108" s="228" t="s">
        <v>233</v>
      </c>
      <c r="F108" s="228" t="s">
        <v>230</v>
      </c>
      <c r="G108" s="228" t="s">
        <v>231</v>
      </c>
      <c r="H108" s="228" t="s">
        <v>232</v>
      </c>
      <c r="I108" s="228" t="s">
        <v>233</v>
      </c>
      <c r="W108" s="413"/>
    </row>
    <row r="109" spans="1:37">
      <c r="A109" s="216" t="s">
        <v>234</v>
      </c>
      <c r="B109" s="232">
        <f>AVERAGE(Z$31:AB$31)</f>
        <v>9629.6666666666661</v>
      </c>
      <c r="C109" s="232">
        <f>AVERAGE(AC$31:AE$31)</f>
        <v>10430.333333333334</v>
      </c>
      <c r="D109" s="232">
        <f>AVERAGE(AF$31:AH$31)</f>
        <v>10731.686666666666</v>
      </c>
      <c r="E109" s="232">
        <f>AVERAGE(AI$31:AK$31)</f>
        <v>11223.363333333333</v>
      </c>
    </row>
    <row r="110" spans="1:37">
      <c r="A110" s="216" t="s">
        <v>229</v>
      </c>
      <c r="F110" s="215">
        <v>0.13500000000000001</v>
      </c>
      <c r="G110" s="215">
        <v>0.21099999999999999</v>
      </c>
      <c r="H110" s="215">
        <v>0.16400000000000001</v>
      </c>
      <c r="I110" s="215">
        <v>0.13900000000000001</v>
      </c>
      <c r="Y110" s="447"/>
      <c r="Z110" s="958">
        <v>2022</v>
      </c>
      <c r="AA110" s="959"/>
      <c r="AB110" s="959"/>
      <c r="AC110" s="959"/>
      <c r="AD110" s="959"/>
      <c r="AE110" s="959"/>
      <c r="AF110" s="959"/>
      <c r="AG110" s="959"/>
      <c r="AH110" s="959"/>
      <c r="AI110" s="959"/>
      <c r="AJ110" s="959"/>
      <c r="AK110" s="960"/>
    </row>
    <row r="111" spans="1:37">
      <c r="Y111" s="447"/>
      <c r="Z111" s="447">
        <v>1</v>
      </c>
      <c r="AA111" s="447">
        <v>2</v>
      </c>
      <c r="AB111" s="447">
        <v>3</v>
      </c>
      <c r="AC111" s="447">
        <v>4</v>
      </c>
      <c r="AD111" s="447">
        <v>5</v>
      </c>
      <c r="AE111" s="447">
        <v>6</v>
      </c>
      <c r="AF111" s="447">
        <v>7</v>
      </c>
      <c r="AG111" s="447">
        <v>8</v>
      </c>
      <c r="AH111" s="447">
        <v>9</v>
      </c>
      <c r="AI111" s="447">
        <v>10</v>
      </c>
      <c r="AJ111" s="447">
        <v>11</v>
      </c>
      <c r="AK111" s="447">
        <v>12</v>
      </c>
    </row>
    <row r="112" spans="1:37" ht="15.75">
      <c r="A112" s="211" t="s">
        <v>235</v>
      </c>
      <c r="F112" s="413">
        <f>B109*(1+F$110)</f>
        <v>10929.671666666665</v>
      </c>
      <c r="G112" s="413">
        <f>C109*(1+G$110)</f>
        <v>12631.133666666668</v>
      </c>
      <c r="H112" s="413">
        <f>D109*(1+H$110)</f>
        <v>12491.683279999999</v>
      </c>
      <c r="I112" s="413">
        <f>E109*(1+I$110)</f>
        <v>12783.410836666666</v>
      </c>
      <c r="J112" s="235">
        <f>AVERAGE(F112:I112)</f>
        <v>12208.974862499999</v>
      </c>
      <c r="Y112" s="547" t="s">
        <v>450</v>
      </c>
      <c r="Z112" s="547">
        <f t="array" ref="Z112:AK112">TRANSPOSE('ІЦВ (Стрим Інфл)+'!AX148:AX159)</f>
        <v>14577</v>
      </c>
      <c r="AA112" s="547">
        <v>15272.75537308491</v>
      </c>
      <c r="AB112" s="547">
        <v>14890.936488757787</v>
      </c>
      <c r="AC112" s="547">
        <v>14150.920525117603</v>
      </c>
      <c r="AD112" s="547">
        <v>14142.674067935133</v>
      </c>
      <c r="AE112" s="547">
        <v>14495.210112485704</v>
      </c>
      <c r="AF112" s="547">
        <v>14237.589049670072</v>
      </c>
      <c r="AG112" s="547">
        <v>13565.359088885536</v>
      </c>
      <c r="AH112" s="547">
        <v>14012.170619706394</v>
      </c>
      <c r="AI112" s="547">
        <v>14124.879834688234</v>
      </c>
      <c r="AJ112" s="547">
        <v>14225.51306235059</v>
      </c>
      <c r="AK112" s="547">
        <v>14995.155987512288</v>
      </c>
    </row>
    <row r="113" spans="1:42">
      <c r="Y113" s="610" t="s">
        <v>5</v>
      </c>
      <c r="Z113" s="548">
        <v>27.981270967741931</v>
      </c>
      <c r="AA113" s="548">
        <v>28.854337931034479</v>
      </c>
      <c r="AB113" s="548">
        <v>33.616935483870961</v>
      </c>
      <c r="AC113" s="548">
        <v>32.454333333333331</v>
      </c>
      <c r="AD113" s="548">
        <v>35.100967741935484</v>
      </c>
      <c r="AE113" s="548">
        <v>35.498333333333335</v>
      </c>
      <c r="AF113" s="548">
        <v>38.5</v>
      </c>
      <c r="AG113" s="548">
        <v>40.4</v>
      </c>
      <c r="AH113" s="548">
        <v>41.1</v>
      </c>
      <c r="AI113" s="548">
        <v>41.1</v>
      </c>
      <c r="AJ113" s="548">
        <v>41.2</v>
      </c>
      <c r="AK113" s="548">
        <v>41.3</v>
      </c>
      <c r="AL113" s="161">
        <f>(AK113/AE113)^(1/6)</f>
        <v>1.0255504151204831</v>
      </c>
    </row>
    <row r="114" spans="1:42">
      <c r="Y114" s="161" t="s">
        <v>451</v>
      </c>
      <c r="Z114" s="219">
        <f>Z112/Z116</f>
        <v>520.97927090779126</v>
      </c>
      <c r="AA114" s="219">
        <f t="shared" ref="AA114:AJ114" si="82">AA112/AA116</f>
        <v>537.58378645142238</v>
      </c>
      <c r="AB114" s="219">
        <f t="shared" si="82"/>
        <v>509.09184576949696</v>
      </c>
      <c r="AC114" s="219">
        <f t="shared" si="82"/>
        <v>483.79215470487532</v>
      </c>
      <c r="AD114" s="219">
        <f t="shared" si="82"/>
        <v>483.5102245447909</v>
      </c>
      <c r="AE114" s="219">
        <f t="shared" si="82"/>
        <v>495.56273888840013</v>
      </c>
      <c r="AF114" s="219">
        <f t="shared" si="82"/>
        <v>389.32428355674244</v>
      </c>
      <c r="AG114" s="219">
        <f t="shared" si="82"/>
        <v>370.94227751942947</v>
      </c>
      <c r="AH114" s="219">
        <f t="shared" si="82"/>
        <v>383.16025758015843</v>
      </c>
      <c r="AI114" s="219">
        <f t="shared" si="82"/>
        <v>386.24227056845046</v>
      </c>
      <c r="AJ114" s="219">
        <f t="shared" si="82"/>
        <v>388.99406787942547</v>
      </c>
      <c r="AK114" s="219">
        <f>AK112/AK116</f>
        <v>410.03981371376233</v>
      </c>
    </row>
    <row r="116" spans="1:42">
      <c r="Z116" s="430">
        <v>27.98</v>
      </c>
      <c r="AA116" s="430">
        <v>28.41</v>
      </c>
      <c r="AB116" s="430">
        <v>29.25</v>
      </c>
      <c r="AC116" s="430">
        <v>29.25</v>
      </c>
      <c r="AD116" s="430">
        <v>29.25</v>
      </c>
      <c r="AE116" s="430">
        <v>29.25</v>
      </c>
      <c r="AF116" s="430">
        <v>36.57</v>
      </c>
      <c r="AG116" s="430">
        <v>36.57</v>
      </c>
      <c r="AH116" s="430">
        <v>36.57</v>
      </c>
      <c r="AI116" s="430">
        <v>36.57</v>
      </c>
      <c r="AJ116" s="430">
        <v>36.57</v>
      </c>
      <c r="AK116" s="430">
        <v>36.57</v>
      </c>
    </row>
    <row r="118" spans="1:42">
      <c r="B118" s="932">
        <v>2020</v>
      </c>
      <c r="C118" s="932"/>
      <c r="D118" s="932"/>
      <c r="E118" s="932"/>
      <c r="F118" s="932"/>
      <c r="G118" s="932"/>
      <c r="H118" s="932"/>
      <c r="I118" s="932"/>
      <c r="J118" s="932"/>
      <c r="K118" s="932"/>
      <c r="L118" s="932"/>
      <c r="M118" s="932"/>
      <c r="N118" s="742">
        <v>2021</v>
      </c>
      <c r="O118" s="743"/>
      <c r="P118" s="743"/>
      <c r="Q118" s="743"/>
      <c r="R118" s="743"/>
      <c r="S118" s="743"/>
      <c r="T118" s="743"/>
      <c r="U118" s="743"/>
      <c r="V118" s="743"/>
      <c r="W118" s="743"/>
      <c r="X118" s="743"/>
      <c r="Y118" s="744">
        <v>2021</v>
      </c>
      <c r="Z118" s="958">
        <v>2022</v>
      </c>
      <c r="AA118" s="959"/>
      <c r="AB118" s="959"/>
      <c r="AC118" s="959"/>
      <c r="AD118" s="959"/>
      <c r="AE118" s="959"/>
      <c r="AF118" s="959"/>
      <c r="AG118" s="959"/>
      <c r="AH118" s="959"/>
      <c r="AI118" s="959"/>
      <c r="AJ118" s="959"/>
      <c r="AK118" s="960"/>
    </row>
    <row r="119" spans="1:42" ht="25.5">
      <c r="B119" s="457">
        <v>1</v>
      </c>
      <c r="C119" s="457">
        <v>2</v>
      </c>
      <c r="D119" s="457">
        <v>3</v>
      </c>
      <c r="E119" s="457">
        <v>4</v>
      </c>
      <c r="F119" s="457">
        <v>5</v>
      </c>
      <c r="G119" s="457">
        <v>6</v>
      </c>
      <c r="H119" s="457">
        <v>7</v>
      </c>
      <c r="I119" s="457">
        <v>8</v>
      </c>
      <c r="J119" s="457">
        <v>9</v>
      </c>
      <c r="K119" s="457">
        <v>10</v>
      </c>
      <c r="L119" s="457">
        <v>11</v>
      </c>
      <c r="M119" s="457">
        <v>12</v>
      </c>
      <c r="N119" s="456">
        <v>1</v>
      </c>
      <c r="O119" s="456">
        <v>2</v>
      </c>
      <c r="P119" s="456">
        <v>3</v>
      </c>
      <c r="Q119" s="456">
        <v>4</v>
      </c>
      <c r="R119" s="456">
        <v>5</v>
      </c>
      <c r="S119" s="456">
        <v>6</v>
      </c>
      <c r="T119" s="456">
        <v>7</v>
      </c>
      <c r="U119" s="456">
        <v>8</v>
      </c>
      <c r="V119" s="456">
        <v>9</v>
      </c>
      <c r="W119" s="456">
        <v>10</v>
      </c>
      <c r="X119" s="456">
        <v>11</v>
      </c>
      <c r="Y119" s="456">
        <v>12</v>
      </c>
      <c r="Z119" s="447">
        <v>1</v>
      </c>
      <c r="AA119" s="447">
        <v>2</v>
      </c>
      <c r="AB119" s="447">
        <v>3</v>
      </c>
      <c r="AC119" s="447">
        <v>4</v>
      </c>
      <c r="AD119" s="447">
        <v>5</v>
      </c>
      <c r="AE119" s="447">
        <v>6</v>
      </c>
      <c r="AF119" s="447">
        <v>7</v>
      </c>
      <c r="AG119" s="447">
        <v>8</v>
      </c>
      <c r="AH119" s="447">
        <v>9</v>
      </c>
      <c r="AI119" s="447">
        <v>10</v>
      </c>
      <c r="AJ119" s="447">
        <v>11</v>
      </c>
      <c r="AK119" s="447">
        <v>12</v>
      </c>
      <c r="AN119" s="741" t="s">
        <v>348</v>
      </c>
      <c r="AP119" s="741" t="s">
        <v>1682</v>
      </c>
    </row>
    <row r="120" spans="1:42" ht="21.75">
      <c r="A120" s="222" t="s">
        <v>252</v>
      </c>
      <c r="B120" s="232">
        <f>AL$31</f>
        <v>10727</v>
      </c>
      <c r="C120" s="232">
        <f t="shared" ref="C120:M120" si="83">AM$31</f>
        <v>10847</v>
      </c>
      <c r="D120" s="232">
        <f t="shared" si="83"/>
        <v>11446</v>
      </c>
      <c r="E120" s="232">
        <f t="shared" si="83"/>
        <v>10430</v>
      </c>
      <c r="F120" s="232">
        <f t="shared" si="83"/>
        <v>10542</v>
      </c>
      <c r="G120" s="232">
        <f t="shared" si="83"/>
        <v>11579</v>
      </c>
      <c r="H120" s="232">
        <f t="shared" si="83"/>
        <v>11804</v>
      </c>
      <c r="I120" s="232">
        <f t="shared" si="83"/>
        <v>11446</v>
      </c>
      <c r="J120" s="232">
        <f t="shared" si="83"/>
        <v>11988</v>
      </c>
      <c r="K120" s="232">
        <f>AU$31</f>
        <v>12174</v>
      </c>
      <c r="L120" s="232">
        <f>AV$31</f>
        <v>11987.410099999999</v>
      </c>
      <c r="M120" s="232">
        <f t="shared" si="83"/>
        <v>14179</v>
      </c>
      <c r="N120" s="232">
        <f t="shared" ref="N120:Y120" si="84">B$92</f>
        <v>12337</v>
      </c>
      <c r="O120" s="232">
        <f t="shared" si="84"/>
        <v>12549</v>
      </c>
      <c r="P120" s="232">
        <f t="shared" si="84"/>
        <v>13612</v>
      </c>
      <c r="Q120" s="232">
        <f t="shared" si="84"/>
        <v>13543</v>
      </c>
      <c r="R120" s="232">
        <f t="shared" si="84"/>
        <v>13499</v>
      </c>
      <c r="S120" s="232">
        <f t="shared" si="84"/>
        <v>14313</v>
      </c>
      <c r="T120" s="232">
        <f t="shared" si="84"/>
        <v>14345</v>
      </c>
      <c r="U120" s="232">
        <f t="shared" si="84"/>
        <v>13997</v>
      </c>
      <c r="V120" s="232">
        <f t="shared" si="84"/>
        <v>14239</v>
      </c>
      <c r="W120" s="232">
        <f t="shared" si="84"/>
        <v>14045</v>
      </c>
      <c r="X120" s="232">
        <f t="shared" si="84"/>
        <v>14282</v>
      </c>
      <c r="Y120" s="232">
        <f t="shared" si="84"/>
        <v>17453</v>
      </c>
      <c r="Z120" s="294">
        <f>Z112</f>
        <v>14577</v>
      </c>
      <c r="AA120" s="294">
        <f>AA112</f>
        <v>15272.75537308491</v>
      </c>
      <c r="AB120" s="294">
        <f t="shared" ref="AB120:AJ120" si="85">AB112</f>
        <v>14890.936488757787</v>
      </c>
      <c r="AC120" s="294">
        <f t="shared" si="85"/>
        <v>14150.920525117603</v>
      </c>
      <c r="AD120" s="294">
        <f t="shared" si="85"/>
        <v>14142.674067935133</v>
      </c>
      <c r="AE120" s="294">
        <f t="shared" si="85"/>
        <v>14495.210112485704</v>
      </c>
      <c r="AF120" s="294">
        <f t="shared" si="85"/>
        <v>14237.589049670072</v>
      </c>
      <c r="AG120" s="294">
        <f t="shared" si="85"/>
        <v>13565.359088885536</v>
      </c>
      <c r="AH120" s="294">
        <f t="shared" si="85"/>
        <v>14012.170619706394</v>
      </c>
      <c r="AI120" s="294">
        <f t="shared" si="85"/>
        <v>14124.879834688234</v>
      </c>
      <c r="AJ120" s="294">
        <f t="shared" si="85"/>
        <v>14225.51306235059</v>
      </c>
      <c r="AK120" s="294">
        <f>AK112</f>
        <v>14995.155987512288</v>
      </c>
      <c r="AM120" s="232">
        <f>AVERAGE(Z120:AK120)</f>
        <v>14390.847017516187</v>
      </c>
      <c r="AN120" s="467">
        <f>AVERAGE(Z120:AK120)/AVERAGE(N120:Y120)-1</f>
        <v>2.660993859128391E-2</v>
      </c>
      <c r="AP120" s="215">
        <f>AK120/Y120-1</f>
        <v>-0.14082644889060403</v>
      </c>
    </row>
    <row r="121" spans="1:42" ht="21.75">
      <c r="A121" s="222" t="s">
        <v>432</v>
      </c>
      <c r="B121" s="232">
        <f>AL$45</f>
        <v>400.37685417068008</v>
      </c>
      <c r="C121" s="232">
        <f t="shared" ref="C121:M121" si="86">AM$45</f>
        <v>404.0662114542481</v>
      </c>
      <c r="D121" s="232">
        <f t="shared" si="86"/>
        <v>392.53021503393416</v>
      </c>
      <c r="E121" s="232">
        <f t="shared" si="86"/>
        <v>352.42860364160458</v>
      </c>
      <c r="F121" s="232">
        <f t="shared" si="86"/>
        <v>361.18712240952334</v>
      </c>
      <c r="G121" s="232">
        <f t="shared" si="86"/>
        <v>385.44533044361219</v>
      </c>
      <c r="H121" s="232">
        <f t="shared" si="86"/>
        <v>378.17146093380211</v>
      </c>
      <c r="I121" s="232">
        <f t="shared" si="86"/>
        <v>351.76201216920145</v>
      </c>
      <c r="J121" s="232">
        <f t="shared" si="86"/>
        <v>363.26469141743229</v>
      </c>
      <c r="K121" s="232">
        <f t="shared" si="86"/>
        <v>365.04461372655334</v>
      </c>
      <c r="L121" s="232">
        <f t="shared" si="86"/>
        <v>358.07976697980428</v>
      </c>
      <c r="M121" s="232">
        <f t="shared" si="86"/>
        <v>413.91152697493595</v>
      </c>
      <c r="N121" s="232">
        <f t="shared" ref="N121:AK121" si="87">B$99/N126</f>
        <v>358.77687505658014</v>
      </c>
      <c r="O121" s="232">
        <f t="shared" si="87"/>
        <v>371.89951435409444</v>
      </c>
      <c r="P121" s="232">
        <f t="shared" si="87"/>
        <v>410.74146576880321</v>
      </c>
      <c r="Q121" s="232">
        <f t="shared" si="87"/>
        <v>404.07566535386087</v>
      </c>
      <c r="R121" s="232">
        <f t="shared" si="87"/>
        <v>407.5785024154589</v>
      </c>
      <c r="S121" s="232">
        <f t="shared" si="87"/>
        <v>432.46335140497172</v>
      </c>
      <c r="T121" s="232">
        <f t="shared" si="87"/>
        <v>442.94770860334899</v>
      </c>
      <c r="U121" s="232">
        <f t="shared" si="87"/>
        <v>439.54353041665098</v>
      </c>
      <c r="V121" s="232">
        <f t="shared" si="87"/>
        <v>449.12497409769912</v>
      </c>
      <c r="W121" s="232">
        <f>K$99/W126</f>
        <v>452.13312189792254</v>
      </c>
      <c r="X121" s="232">
        <f t="shared" si="87"/>
        <v>461.90093483031234</v>
      </c>
      <c r="Y121" s="232">
        <f t="shared" si="87"/>
        <v>552.94706560721841</v>
      </c>
      <c r="Z121" s="232">
        <f t="shared" si="87"/>
        <v>463.06682066572336</v>
      </c>
      <c r="AA121" s="232">
        <f t="shared" si="87"/>
        <v>496.51767615203937</v>
      </c>
      <c r="AB121" s="232">
        <f t="shared" si="87"/>
        <v>524.47156344771406</v>
      </c>
      <c r="AC121" s="232">
        <f t="shared" si="87"/>
        <v>501.29827207468946</v>
      </c>
      <c r="AD121" s="232">
        <f t="shared" si="87"/>
        <v>505.4543072603098</v>
      </c>
      <c r="AE121" s="232">
        <f t="shared" si="87"/>
        <v>536.48483456114229</v>
      </c>
      <c r="AF121" s="232">
        <f t="shared" si="87"/>
        <v>528.82310553860054</v>
      </c>
      <c r="AG121" s="232">
        <f t="shared" si="87"/>
        <v>515.45470114986983</v>
      </c>
      <c r="AH121" s="232">
        <f t="shared" si="87"/>
        <v>518.93059916911932</v>
      </c>
      <c r="AI121" s="232">
        <f t="shared" si="87"/>
        <v>524.65882580830589</v>
      </c>
      <c r="AJ121" s="232">
        <f t="shared" si="87"/>
        <v>515.12391774619198</v>
      </c>
      <c r="AK121" s="232">
        <f t="shared" si="87"/>
        <v>608.67988969015482</v>
      </c>
      <c r="AM121" s="232">
        <f>AVERAGE(Z121:AK121)</f>
        <v>519.91370943865502</v>
      </c>
      <c r="AN121" s="467">
        <f>AVERAGE(Z121:AK121)/AVERAGE(N121:Y121)-1</f>
        <v>0.20347314825901242</v>
      </c>
    </row>
    <row r="122" spans="1:42" ht="21.75">
      <c r="A122" s="222" t="s">
        <v>433</v>
      </c>
      <c r="B122" s="232">
        <f>AL$46</f>
        <v>444.74661558734994</v>
      </c>
      <c r="C122" s="232">
        <f t="shared" ref="C122:U122" si="88">AM$46</f>
        <v>440.99727014974906</v>
      </c>
      <c r="D122" s="232">
        <f t="shared" si="88"/>
        <v>433.35880615710346</v>
      </c>
      <c r="E122" s="232">
        <f t="shared" si="88"/>
        <v>383.10864319545681</v>
      </c>
      <c r="F122" s="232">
        <f t="shared" si="88"/>
        <v>393.14800632593904</v>
      </c>
      <c r="G122" s="232">
        <f t="shared" si="88"/>
        <v>433.55117188119181</v>
      </c>
      <c r="H122" s="232">
        <f t="shared" si="88"/>
        <v>432.17770680927566</v>
      </c>
      <c r="I122" s="232">
        <f t="shared" si="88"/>
        <v>415.8942477647908</v>
      </c>
      <c r="J122" s="232">
        <f t="shared" si="88"/>
        <v>428.70052507589355</v>
      </c>
      <c r="K122" s="232">
        <f t="shared" si="88"/>
        <v>433.23843416370107</v>
      </c>
      <c r="L122" s="232">
        <f t="shared" si="88"/>
        <v>426.59822419928821</v>
      </c>
      <c r="M122" s="232">
        <f t="shared" si="88"/>
        <v>502.80141843971631</v>
      </c>
      <c r="N122" s="232">
        <f t="shared" si="88"/>
        <v>437.17576638387527</v>
      </c>
      <c r="O122" s="232">
        <f t="shared" si="88"/>
        <v>450.03237186855824</v>
      </c>
      <c r="P122" s="232">
        <f t="shared" si="88"/>
        <v>489.71853590437973</v>
      </c>
      <c r="Q122" s="232">
        <f t="shared" si="88"/>
        <v>484.89079842463303</v>
      </c>
      <c r="R122" s="232">
        <f t="shared" si="88"/>
        <v>489.09420289855069</v>
      </c>
      <c r="S122" s="232">
        <f t="shared" si="88"/>
        <v>525.44297195704064</v>
      </c>
      <c r="T122" s="232">
        <f t="shared" si="88"/>
        <v>527.10777323798527</v>
      </c>
      <c r="U122" s="232">
        <f t="shared" si="88"/>
        <v>523.05680119581461</v>
      </c>
      <c r="V122" s="232">
        <f>J$99</f>
        <v>532.66221927987112</v>
      </c>
      <c r="W122" s="232">
        <f>K$99</f>
        <v>532.61281759575274</v>
      </c>
      <c r="X122" s="232">
        <f>L$99</f>
        <v>539.96219281663514</v>
      </c>
      <c r="Y122" s="232">
        <f>M$99</f>
        <v>641.41859610437336</v>
      </c>
      <c r="Z122" s="294">
        <f>Z114</f>
        <v>520.97927090779126</v>
      </c>
      <c r="AA122" s="294">
        <f t="shared" ref="AA122:AJ122" si="89">AA114</f>
        <v>537.58378645142238</v>
      </c>
      <c r="AB122" s="294">
        <f t="shared" si="89"/>
        <v>509.09184576949696</v>
      </c>
      <c r="AC122" s="294">
        <f t="shared" si="89"/>
        <v>483.79215470487532</v>
      </c>
      <c r="AD122" s="294">
        <f t="shared" si="89"/>
        <v>483.5102245447909</v>
      </c>
      <c r="AE122" s="294">
        <f t="shared" si="89"/>
        <v>495.56273888840013</v>
      </c>
      <c r="AF122" s="294">
        <f t="shared" si="89"/>
        <v>389.32428355674244</v>
      </c>
      <c r="AG122" s="294">
        <f>AG114</f>
        <v>370.94227751942947</v>
      </c>
      <c r="AH122" s="294">
        <f t="shared" si="89"/>
        <v>383.16025758015843</v>
      </c>
      <c r="AI122" s="294">
        <f t="shared" si="89"/>
        <v>386.24227056845046</v>
      </c>
      <c r="AJ122" s="294">
        <f t="shared" si="89"/>
        <v>388.99406787942547</v>
      </c>
      <c r="AK122" s="294">
        <f>AK114</f>
        <v>410.03981371376233</v>
      </c>
      <c r="AM122" s="232">
        <f>AVERAGE(Z122:AK122)</f>
        <v>446.60191600706213</v>
      </c>
      <c r="AN122" s="215">
        <f>AVERAGE(Z122:AK122)/AVERAGE(N122:Y122)-1</f>
        <v>-0.13185306577209022</v>
      </c>
      <c r="AP122" s="215">
        <f>AK122/Y122-1</f>
        <v>-0.36072976960113023</v>
      </c>
    </row>
    <row r="124" spans="1:42">
      <c r="A124" s="178" t="s">
        <v>248</v>
      </c>
      <c r="B124" s="215">
        <v>3.2000000000000001E-2</v>
      </c>
      <c r="C124" s="215">
        <v>2.4E-2</v>
      </c>
      <c r="D124" s="215">
        <v>2.3E-2</v>
      </c>
      <c r="E124" s="215">
        <v>2.1000000000000001E-2</v>
      </c>
      <c r="F124" s="215">
        <v>1.7000000000000001E-2</v>
      </c>
      <c r="G124" s="215">
        <v>2.4E-2</v>
      </c>
      <c r="H124" s="215">
        <v>2.4E-2</v>
      </c>
      <c r="I124" s="215">
        <v>2.5000000000000001E-2</v>
      </c>
      <c r="J124" s="215">
        <v>2.3057965401838337E-2</v>
      </c>
      <c r="K124" s="215">
        <v>2.5256207969405094E-2</v>
      </c>
      <c r="L124" s="215">
        <v>4.7020283582285924E-2</v>
      </c>
      <c r="M124" s="215">
        <v>3.5797547154679872E-2</v>
      </c>
      <c r="N124" s="215">
        <v>6.0999999999999999E-2</v>
      </c>
      <c r="O124" s="215">
        <v>7.4999999999999997E-2</v>
      </c>
      <c r="P124" s="215">
        <v>8.5000000000000006E-2</v>
      </c>
      <c r="Q124" s="215">
        <v>8.4000000000000005E-2</v>
      </c>
      <c r="R124" s="215">
        <v>9.5000000000000001E-2</v>
      </c>
      <c r="S124" s="215">
        <v>9.5000000000000001E-2</v>
      </c>
      <c r="T124" s="215">
        <v>0.10199999999999999</v>
      </c>
      <c r="U124" s="215">
        <v>0.10199999999999999</v>
      </c>
      <c r="V124" s="215">
        <v>0.11</v>
      </c>
      <c r="W124" s="215">
        <v>0.10845560758231677</v>
      </c>
      <c r="X124" s="215">
        <v>0.11936761119407428</v>
      </c>
      <c r="Y124" s="215">
        <v>0.11606355704200327</v>
      </c>
      <c r="Z124" s="215">
        <v>0.10753413971877743</v>
      </c>
      <c r="AA124" s="215">
        <v>0.10168665436554145</v>
      </c>
      <c r="AB124" s="215">
        <v>9.032515601549207E-2</v>
      </c>
      <c r="AC124" s="215">
        <v>8.7680744663834242E-2</v>
      </c>
      <c r="AD124" s="215">
        <v>8.6362287422788814E-2</v>
      </c>
      <c r="AE124" s="215">
        <v>8.7285370691939645E-2</v>
      </c>
      <c r="AF124" s="215">
        <v>8.1705616894669597E-2</v>
      </c>
      <c r="AG124" s="215">
        <v>8.1243622337514171E-2</v>
      </c>
      <c r="AH124" s="215">
        <v>7.2662570340698424E-2</v>
      </c>
      <c r="AI124" s="215">
        <v>6.8592071923524622E-2</v>
      </c>
      <c r="AJ124" s="215">
        <v>6.8609878072231373E-2</v>
      </c>
      <c r="AK124" s="215">
        <v>6.0996767454280849E-2</v>
      </c>
    </row>
    <row r="125" spans="1:42">
      <c r="A125" s="178" t="s">
        <v>434</v>
      </c>
      <c r="B125" s="218">
        <f>AL$39</f>
        <v>24.119351612903227</v>
      </c>
      <c r="C125" s="218">
        <f t="shared" ref="C125:M125" si="90">AM$39</f>
        <v>24.596524137931045</v>
      </c>
      <c r="D125" s="218">
        <f t="shared" si="90"/>
        <v>26.412293548387101</v>
      </c>
      <c r="E125" s="218">
        <f t="shared" si="90"/>
        <v>27.224653333333325</v>
      </c>
      <c r="F125" s="218">
        <f t="shared" si="90"/>
        <v>26.814329032258055</v>
      </c>
      <c r="G125" s="218">
        <f t="shared" si="90"/>
        <v>26.707343333333327</v>
      </c>
      <c r="H125" s="218">
        <f t="shared" si="90"/>
        <v>27.312838709677415</v>
      </c>
      <c r="I125" s="218">
        <f t="shared" si="90"/>
        <v>27.521419354838709</v>
      </c>
      <c r="J125" s="218">
        <f t="shared" si="90"/>
        <v>27.963576666666654</v>
      </c>
      <c r="K125" s="218">
        <f t="shared" si="90"/>
        <v>28.1</v>
      </c>
      <c r="L125" s="218">
        <f t="shared" si="90"/>
        <v>28.1</v>
      </c>
      <c r="M125" s="218">
        <f t="shared" si="90"/>
        <v>28.2</v>
      </c>
      <c r="N125" s="218">
        <f t="shared" ref="N125:AJ125" si="91">B$97</f>
        <v>28.219770967741901</v>
      </c>
      <c r="O125" s="218">
        <f t="shared" si="91"/>
        <v>27.884660714285701</v>
      </c>
      <c r="P125" s="218">
        <f t="shared" si="91"/>
        <v>27.795558064516101</v>
      </c>
      <c r="Q125" s="218">
        <f t="shared" si="91"/>
        <v>27.93</v>
      </c>
      <c r="R125" s="218">
        <f t="shared" si="91"/>
        <v>27.6</v>
      </c>
      <c r="S125" s="218">
        <f t="shared" si="91"/>
        <v>27.239873333333321</v>
      </c>
      <c r="T125" s="218">
        <f t="shared" si="91"/>
        <v>27.214548387096801</v>
      </c>
      <c r="U125" s="218">
        <f t="shared" si="91"/>
        <v>26.76</v>
      </c>
      <c r="V125" s="218">
        <f t="shared" si="91"/>
        <v>26.731762615434441</v>
      </c>
      <c r="W125" s="218">
        <f t="shared" si="91"/>
        <v>26.37</v>
      </c>
      <c r="X125" s="218">
        <f t="shared" si="91"/>
        <v>26.45</v>
      </c>
      <c r="Y125" s="218">
        <f t="shared" si="91"/>
        <v>27.21</v>
      </c>
      <c r="Z125" s="218">
        <f t="shared" si="91"/>
        <v>27.735029229050671</v>
      </c>
      <c r="AA125" s="218">
        <f t="shared" si="91"/>
        <v>27.695781079827103</v>
      </c>
      <c r="AB125" s="218">
        <f t="shared" si="91"/>
        <v>27.996016710223071</v>
      </c>
      <c r="AC125" s="218">
        <f t="shared" si="91"/>
        <v>27.812391454265658</v>
      </c>
      <c r="AD125" s="218">
        <f t="shared" si="91"/>
        <v>27.787267531395827</v>
      </c>
      <c r="AE125" s="218">
        <f t="shared" si="91"/>
        <v>27.832855113802921</v>
      </c>
      <c r="AF125" s="218">
        <f t="shared" si="91"/>
        <v>27.746789232136599</v>
      </c>
      <c r="AG125" s="218">
        <f t="shared" si="91"/>
        <v>27.434862258582381</v>
      </c>
      <c r="AH125" s="218">
        <f t="shared" si="91"/>
        <v>28.095481728182619</v>
      </c>
      <c r="AI125" s="218">
        <f t="shared" si="91"/>
        <v>27.867087272926195</v>
      </c>
      <c r="AJ125" s="218">
        <f t="shared" si="91"/>
        <v>27.918801151006669</v>
      </c>
      <c r="AK125" s="218">
        <f>Y$97</f>
        <v>27.729707881651237</v>
      </c>
    </row>
    <row r="126" spans="1:42">
      <c r="A126" s="161" t="s">
        <v>435</v>
      </c>
      <c r="B126" s="453">
        <f>B127/B125</f>
        <v>1.1108199960973646</v>
      </c>
      <c r="C126" s="453">
        <f t="shared" ref="C126:M126" si="92">C127/C125</f>
        <v>1.0913985323409863</v>
      </c>
      <c r="D126" s="453">
        <f t="shared" si="92"/>
        <v>1.1040138811215838</v>
      </c>
      <c r="E126" s="453">
        <f t="shared" si="92"/>
        <v>1.0870532052076329</v>
      </c>
      <c r="F126" s="453">
        <f t="shared" si="92"/>
        <v>1.0884884369719516</v>
      </c>
      <c r="G126" s="453">
        <f t="shared" si="92"/>
        <v>1.1248058742395821</v>
      </c>
      <c r="H126" s="453">
        <f t="shared" si="92"/>
        <v>1.1428088881750049</v>
      </c>
      <c r="I126" s="453">
        <f t="shared" si="92"/>
        <v>1.1823171160527166</v>
      </c>
      <c r="J126" s="453">
        <f t="shared" si="92"/>
        <v>1.1801326558965459</v>
      </c>
      <c r="K126" s="453">
        <f t="shared" si="92"/>
        <v>1.1868095511422341</v>
      </c>
      <c r="L126" s="453">
        <f t="shared" si="92"/>
        <v>1.1913497034400953</v>
      </c>
      <c r="M126" s="453">
        <f t="shared" si="92"/>
        <v>1.2147557767101349</v>
      </c>
      <c r="N126" s="430">
        <v>1.2185171252047151</v>
      </c>
      <c r="O126" s="430">
        <v>1.2100913136446627</v>
      </c>
      <c r="P126" s="430">
        <v>1.1922792722856739</v>
      </c>
      <c r="Q126" s="430">
        <v>1.2</v>
      </c>
      <c r="R126" s="430">
        <v>1.2</v>
      </c>
      <c r="S126" s="430">
        <v>1.2150000000000001</v>
      </c>
      <c r="T126" s="430">
        <v>1.19</v>
      </c>
      <c r="U126" s="430">
        <v>1.19</v>
      </c>
      <c r="V126" s="430">
        <v>1.1859999999999999</v>
      </c>
      <c r="W126" s="430">
        <v>1.1779999999999999</v>
      </c>
      <c r="X126" s="430">
        <v>1.169</v>
      </c>
      <c r="Y126" s="430">
        <v>1.1599999999999999</v>
      </c>
      <c r="Z126" s="454">
        <v>1.135</v>
      </c>
      <c r="AA126" s="430">
        <f>Z126*$AL$126</f>
        <v>1.1359054704592697</v>
      </c>
      <c r="AB126" s="430">
        <f t="shared" ref="AB126:AJ126" si="93">AA126*$AL$126</f>
        <v>1.1368116632769119</v>
      </c>
      <c r="AC126" s="430">
        <f t="shared" si="93"/>
        <v>1.137718579029203</v>
      </c>
      <c r="AD126" s="430">
        <f t="shared" si="93"/>
        <v>1.1386262182928799</v>
      </c>
      <c r="AE126" s="430">
        <f t="shared" si="93"/>
        <v>1.1395345816451392</v>
      </c>
      <c r="AF126" s="430">
        <f t="shared" si="93"/>
        <v>1.140443669663638</v>
      </c>
      <c r="AG126" s="430">
        <f t="shared" si="93"/>
        <v>1.141353482926494</v>
      </c>
      <c r="AH126" s="430">
        <f t="shared" si="93"/>
        <v>1.1422640220122866</v>
      </c>
      <c r="AI126" s="430">
        <f t="shared" si="93"/>
        <v>1.1431752875000565</v>
      </c>
      <c r="AJ126" s="430">
        <f t="shared" si="93"/>
        <v>1.1440872799693063</v>
      </c>
      <c r="AK126" s="454">
        <v>1.145</v>
      </c>
      <c r="AL126" s="161">
        <f>(AK126/Z126)^(1/11)</f>
        <v>1.0007977713297531</v>
      </c>
      <c r="AM126" s="455">
        <f>AVERAGE(Z126:AK126)</f>
        <v>1.1399933545645988</v>
      </c>
    </row>
    <row r="127" spans="1:42">
      <c r="A127" s="178" t="s">
        <v>436</v>
      </c>
      <c r="B127" s="453">
        <v>26.792258064516126</v>
      </c>
      <c r="C127" s="453">
        <v>26.844610344827586</v>
      </c>
      <c r="D127" s="453">
        <v>29.15953870967741</v>
      </c>
      <c r="E127" s="453">
        <v>29.594646666666662</v>
      </c>
      <c r="F127" s="453">
        <v>29.187087096774192</v>
      </c>
      <c r="G127" s="453">
        <v>30.04057666666667</v>
      </c>
      <c r="H127" s="453">
        <v>31.21335483870968</v>
      </c>
      <c r="I127" s="453">
        <v>32.539045161290318</v>
      </c>
      <c r="J127" s="453">
        <v>33.000729999999997</v>
      </c>
      <c r="K127" s="453">
        <v>33.349348387096782</v>
      </c>
      <c r="L127" s="453">
        <v>33.476926666666678</v>
      </c>
      <c r="M127" s="453">
        <v>34.256112903225805</v>
      </c>
      <c r="N127" s="274">
        <f>N125*N126</f>
        <v>34.386274193548346</v>
      </c>
      <c r="O127" s="274">
        <f t="shared" ref="O127:AK127" si="94">O125*O126</f>
        <v>33.742985714285702</v>
      </c>
      <c r="P127" s="274">
        <f t="shared" si="94"/>
        <v>33.140067741935454</v>
      </c>
      <c r="Q127" s="274">
        <f t="shared" si="94"/>
        <v>33.515999999999998</v>
      </c>
      <c r="R127" s="274">
        <f t="shared" si="94"/>
        <v>33.119999999999997</v>
      </c>
      <c r="S127" s="274">
        <f t="shared" si="94"/>
        <v>33.096446099999987</v>
      </c>
      <c r="T127" s="274">
        <f t="shared" si="94"/>
        <v>32.385312580645191</v>
      </c>
      <c r="U127" s="274">
        <f t="shared" si="94"/>
        <v>31.8444</v>
      </c>
      <c r="V127" s="274">
        <f t="shared" si="94"/>
        <v>31.703870461905247</v>
      </c>
      <c r="W127" s="274">
        <f t="shared" si="94"/>
        <v>31.063859999999998</v>
      </c>
      <c r="X127" s="274">
        <f t="shared" si="94"/>
        <v>30.92005</v>
      </c>
      <c r="Y127" s="274">
        <f t="shared" si="94"/>
        <v>31.563599999999997</v>
      </c>
      <c r="Z127" s="274">
        <f t="shared" si="94"/>
        <v>31.479258174972511</v>
      </c>
      <c r="AA127" s="274">
        <f t="shared" si="94"/>
        <v>31.459789237217947</v>
      </c>
      <c r="AB127" s="274">
        <f t="shared" si="94"/>
        <v>31.826198321476905</v>
      </c>
      <c r="AC127" s="274">
        <f t="shared" si="94"/>
        <v>31.642674484751073</v>
      </c>
      <c r="AD127" s="274">
        <f t="shared" si="94"/>
        <v>31.639311345965758</v>
      </c>
      <c r="AE127" s="274">
        <f t="shared" si="94"/>
        <v>31.716500908097185</v>
      </c>
      <c r="AF127" s="274">
        <f t="shared" si="94"/>
        <v>31.64365013328138</v>
      </c>
      <c r="AG127" s="274">
        <f t="shared" si="94"/>
        <v>31.312875592441621</v>
      </c>
      <c r="AH127" s="274">
        <f t="shared" si="94"/>
        <v>32.092457959206591</v>
      </c>
      <c r="AI127" s="274">
        <f t="shared" si="94"/>
        <v>31.856965505016568</v>
      </c>
      <c r="AJ127" s="274">
        <f t="shared" si="94"/>
        <v>31.941545268859155</v>
      </c>
      <c r="AK127" s="274">
        <f t="shared" si="94"/>
        <v>31.750515524490666</v>
      </c>
    </row>
    <row r="129" spans="1:41" ht="21.75">
      <c r="A129" s="439" t="s">
        <v>250</v>
      </c>
      <c r="B129" s="246">
        <f t="shared" ref="B129:Z129" si="95">B120*(1-B$124)</f>
        <v>10383.735999999999</v>
      </c>
      <c r="C129" s="246">
        <f t="shared" si="95"/>
        <v>10586.672</v>
      </c>
      <c r="D129" s="246">
        <f t="shared" si="95"/>
        <v>11182.742</v>
      </c>
      <c r="E129" s="246">
        <f t="shared" si="95"/>
        <v>10210.969999999999</v>
      </c>
      <c r="F129" s="246">
        <f t="shared" si="95"/>
        <v>10362.786</v>
      </c>
      <c r="G129" s="246">
        <f t="shared" si="95"/>
        <v>11301.103999999999</v>
      </c>
      <c r="H129" s="246">
        <f t="shared" si="95"/>
        <v>11520.704</v>
      </c>
      <c r="I129" s="246">
        <f t="shared" si="95"/>
        <v>11159.85</v>
      </c>
      <c r="J129" s="246">
        <f t="shared" si="95"/>
        <v>11711.581110762761</v>
      </c>
      <c r="K129" s="246">
        <f t="shared" si="95"/>
        <v>11866.530924180463</v>
      </c>
      <c r="L129" s="246">
        <f t="shared" si="95"/>
        <v>11423.75867768084</v>
      </c>
      <c r="M129" s="246">
        <f t="shared" si="95"/>
        <v>13671.426578893794</v>
      </c>
      <c r="N129" s="246">
        <f t="shared" si="95"/>
        <v>11584.443000000001</v>
      </c>
      <c r="O129" s="246">
        <f t="shared" si="95"/>
        <v>11607.825000000001</v>
      </c>
      <c r="P129" s="246">
        <f t="shared" si="95"/>
        <v>12454.980000000001</v>
      </c>
      <c r="Q129" s="246">
        <f t="shared" si="95"/>
        <v>12405.388000000001</v>
      </c>
      <c r="R129" s="246">
        <f t="shared" si="95"/>
        <v>12216.595000000001</v>
      </c>
      <c r="S129" s="246">
        <f t="shared" si="95"/>
        <v>12953.265000000001</v>
      </c>
      <c r="T129" s="246">
        <f t="shared" si="95"/>
        <v>12881.81</v>
      </c>
      <c r="U129" s="246">
        <f t="shared" si="95"/>
        <v>12569.306</v>
      </c>
      <c r="V129" s="246">
        <f t="shared" si="95"/>
        <v>12672.710000000001</v>
      </c>
      <c r="W129" s="246">
        <f t="shared" si="95"/>
        <v>12521.740991506362</v>
      </c>
      <c r="X129" s="246">
        <f t="shared" si="95"/>
        <v>12577.191776926231</v>
      </c>
      <c r="Y129" s="246">
        <f t="shared" si="95"/>
        <v>15427.342738945918</v>
      </c>
      <c r="Z129" s="246">
        <f t="shared" si="95"/>
        <v>13009.474845319381</v>
      </c>
    </row>
    <row r="130" spans="1:41" ht="21.75">
      <c r="A130" s="439" t="s">
        <v>249</v>
      </c>
      <c r="B130" s="246">
        <f t="shared" ref="B130:Z130" si="96">B$129/B$125</f>
        <v>430.51472388855467</v>
      </c>
      <c r="C130" s="246">
        <f t="shared" si="96"/>
        <v>430.41333566615509</v>
      </c>
      <c r="D130" s="246">
        <f t="shared" si="96"/>
        <v>423.39155361549007</v>
      </c>
      <c r="E130" s="246">
        <f t="shared" si="96"/>
        <v>375.06336168835219</v>
      </c>
      <c r="F130" s="246">
        <f t="shared" si="96"/>
        <v>386.46449021839805</v>
      </c>
      <c r="G130" s="246">
        <f t="shared" si="96"/>
        <v>423.14594375604321</v>
      </c>
      <c r="H130" s="246">
        <f t="shared" si="96"/>
        <v>421.80544184585301</v>
      </c>
      <c r="I130" s="246">
        <f t="shared" si="96"/>
        <v>405.4968915706711</v>
      </c>
      <c r="J130" s="246">
        <f t="shared" si="96"/>
        <v>418.81556320094364</v>
      </c>
      <c r="K130" s="246">
        <f t="shared" si="96"/>
        <v>422.29647417012319</v>
      </c>
      <c r="L130" s="246">
        <f t="shared" si="96"/>
        <v>406.53945472173808</v>
      </c>
      <c r="M130" s="246">
        <f t="shared" si="96"/>
        <v>484.80236095368065</v>
      </c>
      <c r="N130" s="246">
        <f t="shared" si="96"/>
        <v>410.50804463445894</v>
      </c>
      <c r="O130" s="246">
        <f t="shared" si="96"/>
        <v>416.27994397841644</v>
      </c>
      <c r="P130" s="246">
        <f t="shared" si="96"/>
        <v>448.09246035250754</v>
      </c>
      <c r="Q130" s="246">
        <f t="shared" si="96"/>
        <v>444.15997135696387</v>
      </c>
      <c r="R130" s="246">
        <f t="shared" si="96"/>
        <v>442.63025362318842</v>
      </c>
      <c r="S130" s="246">
        <f t="shared" si="96"/>
        <v>475.52588962112185</v>
      </c>
      <c r="T130" s="246">
        <f t="shared" si="96"/>
        <v>473.34278036771082</v>
      </c>
      <c r="U130" s="246">
        <f t="shared" si="96"/>
        <v>469.70500747384153</v>
      </c>
      <c r="V130" s="246">
        <f t="shared" si="96"/>
        <v>474.06937515908527</v>
      </c>
      <c r="W130" s="246">
        <f>W$129/W$125</f>
        <v>474.84797085727575</v>
      </c>
      <c r="X130" s="246">
        <f>X$129/X$125</f>
        <v>475.50819572499927</v>
      </c>
      <c r="Y130" s="246">
        <f t="shared" si="96"/>
        <v>566.97327228761185</v>
      </c>
      <c r="Z130" s="246">
        <f t="shared" si="96"/>
        <v>469.06295781699725</v>
      </c>
      <c r="AO130" s="161">
        <v>27.981270967741931</v>
      </c>
    </row>
    <row r="131" spans="1:41">
      <c r="AO131" s="161">
        <v>28.854337931034479</v>
      </c>
    </row>
    <row r="132" spans="1:41">
      <c r="A132" s="176" t="s">
        <v>254</v>
      </c>
      <c r="AO132" s="161">
        <v>33.616935483870961</v>
      </c>
    </row>
    <row r="133" spans="1:41">
      <c r="A133" s="176" t="s">
        <v>437</v>
      </c>
      <c r="AO133" s="161">
        <v>32.454333333333331</v>
      </c>
    </row>
    <row r="134" spans="1:41" ht="21.75">
      <c r="A134" s="222" t="s">
        <v>258</v>
      </c>
      <c r="AO134" s="161">
        <v>35.100967741935484</v>
      </c>
    </row>
    <row r="135" spans="1:41">
      <c r="A135" s="176" t="s">
        <v>254</v>
      </c>
      <c r="B135" s="247">
        <f>B$120/Z$31-1</f>
        <v>0.16307058440854383</v>
      </c>
      <c r="C135" s="247">
        <f t="shared" ref="C135:M135" si="97">C$120/AA$31-1</f>
        <v>0.15038710361650232</v>
      </c>
      <c r="D135" s="247">
        <f t="shared" si="97"/>
        <v>0.11810100615414676</v>
      </c>
      <c r="E135" s="247">
        <f t="shared" si="97"/>
        <v>1.5678254942058656E-2</v>
      </c>
      <c r="F135" s="247">
        <f t="shared" si="97"/>
        <v>2.9592733665396942E-2</v>
      </c>
      <c r="G135" s="247">
        <f t="shared" si="97"/>
        <v>7.381990169711572E-2</v>
      </c>
      <c r="H135" s="247">
        <f t="shared" si="97"/>
        <v>7.5927445082490275E-2</v>
      </c>
      <c r="I135" s="247">
        <f t="shared" si="97"/>
        <v>8.6267438549871844E-2</v>
      </c>
      <c r="J135" s="247">
        <f t="shared" si="97"/>
        <v>0.12173039170735445</v>
      </c>
      <c r="K135" s="247">
        <f t="shared" si="97"/>
        <v>0.13485728987801271</v>
      </c>
      <c r="L135" s="247">
        <f t="shared" si="97"/>
        <v>0.12250706517566012</v>
      </c>
      <c r="M135" s="247">
        <f t="shared" si="97"/>
        <v>0.15618484279914302</v>
      </c>
      <c r="N135" s="247">
        <f>N$120/AL$31-1</f>
        <v>0.1500885615735994</v>
      </c>
      <c r="O135" s="247">
        <f t="shared" ref="O135:AG135" si="98">O$120/AM$31-1</f>
        <v>0.15690974462985152</v>
      </c>
      <c r="P135" s="247">
        <f t="shared" si="98"/>
        <v>0.18923641446793638</v>
      </c>
      <c r="Q135" s="247">
        <f t="shared" si="98"/>
        <v>0.29846596356663468</v>
      </c>
      <c r="R135" s="247">
        <f t="shared" si="98"/>
        <v>0.28049705938152147</v>
      </c>
      <c r="S135" s="247">
        <f t="shared" si="98"/>
        <v>0.23611710855859736</v>
      </c>
      <c r="T135" s="247">
        <f t="shared" si="98"/>
        <v>0.21526601152151814</v>
      </c>
      <c r="U135" s="247">
        <f t="shared" si="98"/>
        <v>0.22287261925563517</v>
      </c>
      <c r="V135" s="247">
        <f t="shared" si="98"/>
        <v>0.18777110443777101</v>
      </c>
      <c r="W135" s="247">
        <f t="shared" si="98"/>
        <v>0.15368818794151462</v>
      </c>
      <c r="X135" s="247">
        <f t="shared" si="98"/>
        <v>0.19141665137492891</v>
      </c>
      <c r="Y135" s="247">
        <f t="shared" si="98"/>
        <v>0.23090485929896332</v>
      </c>
      <c r="Z135" s="247">
        <f t="shared" si="98"/>
        <v>0.18156764205236287</v>
      </c>
      <c r="AA135" s="247">
        <f t="shared" si="98"/>
        <v>0.21704959543269675</v>
      </c>
      <c r="AB135" s="247">
        <f t="shared" si="98"/>
        <v>9.3956544869070457E-2</v>
      </c>
      <c r="AC135" s="247">
        <f t="shared" si="98"/>
        <v>4.4888172865509945E-2</v>
      </c>
      <c r="AD135" s="247">
        <f t="shared" si="98"/>
        <v>4.7683092668726168E-2</v>
      </c>
      <c r="AE135" s="247">
        <f t="shared" si="98"/>
        <v>1.2730392823705916E-2</v>
      </c>
      <c r="AF135" s="247">
        <f t="shared" si="98"/>
        <v>-7.4876925988098808E-3</v>
      </c>
      <c r="AG135" s="247">
        <f t="shared" si="98"/>
        <v>-3.0838101815707897E-2</v>
      </c>
      <c r="AH135" s="247">
        <f>AH$120/J$92-1</f>
        <v>-1.5930148205183348E-2</v>
      </c>
      <c r="AI135" s="247">
        <f>AI$120/K$92-1</f>
        <v>5.6874214801163614E-3</v>
      </c>
      <c r="AJ135" s="247">
        <f>AJ$120/L$92-1</f>
        <v>-3.9551139650896294E-3</v>
      </c>
      <c r="AK135" s="247">
        <f>AK$120/M$92-1</f>
        <v>-0.14082644889060403</v>
      </c>
      <c r="AO135" s="161">
        <v>35.498333333333335</v>
      </c>
    </row>
    <row r="136" spans="1:41">
      <c r="A136" s="176" t="s">
        <v>437</v>
      </c>
      <c r="B136" s="247">
        <f>B$121/Z$45-1</f>
        <v>0.38121767636783921</v>
      </c>
      <c r="C136" s="247">
        <f t="shared" ref="C136:AK136" si="99">C$121/AA$45-1</f>
        <v>0.32196283991980579</v>
      </c>
      <c r="D136" s="247">
        <f t="shared" si="99"/>
        <v>0.16583608774660497</v>
      </c>
      <c r="E136" s="247">
        <f t="shared" si="99"/>
        <v>3.3524164309874926E-2</v>
      </c>
      <c r="F136" s="247">
        <f t="shared" si="99"/>
        <v>4.0762321022438153E-2</v>
      </c>
      <c r="G136" s="247">
        <f t="shared" si="99"/>
        <v>6.8467655666253791E-2</v>
      </c>
      <c r="H136" s="247">
        <f t="shared" si="99"/>
        <v>-3.3471075449019727E-3</v>
      </c>
      <c r="I136" s="247">
        <f t="shared" si="99"/>
        <v>-6.2388576762097081E-2</v>
      </c>
      <c r="J136" s="247">
        <f t="shared" si="99"/>
        <v>-7.2838194670614254E-2</v>
      </c>
      <c r="K136" s="247">
        <f t="shared" si="99"/>
        <v>-6.7559140587113209E-2</v>
      </c>
      <c r="L136" s="247">
        <f t="shared" si="99"/>
        <v>-9.6062495675782844E-2</v>
      </c>
      <c r="M136" s="247">
        <f t="shared" si="99"/>
        <v>-0.11548471831041507</v>
      </c>
      <c r="N136" s="247">
        <f t="shared" si="99"/>
        <v>-0.1039020579755241</v>
      </c>
      <c r="O136" s="247">
        <f t="shared" si="99"/>
        <v>-7.9607490525833935E-2</v>
      </c>
      <c r="P136" s="247">
        <f t="shared" si="99"/>
        <v>4.6394519548755397E-2</v>
      </c>
      <c r="Q136" s="247">
        <f t="shared" si="99"/>
        <v>0.14654616900726292</v>
      </c>
      <c r="R136" s="247">
        <f t="shared" si="99"/>
        <v>0.12844140094600554</v>
      </c>
      <c r="S136" s="247">
        <f t="shared" si="99"/>
        <v>0.12198363100480702</v>
      </c>
      <c r="T136" s="247">
        <f t="shared" si="99"/>
        <v>0.17128803826073424</v>
      </c>
      <c r="U136" s="247">
        <f t="shared" si="99"/>
        <v>0.24954803307534434</v>
      </c>
      <c r="V136" s="247">
        <f t="shared" si="99"/>
        <v>0.23635735789582601</v>
      </c>
      <c r="W136" s="247">
        <f t="shared" si="99"/>
        <v>0.23856949232130087</v>
      </c>
      <c r="X136" s="247">
        <f t="shared" si="99"/>
        <v>0.28993866010967206</v>
      </c>
      <c r="Y136" s="247">
        <f t="shared" si="99"/>
        <v>0.33590641857312087</v>
      </c>
      <c r="Z136" s="247">
        <f t="shared" si="99"/>
        <v>0.29068190527245208</v>
      </c>
      <c r="AA136" s="247">
        <f t="shared" si="99"/>
        <v>0.33508557281764273</v>
      </c>
      <c r="AB136" s="247">
        <f t="shared" si="99"/>
        <v>0.2768897400364414</v>
      </c>
      <c r="AC136" s="247">
        <f t="shared" si="99"/>
        <v>0.24060495361849599</v>
      </c>
      <c r="AD136" s="247">
        <f t="shared" si="99"/>
        <v>0.24013976268326997</v>
      </c>
      <c r="AE136" s="247">
        <f t="shared" si="99"/>
        <v>0.24053248169637786</v>
      </c>
      <c r="AF136" s="247">
        <f t="shared" si="99"/>
        <v>0.1938725390543814</v>
      </c>
      <c r="AG136" s="247">
        <f t="shared" si="99"/>
        <v>0.17270455706915167</v>
      </c>
      <c r="AH136" s="247">
        <f t="shared" si="99"/>
        <v>0.15542583712175251</v>
      </c>
      <c r="AI136" s="247">
        <f t="shared" si="99"/>
        <v>0.1604078542309435</v>
      </c>
      <c r="AJ136" s="247">
        <f t="shared" si="99"/>
        <v>0.11522596925557638</v>
      </c>
      <c r="AK136" s="247">
        <f t="shared" si="99"/>
        <v>0.10079233176096758</v>
      </c>
      <c r="AO136" s="161">
        <v>38.5</v>
      </c>
    </row>
    <row r="137" spans="1:41">
      <c r="A137" s="176" t="s">
        <v>253</v>
      </c>
      <c r="B137" s="247">
        <f>B$122/Z$46-1</f>
        <v>0.34437479416864925</v>
      </c>
      <c r="C137" s="247">
        <f t="shared" ref="C137:AG137" si="100">C$122/AA$46-1</f>
        <v>0.31538436032465844</v>
      </c>
      <c r="D137" s="247">
        <f t="shared" si="100"/>
        <v>0.1372032113928352</v>
      </c>
      <c r="E137" s="247">
        <f t="shared" si="100"/>
        <v>2.6444507005218831E-4</v>
      </c>
      <c r="F137" s="247">
        <f t="shared" si="100"/>
        <v>1.2871509545389515E-2</v>
      </c>
      <c r="G137" s="247">
        <f t="shared" si="100"/>
        <v>6.548771400008313E-2</v>
      </c>
      <c r="H137" s="247">
        <f t="shared" si="100"/>
        <v>1.4416344765852518E-2</v>
      </c>
      <c r="I137" s="247">
        <f t="shared" si="100"/>
        <v>-3.5040568108688497E-3</v>
      </c>
      <c r="J137" s="247">
        <f t="shared" si="100"/>
        <v>-6.387747777681585E-3</v>
      </c>
      <c r="K137" s="247">
        <f t="shared" si="100"/>
        <v>1.9136659654179766E-3</v>
      </c>
      <c r="L137" s="247">
        <f t="shared" si="100"/>
        <v>-2.6593885170241749E-2</v>
      </c>
      <c r="M137" s="247">
        <f t="shared" si="100"/>
        <v>-3.2025849530612605E-2</v>
      </c>
      <c r="N137" s="247">
        <f t="shared" si="100"/>
        <v>-1.7022837134974766E-2</v>
      </c>
      <c r="O137" s="247">
        <f t="shared" si="100"/>
        <v>2.0487885822379592E-2</v>
      </c>
      <c r="P137" s="247">
        <f t="shared" si="100"/>
        <v>0.13005326982289245</v>
      </c>
      <c r="Q137" s="247">
        <f t="shared" si="100"/>
        <v>0.26567439037716611</v>
      </c>
      <c r="R137" s="247">
        <f t="shared" si="100"/>
        <v>0.24404599547445627</v>
      </c>
      <c r="S137" s="247">
        <f t="shared" si="100"/>
        <v>0.21195145126036108</v>
      </c>
      <c r="T137" s="247">
        <f t="shared" si="100"/>
        <v>0.21965516715234745</v>
      </c>
      <c r="U137" s="247">
        <f t="shared" si="100"/>
        <v>0.25766779417355545</v>
      </c>
      <c r="V137" s="247">
        <f t="shared" si="100"/>
        <v>0.24250423809388399</v>
      </c>
      <c r="W137" s="247">
        <f t="shared" si="100"/>
        <v>0.22937573307381731</v>
      </c>
      <c r="X137" s="247">
        <f t="shared" si="100"/>
        <v>0.2657394292489792</v>
      </c>
      <c r="Y137" s="247">
        <f t="shared" si="100"/>
        <v>0.27568971085008309</v>
      </c>
      <c r="Z137" s="247">
        <f t="shared" si="100"/>
        <v>0.19169293215198446</v>
      </c>
      <c r="AA137" s="247">
        <f t="shared" si="100"/>
        <v>0.19454470401617119</v>
      </c>
      <c r="AB137" s="247">
        <f t="shared" si="100"/>
        <v>3.9560091041560996E-2</v>
      </c>
      <c r="AC137" s="247">
        <f t="shared" si="100"/>
        <v>-2.2657549356002171E-3</v>
      </c>
      <c r="AD137" s="247">
        <f t="shared" si="100"/>
        <v>-1.1416979225407076E-2</v>
      </c>
      <c r="AE137" s="247">
        <f t="shared" si="100"/>
        <v>-5.6866747988558952E-2</v>
      </c>
      <c r="AF137" s="247">
        <f t="shared" si="100"/>
        <v>-0.26139529082420609</v>
      </c>
      <c r="AG137" s="247">
        <f t="shared" si="100"/>
        <v>-0.29081836490534163</v>
      </c>
      <c r="AH137" s="247">
        <f>AH$122/J$99-1</f>
        <v>-0.28066935534085902</v>
      </c>
      <c r="AI137" s="247">
        <f>AI$122/K$99-1</f>
        <v>-0.27481604308365692</v>
      </c>
      <c r="AJ137" s="247">
        <f>AJ$122/L$99-1</f>
        <v>-0.27959017676720321</v>
      </c>
      <c r="AK137" s="247">
        <f>AK$122/M$99-1</f>
        <v>-0.36072976960113023</v>
      </c>
      <c r="AO137" s="161">
        <v>39.6</v>
      </c>
    </row>
    <row r="138" spans="1:41">
      <c r="AO138" s="161">
        <v>39.945453275958613</v>
      </c>
    </row>
    <row r="139" spans="1:41">
      <c r="AO139" s="161">
        <v>40.293920136913954</v>
      </c>
    </row>
    <row r="140" spans="1:41">
      <c r="AO140" s="161">
        <v>40.645426872078389</v>
      </c>
    </row>
    <row r="141" spans="1:41">
      <c r="AO141" s="161">
        <v>41</v>
      </c>
    </row>
    <row r="155" spans="18:18">
      <c r="R155" s="161" t="s">
        <v>438</v>
      </c>
    </row>
    <row r="174" spans="13:13">
      <c r="M174" s="161" t="s">
        <v>439</v>
      </c>
    </row>
  </sheetData>
  <mergeCells count="16">
    <mergeCell ref="B118:M118"/>
    <mergeCell ref="Z118:AK118"/>
    <mergeCell ref="A85:A86"/>
    <mergeCell ref="B85:M85"/>
    <mergeCell ref="N85:Y85"/>
    <mergeCell ref="Z85:Z86"/>
    <mergeCell ref="AA85:AA86"/>
    <mergeCell ref="B107:E107"/>
    <mergeCell ref="F107:I107"/>
    <mergeCell ref="Z110:AK110"/>
    <mergeCell ref="BJ29:BU29"/>
    <mergeCell ref="B29:M29"/>
    <mergeCell ref="N29:Y29"/>
    <mergeCell ref="Z29:AK29"/>
    <mergeCell ref="AL29:AW29"/>
    <mergeCell ref="AX29:BI29"/>
  </mergeCells>
  <conditionalFormatting sqref="B64:M67">
    <cfRule type="colorScale" priority="3">
      <colorScale>
        <cfvo type="min"/>
        <cfvo type="percentile" val="50"/>
        <cfvo type="max"/>
        <color rgb="FFF8696B"/>
        <color rgb="FFFCFCFF"/>
        <color rgb="FF63BE7B"/>
      </colorScale>
    </cfRule>
  </conditionalFormatting>
  <conditionalFormatting sqref="B68:M68">
    <cfRule type="colorScale" priority="2">
      <colorScale>
        <cfvo type="min"/>
        <cfvo type="percentile" val="50"/>
        <cfvo type="max"/>
        <color rgb="FFF8696B"/>
        <color rgb="FFFCFCFF"/>
        <color rgb="FF63BE7B"/>
      </colorScale>
    </cfRule>
  </conditionalFormatting>
  <conditionalFormatting sqref="B49:BU49">
    <cfRule type="colorScale" priority="1">
      <colorScale>
        <cfvo type="min"/>
        <cfvo type="percentile" val="50"/>
        <cfvo type="max"/>
        <color rgb="FFF8696B"/>
        <color rgb="FFFCFCFF"/>
        <color rgb="FF63BE7B"/>
      </colorScale>
    </cfRule>
  </conditionalFormatting>
  <hyperlinks>
    <hyperlink ref="A1" location="'1'!A1" display="to title" xr:uid="{00000000-0004-0000-0B00-000000000000}"/>
  </hyperlinks>
  <printOptions horizontalCentered="1"/>
  <pageMargins left="0.39370078740157483" right="0.31496062992125984" top="0.36" bottom="0.35433070866141736" header="0.23622047244094491" footer="0.19685039370078741"/>
  <pageSetup paperSize="8" orientation="landscape" horizontalDpi="4294967295" verticalDpi="4294967295"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668"/>
  <sheetViews>
    <sheetView zoomScale="110" zoomScaleNormal="110" workbookViewId="0">
      <pane xSplit="2" ySplit="6" topLeftCell="C403" activePane="bottomRight" state="frozen"/>
      <selection pane="topRight" activeCell="C1" sqref="C1"/>
      <selection pane="bottomLeft" activeCell="A7" sqref="A7"/>
      <selection pane="bottomRight" activeCell="B1" sqref="B1:L1"/>
    </sheetView>
  </sheetViews>
  <sheetFormatPr defaultColWidth="21.5" defaultRowHeight="12.75"/>
  <cols>
    <col min="1" max="1" width="4.69921875" style="621" customWidth="1"/>
    <col min="2" max="2" width="25.796875" style="631" customWidth="1"/>
    <col min="3" max="3" width="9.296875" style="675" customWidth="1"/>
    <col min="4" max="4" width="8.59765625" style="673" customWidth="1"/>
    <col min="5" max="5" width="12.59765625" style="673" customWidth="1"/>
    <col min="6" max="6" width="12.09765625" style="673" customWidth="1"/>
    <col min="7" max="7" width="9.69921875" style="673" customWidth="1"/>
    <col min="8" max="8" width="9.8984375" style="673" customWidth="1"/>
    <col min="9" max="9" width="11.59765625" style="673" customWidth="1"/>
    <col min="10" max="10" width="8.8984375" style="673" customWidth="1"/>
    <col min="11" max="11" width="9" style="673" customWidth="1"/>
    <col min="12" max="12" width="10.09765625" style="673" customWidth="1"/>
    <col min="13" max="16384" width="21.5" style="621"/>
  </cols>
  <sheetData>
    <row r="1" spans="1:12">
      <c r="B1" s="961" t="s">
        <v>504</v>
      </c>
      <c r="C1" s="961"/>
      <c r="D1" s="961"/>
      <c r="E1" s="961"/>
      <c r="F1" s="961"/>
      <c r="G1" s="961"/>
      <c r="H1" s="961"/>
      <c r="I1" s="961"/>
      <c r="J1" s="961"/>
      <c r="K1" s="961"/>
      <c r="L1" s="961"/>
    </row>
    <row r="2" spans="1:12">
      <c r="A2" s="622"/>
      <c r="B2" s="623"/>
      <c r="C2" s="623"/>
      <c r="D2" s="624"/>
      <c r="E2" s="624"/>
      <c r="F2" s="624"/>
      <c r="G2" s="624"/>
      <c r="H2" s="624"/>
      <c r="I2" s="624"/>
      <c r="J2" s="624"/>
      <c r="K2" s="624"/>
      <c r="L2" s="624"/>
    </row>
    <row r="3" spans="1:12">
      <c r="A3" s="625"/>
      <c r="B3" s="626"/>
      <c r="C3" s="627"/>
      <c r="D3" s="628"/>
      <c r="E3" s="628"/>
      <c r="F3" s="628"/>
      <c r="G3" s="628"/>
      <c r="H3" s="628"/>
      <c r="I3" s="628"/>
      <c r="J3" s="628"/>
      <c r="K3" s="629"/>
      <c r="L3" s="629"/>
    </row>
    <row r="4" spans="1:12">
      <c r="A4" s="630"/>
      <c r="C4" s="632" t="s">
        <v>505</v>
      </c>
      <c r="D4" s="633" t="s">
        <v>471</v>
      </c>
      <c r="E4" s="633" t="s">
        <v>506</v>
      </c>
      <c r="F4" s="633" t="s">
        <v>507</v>
      </c>
      <c r="G4" s="633" t="s">
        <v>508</v>
      </c>
      <c r="H4" s="633" t="s">
        <v>509</v>
      </c>
      <c r="I4" s="633" t="s">
        <v>510</v>
      </c>
      <c r="J4" s="633" t="s">
        <v>511</v>
      </c>
      <c r="K4" s="633" t="s">
        <v>512</v>
      </c>
      <c r="L4" s="634" t="s">
        <v>513</v>
      </c>
    </row>
    <row r="5" spans="1:12">
      <c r="A5" s="635"/>
      <c r="B5" s="636"/>
      <c r="C5" s="637"/>
      <c r="D5" s="638"/>
      <c r="E5" s="638"/>
      <c r="F5" s="637"/>
      <c r="G5" s="638"/>
      <c r="H5" s="638"/>
      <c r="I5" s="638"/>
      <c r="J5" s="638"/>
      <c r="K5" s="638"/>
      <c r="L5" s="637"/>
    </row>
    <row r="6" spans="1:12">
      <c r="A6" s="625"/>
      <c r="B6" s="639"/>
      <c r="C6" s="640"/>
      <c r="D6" s="641"/>
      <c r="E6" s="641"/>
      <c r="F6" s="641"/>
      <c r="G6" s="641"/>
      <c r="H6" s="641"/>
      <c r="I6" s="641"/>
      <c r="J6" s="641"/>
      <c r="K6" s="641"/>
      <c r="L6" s="629"/>
    </row>
    <row r="7" spans="1:12" ht="12.75" customHeight="1">
      <c r="A7" s="642" t="s">
        <v>514</v>
      </c>
      <c r="B7" s="643" t="s">
        <v>515</v>
      </c>
      <c r="C7" s="644">
        <v>1</v>
      </c>
      <c r="D7" s="645">
        <v>1</v>
      </c>
      <c r="E7" s="645">
        <v>1</v>
      </c>
      <c r="F7" s="645">
        <v>1</v>
      </c>
      <c r="G7" s="645">
        <v>1</v>
      </c>
      <c r="H7" s="645">
        <v>1</v>
      </c>
      <c r="I7" s="645">
        <v>1</v>
      </c>
      <c r="J7" s="645">
        <v>1</v>
      </c>
      <c r="K7" s="645">
        <v>1</v>
      </c>
      <c r="L7" s="645">
        <v>1</v>
      </c>
    </row>
    <row r="8" spans="1:12" ht="12.75" customHeight="1">
      <c r="A8" s="642" t="s">
        <v>516</v>
      </c>
      <c r="B8" s="646" t="s">
        <v>517</v>
      </c>
      <c r="C8" s="644">
        <v>0.435551857324664</v>
      </c>
      <c r="D8" s="645">
        <v>0.43555185732466412</v>
      </c>
      <c r="E8" s="645">
        <v>0.43555185732466412</v>
      </c>
      <c r="F8" s="645">
        <v>0.435551857324664</v>
      </c>
      <c r="G8" s="645">
        <v>0.43555185732466417</v>
      </c>
      <c r="H8" s="645">
        <v>0.43555185732466417</v>
      </c>
      <c r="I8" s="645">
        <v>0.43555185732466412</v>
      </c>
      <c r="J8" s="645">
        <v>0.435551857324664</v>
      </c>
      <c r="K8" s="645">
        <v>0.43555185732466412</v>
      </c>
      <c r="L8" s="645">
        <v>0.43555185732466412</v>
      </c>
    </row>
    <row r="9" spans="1:12" ht="12.75" customHeight="1">
      <c r="A9" s="642" t="s">
        <v>518</v>
      </c>
      <c r="B9" s="646" t="s">
        <v>519</v>
      </c>
      <c r="C9" s="644">
        <v>0.41160631477949478</v>
      </c>
      <c r="D9" s="645">
        <v>0.41160631477949489</v>
      </c>
      <c r="E9" s="645">
        <v>0.41160631477949489</v>
      </c>
      <c r="F9" s="645">
        <v>0.41160631477949478</v>
      </c>
      <c r="G9" s="645">
        <v>0.41160631477949494</v>
      </c>
      <c r="H9" s="645">
        <v>0.41160631477949494</v>
      </c>
      <c r="I9" s="645">
        <v>0.41160631477949489</v>
      </c>
      <c r="J9" s="645">
        <v>0.41160631477949478</v>
      </c>
      <c r="K9" s="645">
        <v>0.41160631477949489</v>
      </c>
      <c r="L9" s="645">
        <v>0.41160631477949489</v>
      </c>
    </row>
    <row r="10" spans="1:12" ht="12.75" customHeight="1">
      <c r="A10" s="642" t="s">
        <v>520</v>
      </c>
      <c r="B10" s="646" t="s">
        <v>521</v>
      </c>
      <c r="C10" s="644">
        <v>7.6250498522701077E-2</v>
      </c>
      <c r="D10" s="645">
        <v>5.6514751782613219E-2</v>
      </c>
      <c r="E10" s="645">
        <v>8.0371393560486629E-2</v>
      </c>
      <c r="F10" s="645">
        <v>7.0246295874533335E-2</v>
      </c>
      <c r="G10" s="645">
        <v>8.8551091468527049E-2</v>
      </c>
      <c r="H10" s="645">
        <v>7.8303620748722408E-2</v>
      </c>
      <c r="I10" s="645">
        <v>7.2780894793212453E-2</v>
      </c>
      <c r="J10" s="645">
        <v>6.8499083930960949E-2</v>
      </c>
      <c r="K10" s="645">
        <v>8.7722344437904151E-2</v>
      </c>
      <c r="L10" s="645">
        <v>8.2829067732408806E-2</v>
      </c>
    </row>
    <row r="11" spans="1:12" ht="12.75" customHeight="1">
      <c r="A11" s="642" t="s">
        <v>522</v>
      </c>
      <c r="B11" s="646" t="s">
        <v>523</v>
      </c>
      <c r="C11" s="644">
        <v>4.4941814228903806E-3</v>
      </c>
      <c r="D11" s="645">
        <v>3.0240864609665193E-3</v>
      </c>
      <c r="E11" s="645">
        <v>4.3720257734649942E-3</v>
      </c>
      <c r="F11" s="645">
        <v>3.5328676632645313E-3</v>
      </c>
      <c r="G11" s="645">
        <v>5.9538857417921675E-3</v>
      </c>
      <c r="H11" s="645">
        <v>4.1607149236978693E-3</v>
      </c>
      <c r="I11" s="645">
        <v>4.121746553975532E-3</v>
      </c>
      <c r="J11" s="645">
        <v>3.9343464783785885E-3</v>
      </c>
      <c r="K11" s="645">
        <v>4.9863189231415242E-3</v>
      </c>
      <c r="L11" s="645">
        <v>6.0585332531113024E-3</v>
      </c>
    </row>
    <row r="12" spans="1:12" ht="12.75" customHeight="1">
      <c r="A12" s="647" t="s">
        <v>524</v>
      </c>
      <c r="B12" s="648" t="s">
        <v>523</v>
      </c>
      <c r="C12" s="649">
        <v>4.4941814228903806E-3</v>
      </c>
      <c r="D12" s="650">
        <v>3.0240864609665193E-3</v>
      </c>
      <c r="E12" s="650">
        <v>4.3720257734649942E-3</v>
      </c>
      <c r="F12" s="650">
        <v>3.5328676632645313E-3</v>
      </c>
      <c r="G12" s="650">
        <v>5.9538857417921675E-3</v>
      </c>
      <c r="H12" s="650">
        <v>4.1607149236978693E-3</v>
      </c>
      <c r="I12" s="650">
        <v>4.121746553975532E-3</v>
      </c>
      <c r="J12" s="650">
        <v>3.9343464783785885E-3</v>
      </c>
      <c r="K12" s="650">
        <v>4.9863189231415242E-3</v>
      </c>
      <c r="L12" s="650">
        <v>6.0585332531113024E-3</v>
      </c>
    </row>
    <row r="13" spans="1:12" s="651" customFormat="1" ht="12.75" customHeight="1">
      <c r="A13" s="642" t="s">
        <v>525</v>
      </c>
      <c r="B13" s="646" t="s">
        <v>526</v>
      </c>
      <c r="C13" s="644">
        <v>3.0075886536818058E-2</v>
      </c>
      <c r="D13" s="645">
        <v>1.877840896404322E-2</v>
      </c>
      <c r="E13" s="645">
        <v>3.4161819066082878E-2</v>
      </c>
      <c r="F13" s="645">
        <v>2.5614777064202111E-2</v>
      </c>
      <c r="G13" s="645">
        <v>3.8256416447726253E-2</v>
      </c>
      <c r="H13" s="645">
        <v>3.206731011490549E-2</v>
      </c>
      <c r="I13" s="645">
        <v>2.687398177681765E-2</v>
      </c>
      <c r="J13" s="645">
        <v>2.7126758968750213E-2</v>
      </c>
      <c r="K13" s="645">
        <v>3.8254658809483311E-2</v>
      </c>
      <c r="L13" s="645">
        <v>3.1909728089612378E-2</v>
      </c>
    </row>
    <row r="14" spans="1:12" ht="12.75" customHeight="1">
      <c r="A14" s="647" t="s">
        <v>527</v>
      </c>
      <c r="B14" s="648" t="s">
        <v>528</v>
      </c>
      <c r="C14" s="649">
        <v>5.6111332556748683E-3</v>
      </c>
      <c r="D14" s="650">
        <v>2.8007322336534701E-3</v>
      </c>
      <c r="E14" s="650">
        <v>5.2951668230053024E-3</v>
      </c>
      <c r="F14" s="650">
        <v>5.4427546805668626E-3</v>
      </c>
      <c r="G14" s="650">
        <v>5.7150187014763341E-3</v>
      </c>
      <c r="H14" s="650">
        <v>5.9734945315958821E-3</v>
      </c>
      <c r="I14" s="650">
        <v>6.0166784122676984E-3</v>
      </c>
      <c r="J14" s="650">
        <v>6.1218600479853308E-3</v>
      </c>
      <c r="K14" s="650">
        <v>5.7198902719470066E-3</v>
      </c>
      <c r="L14" s="650">
        <v>6.6410328795046209E-3</v>
      </c>
    </row>
    <row r="15" spans="1:12" ht="12.75" customHeight="1">
      <c r="A15" s="647" t="s">
        <v>529</v>
      </c>
      <c r="B15" s="648" t="s">
        <v>530</v>
      </c>
      <c r="C15" s="649">
        <v>4.5847064406123929E-3</v>
      </c>
      <c r="D15" s="650">
        <v>2.2884031665217374E-3</v>
      </c>
      <c r="E15" s="650">
        <v>4.3265387456262834E-3</v>
      </c>
      <c r="F15" s="650">
        <v>4.4471288243656069E-3</v>
      </c>
      <c r="G15" s="650">
        <v>4.6695884512062734E-3</v>
      </c>
      <c r="H15" s="650">
        <v>4.8807821172795621E-3</v>
      </c>
      <c r="I15" s="650">
        <v>4.9160665075845831E-3</v>
      </c>
      <c r="J15" s="650">
        <v>5.002007600183136E-3</v>
      </c>
      <c r="K15" s="650">
        <v>4.6735688807371884E-3</v>
      </c>
      <c r="L15" s="650">
        <v>5.4262097917903629E-3</v>
      </c>
    </row>
    <row r="16" spans="1:12" ht="12.75" customHeight="1">
      <c r="A16" s="647" t="s">
        <v>531</v>
      </c>
      <c r="B16" s="648" t="s">
        <v>532</v>
      </c>
      <c r="C16" s="649">
        <v>6.0311134588511006E-3</v>
      </c>
      <c r="D16" s="650">
        <v>6.1364544241705888E-3</v>
      </c>
      <c r="E16" s="650">
        <v>1.0488503064302442E-2</v>
      </c>
      <c r="F16" s="650">
        <v>2.8964991711312657E-3</v>
      </c>
      <c r="G16" s="650">
        <v>1.2470445479964993E-2</v>
      </c>
      <c r="H16" s="650">
        <v>6.4613939757594352E-3</v>
      </c>
      <c r="I16" s="650">
        <v>2.0052297439367402E-3</v>
      </c>
      <c r="J16" s="650">
        <v>1.8601536845999709E-3</v>
      </c>
      <c r="K16" s="650">
        <v>1.2452550040667835E-2</v>
      </c>
      <c r="L16" s="650">
        <v>4.0783373632041417E-3</v>
      </c>
    </row>
    <row r="17" spans="1:12" ht="12.75" customHeight="1">
      <c r="A17" s="647" t="s">
        <v>533</v>
      </c>
      <c r="B17" s="648" t="s">
        <v>534</v>
      </c>
      <c r="C17" s="649">
        <v>1.235288298800828E-3</v>
      </c>
      <c r="D17" s="650">
        <v>1.2568641591674699E-3</v>
      </c>
      <c r="E17" s="650">
        <v>2.1482476155800178E-3</v>
      </c>
      <c r="F17" s="650">
        <v>5.9325886637628337E-4</v>
      </c>
      <c r="G17" s="650">
        <v>2.554187628426565E-3</v>
      </c>
      <c r="H17" s="650">
        <v>1.3234180432278363E-3</v>
      </c>
      <c r="I17" s="650">
        <v>4.1070970658945284E-4</v>
      </c>
      <c r="J17" s="650">
        <v>3.8099533299035552E-4</v>
      </c>
      <c r="K17" s="650">
        <v>2.5505222974861836E-3</v>
      </c>
      <c r="L17" s="650">
        <v>8.3532211053578798E-4</v>
      </c>
    </row>
    <row r="18" spans="1:12" ht="12.75" customHeight="1">
      <c r="A18" s="647" t="s">
        <v>535</v>
      </c>
      <c r="B18" s="648" t="s">
        <v>536</v>
      </c>
      <c r="C18" s="649">
        <v>9.192222366003951E-3</v>
      </c>
      <c r="D18" s="650">
        <v>4.5881914234241813E-3</v>
      </c>
      <c r="E18" s="650">
        <v>8.6746025596387694E-3</v>
      </c>
      <c r="F18" s="650">
        <v>8.9163826677579085E-3</v>
      </c>
      <c r="G18" s="650">
        <v>9.3624086857518815E-3</v>
      </c>
      <c r="H18" s="650">
        <v>9.7858467326550434E-3</v>
      </c>
      <c r="I18" s="650">
        <v>9.8565910574954594E-3</v>
      </c>
      <c r="J18" s="650">
        <v>1.0028900810317433E-2</v>
      </c>
      <c r="K18" s="650">
        <v>9.370389347945705E-3</v>
      </c>
      <c r="L18" s="650">
        <v>1.0879415652196595E-2</v>
      </c>
    </row>
    <row r="19" spans="1:12" ht="12.75" customHeight="1">
      <c r="A19" s="647" t="s">
        <v>537</v>
      </c>
      <c r="B19" s="648" t="s">
        <v>538</v>
      </c>
      <c r="C19" s="649">
        <v>3.4214227168749196E-3</v>
      </c>
      <c r="D19" s="650">
        <v>1.7077635571057744E-3</v>
      </c>
      <c r="E19" s="650">
        <v>3.2287602579300616E-3</v>
      </c>
      <c r="F19" s="650">
        <v>3.3187528540041845E-3</v>
      </c>
      <c r="G19" s="650">
        <v>3.4847675009002034E-3</v>
      </c>
      <c r="H19" s="650">
        <v>3.6423747143877337E-3</v>
      </c>
      <c r="I19" s="650">
        <v>3.6687063489437184E-3</v>
      </c>
      <c r="J19" s="650">
        <v>3.7328414926739821E-3</v>
      </c>
      <c r="K19" s="650">
        <v>3.4877379706993936E-3</v>
      </c>
      <c r="L19" s="650">
        <v>4.0494102923808667E-3</v>
      </c>
    </row>
    <row r="20" spans="1:12" s="651" customFormat="1" ht="12.75" customHeight="1">
      <c r="A20" s="642" t="s">
        <v>539</v>
      </c>
      <c r="B20" s="646" t="s">
        <v>540</v>
      </c>
      <c r="C20" s="644">
        <v>1.0472032301621505E-2</v>
      </c>
      <c r="D20" s="645">
        <v>7.2839533147846455E-3</v>
      </c>
      <c r="E20" s="645">
        <v>1.0268459103766236E-2</v>
      </c>
      <c r="F20" s="645">
        <v>1.0880976299186993E-2</v>
      </c>
      <c r="G20" s="645">
        <v>1.0708613480977375E-2</v>
      </c>
      <c r="H20" s="645">
        <v>1.1154211548155947E-2</v>
      </c>
      <c r="I20" s="645">
        <v>9.6103080070641684E-3</v>
      </c>
      <c r="J20" s="645">
        <v>9.4239687850716496E-3</v>
      </c>
      <c r="K20" s="645">
        <v>1.1057579254981848E-2</v>
      </c>
      <c r="L20" s="645">
        <v>1.221202803552953E-2</v>
      </c>
    </row>
    <row r="21" spans="1:12" ht="12.75" customHeight="1">
      <c r="A21" s="647" t="s">
        <v>541</v>
      </c>
      <c r="B21" s="648" t="s">
        <v>542</v>
      </c>
      <c r="C21" s="649">
        <v>2.4561430334992538E-3</v>
      </c>
      <c r="D21" s="650">
        <v>1.5186587746649192E-3</v>
      </c>
      <c r="E21" s="650">
        <v>2.3266669669822246E-3</v>
      </c>
      <c r="F21" s="650">
        <v>2.2228007238256288E-3</v>
      </c>
      <c r="G21" s="650">
        <v>3.0746613650956293E-3</v>
      </c>
      <c r="H21" s="650">
        <v>2.5298213288470028E-3</v>
      </c>
      <c r="I21" s="650">
        <v>2.3071906966765378E-3</v>
      </c>
      <c r="J21" s="650">
        <v>2.1044890758333151E-3</v>
      </c>
      <c r="K21" s="650">
        <v>2.6906681176518728E-3</v>
      </c>
      <c r="L21" s="650">
        <v>3.0387755041465206E-3</v>
      </c>
    </row>
    <row r="22" spans="1:12" ht="12.75" customHeight="1">
      <c r="A22" s="647" t="s">
        <v>543</v>
      </c>
      <c r="B22" s="648" t="s">
        <v>544</v>
      </c>
      <c r="C22" s="649">
        <v>4.5815160882751137E-3</v>
      </c>
      <c r="D22" s="650">
        <v>2.8327990323978869E-3</v>
      </c>
      <c r="E22" s="650">
        <v>4.3400005601874738E-3</v>
      </c>
      <c r="F22" s="650">
        <v>4.1462557914340526E-3</v>
      </c>
      <c r="G22" s="650">
        <v>5.7352565864677791E-3</v>
      </c>
      <c r="H22" s="650">
        <v>4.7189503870469877E-3</v>
      </c>
      <c r="I22" s="650">
        <v>4.3036708983851752E-3</v>
      </c>
      <c r="J22" s="650">
        <v>3.9255655827148666E-3</v>
      </c>
      <c r="K22" s="650">
        <v>5.0189826492589382E-3</v>
      </c>
      <c r="L22" s="650">
        <v>5.6683176309437972E-3</v>
      </c>
    </row>
    <row r="23" spans="1:12" ht="12.75" customHeight="1">
      <c r="A23" s="647" t="s">
        <v>545</v>
      </c>
      <c r="B23" s="648" t="s">
        <v>546</v>
      </c>
      <c r="C23" s="649">
        <v>2.5895173776047408E-3</v>
      </c>
      <c r="D23" s="650">
        <v>2.2111016128222665E-3</v>
      </c>
      <c r="E23" s="650">
        <v>2.7157508487537885E-3</v>
      </c>
      <c r="F23" s="650">
        <v>3.4019875170811934E-3</v>
      </c>
      <c r="G23" s="650">
        <v>1.431616429178132E-3</v>
      </c>
      <c r="H23" s="650">
        <v>2.9447016335255138E-3</v>
      </c>
      <c r="I23" s="650">
        <v>2.2615825946498526E-3</v>
      </c>
      <c r="J23" s="650">
        <v>2.5590112513986943E-3</v>
      </c>
      <c r="K23" s="650">
        <v>2.5243380800055622E-3</v>
      </c>
      <c r="L23" s="650">
        <v>2.6427209149311654E-3</v>
      </c>
    </row>
    <row r="24" spans="1:12" s="651" customFormat="1" ht="12.75" customHeight="1">
      <c r="A24" s="647" t="s">
        <v>547</v>
      </c>
      <c r="B24" s="648" t="s">
        <v>548</v>
      </c>
      <c r="C24" s="649">
        <v>8.4485580224239539E-4</v>
      </c>
      <c r="D24" s="650">
        <v>7.2139389489957228E-4</v>
      </c>
      <c r="E24" s="650">
        <v>8.8604072784274782E-4</v>
      </c>
      <c r="F24" s="650">
        <v>1.1099322668461189E-3</v>
      </c>
      <c r="G24" s="650">
        <v>4.6707910023583609E-4</v>
      </c>
      <c r="H24" s="650">
        <v>9.6073819873644087E-4</v>
      </c>
      <c r="I24" s="650">
        <v>7.378638173526045E-4</v>
      </c>
      <c r="J24" s="650">
        <v>8.3490287512477288E-4</v>
      </c>
      <c r="K24" s="650">
        <v>8.235904080654752E-4</v>
      </c>
      <c r="L24" s="650">
        <v>8.6221398550804607E-4</v>
      </c>
    </row>
    <row r="25" spans="1:12" s="651" customFormat="1" ht="12.75" customHeight="1">
      <c r="A25" s="642" t="s">
        <v>549</v>
      </c>
      <c r="B25" s="646" t="s">
        <v>550</v>
      </c>
      <c r="C25" s="644">
        <v>1.676557964152885E-2</v>
      </c>
      <c r="D25" s="645">
        <v>1.6763785127075801E-2</v>
      </c>
      <c r="E25" s="645">
        <v>1.6751599735206117E-2</v>
      </c>
      <c r="F25" s="645">
        <v>1.6775130010992772E-2</v>
      </c>
      <c r="G25" s="645">
        <v>1.6544020693724831E-2</v>
      </c>
      <c r="H25" s="645">
        <v>1.6738668807772968E-2</v>
      </c>
      <c r="I25" s="645">
        <v>1.7484262992045144E-2</v>
      </c>
      <c r="J25" s="645">
        <v>1.6364294434478604E-2</v>
      </c>
      <c r="K25" s="645">
        <v>1.7777608767636992E-2</v>
      </c>
      <c r="L25" s="645">
        <v>1.595035691320687E-2</v>
      </c>
    </row>
    <row r="26" spans="1:12" ht="12.75" customHeight="1">
      <c r="A26" s="647" t="s">
        <v>551</v>
      </c>
      <c r="B26" s="648" t="s">
        <v>552</v>
      </c>
      <c r="C26" s="649">
        <v>2.8575179503115404E-3</v>
      </c>
      <c r="D26" s="650">
        <v>3.6681199417293452E-3</v>
      </c>
      <c r="E26" s="650">
        <v>2.5709210094436259E-3</v>
      </c>
      <c r="F26" s="650">
        <v>2.4867615945831133E-3</v>
      </c>
      <c r="G26" s="650">
        <v>2.6377721976145125E-3</v>
      </c>
      <c r="H26" s="650">
        <v>2.3882852803341552E-3</v>
      </c>
      <c r="I26" s="650">
        <v>3.2544642258440456E-3</v>
      </c>
      <c r="J26" s="650">
        <v>3.0822220740600575E-3</v>
      </c>
      <c r="K26" s="650">
        <v>3.0517170957288352E-3</v>
      </c>
      <c r="L26" s="650">
        <v>2.8334623577934166E-3</v>
      </c>
    </row>
    <row r="27" spans="1:12" ht="12.75" customHeight="1">
      <c r="A27" s="647" t="s">
        <v>553</v>
      </c>
      <c r="B27" s="648" t="s">
        <v>554</v>
      </c>
      <c r="C27" s="649">
        <v>8.2018489057219298E-4</v>
      </c>
      <c r="D27" s="650">
        <v>8.9829111916024044E-4</v>
      </c>
      <c r="E27" s="650">
        <v>5.5796415376973304E-4</v>
      </c>
      <c r="F27" s="650">
        <v>8.6197340036283656E-4</v>
      </c>
      <c r="G27" s="650">
        <v>7.2676782038380051E-4</v>
      </c>
      <c r="H27" s="650">
        <v>6.3925709627358661E-4</v>
      </c>
      <c r="I27" s="650">
        <v>7.7566774959927768E-4</v>
      </c>
      <c r="J27" s="650">
        <v>8.4699473219608979E-4</v>
      </c>
      <c r="K27" s="650">
        <v>9.1698615848599641E-4</v>
      </c>
      <c r="L27" s="650">
        <v>1.0014877205363885E-3</v>
      </c>
    </row>
    <row r="28" spans="1:12" ht="12.75" customHeight="1">
      <c r="A28" s="647" t="s">
        <v>555</v>
      </c>
      <c r="B28" s="648" t="s">
        <v>556</v>
      </c>
      <c r="C28" s="649">
        <v>8.8738939934060439E-3</v>
      </c>
      <c r="D28" s="650">
        <v>5.4218766369498557E-3</v>
      </c>
      <c r="E28" s="650">
        <v>9.7123803525891884E-3</v>
      </c>
      <c r="F28" s="650">
        <v>8.8622429025934837E-3</v>
      </c>
      <c r="G28" s="650">
        <v>9.386017806093756E-3</v>
      </c>
      <c r="H28" s="650">
        <v>1.0124342589958233E-2</v>
      </c>
      <c r="I28" s="650">
        <v>9.1737325880367846E-3</v>
      </c>
      <c r="J28" s="650">
        <v>8.8763977763426857E-3</v>
      </c>
      <c r="K28" s="650">
        <v>9.5407553982400934E-3</v>
      </c>
      <c r="L28" s="650">
        <v>8.6726795880113106E-3</v>
      </c>
    </row>
    <row r="29" spans="1:12" ht="12.75" customHeight="1">
      <c r="A29" s="647" t="s">
        <v>557</v>
      </c>
      <c r="B29" s="648" t="s">
        <v>558</v>
      </c>
      <c r="C29" s="649">
        <v>3.4058087197536626E-4</v>
      </c>
      <c r="D29" s="650">
        <v>5.7859917488563945E-4</v>
      </c>
      <c r="E29" s="650">
        <v>4.2938811759182918E-4</v>
      </c>
      <c r="F29" s="650">
        <v>2.8670348070944574E-4</v>
      </c>
      <c r="G29" s="650">
        <v>9.2425909718667567E-5</v>
      </c>
      <c r="H29" s="650">
        <v>3.9333368643461124E-4</v>
      </c>
      <c r="I29" s="650">
        <v>1.9642542408622107E-4</v>
      </c>
      <c r="J29" s="650">
        <v>4.6731496548474275E-4</v>
      </c>
      <c r="K29" s="650">
        <v>3.9308645150503395E-4</v>
      </c>
      <c r="L29" s="650">
        <v>3.2556655047599606E-4</v>
      </c>
    </row>
    <row r="30" spans="1:12" s="651" customFormat="1" ht="12.75" customHeight="1">
      <c r="A30" s="647" t="s">
        <v>559</v>
      </c>
      <c r="B30" s="648" t="s">
        <v>560</v>
      </c>
      <c r="C30" s="649">
        <v>2.9357058681805078E-3</v>
      </c>
      <c r="D30" s="650">
        <v>4.4516642030089249E-3</v>
      </c>
      <c r="E30" s="650">
        <v>2.6732554454834373E-3</v>
      </c>
      <c r="F30" s="650">
        <v>2.5799181936780862E-3</v>
      </c>
      <c r="G30" s="650">
        <v>3.1676326876470097E-3</v>
      </c>
      <c r="H30" s="650">
        <v>2.4899775847248597E-3</v>
      </c>
      <c r="I30" s="650">
        <v>3.5024685677157072E-3</v>
      </c>
      <c r="J30" s="650">
        <v>2.2218125393581134E-3</v>
      </c>
      <c r="K30" s="650">
        <v>3.1285643282654815E-3</v>
      </c>
      <c r="L30" s="650">
        <v>2.5405234371785909E-3</v>
      </c>
    </row>
    <row r="31" spans="1:12" ht="12.75" customHeight="1">
      <c r="A31" s="647" t="s">
        <v>561</v>
      </c>
      <c r="B31" s="648" t="s">
        <v>562</v>
      </c>
      <c r="C31" s="652">
        <v>9.3769606708320283E-4</v>
      </c>
      <c r="D31" s="650">
        <v>1.7452340513417939E-3</v>
      </c>
      <c r="E31" s="650">
        <v>8.0769065632830552E-4</v>
      </c>
      <c r="F31" s="650">
        <v>1.6975304390658057E-3</v>
      </c>
      <c r="G31" s="650">
        <v>5.3340427226708661E-4</v>
      </c>
      <c r="H31" s="650">
        <v>7.0347257004752352E-4</v>
      </c>
      <c r="I31" s="650">
        <v>5.8150443676310555E-4</v>
      </c>
      <c r="J31" s="650">
        <v>8.6955234703691559E-4</v>
      </c>
      <c r="K31" s="650">
        <v>7.4649933541155017E-4</v>
      </c>
      <c r="L31" s="650">
        <v>5.7663725921116616E-4</v>
      </c>
    </row>
    <row r="32" spans="1:12" s="651" customFormat="1" ht="12.75" customHeight="1">
      <c r="A32" s="642" t="s">
        <v>563</v>
      </c>
      <c r="B32" s="646" t="s">
        <v>564</v>
      </c>
      <c r="C32" s="644">
        <v>1.4442818619842278E-2</v>
      </c>
      <c r="D32" s="645">
        <v>1.0664517915743039E-2</v>
      </c>
      <c r="E32" s="645">
        <v>1.4817489881966402E-2</v>
      </c>
      <c r="F32" s="645">
        <v>1.3442544836886929E-2</v>
      </c>
      <c r="G32" s="645">
        <v>1.7088155104306418E-2</v>
      </c>
      <c r="H32" s="645">
        <v>1.4182715354190125E-2</v>
      </c>
      <c r="I32" s="645">
        <v>1.469059546330995E-2</v>
      </c>
      <c r="J32" s="645">
        <v>1.16497152642819E-2</v>
      </c>
      <c r="K32" s="645">
        <v>1.5646178682660484E-2</v>
      </c>
      <c r="L32" s="645">
        <v>1.6698421440948734E-2</v>
      </c>
    </row>
    <row r="33" spans="1:12" ht="12.75" customHeight="1">
      <c r="A33" s="647" t="s">
        <v>565</v>
      </c>
      <c r="B33" s="648" t="s">
        <v>566</v>
      </c>
      <c r="C33" s="649">
        <v>4.9315999222829037E-3</v>
      </c>
      <c r="D33" s="650">
        <v>3.0318986370584818E-3</v>
      </c>
      <c r="E33" s="650">
        <v>4.4984206576239062E-3</v>
      </c>
      <c r="F33" s="650">
        <v>4.8000711596376637E-3</v>
      </c>
      <c r="G33" s="650">
        <v>5.0174195228037625E-3</v>
      </c>
      <c r="H33" s="650">
        <v>4.3054311949215166E-3</v>
      </c>
      <c r="I33" s="650">
        <v>4.9048236450134957E-3</v>
      </c>
      <c r="J33" s="650">
        <v>4.4912293246018951E-3</v>
      </c>
      <c r="K33" s="650">
        <v>6.3083557178713473E-3</v>
      </c>
      <c r="L33" s="650">
        <v>6.2062455424481073E-3</v>
      </c>
    </row>
    <row r="34" spans="1:12" ht="12.75" customHeight="1">
      <c r="A34" s="647" t="s">
        <v>567</v>
      </c>
      <c r="B34" s="648" t="s">
        <v>568</v>
      </c>
      <c r="C34" s="649">
        <v>4.215175728417056E-4</v>
      </c>
      <c r="D34" s="650">
        <v>1.9418784686409666E-4</v>
      </c>
      <c r="E34" s="650">
        <v>3.1412799395171383E-4</v>
      </c>
      <c r="F34" s="650">
        <v>3.2718372914478198E-4</v>
      </c>
      <c r="G34" s="650">
        <v>4.1818684451139297E-4</v>
      </c>
      <c r="H34" s="650">
        <v>4.9866695967172028E-4</v>
      </c>
      <c r="I34" s="650">
        <v>4.9018745565354604E-4</v>
      </c>
      <c r="J34" s="650">
        <v>3.888505889298716E-4</v>
      </c>
      <c r="K34" s="650">
        <v>3.4468723265094272E-4</v>
      </c>
      <c r="L34" s="650">
        <v>6.6072624766261865E-4</v>
      </c>
    </row>
    <row r="35" spans="1:12" ht="12.75" customHeight="1">
      <c r="A35" s="647" t="s">
        <v>569</v>
      </c>
      <c r="B35" s="648" t="s">
        <v>570</v>
      </c>
      <c r="C35" s="649">
        <v>6.0653523974008097E-3</v>
      </c>
      <c r="D35" s="650">
        <v>4.3708000512802363E-3</v>
      </c>
      <c r="E35" s="650">
        <v>6.8829065686457315E-3</v>
      </c>
      <c r="F35" s="650">
        <v>5.0342179823408819E-3</v>
      </c>
      <c r="G35" s="650">
        <v>8.2591253776721774E-3</v>
      </c>
      <c r="H35" s="650">
        <v>6.2452552712111186E-3</v>
      </c>
      <c r="I35" s="650">
        <v>6.0301229385824346E-3</v>
      </c>
      <c r="J35" s="650">
        <v>4.3178771211494675E-3</v>
      </c>
      <c r="K35" s="650">
        <v>6.6934643435181945E-3</v>
      </c>
      <c r="L35" s="650">
        <v>6.862254505321551E-3</v>
      </c>
    </row>
    <row r="36" spans="1:12" ht="12.75" customHeight="1">
      <c r="A36" s="647" t="s">
        <v>571</v>
      </c>
      <c r="B36" s="648" t="s">
        <v>572</v>
      </c>
      <c r="C36" s="649">
        <v>1.1479868757777885E-3</v>
      </c>
      <c r="D36" s="650">
        <v>1.6771917273508505E-3</v>
      </c>
      <c r="E36" s="650">
        <v>9.8765623604970794E-4</v>
      </c>
      <c r="F36" s="650">
        <v>1.2975909513888199E-3</v>
      </c>
      <c r="G36" s="650">
        <v>9.0852090890223517E-4</v>
      </c>
      <c r="H36" s="650">
        <v>1.0463723839192988E-3</v>
      </c>
      <c r="I36" s="650">
        <v>1.1214036413260272E-3</v>
      </c>
      <c r="J36" s="650">
        <v>8.2429610207944448E-4</v>
      </c>
      <c r="K36" s="650">
        <v>5.9482256864404901E-4</v>
      </c>
      <c r="L36" s="650">
        <v>1.5075027308688593E-3</v>
      </c>
    </row>
    <row r="37" spans="1:12" s="651" customFormat="1" ht="12.75" customHeight="1">
      <c r="A37" s="647" t="s">
        <v>573</v>
      </c>
      <c r="B37" s="648" t="s">
        <v>574</v>
      </c>
      <c r="C37" s="652">
        <v>3.7804722501017727E-4</v>
      </c>
      <c r="D37" s="650">
        <v>2.0953157540811398E-4</v>
      </c>
      <c r="E37" s="650">
        <v>7.2932630052733574E-4</v>
      </c>
      <c r="F37" s="650">
        <v>2.5829288500166372E-4</v>
      </c>
      <c r="G37" s="650">
        <v>8.7856651001953117E-4</v>
      </c>
      <c r="H37" s="650">
        <v>3.1129504700882116E-4</v>
      </c>
      <c r="I37" s="650">
        <v>4.2712554198978274E-4</v>
      </c>
      <c r="J37" s="650">
        <v>2.0001278330476356E-4</v>
      </c>
      <c r="K37" s="650">
        <v>3.3433312007920203E-4</v>
      </c>
      <c r="L37" s="650">
        <v>2.8012034582543764E-4</v>
      </c>
    </row>
    <row r="38" spans="1:12" s="651" customFormat="1" ht="12.6" customHeight="1">
      <c r="A38" s="647" t="s">
        <v>575</v>
      </c>
      <c r="B38" s="648" t="s">
        <v>576</v>
      </c>
      <c r="C38" s="649">
        <v>3.7627378637215901E-4</v>
      </c>
      <c r="D38" s="650">
        <v>3.2672461025570575E-4</v>
      </c>
      <c r="E38" s="650">
        <v>6.1928286815674818E-4</v>
      </c>
      <c r="F38" s="650">
        <v>3.2887583576917442E-4</v>
      </c>
      <c r="G38" s="650">
        <v>3.1460139531869289E-4</v>
      </c>
      <c r="H38" s="650">
        <v>6.3502191062889937E-4</v>
      </c>
      <c r="I38" s="650">
        <v>2.0676345791789991E-4</v>
      </c>
      <c r="J38" s="650">
        <v>4.4133434970211052E-4</v>
      </c>
      <c r="K38" s="650">
        <v>3.7371961262763011E-4</v>
      </c>
      <c r="L38" s="650">
        <v>2.754130683310161E-4</v>
      </c>
    </row>
    <row r="39" spans="1:12" ht="12.75" customHeight="1">
      <c r="A39" s="647" t="s">
        <v>577</v>
      </c>
      <c r="B39" s="648" t="s">
        <v>578</v>
      </c>
      <c r="C39" s="649">
        <v>1.1220408401567353E-3</v>
      </c>
      <c r="D39" s="650">
        <v>8.5418346752555387E-4</v>
      </c>
      <c r="E39" s="650">
        <v>7.8576925701125697E-4</v>
      </c>
      <c r="F39" s="650">
        <v>1.3963122936039422E-3</v>
      </c>
      <c r="G39" s="650">
        <v>1.2917345450786267E-3</v>
      </c>
      <c r="H39" s="650">
        <v>1.1406725868287483E-3</v>
      </c>
      <c r="I39" s="650">
        <v>1.5101687828267623E-3</v>
      </c>
      <c r="J39" s="650">
        <v>9.8611499451434627E-4</v>
      </c>
      <c r="K39" s="650">
        <v>9.9679608726911976E-4</v>
      </c>
      <c r="L39" s="650">
        <v>9.061590004911422E-4</v>
      </c>
    </row>
    <row r="40" spans="1:12" s="651" customFormat="1" ht="12.75" customHeight="1">
      <c r="A40" s="642" t="s">
        <v>579</v>
      </c>
      <c r="B40" s="646" t="s">
        <v>580</v>
      </c>
      <c r="C40" s="644">
        <v>0.10723410804417451</v>
      </c>
      <c r="D40" s="645">
        <v>0.11106652635625157</v>
      </c>
      <c r="E40" s="645">
        <v>0.10076650299882955</v>
      </c>
      <c r="F40" s="645">
        <v>0.11075360353690988</v>
      </c>
      <c r="G40" s="645">
        <v>9.3987639779615828E-2</v>
      </c>
      <c r="H40" s="645">
        <v>0.11387368977892046</v>
      </c>
      <c r="I40" s="645">
        <v>0.10810192631507369</v>
      </c>
      <c r="J40" s="645">
        <v>0.12266781015579764</v>
      </c>
      <c r="K40" s="645">
        <v>0.10555615044523983</v>
      </c>
      <c r="L40" s="645">
        <v>9.947299252528885E-2</v>
      </c>
    </row>
    <row r="41" spans="1:12" s="651" customFormat="1" ht="12.75" customHeight="1">
      <c r="A41" s="642" t="s">
        <v>581</v>
      </c>
      <c r="B41" s="646" t="s">
        <v>582</v>
      </c>
      <c r="C41" s="644">
        <v>3.948549404658613E-3</v>
      </c>
      <c r="D41" s="645">
        <v>7.3503935599001299E-3</v>
      </c>
      <c r="E41" s="645">
        <v>2.2122673232172173E-3</v>
      </c>
      <c r="F41" s="645">
        <v>3.87487494142859E-3</v>
      </c>
      <c r="G41" s="645">
        <v>1.806402646022627E-3</v>
      </c>
      <c r="H41" s="645">
        <v>4.9653122877107705E-3</v>
      </c>
      <c r="I41" s="645">
        <v>6.5560230120487424E-3</v>
      </c>
      <c r="J41" s="645">
        <v>5.7124409303584136E-3</v>
      </c>
      <c r="K41" s="645">
        <v>1.3647169882088168E-3</v>
      </c>
      <c r="L41" s="645">
        <v>2.0549179196032085E-3</v>
      </c>
    </row>
    <row r="42" spans="1:12" s="651" customFormat="1" ht="12.6" customHeight="1">
      <c r="A42" s="647" t="s">
        <v>583</v>
      </c>
      <c r="B42" s="648" t="s">
        <v>584</v>
      </c>
      <c r="C42" s="649">
        <v>2.1517794041673098E-3</v>
      </c>
      <c r="D42" s="650">
        <v>1.5845398979648215E-3</v>
      </c>
      <c r="E42" s="650">
        <v>5.430873414820071E-4</v>
      </c>
      <c r="F42" s="650">
        <v>2.1305485359334954E-3</v>
      </c>
      <c r="G42" s="650">
        <v>1.4804930347464187E-3</v>
      </c>
      <c r="H42" s="650">
        <v>4.5898251350043493E-3</v>
      </c>
      <c r="I42" s="650">
        <v>2.6833441776513496E-3</v>
      </c>
      <c r="J42" s="650">
        <v>5.2152384532644005E-3</v>
      </c>
      <c r="K42" s="650">
        <v>4.6751551093291712E-4</v>
      </c>
      <c r="L42" s="650">
        <v>8.7143060852330344E-4</v>
      </c>
    </row>
    <row r="43" spans="1:12" ht="12.75" customHeight="1">
      <c r="A43" s="647" t="s">
        <v>585</v>
      </c>
      <c r="B43" s="648" t="s">
        <v>586</v>
      </c>
      <c r="C43" s="649">
        <v>5.9759911596305479E-4</v>
      </c>
      <c r="D43" s="650">
        <v>1.6941056119753107E-4</v>
      </c>
      <c r="E43" s="650">
        <v>1.6247631416799191E-4</v>
      </c>
      <c r="F43" s="650">
        <v>1.018003391977161E-3</v>
      </c>
      <c r="G43" s="650">
        <v>1.3451504843087884E-4</v>
      </c>
      <c r="H43" s="650">
        <v>4.4815519352109445E-5</v>
      </c>
      <c r="I43" s="650">
        <v>1.9671560475067406E-3</v>
      </c>
      <c r="J43" s="650">
        <v>1.3408621014311705E-4</v>
      </c>
      <c r="K43" s="650">
        <v>3.3066652806933741E-4</v>
      </c>
      <c r="L43" s="650">
        <v>7.152806301241331E-4</v>
      </c>
    </row>
    <row r="44" spans="1:12" ht="12.75" customHeight="1">
      <c r="A44" s="647" t="s">
        <v>587</v>
      </c>
      <c r="B44" s="648" t="s">
        <v>588</v>
      </c>
      <c r="C44" s="649">
        <v>1.1991708845282487E-3</v>
      </c>
      <c r="D44" s="650">
        <v>5.5964431007377771E-3</v>
      </c>
      <c r="E44" s="650">
        <v>1.5067036675672186E-3</v>
      </c>
      <c r="F44" s="650">
        <v>7.2632301351793381E-4</v>
      </c>
      <c r="G44" s="650">
        <v>1.9139456284532913E-4</v>
      </c>
      <c r="H44" s="650">
        <v>3.3067163335431159E-4</v>
      </c>
      <c r="I44" s="650">
        <v>1.905522786890652E-3</v>
      </c>
      <c r="J44" s="650">
        <v>3.6311626695089636E-4</v>
      </c>
      <c r="K44" s="650">
        <v>5.6653494920656225E-4</v>
      </c>
      <c r="L44" s="650">
        <v>4.6820668095577195E-4</v>
      </c>
    </row>
    <row r="45" spans="1:12" s="651" customFormat="1" ht="12.75" customHeight="1">
      <c r="A45" s="642" t="s">
        <v>589</v>
      </c>
      <c r="B45" s="646" t="s">
        <v>590</v>
      </c>
      <c r="C45" s="644">
        <v>3.0123991646018752E-2</v>
      </c>
      <c r="D45" s="645">
        <v>2.9102303975449242E-2</v>
      </c>
      <c r="E45" s="645">
        <v>2.8804797774497178E-2</v>
      </c>
      <c r="F45" s="645">
        <v>2.9820608949147842E-2</v>
      </c>
      <c r="G45" s="645">
        <v>3.4261641706919005E-2</v>
      </c>
      <c r="H45" s="645">
        <v>3.2522711637622125E-2</v>
      </c>
      <c r="I45" s="645">
        <v>3.4079682212785692E-2</v>
      </c>
      <c r="J45" s="645">
        <v>3.5349483331606528E-2</v>
      </c>
      <c r="K45" s="645">
        <v>2.8039582507731624E-2</v>
      </c>
      <c r="L45" s="645">
        <v>2.3071507831762081E-2</v>
      </c>
    </row>
    <row r="46" spans="1:12" s="651" customFormat="1" ht="12.75" customHeight="1">
      <c r="A46" s="647" t="s">
        <v>591</v>
      </c>
      <c r="B46" s="648" t="s">
        <v>592</v>
      </c>
      <c r="C46" s="649">
        <v>1.8002297532567785E-2</v>
      </c>
      <c r="D46" s="650">
        <v>7.8321946540005558E-3</v>
      </c>
      <c r="E46" s="650">
        <v>9.9576233759976138E-3</v>
      </c>
      <c r="F46" s="650">
        <v>1.9929355756780315E-2</v>
      </c>
      <c r="G46" s="650">
        <v>2.9805745874455742E-2</v>
      </c>
      <c r="H46" s="650">
        <v>2.7671362119910035E-2</v>
      </c>
      <c r="I46" s="650">
        <v>1.4747256714649805E-2</v>
      </c>
      <c r="J46" s="650">
        <v>3.0279346699586058E-2</v>
      </c>
      <c r="K46" s="650">
        <v>1.4060728564656361E-2</v>
      </c>
      <c r="L46" s="650">
        <v>1.0051879562616845E-2</v>
      </c>
    </row>
    <row r="47" spans="1:12" ht="12.75" customHeight="1">
      <c r="A47" s="647" t="s">
        <v>593</v>
      </c>
      <c r="B47" s="648" t="s">
        <v>594</v>
      </c>
      <c r="C47" s="649">
        <v>3.05487513010242E-3</v>
      </c>
      <c r="D47" s="650">
        <v>1.85769286144944E-3</v>
      </c>
      <c r="E47" s="650">
        <v>4.4285693669064777E-3</v>
      </c>
      <c r="F47" s="650">
        <v>2.4477331022020191E-3</v>
      </c>
      <c r="G47" s="650">
        <v>9.0912833058804244E-4</v>
      </c>
      <c r="H47" s="650">
        <v>6.7217826477018879E-4</v>
      </c>
      <c r="I47" s="650">
        <v>4.7941498521048486E-3</v>
      </c>
      <c r="J47" s="650">
        <v>8.3854926937578639E-4</v>
      </c>
      <c r="K47" s="650">
        <v>2.1378478980180124E-3</v>
      </c>
      <c r="L47" s="650">
        <v>7.2800836946882086E-3</v>
      </c>
    </row>
    <row r="48" spans="1:12" ht="12.75" customHeight="1">
      <c r="A48" s="647" t="s">
        <v>595</v>
      </c>
      <c r="B48" s="648" t="s">
        <v>596</v>
      </c>
      <c r="C48" s="649">
        <v>9.0668189833485492E-3</v>
      </c>
      <c r="D48" s="650">
        <v>1.9412416459999249E-2</v>
      </c>
      <c r="E48" s="650">
        <v>1.4418605031593087E-2</v>
      </c>
      <c r="F48" s="650">
        <v>7.4435200901655134E-3</v>
      </c>
      <c r="G48" s="650">
        <v>3.5467675018752273E-3</v>
      </c>
      <c r="H48" s="650">
        <v>4.1791712529418998E-3</v>
      </c>
      <c r="I48" s="650">
        <v>1.4538275646031036E-2</v>
      </c>
      <c r="J48" s="650">
        <v>4.2315873626446775E-3</v>
      </c>
      <c r="K48" s="650">
        <v>1.1841006045057249E-2</v>
      </c>
      <c r="L48" s="650">
        <v>5.739544574457028E-3</v>
      </c>
    </row>
    <row r="49" spans="1:12" s="651" customFormat="1" ht="12.75" customHeight="1">
      <c r="A49" s="642" t="s">
        <v>597</v>
      </c>
      <c r="B49" s="646" t="s">
        <v>598</v>
      </c>
      <c r="C49" s="644">
        <v>2.4957767011106493E-2</v>
      </c>
      <c r="D49" s="645">
        <v>3.5067326925052322E-2</v>
      </c>
      <c r="E49" s="645">
        <v>2.4716820840657967E-2</v>
      </c>
      <c r="F49" s="645">
        <v>2.9153885154920546E-2</v>
      </c>
      <c r="G49" s="645">
        <v>1.4131828868809046E-2</v>
      </c>
      <c r="H49" s="645">
        <v>2.6390007036939608E-2</v>
      </c>
      <c r="I49" s="645">
        <v>2.4834775631807297E-2</v>
      </c>
      <c r="J49" s="645">
        <v>2.9508954169617588E-2</v>
      </c>
      <c r="K49" s="645">
        <v>2.0546120707545659E-2</v>
      </c>
      <c r="L49" s="645">
        <v>2.0540836191373941E-2</v>
      </c>
    </row>
    <row r="50" spans="1:12" s="651" customFormat="1" ht="12.75" customHeight="1">
      <c r="A50" s="647" t="s">
        <v>599</v>
      </c>
      <c r="B50" s="648" t="s">
        <v>600</v>
      </c>
      <c r="C50" s="649">
        <v>5.3712682785197483E-3</v>
      </c>
      <c r="D50" s="650">
        <v>4.3032439931203516E-3</v>
      </c>
      <c r="E50" s="650">
        <v>3.7605658883970773E-3</v>
      </c>
      <c r="F50" s="650">
        <v>7.3629041923050564E-3</v>
      </c>
      <c r="G50" s="650">
        <v>2.103822126151482E-3</v>
      </c>
      <c r="H50" s="650">
        <v>8.1521281343345416E-3</v>
      </c>
      <c r="I50" s="650">
        <v>6.3271056973967545E-3</v>
      </c>
      <c r="J50" s="650">
        <v>1.3607021780525084E-2</v>
      </c>
      <c r="K50" s="650">
        <v>1.9515780769050048E-3</v>
      </c>
      <c r="L50" s="650">
        <v>1.7151718022511298E-3</v>
      </c>
    </row>
    <row r="51" spans="1:12" ht="12.75" customHeight="1">
      <c r="A51" s="647" t="s">
        <v>601</v>
      </c>
      <c r="B51" s="648" t="s">
        <v>602</v>
      </c>
      <c r="C51" s="649">
        <v>9.3035868979787027E-3</v>
      </c>
      <c r="D51" s="650">
        <v>1.4612939392667685E-2</v>
      </c>
      <c r="E51" s="650">
        <v>9.9542211023239211E-3</v>
      </c>
      <c r="F51" s="650">
        <v>1.0350715957242358E-2</v>
      </c>
      <c r="G51" s="650">
        <v>5.7133032027623428E-3</v>
      </c>
      <c r="H51" s="650">
        <v>8.6629924787374069E-3</v>
      </c>
      <c r="I51" s="650">
        <v>8.7911432188450076E-3</v>
      </c>
      <c r="J51" s="650">
        <v>7.5534178848189375E-3</v>
      </c>
      <c r="K51" s="650">
        <v>8.8324077495543114E-3</v>
      </c>
      <c r="L51" s="650">
        <v>8.9421905848333354E-3</v>
      </c>
    </row>
    <row r="52" spans="1:12" ht="12.75" customHeight="1">
      <c r="A52" s="647" t="s">
        <v>603</v>
      </c>
      <c r="B52" s="648" t="s">
        <v>604</v>
      </c>
      <c r="C52" s="649">
        <v>8.3242619613493642E-3</v>
      </c>
      <c r="D52" s="650">
        <v>1.3074735246071089E-2</v>
      </c>
      <c r="E52" s="650">
        <v>8.9064083547108763E-3</v>
      </c>
      <c r="F52" s="650">
        <v>9.2611669091115841E-3</v>
      </c>
      <c r="G52" s="650">
        <v>5.1119028656294654E-3</v>
      </c>
      <c r="H52" s="650">
        <v>7.7510985336071555E-3</v>
      </c>
      <c r="I52" s="650">
        <v>7.8657597221244799E-3</v>
      </c>
      <c r="J52" s="650">
        <v>6.7583212653643141E-3</v>
      </c>
      <c r="K52" s="650">
        <v>7.9026806180222779E-3</v>
      </c>
      <c r="L52" s="650">
        <v>8.0009073653771953E-3</v>
      </c>
    </row>
    <row r="53" spans="1:12" ht="12.75" customHeight="1">
      <c r="A53" s="647" t="s">
        <v>605</v>
      </c>
      <c r="B53" s="648" t="s">
        <v>606</v>
      </c>
      <c r="C53" s="649">
        <v>1.9586498732586744E-3</v>
      </c>
      <c r="D53" s="650">
        <v>3.0764082931931972E-3</v>
      </c>
      <c r="E53" s="650">
        <v>2.0956254952260887E-3</v>
      </c>
      <c r="F53" s="650">
        <v>2.1790980962615491E-3</v>
      </c>
      <c r="G53" s="650">
        <v>1.2028006742657567E-3</v>
      </c>
      <c r="H53" s="650">
        <v>1.8237878902605071E-3</v>
      </c>
      <c r="I53" s="650">
        <v>1.8507669934410542E-3</v>
      </c>
      <c r="J53" s="650">
        <v>1.5901932389092506E-3</v>
      </c>
      <c r="K53" s="650">
        <v>1.8594542630640655E-3</v>
      </c>
      <c r="L53" s="650">
        <v>1.8825664389122811E-3</v>
      </c>
    </row>
    <row r="54" spans="1:12" s="651" customFormat="1" ht="12.75" customHeight="1">
      <c r="A54" s="642" t="s">
        <v>607</v>
      </c>
      <c r="B54" s="646" t="s">
        <v>608</v>
      </c>
      <c r="C54" s="644">
        <v>3.8236212032102708E-2</v>
      </c>
      <c r="D54" s="645">
        <v>3.2559844828659597E-2</v>
      </c>
      <c r="E54" s="645">
        <v>3.7083634446943355E-2</v>
      </c>
      <c r="F54" s="645">
        <v>3.9181249164743262E-2</v>
      </c>
      <c r="G54" s="645">
        <v>3.598270209515312E-2</v>
      </c>
      <c r="H54" s="645">
        <v>3.9829153540384625E-2</v>
      </c>
      <c r="I54" s="645">
        <v>3.3614402085346821E-2</v>
      </c>
      <c r="J54" s="645">
        <v>3.7893702186816154E-2</v>
      </c>
      <c r="K54" s="645">
        <v>4.3671452389141018E-2</v>
      </c>
      <c r="L54" s="645">
        <v>4.1477048281851704E-2</v>
      </c>
    </row>
    <row r="55" spans="1:12" ht="12.75" customHeight="1">
      <c r="A55" s="647" t="s">
        <v>609</v>
      </c>
      <c r="B55" s="648" t="s">
        <v>610</v>
      </c>
      <c r="C55" s="649">
        <v>7.1504219092983498E-3</v>
      </c>
      <c r="D55" s="650">
        <v>5.2452220422639024E-3</v>
      </c>
      <c r="E55" s="650">
        <v>7.16104967834553E-3</v>
      </c>
      <c r="F55" s="650">
        <v>8.2836112101332942E-3</v>
      </c>
      <c r="G55" s="650">
        <v>7.5725456324069219E-3</v>
      </c>
      <c r="H55" s="650">
        <v>8.0752424228047771E-3</v>
      </c>
      <c r="I55" s="650">
        <v>6.7304304321607698E-3</v>
      </c>
      <c r="J55" s="650">
        <v>6.8307804590713736E-3</v>
      </c>
      <c r="K55" s="650">
        <v>7.7770057862947854E-3</v>
      </c>
      <c r="L55" s="650">
        <v>6.2629006315912741E-3</v>
      </c>
    </row>
    <row r="56" spans="1:12" ht="12.75" customHeight="1">
      <c r="A56" s="647" t="s">
        <v>611</v>
      </c>
      <c r="B56" s="648" t="s">
        <v>612</v>
      </c>
      <c r="C56" s="649">
        <v>2.4089656699775191E-3</v>
      </c>
      <c r="D56" s="650">
        <v>1.7671068912439886E-3</v>
      </c>
      <c r="E56" s="650">
        <v>2.4125461483196172E-3</v>
      </c>
      <c r="F56" s="650">
        <v>2.7907353274780615E-3</v>
      </c>
      <c r="G56" s="650">
        <v>2.5511784750889628E-3</v>
      </c>
      <c r="H56" s="650">
        <v>2.7205362173085609E-3</v>
      </c>
      <c r="I56" s="650">
        <v>2.2674712151129865E-3</v>
      </c>
      <c r="J56" s="650">
        <v>2.3012789781898212E-3</v>
      </c>
      <c r="K56" s="650">
        <v>2.6200607729228421E-3</v>
      </c>
      <c r="L56" s="650">
        <v>2.1099611753489316E-3</v>
      </c>
    </row>
    <row r="57" spans="1:12" ht="12.75" customHeight="1">
      <c r="A57" s="647" t="s">
        <v>613</v>
      </c>
      <c r="B57" s="648" t="s">
        <v>614</v>
      </c>
      <c r="C57" s="649">
        <v>8.9032012626339661E-3</v>
      </c>
      <c r="D57" s="650">
        <v>6.8912254119501207E-3</v>
      </c>
      <c r="E57" s="650">
        <v>9.0594963446641672E-3</v>
      </c>
      <c r="F57" s="650">
        <v>9.2154725253305661E-3</v>
      </c>
      <c r="G57" s="650">
        <v>7.7616314646534118E-3</v>
      </c>
      <c r="H57" s="650">
        <v>8.2639044313239617E-3</v>
      </c>
      <c r="I57" s="650">
        <v>8.6740818820035138E-3</v>
      </c>
      <c r="J57" s="650">
        <v>8.8709085152669041E-3</v>
      </c>
      <c r="K57" s="650">
        <v>1.1968924388733581E-2</v>
      </c>
      <c r="L57" s="650">
        <v>9.126279640787327E-3</v>
      </c>
    </row>
    <row r="58" spans="1:12" ht="12.75" customHeight="1">
      <c r="A58" s="647" t="s">
        <v>615</v>
      </c>
      <c r="B58" s="648" t="s">
        <v>616</v>
      </c>
      <c r="C58" s="649">
        <v>2.5848003665711514E-3</v>
      </c>
      <c r="D58" s="650">
        <v>2.0006783454048736E-3</v>
      </c>
      <c r="E58" s="650">
        <v>2.6301763581283062E-3</v>
      </c>
      <c r="F58" s="650">
        <v>2.6754597654185517E-3</v>
      </c>
      <c r="G58" s="650">
        <v>2.2533768768348617E-3</v>
      </c>
      <c r="H58" s="650">
        <v>2.3991980607069568E-3</v>
      </c>
      <c r="I58" s="650">
        <v>2.5182818367106975E-3</v>
      </c>
      <c r="J58" s="650">
        <v>2.5754250528194239E-3</v>
      </c>
      <c r="K58" s="650">
        <v>3.4748490160839427E-3</v>
      </c>
      <c r="L58" s="650">
        <v>2.6495650570027727E-3</v>
      </c>
    </row>
    <row r="59" spans="1:12" ht="12.75" customHeight="1">
      <c r="A59" s="647" t="s">
        <v>617</v>
      </c>
      <c r="B59" s="648" t="s">
        <v>618</v>
      </c>
      <c r="C59" s="649">
        <v>9.0590134149803707E-3</v>
      </c>
      <c r="D59" s="650">
        <v>4.6221593968464219E-3</v>
      </c>
      <c r="E59" s="650">
        <v>8.436330430307129E-3</v>
      </c>
      <c r="F59" s="650">
        <v>6.8002106886295381E-3</v>
      </c>
      <c r="G59" s="650">
        <v>9.8469051235422038E-3</v>
      </c>
      <c r="H59" s="650">
        <v>9.7984692016117748E-3</v>
      </c>
      <c r="I59" s="650">
        <v>6.5834529651451349E-3</v>
      </c>
      <c r="J59" s="650">
        <v>7.546872916744168E-3</v>
      </c>
      <c r="K59" s="650">
        <v>1.1094882665583183E-2</v>
      </c>
      <c r="L59" s="650">
        <v>1.4600720026891729E-2</v>
      </c>
    </row>
    <row r="60" spans="1:12" ht="12.75" customHeight="1">
      <c r="A60" s="647" t="s">
        <v>619</v>
      </c>
      <c r="B60" s="648" t="s">
        <v>620</v>
      </c>
      <c r="C60" s="649">
        <v>2.0822204703852838E-3</v>
      </c>
      <c r="D60" s="650">
        <v>4.9606887597428481E-3</v>
      </c>
      <c r="E60" s="650">
        <v>2.244596432380066E-3</v>
      </c>
      <c r="F60" s="650">
        <v>2.5016121709757412E-3</v>
      </c>
      <c r="G60" s="650">
        <v>7.2649100824679009E-4</v>
      </c>
      <c r="H60" s="650">
        <v>2.2560152916737833E-3</v>
      </c>
      <c r="I60" s="650">
        <v>1.5649582298166785E-3</v>
      </c>
      <c r="J60" s="650">
        <v>2.6841098722546271E-3</v>
      </c>
      <c r="K60" s="650">
        <v>1.9054836314067933E-3</v>
      </c>
      <c r="L60" s="650">
        <v>7.035620879659026E-4</v>
      </c>
    </row>
    <row r="61" spans="1:12" ht="12.75" customHeight="1">
      <c r="A61" s="647" t="s">
        <v>621</v>
      </c>
      <c r="B61" s="648" t="s">
        <v>622</v>
      </c>
      <c r="C61" s="649">
        <v>1.460221802309421E-3</v>
      </c>
      <c r="D61" s="650">
        <v>1.8710321354226791E-3</v>
      </c>
      <c r="E61" s="650">
        <v>1.5377327115436059E-3</v>
      </c>
      <c r="F61" s="650">
        <v>1.3755234171809304E-3</v>
      </c>
      <c r="G61" s="650">
        <v>1.3106692777579431E-3</v>
      </c>
      <c r="H61" s="650">
        <v>9.5034071782983543E-4</v>
      </c>
      <c r="I61" s="650">
        <v>7.8633490207594321E-4</v>
      </c>
      <c r="J61" s="650">
        <v>1.1381719596019466E-3</v>
      </c>
      <c r="K61" s="650">
        <v>9.7371566188966569E-4</v>
      </c>
      <c r="L61" s="650">
        <v>2.7141238282549556E-3</v>
      </c>
    </row>
    <row r="62" spans="1:12" s="651" customFormat="1" ht="12.75" customHeight="1">
      <c r="A62" s="647" t="s">
        <v>623</v>
      </c>
      <c r="B62" s="648" t="s">
        <v>624</v>
      </c>
      <c r="C62" s="649">
        <v>7.7808565183044907E-4</v>
      </c>
      <c r="D62" s="650">
        <v>1.6904367177202045E-3</v>
      </c>
      <c r="E62" s="650">
        <v>4.8093683183351234E-4</v>
      </c>
      <c r="F62" s="650">
        <v>5.6947351333309622E-4</v>
      </c>
      <c r="G62" s="650">
        <v>6.0080166975317098E-4</v>
      </c>
      <c r="H62" s="650">
        <v>8.030862284097791E-4</v>
      </c>
      <c r="I62" s="650">
        <v>6.4426689881466972E-4</v>
      </c>
      <c r="J62" s="650">
        <v>1.3180977929668834E-3</v>
      </c>
      <c r="K62" s="650">
        <v>1.1086981461179647E-3</v>
      </c>
      <c r="L62" s="650">
        <v>2.7453550556018363E-4</v>
      </c>
    </row>
    <row r="63" spans="1:12" ht="12.75" customHeight="1">
      <c r="A63" s="647" t="s">
        <v>625</v>
      </c>
      <c r="B63" s="648" t="s">
        <v>626</v>
      </c>
      <c r="C63" s="649">
        <v>5.2713423732416722E-4</v>
      </c>
      <c r="D63" s="650">
        <v>7.7924730459229664E-4</v>
      </c>
      <c r="E63" s="650">
        <v>4.8293005973787324E-4</v>
      </c>
      <c r="F63" s="650">
        <v>5.932662892513212E-4</v>
      </c>
      <c r="G63" s="650">
        <v>4.4182053657656719E-4</v>
      </c>
      <c r="H63" s="650">
        <v>6.9861868676267692E-4</v>
      </c>
      <c r="I63" s="650">
        <v>4.9934437074237146E-4</v>
      </c>
      <c r="J63" s="650">
        <v>9.000135783299993E-4</v>
      </c>
      <c r="K63" s="650">
        <v>2.3090641573407294E-4</v>
      </c>
      <c r="L63" s="650">
        <v>2.6321571560834897E-4</v>
      </c>
    </row>
    <row r="64" spans="1:12" ht="12.75" customHeight="1">
      <c r="A64" s="647" t="s">
        <v>627</v>
      </c>
      <c r="B64" s="648" t="s">
        <v>628</v>
      </c>
      <c r="C64" s="649">
        <v>1.0866611613522736E-3</v>
      </c>
      <c r="D64" s="650">
        <v>4.9222128830614669E-4</v>
      </c>
      <c r="E64" s="650">
        <v>7.6728799859045183E-4</v>
      </c>
      <c r="F64" s="650">
        <v>1.345097351631887E-3</v>
      </c>
      <c r="G64" s="650">
        <v>1.2768649404608476E-3</v>
      </c>
      <c r="H64" s="650">
        <v>1.4965761787992657E-3</v>
      </c>
      <c r="I64" s="650">
        <v>9.3774431228618954E-4</v>
      </c>
      <c r="J64" s="650">
        <v>1.2728077429775377E-3</v>
      </c>
      <c r="K64" s="650">
        <v>1.508373021103527E-3</v>
      </c>
      <c r="L64" s="650">
        <v>6.4928329100610589E-4</v>
      </c>
    </row>
    <row r="65" spans="1:12" ht="12.75" customHeight="1">
      <c r="A65" s="647" t="s">
        <v>629</v>
      </c>
      <c r="B65" s="648" t="s">
        <v>630</v>
      </c>
      <c r="C65" s="649">
        <v>2.1954860854397585E-3</v>
      </c>
      <c r="D65" s="650">
        <v>2.2398265351661127E-3</v>
      </c>
      <c r="E65" s="650">
        <v>1.87055145309309E-3</v>
      </c>
      <c r="F65" s="650">
        <v>3.0307869053802818E-3</v>
      </c>
      <c r="G65" s="650">
        <v>1.6404170898314252E-3</v>
      </c>
      <c r="H65" s="650">
        <v>2.3671661031532524E-3</v>
      </c>
      <c r="I65" s="650">
        <v>2.4080350404778665E-3</v>
      </c>
      <c r="J65" s="650">
        <v>2.4552353185934702E-3</v>
      </c>
      <c r="K65" s="650">
        <v>1.008552883270658E-3</v>
      </c>
      <c r="L65" s="650">
        <v>2.1229013218341725E-3</v>
      </c>
    </row>
    <row r="66" spans="1:12" s="651" customFormat="1" ht="12.75" customHeight="1">
      <c r="A66" s="642" t="s">
        <v>631</v>
      </c>
      <c r="B66" s="646" t="s">
        <v>632</v>
      </c>
      <c r="C66" s="644">
        <v>9.9675879502879299E-3</v>
      </c>
      <c r="D66" s="645">
        <v>6.9866570671902935E-3</v>
      </c>
      <c r="E66" s="645">
        <v>7.9489826135138424E-3</v>
      </c>
      <c r="F66" s="645">
        <v>8.7229853266696574E-3</v>
      </c>
      <c r="G66" s="645">
        <v>7.8050644627120497E-3</v>
      </c>
      <c r="H66" s="645">
        <v>1.0166505276263329E-2</v>
      </c>
      <c r="I66" s="645">
        <v>9.0170433730851346E-3</v>
      </c>
      <c r="J66" s="645">
        <v>1.4203229537398965E-2</v>
      </c>
      <c r="K66" s="645">
        <v>1.1934277852612729E-2</v>
      </c>
      <c r="L66" s="645">
        <v>1.2328682300697905E-2</v>
      </c>
    </row>
    <row r="67" spans="1:12" s="651" customFormat="1" ht="12.75" customHeight="1">
      <c r="A67" s="647" t="s">
        <v>633</v>
      </c>
      <c r="B67" s="648" t="s">
        <v>634</v>
      </c>
      <c r="C67" s="649">
        <v>4.8559664237884373E-3</v>
      </c>
      <c r="D67" s="650">
        <v>2.2462625047171207E-3</v>
      </c>
      <c r="E67" s="650">
        <v>3.1606713801471957E-3</v>
      </c>
      <c r="F67" s="650">
        <v>3.7463123905795109E-3</v>
      </c>
      <c r="G67" s="650">
        <v>4.90889618524744E-3</v>
      </c>
      <c r="H67" s="650">
        <v>4.9838379934351498E-3</v>
      </c>
      <c r="I67" s="650">
        <v>4.9743940170918956E-3</v>
      </c>
      <c r="J67" s="650">
        <v>7.4067983731469856E-3</v>
      </c>
      <c r="K67" s="650">
        <v>5.8665738289685439E-3</v>
      </c>
      <c r="L67" s="650">
        <v>6.3179225641012493E-3</v>
      </c>
    </row>
    <row r="68" spans="1:12" ht="12.75" customHeight="1">
      <c r="A68" s="647" t="s">
        <v>635</v>
      </c>
      <c r="B68" s="648" t="s">
        <v>636</v>
      </c>
      <c r="C68" s="649">
        <v>3.5599199259315584E-3</v>
      </c>
      <c r="D68" s="650">
        <v>2.1581737790419397E-3</v>
      </c>
      <c r="E68" s="650">
        <v>2.5137835213738012E-3</v>
      </c>
      <c r="F68" s="650">
        <v>3.2430763978150991E-3</v>
      </c>
      <c r="G68" s="650">
        <v>1.9280065797211393E-3</v>
      </c>
      <c r="H68" s="650">
        <v>3.5065163395037761E-3</v>
      </c>
      <c r="I68" s="650">
        <v>3.0359023067275822E-3</v>
      </c>
      <c r="J68" s="650">
        <v>5.3196593126725771E-3</v>
      </c>
      <c r="K68" s="650">
        <v>4.0936533848999514E-3</v>
      </c>
      <c r="L68" s="650">
        <v>5.1692093706282947E-3</v>
      </c>
    </row>
    <row r="69" spans="1:12" ht="12.75" customHeight="1">
      <c r="A69" s="647" t="s">
        <v>637</v>
      </c>
      <c r="B69" s="648" t="s">
        <v>638</v>
      </c>
      <c r="C69" s="649">
        <v>1.5517016005679343E-3</v>
      </c>
      <c r="D69" s="650">
        <v>2.5822207834312332E-3</v>
      </c>
      <c r="E69" s="650">
        <v>2.2745277119928463E-3</v>
      </c>
      <c r="F69" s="650">
        <v>1.7335965382750461E-3</v>
      </c>
      <c r="G69" s="650">
        <v>9.681616977434709E-4</v>
      </c>
      <c r="H69" s="650">
        <v>1.6761509433244027E-3</v>
      </c>
      <c r="I69" s="650">
        <v>1.006747049265655E-3</v>
      </c>
      <c r="J69" s="650">
        <v>1.4767718515794033E-3</v>
      </c>
      <c r="K69" s="650">
        <v>1.9740506387442331E-3</v>
      </c>
      <c r="L69" s="650">
        <v>8.4155036596836232E-4</v>
      </c>
    </row>
    <row r="70" spans="1:12" s="651" customFormat="1" ht="12.75" customHeight="1">
      <c r="A70" s="642" t="s">
        <v>639</v>
      </c>
      <c r="B70" s="646" t="s">
        <v>640</v>
      </c>
      <c r="C70" s="644">
        <v>2.7560510947287967E-2</v>
      </c>
      <c r="D70" s="645">
        <v>2.7365202812930731E-2</v>
      </c>
      <c r="E70" s="645">
        <v>3.2669850497536609E-2</v>
      </c>
      <c r="F70" s="645">
        <v>2.6318948249469506E-2</v>
      </c>
      <c r="G70" s="645">
        <v>2.9518896118540781E-2</v>
      </c>
      <c r="H70" s="645">
        <v>2.7882257896085467E-2</v>
      </c>
      <c r="I70" s="645">
        <v>2.5252163897379349E-2</v>
      </c>
      <c r="J70" s="645">
        <v>2.5713995496238085E-2</v>
      </c>
      <c r="K70" s="645">
        <v>3.3606028004515266E-2</v>
      </c>
      <c r="L70" s="645">
        <v>2.4046005878343945E-2</v>
      </c>
    </row>
    <row r="71" spans="1:12" s="651" customFormat="1" ht="12.75" customHeight="1">
      <c r="A71" s="642" t="s">
        <v>641</v>
      </c>
      <c r="B71" s="646" t="s">
        <v>642</v>
      </c>
      <c r="C71" s="644">
        <v>1.8194114943963752E-2</v>
      </c>
      <c r="D71" s="645">
        <v>1.821769694783474E-2</v>
      </c>
      <c r="E71" s="645">
        <v>2.187521414188193E-2</v>
      </c>
      <c r="F71" s="645">
        <v>1.5427323165182518E-2</v>
      </c>
      <c r="G71" s="645">
        <v>2.0320306538841554E-2</v>
      </c>
      <c r="H71" s="645">
        <v>1.769586527409385E-2</v>
      </c>
      <c r="I71" s="645">
        <v>1.7089097188220499E-2</v>
      </c>
      <c r="J71" s="645">
        <v>1.6735871617978664E-2</v>
      </c>
      <c r="K71" s="645">
        <v>2.357478598323811E-2</v>
      </c>
      <c r="L71" s="645">
        <v>1.6607541348318083E-2</v>
      </c>
    </row>
    <row r="72" spans="1:12" ht="12.75" customHeight="1">
      <c r="A72" s="647" t="s">
        <v>643</v>
      </c>
      <c r="B72" s="648" t="s">
        <v>644</v>
      </c>
      <c r="C72" s="649">
        <v>4.4269998909842812E-3</v>
      </c>
      <c r="D72" s="650">
        <v>2.3401101397327352E-3</v>
      </c>
      <c r="E72" s="650">
        <v>5.1843683218112061E-3</v>
      </c>
      <c r="F72" s="650">
        <v>5.4508903099116735E-3</v>
      </c>
      <c r="G72" s="650">
        <v>4.6674595340547255E-3</v>
      </c>
      <c r="H72" s="650">
        <v>3.6605846773412401E-3</v>
      </c>
      <c r="I72" s="650">
        <v>8.3165027485463949E-3</v>
      </c>
      <c r="J72" s="650">
        <v>4.3972677555777001E-3</v>
      </c>
      <c r="K72" s="650">
        <v>3.5179739715666975E-3</v>
      </c>
      <c r="L72" s="650">
        <v>2.4457836079400876E-3</v>
      </c>
    </row>
    <row r="73" spans="1:12" s="651" customFormat="1" ht="12.75" customHeight="1">
      <c r="A73" s="647" t="s">
        <v>645</v>
      </c>
      <c r="B73" s="648" t="s">
        <v>646</v>
      </c>
      <c r="C73" s="649">
        <v>1.3096773066599768E-2</v>
      </c>
      <c r="D73" s="650">
        <v>1.3167919091107776E-2</v>
      </c>
      <c r="E73" s="650">
        <v>1.621338815162721E-2</v>
      </c>
      <c r="F73" s="650">
        <v>9.3688497802505641E-3</v>
      </c>
      <c r="G73" s="650">
        <v>1.5362722453696218E-2</v>
      </c>
      <c r="H73" s="650">
        <v>1.3750891107731936E-2</v>
      </c>
      <c r="I73" s="650">
        <v>8.5442862262890343E-3</v>
      </c>
      <c r="J73" s="650">
        <v>1.2130569627961408E-2</v>
      </c>
      <c r="K73" s="650">
        <v>1.9759912047856754E-2</v>
      </c>
      <c r="L73" s="650">
        <v>1.3241456892814078E-2</v>
      </c>
    </row>
    <row r="74" spans="1:12" ht="12.75" customHeight="1">
      <c r="A74" s="647" t="s">
        <v>647</v>
      </c>
      <c r="B74" s="648" t="s">
        <v>648</v>
      </c>
      <c r="C74" s="649">
        <v>6.7034198637970347E-4</v>
      </c>
      <c r="D74" s="650">
        <v>2.709667716994229E-3</v>
      </c>
      <c r="E74" s="650">
        <v>4.774576684435203E-4</v>
      </c>
      <c r="F74" s="650">
        <v>6.0758307502028195E-4</v>
      </c>
      <c r="G74" s="650">
        <v>2.9012455109061076E-4</v>
      </c>
      <c r="H74" s="650">
        <v>2.8438948902067364E-4</v>
      </c>
      <c r="I74" s="650">
        <v>2.2830821338506725E-4</v>
      </c>
      <c r="J74" s="650">
        <v>2.0803423443955523E-4</v>
      </c>
      <c r="K74" s="650">
        <v>2.9689996381465828E-4</v>
      </c>
      <c r="L74" s="650">
        <v>9.2030084756391714E-4</v>
      </c>
    </row>
    <row r="75" spans="1:12" s="651" customFormat="1" ht="12.75" customHeight="1">
      <c r="A75" s="642" t="s">
        <v>649</v>
      </c>
      <c r="B75" s="646" t="s">
        <v>650</v>
      </c>
      <c r="C75" s="644">
        <v>3.1540385786841922E-4</v>
      </c>
      <c r="D75" s="645">
        <v>4.2165483633718612E-4</v>
      </c>
      <c r="E75" s="645">
        <v>9.5633863100112821E-5</v>
      </c>
      <c r="F75" s="645">
        <v>7.0407851998734454E-4</v>
      </c>
      <c r="G75" s="645">
        <v>4.8662302111233588E-4</v>
      </c>
      <c r="H75" s="645">
        <v>2.263198193233545E-4</v>
      </c>
      <c r="I75" s="645">
        <v>2.7981852615718692E-4</v>
      </c>
      <c r="J75" s="645">
        <v>1.2998710856382075E-4</v>
      </c>
      <c r="K75" s="645">
        <v>2.3429921374598715E-4</v>
      </c>
      <c r="L75" s="645">
        <v>9.8015293791040435E-5</v>
      </c>
    </row>
    <row r="76" spans="1:12" ht="12.75" customHeight="1">
      <c r="A76" s="647" t="s">
        <v>651</v>
      </c>
      <c r="B76" s="648" t="s">
        <v>652</v>
      </c>
      <c r="C76" s="649">
        <v>3.1540385786841922E-4</v>
      </c>
      <c r="D76" s="650">
        <v>4.2165483633718612E-4</v>
      </c>
      <c r="E76" s="650">
        <v>9.5633863100112821E-5</v>
      </c>
      <c r="F76" s="650">
        <v>7.0407851998734454E-4</v>
      </c>
      <c r="G76" s="650">
        <v>4.8662302111233588E-4</v>
      </c>
      <c r="H76" s="650">
        <v>2.263198193233545E-4</v>
      </c>
      <c r="I76" s="650">
        <v>2.7981852615718692E-4</v>
      </c>
      <c r="J76" s="650">
        <v>1.2998710856382075E-4</v>
      </c>
      <c r="K76" s="650">
        <v>2.3429921374598715E-4</v>
      </c>
      <c r="L76" s="650">
        <v>9.8015293791040435E-5</v>
      </c>
    </row>
    <row r="77" spans="1:12" s="651" customFormat="1" ht="12.75" customHeight="1">
      <c r="A77" s="642" t="s">
        <v>653</v>
      </c>
      <c r="B77" s="646" t="s">
        <v>654</v>
      </c>
      <c r="C77" s="644">
        <v>7.2439838426846172E-3</v>
      </c>
      <c r="D77" s="645">
        <v>7.0797803145957452E-3</v>
      </c>
      <c r="E77" s="645">
        <v>8.4830978621568999E-3</v>
      </c>
      <c r="F77" s="645">
        <v>8.0500548892051393E-3</v>
      </c>
      <c r="G77" s="645">
        <v>6.9276462829004704E-3</v>
      </c>
      <c r="H77" s="645">
        <v>8.2049800464154814E-3</v>
      </c>
      <c r="I77" s="645">
        <v>6.4072502593774889E-3</v>
      </c>
      <c r="J77" s="645">
        <v>7.1904201045047619E-3</v>
      </c>
      <c r="K77" s="645">
        <v>8.4140736859060084E-3</v>
      </c>
      <c r="L77" s="645">
        <v>5.316658622071424E-3</v>
      </c>
    </row>
    <row r="78" spans="1:12" ht="12.75" customHeight="1">
      <c r="A78" s="647" t="s">
        <v>655</v>
      </c>
      <c r="B78" s="648" t="s">
        <v>656</v>
      </c>
      <c r="C78" s="649">
        <v>4.682318784992016E-4</v>
      </c>
      <c r="D78" s="650">
        <v>1.9640759470358819E-4</v>
      </c>
      <c r="E78" s="650">
        <v>4.168280091434842E-4</v>
      </c>
      <c r="F78" s="650">
        <v>2.0749976310653929E-4</v>
      </c>
      <c r="G78" s="650">
        <v>7.5088960169409193E-4</v>
      </c>
      <c r="H78" s="650">
        <v>2.3145300675870442E-4</v>
      </c>
      <c r="I78" s="650">
        <v>5.9565746559230557E-4</v>
      </c>
      <c r="J78" s="650">
        <v>3.4739402955509405E-4</v>
      </c>
      <c r="K78" s="650">
        <v>1.460659308863707E-3</v>
      </c>
      <c r="L78" s="650">
        <v>2.7462018266964986E-4</v>
      </c>
    </row>
    <row r="79" spans="1:12" ht="12.75" customHeight="1">
      <c r="A79" s="647" t="s">
        <v>657</v>
      </c>
      <c r="B79" s="648" t="s">
        <v>658</v>
      </c>
      <c r="C79" s="649">
        <v>2.2066156498925628E-3</v>
      </c>
      <c r="D79" s="650">
        <v>2.8569255184359272E-3</v>
      </c>
      <c r="E79" s="650">
        <v>2.463765759171919E-3</v>
      </c>
      <c r="F79" s="650">
        <v>3.2414374424509259E-3</v>
      </c>
      <c r="G79" s="650">
        <v>1.9524234153817106E-3</v>
      </c>
      <c r="H79" s="650">
        <v>2.7974454838592716E-3</v>
      </c>
      <c r="I79" s="650">
        <v>1.8126260622438105E-3</v>
      </c>
      <c r="J79" s="650">
        <v>2.0452995383813954E-3</v>
      </c>
      <c r="K79" s="650">
        <v>1.7360886987961728E-3</v>
      </c>
      <c r="L79" s="650">
        <v>1.0191166849061871E-3</v>
      </c>
    </row>
    <row r="80" spans="1:12" s="651" customFormat="1" ht="12.75" customHeight="1">
      <c r="A80" s="647" t="s">
        <v>659</v>
      </c>
      <c r="B80" s="648" t="s">
        <v>660</v>
      </c>
      <c r="C80" s="649">
        <v>3.8257310418691546E-3</v>
      </c>
      <c r="D80" s="650">
        <v>3.0639535775981363E-3</v>
      </c>
      <c r="E80" s="650">
        <v>4.772465362141866E-3</v>
      </c>
      <c r="F80" s="650">
        <v>3.509082609452977E-3</v>
      </c>
      <c r="G80" s="650">
        <v>3.566564949412647E-3</v>
      </c>
      <c r="H80" s="650">
        <v>4.2336266601657709E-3</v>
      </c>
      <c r="I80" s="650">
        <v>3.3882959191276823E-3</v>
      </c>
      <c r="J80" s="650">
        <v>4.1086684033167873E-3</v>
      </c>
      <c r="K80" s="650">
        <v>4.6324401807907338E-3</v>
      </c>
      <c r="L80" s="650">
        <v>3.6795829782972455E-3</v>
      </c>
    </row>
    <row r="81" spans="1:12" s="651" customFormat="1" ht="12.75" customHeight="1">
      <c r="A81" s="647" t="s">
        <v>661</v>
      </c>
      <c r="B81" s="648" t="s">
        <v>662</v>
      </c>
      <c r="C81" s="649">
        <v>7.4340527242369779E-4</v>
      </c>
      <c r="D81" s="650">
        <v>9.6249362385809314E-4</v>
      </c>
      <c r="E81" s="650">
        <v>8.3003873169963064E-4</v>
      </c>
      <c r="F81" s="650">
        <v>1.0920350741946971E-3</v>
      </c>
      <c r="G81" s="650">
        <v>6.5776831641202005E-4</v>
      </c>
      <c r="H81" s="650">
        <v>9.4245489563173329E-4</v>
      </c>
      <c r="I81" s="650">
        <v>6.1067081241369015E-4</v>
      </c>
      <c r="J81" s="650">
        <v>6.8905813325148601E-4</v>
      </c>
      <c r="K81" s="650">
        <v>5.8488549745539518E-4</v>
      </c>
      <c r="L81" s="650">
        <v>3.4333877619834111E-4</v>
      </c>
    </row>
    <row r="82" spans="1:12" s="651" customFormat="1" ht="12.75" customHeight="1">
      <c r="A82" s="642" t="s">
        <v>663</v>
      </c>
      <c r="B82" s="646" t="s">
        <v>664</v>
      </c>
      <c r="C82" s="644">
        <v>1.8070083027711796E-3</v>
      </c>
      <c r="D82" s="645">
        <v>1.6460707141630626E-3</v>
      </c>
      <c r="E82" s="645">
        <v>2.2159046303976641E-3</v>
      </c>
      <c r="F82" s="645">
        <v>2.1374916750945077E-3</v>
      </c>
      <c r="G82" s="645">
        <v>1.7843202756864221E-3</v>
      </c>
      <c r="H82" s="645">
        <v>1.755092756252777E-3</v>
      </c>
      <c r="I82" s="645">
        <v>1.475997923624178E-3</v>
      </c>
      <c r="J82" s="645">
        <v>1.6577166651908428E-3</v>
      </c>
      <c r="K82" s="645">
        <v>1.3828691216251651E-3</v>
      </c>
      <c r="L82" s="645">
        <v>2.0237906141633995E-3</v>
      </c>
    </row>
    <row r="83" spans="1:12" ht="12.75" customHeight="1">
      <c r="A83" s="647" t="s">
        <v>665</v>
      </c>
      <c r="B83" s="648" t="s">
        <v>666</v>
      </c>
      <c r="C83" s="649">
        <v>1.0046778409618581E-3</v>
      </c>
      <c r="D83" s="650">
        <v>9.649251282175666E-4</v>
      </c>
      <c r="E83" s="650">
        <v>1.1219778209782037E-3</v>
      </c>
      <c r="F83" s="650">
        <v>1.1645631850222252E-3</v>
      </c>
      <c r="G83" s="650">
        <v>1.0474913611637929E-3</v>
      </c>
      <c r="H83" s="650">
        <v>1.0093139531455165E-3</v>
      </c>
      <c r="I83" s="650">
        <v>7.3047651481090146E-4</v>
      </c>
      <c r="J83" s="650">
        <v>7.8689614652960674E-4</v>
      </c>
      <c r="K83" s="650">
        <v>8.196922353710754E-4</v>
      </c>
      <c r="L83" s="650">
        <v>1.216275827449061E-3</v>
      </c>
    </row>
    <row r="84" spans="1:12" s="651" customFormat="1" ht="12.75" customHeight="1">
      <c r="A84" s="647" t="s">
        <v>667</v>
      </c>
      <c r="B84" s="648" t="s">
        <v>668</v>
      </c>
      <c r="C84" s="649">
        <v>8.0233046180932111E-4</v>
      </c>
      <c r="D84" s="650">
        <v>6.8114558594549587E-4</v>
      </c>
      <c r="E84" s="650">
        <v>1.0939268094194601E-3</v>
      </c>
      <c r="F84" s="650">
        <v>9.7292849007228242E-4</v>
      </c>
      <c r="G84" s="650">
        <v>7.3682891452262931E-4</v>
      </c>
      <c r="H84" s="650">
        <v>7.4577880310726038E-4</v>
      </c>
      <c r="I84" s="650">
        <v>7.4552140881327638E-4</v>
      </c>
      <c r="J84" s="650">
        <v>8.7082051866123615E-4</v>
      </c>
      <c r="K84" s="650">
        <v>5.6317688625408951E-4</v>
      </c>
      <c r="L84" s="650">
        <v>8.075147867143387E-4</v>
      </c>
    </row>
    <row r="85" spans="1:12" s="651" customFormat="1" ht="12.75" customHeight="1">
      <c r="A85" s="642" t="s">
        <v>669</v>
      </c>
      <c r="B85" s="646" t="s">
        <v>670</v>
      </c>
      <c r="C85" s="644">
        <v>6.054899050446319E-2</v>
      </c>
      <c r="D85" s="645">
        <v>7.4113424161213207E-2</v>
      </c>
      <c r="E85" s="645">
        <v>6.3778756061195679E-2</v>
      </c>
      <c r="F85" s="645">
        <v>6.1249079234692042E-2</v>
      </c>
      <c r="G85" s="645">
        <v>5.3017097934928682E-2</v>
      </c>
      <c r="H85" s="645">
        <v>6.1559946721551163E-2</v>
      </c>
      <c r="I85" s="645">
        <v>6.0448223043623135E-2</v>
      </c>
      <c r="J85" s="645">
        <v>6.0313362555994461E-2</v>
      </c>
      <c r="K85" s="645">
        <v>4.9667151707263421E-2</v>
      </c>
      <c r="L85" s="645">
        <v>6.0965990009007778E-2</v>
      </c>
    </row>
    <row r="86" spans="1:12" s="651" customFormat="1" ht="12.75" customHeight="1">
      <c r="A86" s="642" t="s">
        <v>671</v>
      </c>
      <c r="B86" s="646" t="s">
        <v>672</v>
      </c>
      <c r="C86" s="644">
        <v>1.5641615309755736E-2</v>
      </c>
      <c r="D86" s="645">
        <v>1.7169860897054547E-2</v>
      </c>
      <c r="E86" s="645">
        <v>2.0109098178044692E-2</v>
      </c>
      <c r="F86" s="645">
        <v>1.4683130231563398E-2</v>
      </c>
      <c r="G86" s="645">
        <v>1.3933494439843264E-2</v>
      </c>
      <c r="H86" s="645">
        <v>1.6373739574508689E-2</v>
      </c>
      <c r="I86" s="645">
        <v>1.3922751466513606E-2</v>
      </c>
      <c r="J86" s="645">
        <v>1.5043660298263081E-2</v>
      </c>
      <c r="K86" s="645">
        <v>1.4819019431128892E-2</v>
      </c>
      <c r="L86" s="645">
        <v>1.6204095720682134E-2</v>
      </c>
    </row>
    <row r="87" spans="1:12" s="651" customFormat="1" ht="12.75" customHeight="1">
      <c r="A87" s="647" t="s">
        <v>673</v>
      </c>
      <c r="B87" s="648" t="s">
        <v>674</v>
      </c>
      <c r="C87" s="652">
        <v>6.9744727504171614E-3</v>
      </c>
      <c r="D87" s="650">
        <v>1.5631124270813174E-2</v>
      </c>
      <c r="E87" s="650">
        <v>7.562999831863035E-3</v>
      </c>
      <c r="F87" s="650">
        <v>6.8702019329733429E-3</v>
      </c>
      <c r="G87" s="650">
        <v>5.0211315442170281E-3</v>
      </c>
      <c r="H87" s="650">
        <v>7.0096929268906611E-3</v>
      </c>
      <c r="I87" s="650">
        <v>4.9083530948204369E-3</v>
      </c>
      <c r="J87" s="650">
        <v>4.3275038283692715E-3</v>
      </c>
      <c r="K87" s="650">
        <v>5.5318493775799588E-3</v>
      </c>
      <c r="L87" s="650">
        <v>6.5561914025313531E-3</v>
      </c>
    </row>
    <row r="88" spans="1:12" ht="12.75" customHeight="1">
      <c r="A88" s="647" t="s">
        <v>675</v>
      </c>
      <c r="B88" s="648" t="s">
        <v>676</v>
      </c>
      <c r="C88" s="649">
        <v>8.6671425593385764E-3</v>
      </c>
      <c r="D88" s="650">
        <v>1.538736626241373E-3</v>
      </c>
      <c r="E88" s="650">
        <v>1.2546098346181655E-2</v>
      </c>
      <c r="F88" s="650">
        <v>7.8129282985900574E-3</v>
      </c>
      <c r="G88" s="650">
        <v>8.9123628956262364E-3</v>
      </c>
      <c r="H88" s="650">
        <v>9.364046647618026E-3</v>
      </c>
      <c r="I88" s="650">
        <v>9.0143983716931692E-3</v>
      </c>
      <c r="J88" s="650">
        <v>1.0716156469893811E-2</v>
      </c>
      <c r="K88" s="650">
        <v>9.2871700535489335E-3</v>
      </c>
      <c r="L88" s="650">
        <v>9.6479043181507771E-3</v>
      </c>
    </row>
    <row r="89" spans="1:12" s="651" customFormat="1" ht="12.75" customHeight="1">
      <c r="A89" s="642" t="s">
        <v>677</v>
      </c>
      <c r="B89" s="646" t="s">
        <v>678</v>
      </c>
      <c r="C89" s="644">
        <v>6.2072631260246276E-3</v>
      </c>
      <c r="D89" s="645">
        <v>1.0367473338555906E-2</v>
      </c>
      <c r="E89" s="645">
        <v>6.3217477049272788E-3</v>
      </c>
      <c r="F89" s="645">
        <v>7.3619900879278184E-3</v>
      </c>
      <c r="G89" s="645">
        <v>4.8829250152028379E-3</v>
      </c>
      <c r="H89" s="645">
        <v>5.5689597739434667E-3</v>
      </c>
      <c r="I89" s="645">
        <v>5.5134660000189925E-3</v>
      </c>
      <c r="J89" s="645">
        <v>6.8447974586198935E-3</v>
      </c>
      <c r="K89" s="645">
        <v>4.2495883123881868E-3</v>
      </c>
      <c r="L89" s="645">
        <v>5.1733033549126086E-3</v>
      </c>
    </row>
    <row r="90" spans="1:12" ht="12.75" customHeight="1">
      <c r="A90" s="647" t="s">
        <v>679</v>
      </c>
      <c r="B90" s="648" t="s">
        <v>680</v>
      </c>
      <c r="C90" s="649">
        <v>3.4260714988192473E-3</v>
      </c>
      <c r="D90" s="650">
        <v>6.062196680022669E-3</v>
      </c>
      <c r="E90" s="650">
        <v>4.0227970463865637E-3</v>
      </c>
      <c r="F90" s="650">
        <v>4.3612817532963626E-3</v>
      </c>
      <c r="G90" s="650">
        <v>2.4359018114922179E-3</v>
      </c>
      <c r="H90" s="650">
        <v>3.1157958115736206E-3</v>
      </c>
      <c r="I90" s="650">
        <v>3.2575245656950341E-3</v>
      </c>
      <c r="J90" s="650">
        <v>4.1962804214968983E-3</v>
      </c>
      <c r="K90" s="650">
        <v>1.8653574864161411E-3</v>
      </c>
      <c r="L90" s="650">
        <v>2.1533989374963136E-3</v>
      </c>
    </row>
    <row r="91" spans="1:12" ht="12.75" customHeight="1">
      <c r="A91" s="647" t="s">
        <v>681</v>
      </c>
      <c r="B91" s="648" t="s">
        <v>682</v>
      </c>
      <c r="C91" s="649">
        <v>2.7811916272053798E-3</v>
      </c>
      <c r="D91" s="650">
        <v>4.3052766585332377E-3</v>
      </c>
      <c r="E91" s="650">
        <v>2.2989506585407156E-3</v>
      </c>
      <c r="F91" s="650">
        <v>3.0007083346314557E-3</v>
      </c>
      <c r="G91" s="650">
        <v>2.4470232037106208E-3</v>
      </c>
      <c r="H91" s="650">
        <v>2.4531639623698457E-3</v>
      </c>
      <c r="I91" s="650">
        <v>2.2559414343239579E-3</v>
      </c>
      <c r="J91" s="650">
        <v>2.6485170371229948E-3</v>
      </c>
      <c r="K91" s="650">
        <v>2.3842308259720457E-3</v>
      </c>
      <c r="L91" s="650">
        <v>3.0199044174162959E-3</v>
      </c>
    </row>
    <row r="92" spans="1:12" s="651" customFormat="1" ht="12.75" customHeight="1">
      <c r="A92" s="642" t="s">
        <v>683</v>
      </c>
      <c r="B92" s="646" t="s">
        <v>684</v>
      </c>
      <c r="C92" s="644">
        <v>2.2053856431209815E-2</v>
      </c>
      <c r="D92" s="645">
        <v>2.9377396805524019E-2</v>
      </c>
      <c r="E92" s="645">
        <v>2.3245858696641121E-2</v>
      </c>
      <c r="F92" s="645">
        <v>2.1478214406626398E-2</v>
      </c>
      <c r="G92" s="645">
        <v>1.7867412570302891E-2</v>
      </c>
      <c r="H92" s="645">
        <v>2.3896330619560271E-2</v>
      </c>
      <c r="I92" s="645">
        <v>2.4312465269308282E-2</v>
      </c>
      <c r="J92" s="645">
        <v>2.1953691809820222E-2</v>
      </c>
      <c r="K92" s="645">
        <v>1.6469721401532588E-2</v>
      </c>
      <c r="L92" s="645">
        <v>2.0674241898170468E-2</v>
      </c>
    </row>
    <row r="93" spans="1:12" ht="12.75" customHeight="1">
      <c r="A93" s="647" t="s">
        <v>685</v>
      </c>
      <c r="B93" s="648" t="s">
        <v>686</v>
      </c>
      <c r="C93" s="649">
        <v>6.7978438365386947E-3</v>
      </c>
      <c r="D93" s="650">
        <v>8.7525282730674253E-3</v>
      </c>
      <c r="E93" s="650">
        <v>6.4382288547196759E-3</v>
      </c>
      <c r="F93" s="650">
        <v>6.2977809455784838E-3</v>
      </c>
      <c r="G93" s="650">
        <v>5.3453112772201437E-3</v>
      </c>
      <c r="H93" s="650">
        <v>7.659368722284168E-3</v>
      </c>
      <c r="I93" s="650">
        <v>7.4032147996178624E-3</v>
      </c>
      <c r="J93" s="650">
        <v>7.1971841166299268E-3</v>
      </c>
      <c r="K93" s="650">
        <v>4.8745845569867089E-3</v>
      </c>
      <c r="L93" s="650">
        <v>7.058422565421058E-3</v>
      </c>
    </row>
    <row r="94" spans="1:12" ht="12.75" customHeight="1">
      <c r="A94" s="647" t="s">
        <v>687</v>
      </c>
      <c r="B94" s="648" t="s">
        <v>688</v>
      </c>
      <c r="C94" s="652">
        <v>3.3785690924114471E-3</v>
      </c>
      <c r="D94" s="650">
        <v>4.3500589620634501E-3</v>
      </c>
      <c r="E94" s="650">
        <v>3.1998382930642699E-3</v>
      </c>
      <c r="F94" s="650">
        <v>3.1300348412156538E-3</v>
      </c>
      <c r="G94" s="650">
        <v>2.6566517126303708E-3</v>
      </c>
      <c r="H94" s="650">
        <v>3.8067521194585989E-3</v>
      </c>
      <c r="I94" s="650">
        <v>3.67944208603762E-3</v>
      </c>
      <c r="J94" s="650">
        <v>3.5770436028759512E-3</v>
      </c>
      <c r="K94" s="650">
        <v>2.4226977139514779E-3</v>
      </c>
      <c r="L94" s="650">
        <v>3.5080782810176514E-3</v>
      </c>
    </row>
    <row r="95" spans="1:12" s="651" customFormat="1" ht="12.75" customHeight="1">
      <c r="A95" s="647" t="s">
        <v>689</v>
      </c>
      <c r="B95" s="648" t="s">
        <v>690</v>
      </c>
      <c r="C95" s="649">
        <v>1.7477540697119541E-3</v>
      </c>
      <c r="D95" s="650">
        <v>2.393136545164948E-3</v>
      </c>
      <c r="E95" s="650">
        <v>1.3725185381379145E-3</v>
      </c>
      <c r="F95" s="650">
        <v>2.1080331895114031E-3</v>
      </c>
      <c r="G95" s="650">
        <v>1.0965619954118335E-3</v>
      </c>
      <c r="H95" s="650">
        <v>1.8086552804074687E-3</v>
      </c>
      <c r="I95" s="650">
        <v>1.986082650246618E-3</v>
      </c>
      <c r="J95" s="650">
        <v>2.0052313497339871E-3</v>
      </c>
      <c r="K95" s="650">
        <v>1.0959285575126649E-3</v>
      </c>
      <c r="L95" s="650">
        <v>1.6054105001267159E-3</v>
      </c>
    </row>
    <row r="96" spans="1:12" ht="12.75" customHeight="1">
      <c r="A96" s="647" t="s">
        <v>691</v>
      </c>
      <c r="B96" s="648" t="s">
        <v>692</v>
      </c>
      <c r="C96" s="649">
        <v>9.8311166421297417E-4</v>
      </c>
      <c r="D96" s="650">
        <v>1.3461393066552829E-3</v>
      </c>
      <c r="E96" s="650">
        <v>7.7204167770257679E-4</v>
      </c>
      <c r="F96" s="650">
        <v>1.1857686691001642E-3</v>
      </c>
      <c r="G96" s="650">
        <v>6.1681612241915637E-4</v>
      </c>
      <c r="H96" s="650">
        <v>1.017368595229201E-3</v>
      </c>
      <c r="I96" s="650">
        <v>1.1171714907637225E-3</v>
      </c>
      <c r="J96" s="650">
        <v>1.1279426342253676E-3</v>
      </c>
      <c r="K96" s="650">
        <v>6.1645981360087393E-4</v>
      </c>
      <c r="L96" s="650">
        <v>9.0304340632127748E-4</v>
      </c>
    </row>
    <row r="97" spans="1:12" ht="12.75" customHeight="1">
      <c r="A97" s="647" t="s">
        <v>693</v>
      </c>
      <c r="B97" s="648" t="s">
        <v>694</v>
      </c>
      <c r="C97" s="649">
        <v>9.570200772029097E-4</v>
      </c>
      <c r="D97" s="650">
        <v>5.6824059909820611E-5</v>
      </c>
      <c r="E97" s="650">
        <v>4.0087397064675543E-5</v>
      </c>
      <c r="F97" s="650">
        <v>1.0043410547486101E-3</v>
      </c>
      <c r="G97" s="650">
        <v>3.4321770585005364E-4</v>
      </c>
      <c r="H97" s="650">
        <v>8.9871507337381496E-4</v>
      </c>
      <c r="I97" s="650">
        <v>3.5935120558667566E-3</v>
      </c>
      <c r="J97" s="650">
        <v>1.3611151789562094E-3</v>
      </c>
      <c r="K97" s="650">
        <v>1.4473588459558144E-4</v>
      </c>
      <c r="L97" s="650">
        <v>6.2733652381625159E-4</v>
      </c>
    </row>
    <row r="98" spans="1:12" s="651" customFormat="1" ht="12.75" customHeight="1">
      <c r="A98" s="647" t="s">
        <v>695</v>
      </c>
      <c r="B98" s="648" t="s">
        <v>696</v>
      </c>
      <c r="C98" s="649">
        <v>6.9422151113937491E-3</v>
      </c>
      <c r="D98" s="650">
        <v>1.0378576532096855E-2</v>
      </c>
      <c r="E98" s="650">
        <v>9.7356737006338134E-3</v>
      </c>
      <c r="F98" s="650">
        <v>5.8215514301436684E-3</v>
      </c>
      <c r="G98" s="650">
        <v>7.0038987343666063E-3</v>
      </c>
      <c r="H98" s="650">
        <v>7.1694537882131459E-3</v>
      </c>
      <c r="I98" s="650">
        <v>5.8573810776084076E-3</v>
      </c>
      <c r="J98" s="650">
        <v>5.6913388636042981E-3</v>
      </c>
      <c r="K98" s="650">
        <v>6.243242805709542E-3</v>
      </c>
      <c r="L98" s="650">
        <v>6.4265284239732393E-3</v>
      </c>
    </row>
    <row r="99" spans="1:12" ht="12.75" customHeight="1">
      <c r="A99" s="647" t="s">
        <v>697</v>
      </c>
      <c r="B99" s="648" t="s">
        <v>698</v>
      </c>
      <c r="C99" s="649">
        <v>1.2473425797380876E-3</v>
      </c>
      <c r="D99" s="650">
        <v>2.1001331265662437E-3</v>
      </c>
      <c r="E99" s="650">
        <v>1.6874702353181943E-3</v>
      </c>
      <c r="F99" s="650">
        <v>1.9307042763284142E-3</v>
      </c>
      <c r="G99" s="650">
        <v>8.0495502240473019E-4</v>
      </c>
      <c r="H99" s="650">
        <v>1.536017040593877E-3</v>
      </c>
      <c r="I99" s="650">
        <v>6.7566110916729633E-4</v>
      </c>
      <c r="J99" s="650">
        <v>9.9383606379448174E-4</v>
      </c>
      <c r="K99" s="650">
        <v>1.0720720691757371E-3</v>
      </c>
      <c r="L99" s="650">
        <v>5.4542219749427424E-4</v>
      </c>
    </row>
    <row r="100" spans="1:12" s="651" customFormat="1" ht="12.75" customHeight="1">
      <c r="A100" s="642" t="s">
        <v>699</v>
      </c>
      <c r="B100" s="646" t="s">
        <v>700</v>
      </c>
      <c r="C100" s="644">
        <v>8.5208465324221241E-3</v>
      </c>
      <c r="D100" s="645">
        <v>7.8018531509236252E-3</v>
      </c>
      <c r="E100" s="645">
        <v>6.2799032687361929E-3</v>
      </c>
      <c r="F100" s="645">
        <v>8.1806588793402156E-3</v>
      </c>
      <c r="G100" s="645">
        <v>9.3478108842430067E-3</v>
      </c>
      <c r="H100" s="645">
        <v>7.1191167262522779E-3</v>
      </c>
      <c r="I100" s="645">
        <v>8.2868477679909382E-3</v>
      </c>
      <c r="J100" s="645">
        <v>7.3733217465327093E-3</v>
      </c>
      <c r="K100" s="645">
        <v>7.3365390178234055E-3</v>
      </c>
      <c r="L100" s="645">
        <v>1.242140604493921E-2</v>
      </c>
    </row>
    <row r="101" spans="1:12" ht="12.75" customHeight="1">
      <c r="A101" s="647" t="s">
        <v>701</v>
      </c>
      <c r="B101" s="648" t="s">
        <v>702</v>
      </c>
      <c r="C101" s="652">
        <v>3.3117271782247678E-3</v>
      </c>
      <c r="D101" s="650">
        <v>3.0242353214140227E-3</v>
      </c>
      <c r="E101" s="650">
        <v>2.6141017278030021E-3</v>
      </c>
      <c r="F101" s="650">
        <v>2.843433751779618E-3</v>
      </c>
      <c r="G101" s="650">
        <v>3.9288749830582387E-3</v>
      </c>
      <c r="H101" s="650">
        <v>2.837473349505936E-3</v>
      </c>
      <c r="I101" s="650">
        <v>2.3296863417328001E-3</v>
      </c>
      <c r="J101" s="650">
        <v>3.1098406054519247E-3</v>
      </c>
      <c r="K101" s="650">
        <v>3.0479951707692806E-3</v>
      </c>
      <c r="L101" s="650">
        <v>5.2756556293494152E-3</v>
      </c>
    </row>
    <row r="102" spans="1:12" ht="12.75" customHeight="1">
      <c r="A102" s="647" t="s">
        <v>703</v>
      </c>
      <c r="B102" s="648" t="s">
        <v>704</v>
      </c>
      <c r="C102" s="649">
        <v>4.3366034874213468E-3</v>
      </c>
      <c r="D102" s="650">
        <v>3.9601418642996548E-3</v>
      </c>
      <c r="E102" s="650">
        <v>3.4230847105411136E-3</v>
      </c>
      <c r="F102" s="650">
        <v>3.7233878458638415E-3</v>
      </c>
      <c r="G102" s="650">
        <v>5.1447392965219899E-3</v>
      </c>
      <c r="H102" s="650">
        <v>3.7155828849188589E-3</v>
      </c>
      <c r="I102" s="650">
        <v>3.0506516299364842E-3</v>
      </c>
      <c r="J102" s="650">
        <v>4.0722393147603723E-3</v>
      </c>
      <c r="K102" s="650">
        <v>3.9912546462498423E-3</v>
      </c>
      <c r="L102" s="650">
        <v>6.908306563143461E-3</v>
      </c>
    </row>
    <row r="103" spans="1:12" ht="12.75" customHeight="1">
      <c r="A103" s="647" t="s">
        <v>705</v>
      </c>
      <c r="B103" s="648" t="s">
        <v>706</v>
      </c>
      <c r="C103" s="649">
        <v>8.7251586677600929E-4</v>
      </c>
      <c r="D103" s="650">
        <v>8.1747596520994801E-4</v>
      </c>
      <c r="E103" s="650">
        <v>2.4271683039207712E-4</v>
      </c>
      <c r="F103" s="650">
        <v>1.6138372816967563E-3</v>
      </c>
      <c r="G103" s="650">
        <v>2.7419660466277736E-4</v>
      </c>
      <c r="H103" s="650">
        <v>5.6606049182748234E-4</v>
      </c>
      <c r="I103" s="650">
        <v>2.9065097963216534E-3</v>
      </c>
      <c r="J103" s="650">
        <v>1.9124182632041201E-4</v>
      </c>
      <c r="K103" s="650">
        <v>2.972892008042813E-4</v>
      </c>
      <c r="L103" s="650">
        <v>2.3744385244633257E-4</v>
      </c>
    </row>
    <row r="104" spans="1:12" s="651" customFormat="1" ht="12.75" customHeight="1">
      <c r="A104" s="642" t="s">
        <v>707</v>
      </c>
      <c r="B104" s="646" t="s">
        <v>708</v>
      </c>
      <c r="C104" s="644">
        <v>8.1254091050508813E-3</v>
      </c>
      <c r="D104" s="645">
        <v>9.3968399691551126E-3</v>
      </c>
      <c r="E104" s="645">
        <v>7.8221482128463925E-3</v>
      </c>
      <c r="F104" s="645">
        <v>9.545085629234203E-3</v>
      </c>
      <c r="G104" s="645">
        <v>6.9854550253366865E-3</v>
      </c>
      <c r="H104" s="645">
        <v>8.6018000272864575E-3</v>
      </c>
      <c r="I104" s="645">
        <v>8.4126925397913065E-3</v>
      </c>
      <c r="J104" s="645">
        <v>9.0978912427585601E-3</v>
      </c>
      <c r="K104" s="645">
        <v>6.7922835443903536E-3</v>
      </c>
      <c r="L104" s="645">
        <v>6.4929429903033643E-3</v>
      </c>
    </row>
    <row r="105" spans="1:12" ht="12.75" customHeight="1">
      <c r="A105" s="647" t="s">
        <v>709</v>
      </c>
      <c r="B105" s="648" t="s">
        <v>708</v>
      </c>
      <c r="C105" s="649">
        <v>8.1254091050508813E-3</v>
      </c>
      <c r="D105" s="650">
        <v>9.3968399691551126E-3</v>
      </c>
      <c r="E105" s="650">
        <v>7.8221482128463925E-3</v>
      </c>
      <c r="F105" s="650">
        <v>9.545085629234203E-3</v>
      </c>
      <c r="G105" s="650">
        <v>6.9854550253366865E-3</v>
      </c>
      <c r="H105" s="650">
        <v>8.6018000272864575E-3</v>
      </c>
      <c r="I105" s="650">
        <v>8.4126925397913065E-3</v>
      </c>
      <c r="J105" s="650">
        <v>9.0978912427585601E-3</v>
      </c>
      <c r="K105" s="650">
        <v>6.7922835443903536E-3</v>
      </c>
      <c r="L105" s="650">
        <v>6.4929429903033643E-3</v>
      </c>
    </row>
    <row r="106" spans="1:12" s="651" customFormat="1" ht="12.75" customHeight="1">
      <c r="A106" s="642" t="s">
        <v>710</v>
      </c>
      <c r="B106" s="646" t="s">
        <v>711</v>
      </c>
      <c r="C106" s="644">
        <v>3.6032229196763195E-2</v>
      </c>
      <c r="D106" s="645">
        <v>2.8136735194597279E-2</v>
      </c>
      <c r="E106" s="645">
        <v>4.2620972520694189E-2</v>
      </c>
      <c r="F106" s="645">
        <v>3.437859302989732E-2</v>
      </c>
      <c r="G106" s="645">
        <v>4.195638137194365E-2</v>
      </c>
      <c r="H106" s="645">
        <v>3.6584555117572824E-2</v>
      </c>
      <c r="I106" s="645">
        <v>3.0993791629809021E-2</v>
      </c>
      <c r="J106" s="645">
        <v>3.4272981408724201E-2</v>
      </c>
      <c r="K106" s="645">
        <v>4.1989188509137784E-2</v>
      </c>
      <c r="L106" s="645">
        <v>3.6398168371704946E-2</v>
      </c>
    </row>
    <row r="107" spans="1:12" s="651" customFormat="1" ht="12.75" customHeight="1">
      <c r="A107" s="642" t="s">
        <v>712</v>
      </c>
      <c r="B107" s="646" t="s">
        <v>713</v>
      </c>
      <c r="C107" s="644">
        <v>1.5207334793273212E-2</v>
      </c>
      <c r="D107" s="645">
        <v>1.2007538112912452E-2</v>
      </c>
      <c r="E107" s="645">
        <v>1.621506509195066E-2</v>
      </c>
      <c r="F107" s="645">
        <v>1.4344720489844927E-2</v>
      </c>
      <c r="G107" s="645">
        <v>1.6732979701018374E-2</v>
      </c>
      <c r="H107" s="645">
        <v>1.5433488301828722E-2</v>
      </c>
      <c r="I107" s="645">
        <v>1.3217461335444543E-2</v>
      </c>
      <c r="J107" s="645">
        <v>1.6109028775362057E-2</v>
      </c>
      <c r="K107" s="645">
        <v>1.5490337795237587E-2</v>
      </c>
      <c r="L107" s="645">
        <v>1.7297683654017387E-2</v>
      </c>
    </row>
    <row r="108" spans="1:12" ht="12.75" customHeight="1">
      <c r="A108" s="653" t="s">
        <v>714</v>
      </c>
      <c r="B108" s="648" t="s">
        <v>715</v>
      </c>
      <c r="C108" s="649">
        <v>1.4280132118533099E-2</v>
      </c>
      <c r="D108" s="650">
        <v>1.1866258215639339E-2</v>
      </c>
      <c r="E108" s="650">
        <v>1.5947785655559401E-2</v>
      </c>
      <c r="F108" s="650">
        <v>1.3171441942180579E-2</v>
      </c>
      <c r="G108" s="650">
        <v>1.5955765558535024E-2</v>
      </c>
      <c r="H108" s="650">
        <v>1.4516212299250129E-2</v>
      </c>
      <c r="I108" s="650">
        <v>1.2339083537050519E-2</v>
      </c>
      <c r="J108" s="650">
        <v>1.5154135142428943E-2</v>
      </c>
      <c r="K108" s="650">
        <v>1.4689005082020116E-2</v>
      </c>
      <c r="L108" s="650">
        <v>1.5650356691454457E-2</v>
      </c>
    </row>
    <row r="109" spans="1:12" ht="12.75" customHeight="1">
      <c r="A109" s="653" t="s">
        <v>716</v>
      </c>
      <c r="B109" s="648" t="s">
        <v>717</v>
      </c>
      <c r="C109" s="649">
        <v>9.2720267474011157E-4</v>
      </c>
      <c r="D109" s="650">
        <v>1.4127989727311154E-4</v>
      </c>
      <c r="E109" s="650">
        <v>2.6727943639125683E-4</v>
      </c>
      <c r="F109" s="650">
        <v>1.1732785476643469E-3</v>
      </c>
      <c r="G109" s="650">
        <v>7.7721414248334926E-4</v>
      </c>
      <c r="H109" s="650">
        <v>9.1727600257859171E-4</v>
      </c>
      <c r="I109" s="650">
        <v>8.7837779839402262E-4</v>
      </c>
      <c r="J109" s="650">
        <v>9.548936329331131E-4</v>
      </c>
      <c r="K109" s="650">
        <v>8.0133271321747399E-4</v>
      </c>
      <c r="L109" s="650">
        <v>1.6473269625629293E-3</v>
      </c>
    </row>
    <row r="110" spans="1:12" s="651" customFormat="1" ht="12.75" customHeight="1">
      <c r="A110" s="642" t="s">
        <v>718</v>
      </c>
      <c r="B110" s="646" t="s">
        <v>719</v>
      </c>
      <c r="C110" s="644">
        <v>1.044645389579744E-3</v>
      </c>
      <c r="D110" s="645">
        <v>3.026860032180011E-4</v>
      </c>
      <c r="E110" s="645">
        <v>9.0981252246796068E-4</v>
      </c>
      <c r="F110" s="645">
        <v>1.345097351631887E-3</v>
      </c>
      <c r="G110" s="645">
        <v>1.4159625502411736E-3</v>
      </c>
      <c r="H110" s="645">
        <v>5.7966071225558672E-4</v>
      </c>
      <c r="I110" s="645">
        <v>8.3229562552724571E-4</v>
      </c>
      <c r="J110" s="645">
        <v>1.2264851907289394E-3</v>
      </c>
      <c r="K110" s="645">
        <v>8.671290887547592E-4</v>
      </c>
      <c r="L110" s="645">
        <v>1.5567170668906679E-3</v>
      </c>
    </row>
    <row r="111" spans="1:12" ht="12.75" customHeight="1">
      <c r="A111" s="653" t="s">
        <v>720</v>
      </c>
      <c r="B111" s="648" t="s">
        <v>721</v>
      </c>
      <c r="C111" s="649">
        <v>1.044645389579744E-3</v>
      </c>
      <c r="D111" s="650">
        <v>3.026860032180011E-4</v>
      </c>
      <c r="E111" s="650">
        <v>9.0981252246796068E-4</v>
      </c>
      <c r="F111" s="650">
        <v>1.345097351631887E-3</v>
      </c>
      <c r="G111" s="650">
        <v>1.4159625502411736E-3</v>
      </c>
      <c r="H111" s="650">
        <v>5.7966071225558672E-4</v>
      </c>
      <c r="I111" s="650">
        <v>8.3229562552724571E-4</v>
      </c>
      <c r="J111" s="650">
        <v>1.2264851907289394E-3</v>
      </c>
      <c r="K111" s="650">
        <v>8.671290887547592E-4</v>
      </c>
      <c r="L111" s="650">
        <v>1.5567170668906679E-3</v>
      </c>
    </row>
    <row r="112" spans="1:12" s="651" customFormat="1" ht="12.75" customHeight="1">
      <c r="A112" s="642" t="s">
        <v>722</v>
      </c>
      <c r="B112" s="646" t="s">
        <v>723</v>
      </c>
      <c r="C112" s="644">
        <v>7.8711133847893526E-4</v>
      </c>
      <c r="D112" s="645">
        <v>1.7346401377399392E-3</v>
      </c>
      <c r="E112" s="645">
        <v>7.448048807449717E-4</v>
      </c>
      <c r="F112" s="645">
        <v>5.4885548852019142E-4</v>
      </c>
      <c r="G112" s="645">
        <v>9.4984123369327988E-4</v>
      </c>
      <c r="H112" s="645">
        <v>6.3997816834341237E-4</v>
      </c>
      <c r="I112" s="645">
        <v>6.942465781139078E-4</v>
      </c>
      <c r="J112" s="645">
        <v>3.7865016202625506E-4</v>
      </c>
      <c r="K112" s="645">
        <v>4.5581183913993612E-4</v>
      </c>
      <c r="L112" s="645">
        <v>9.8691325041343138E-4</v>
      </c>
    </row>
    <row r="113" spans="1:12" ht="12.75" customHeight="1">
      <c r="A113" s="653" t="s">
        <v>724</v>
      </c>
      <c r="B113" s="648" t="s">
        <v>725</v>
      </c>
      <c r="C113" s="649">
        <v>7.8711133847893526E-4</v>
      </c>
      <c r="D113" s="650">
        <v>1.7346401377399392E-3</v>
      </c>
      <c r="E113" s="650">
        <v>7.448048807449717E-4</v>
      </c>
      <c r="F113" s="650">
        <v>5.4885548852019142E-4</v>
      </c>
      <c r="G113" s="650">
        <v>9.4984123369327988E-4</v>
      </c>
      <c r="H113" s="650">
        <v>6.3997816834341237E-4</v>
      </c>
      <c r="I113" s="650">
        <v>6.942465781139078E-4</v>
      </c>
      <c r="J113" s="650">
        <v>3.7865016202625506E-4</v>
      </c>
      <c r="K113" s="650">
        <v>4.5581183913993612E-4</v>
      </c>
      <c r="L113" s="650">
        <v>9.8691325041343138E-4</v>
      </c>
    </row>
    <row r="114" spans="1:12" s="651" customFormat="1" ht="12.75" customHeight="1">
      <c r="A114" s="642" t="s">
        <v>726</v>
      </c>
      <c r="B114" s="646" t="s">
        <v>727</v>
      </c>
      <c r="C114" s="644">
        <v>1.1351460921544437E-2</v>
      </c>
      <c r="D114" s="645">
        <v>8.5973825657552974E-3</v>
      </c>
      <c r="E114" s="645">
        <v>1.2529322781500749E-2</v>
      </c>
      <c r="F114" s="645">
        <v>9.2357283833405784E-3</v>
      </c>
      <c r="G114" s="645">
        <v>1.3943275787440807E-2</v>
      </c>
      <c r="H114" s="645">
        <v>9.4999030796133511E-3</v>
      </c>
      <c r="I114" s="645">
        <v>1.0158734629363956E-2</v>
      </c>
      <c r="J114" s="645">
        <v>9.5481182475597708E-3</v>
      </c>
      <c r="K114" s="645">
        <v>1.3920972052993651E-2</v>
      </c>
      <c r="L114" s="645">
        <v>1.4692383767680891E-2</v>
      </c>
    </row>
    <row r="115" spans="1:12" ht="12.75" customHeight="1">
      <c r="A115" s="653" t="s">
        <v>728</v>
      </c>
      <c r="B115" s="648" t="s">
        <v>729</v>
      </c>
      <c r="C115" s="649">
        <v>1.1351460921544437E-2</v>
      </c>
      <c r="D115" s="650">
        <v>8.5973825657552974E-3</v>
      </c>
      <c r="E115" s="650">
        <v>1.2529322781500749E-2</v>
      </c>
      <c r="F115" s="650">
        <v>9.2357283833405784E-3</v>
      </c>
      <c r="G115" s="650">
        <v>1.3943275787440807E-2</v>
      </c>
      <c r="H115" s="650">
        <v>9.4999030796133511E-3</v>
      </c>
      <c r="I115" s="650">
        <v>1.0158734629363956E-2</v>
      </c>
      <c r="J115" s="650">
        <v>9.5481182475597708E-3</v>
      </c>
      <c r="K115" s="650">
        <v>1.3920972052993651E-2</v>
      </c>
      <c r="L115" s="650">
        <v>1.4692383767680891E-2</v>
      </c>
    </row>
    <row r="116" spans="1:12" s="651" customFormat="1" ht="12.75" customHeight="1">
      <c r="A116" s="642" t="s">
        <v>730</v>
      </c>
      <c r="B116" s="646" t="s">
        <v>731</v>
      </c>
      <c r="C116" s="644">
        <v>7.6416767538868653E-3</v>
      </c>
      <c r="D116" s="645">
        <v>5.4944883749715925E-3</v>
      </c>
      <c r="E116" s="645">
        <v>1.2221967244029847E-2</v>
      </c>
      <c r="F116" s="645">
        <v>8.9041913165597373E-3</v>
      </c>
      <c r="G116" s="645">
        <v>8.9143220995500216E-3</v>
      </c>
      <c r="H116" s="645">
        <v>1.0431524855531751E-2</v>
      </c>
      <c r="I116" s="645">
        <v>6.091053461359369E-3</v>
      </c>
      <c r="J116" s="645">
        <v>7.01069903304718E-3</v>
      </c>
      <c r="K116" s="645">
        <v>1.1254937733011844E-2</v>
      </c>
      <c r="L116" s="645">
        <v>1.8644706327025733E-3</v>
      </c>
    </row>
    <row r="117" spans="1:12" ht="12.75" customHeight="1">
      <c r="A117" s="653" t="s">
        <v>732</v>
      </c>
      <c r="B117" s="648" t="s">
        <v>733</v>
      </c>
      <c r="C117" s="649">
        <v>7.6416767538868653E-3</v>
      </c>
      <c r="D117" s="650">
        <v>5.4944883749715925E-3</v>
      </c>
      <c r="E117" s="650">
        <v>1.2221967244029847E-2</v>
      </c>
      <c r="F117" s="650">
        <v>8.9041913165597373E-3</v>
      </c>
      <c r="G117" s="650">
        <v>8.9143220995500216E-3</v>
      </c>
      <c r="H117" s="650">
        <v>1.0431524855531751E-2</v>
      </c>
      <c r="I117" s="650">
        <v>6.091053461359369E-3</v>
      </c>
      <c r="J117" s="650">
        <v>7.01069903304718E-3</v>
      </c>
      <c r="K117" s="650">
        <v>1.1254937733011844E-2</v>
      </c>
      <c r="L117" s="650">
        <v>1.8644706327025733E-3</v>
      </c>
    </row>
    <row r="118" spans="1:12" s="651" customFormat="1" ht="12.75" customHeight="1">
      <c r="A118" s="642" t="s">
        <v>734</v>
      </c>
      <c r="B118" s="646" t="s">
        <v>735</v>
      </c>
      <c r="C118" s="644">
        <v>3.0727262764563897E-2</v>
      </c>
      <c r="D118" s="645">
        <v>4.3787852043777512E-2</v>
      </c>
      <c r="E118" s="645">
        <v>2.6684252822835652E-2</v>
      </c>
      <c r="F118" s="645">
        <v>2.8802490690833946E-2</v>
      </c>
      <c r="G118" s="645">
        <v>2.9816397761989452E-2</v>
      </c>
      <c r="H118" s="645">
        <v>2.909355771172879E-2</v>
      </c>
      <c r="I118" s="645">
        <v>3.4245183463570007E-2</v>
      </c>
      <c r="J118" s="645">
        <v>2.5924808504297726E-2</v>
      </c>
      <c r="K118" s="645">
        <v>2.8402816218885515E-2</v>
      </c>
      <c r="L118" s="645">
        <v>2.9840704503155895E-2</v>
      </c>
    </row>
    <row r="119" spans="1:12" s="651" customFormat="1" ht="12.75" customHeight="1">
      <c r="A119" s="642" t="s">
        <v>736</v>
      </c>
      <c r="B119" s="646" t="s">
        <v>737</v>
      </c>
      <c r="C119" s="644">
        <v>6.7327936721425499E-3</v>
      </c>
      <c r="D119" s="645">
        <v>8.3493379941367157E-3</v>
      </c>
      <c r="E119" s="645">
        <v>6.3402607974877203E-3</v>
      </c>
      <c r="F119" s="645">
        <v>6.1498172194857951E-3</v>
      </c>
      <c r="G119" s="645">
        <v>7.4852887345142581E-3</v>
      </c>
      <c r="H119" s="645">
        <v>6.2501692438351152E-3</v>
      </c>
      <c r="I119" s="645">
        <v>6.5651650936211746E-3</v>
      </c>
      <c r="J119" s="645">
        <v>5.8048716143677204E-3</v>
      </c>
      <c r="K119" s="645">
        <v>6.9838014243372082E-3</v>
      </c>
      <c r="L119" s="645">
        <v>6.9071803306448446E-3</v>
      </c>
    </row>
    <row r="120" spans="1:12" ht="12.75" customHeight="1">
      <c r="A120" s="653" t="s">
        <v>738</v>
      </c>
      <c r="B120" s="648" t="s">
        <v>739</v>
      </c>
      <c r="C120" s="649">
        <v>3.0432227398084323E-3</v>
      </c>
      <c r="D120" s="650">
        <v>3.7739007733497954E-3</v>
      </c>
      <c r="E120" s="650">
        <v>2.8657978804644494E-3</v>
      </c>
      <c r="F120" s="650">
        <v>2.7797173832075791E-3</v>
      </c>
      <c r="G120" s="650">
        <v>3.383350508000444E-3</v>
      </c>
      <c r="H120" s="650">
        <v>2.8250764982134724E-3</v>
      </c>
      <c r="I120" s="650">
        <v>2.9674546223167706E-3</v>
      </c>
      <c r="J120" s="650">
        <v>2.6238019696942097E-3</v>
      </c>
      <c r="K120" s="650">
        <v>3.1566782438004178E-3</v>
      </c>
      <c r="L120" s="650">
        <v>3.1220455094514692E-3</v>
      </c>
    </row>
    <row r="121" spans="1:12" ht="12.75" customHeight="1">
      <c r="A121" s="653" t="s">
        <v>740</v>
      </c>
      <c r="B121" s="648" t="s">
        <v>741</v>
      </c>
      <c r="C121" s="649">
        <v>3.6895709323341176E-3</v>
      </c>
      <c r="D121" s="650">
        <v>4.5754372207869199E-3</v>
      </c>
      <c r="E121" s="650">
        <v>3.4744629170232709E-3</v>
      </c>
      <c r="F121" s="650">
        <v>3.3700998362782156E-3</v>
      </c>
      <c r="G121" s="650">
        <v>4.1019382265138132E-3</v>
      </c>
      <c r="H121" s="650">
        <v>3.4250927456216437E-3</v>
      </c>
      <c r="I121" s="650">
        <v>3.597710471304404E-3</v>
      </c>
      <c r="J121" s="650">
        <v>3.1810696446735111E-3</v>
      </c>
      <c r="K121" s="650">
        <v>3.8271231805367904E-3</v>
      </c>
      <c r="L121" s="650">
        <v>3.7851348211933745E-3</v>
      </c>
    </row>
    <row r="122" spans="1:12" s="651" customFormat="1" ht="12.75" customHeight="1">
      <c r="A122" s="642" t="s">
        <v>742</v>
      </c>
      <c r="B122" s="646" t="s">
        <v>743</v>
      </c>
      <c r="C122" s="644">
        <v>5.264890095172098E-3</v>
      </c>
      <c r="D122" s="645">
        <v>5.2801602140146635E-3</v>
      </c>
      <c r="E122" s="645">
        <v>5.2747228522702473E-3</v>
      </c>
      <c r="F122" s="645">
        <v>4.5997519904722858E-3</v>
      </c>
      <c r="G122" s="645">
        <v>6.7144138834088736E-3</v>
      </c>
      <c r="H122" s="645">
        <v>5.2871964115968496E-3</v>
      </c>
      <c r="I122" s="645">
        <v>4.5475426420585243E-3</v>
      </c>
      <c r="J122" s="645">
        <v>3.9500629206260709E-3</v>
      </c>
      <c r="K122" s="645">
        <v>6.3029104864942009E-3</v>
      </c>
      <c r="L122" s="645">
        <v>5.6133987751093815E-3</v>
      </c>
    </row>
    <row r="123" spans="1:12" ht="12.75" customHeight="1">
      <c r="A123" s="653" t="s">
        <v>744</v>
      </c>
      <c r="B123" s="648" t="s">
        <v>745</v>
      </c>
      <c r="C123" s="649">
        <v>5.264890095172098E-3</v>
      </c>
      <c r="D123" s="650">
        <v>5.2801602140146635E-3</v>
      </c>
      <c r="E123" s="650">
        <v>5.2747228522702473E-3</v>
      </c>
      <c r="F123" s="650">
        <v>4.5997519904722858E-3</v>
      </c>
      <c r="G123" s="650">
        <v>6.7144138834088736E-3</v>
      </c>
      <c r="H123" s="650">
        <v>5.2871964115968496E-3</v>
      </c>
      <c r="I123" s="650">
        <v>4.5475426420585243E-3</v>
      </c>
      <c r="J123" s="650">
        <v>3.9500629206260709E-3</v>
      </c>
      <c r="K123" s="650">
        <v>6.3029104864942009E-3</v>
      </c>
      <c r="L123" s="650">
        <v>5.6133987751093815E-3</v>
      </c>
    </row>
    <row r="124" spans="1:12" s="651" customFormat="1" ht="12.75" customHeight="1">
      <c r="A124" s="642" t="s">
        <v>746</v>
      </c>
      <c r="B124" s="646" t="s">
        <v>747</v>
      </c>
      <c r="C124" s="644">
        <v>5.6836738903142678E-3</v>
      </c>
      <c r="D124" s="645">
        <v>8.7659297267062286E-3</v>
      </c>
      <c r="E124" s="645">
        <v>4.5891571977585907E-3</v>
      </c>
      <c r="F124" s="645">
        <v>5.7183416134257373E-3</v>
      </c>
      <c r="G124" s="645">
        <v>3.3977868184823473E-3</v>
      </c>
      <c r="H124" s="645">
        <v>5.9139315572504514E-3</v>
      </c>
      <c r="I124" s="645">
        <v>7.9354028266421395E-3</v>
      </c>
      <c r="J124" s="645">
        <v>6.1197944620202784E-3</v>
      </c>
      <c r="K124" s="645">
        <v>4.2351681546230055E-3</v>
      </c>
      <c r="L124" s="645">
        <v>4.4947610434182836E-3</v>
      </c>
    </row>
    <row r="125" spans="1:12" ht="12.75" customHeight="1">
      <c r="A125" s="653" t="s">
        <v>748</v>
      </c>
      <c r="B125" s="648" t="s">
        <v>749</v>
      </c>
      <c r="C125" s="649">
        <v>5.6836738903142678E-3</v>
      </c>
      <c r="D125" s="650">
        <v>8.7659297267062286E-3</v>
      </c>
      <c r="E125" s="650">
        <v>4.5891571977585907E-3</v>
      </c>
      <c r="F125" s="650">
        <v>5.7183416134257373E-3</v>
      </c>
      <c r="G125" s="650">
        <v>3.3977868184823473E-3</v>
      </c>
      <c r="H125" s="650">
        <v>5.9139315572504514E-3</v>
      </c>
      <c r="I125" s="650">
        <v>7.9354028266421395E-3</v>
      </c>
      <c r="J125" s="650">
        <v>6.1197944620202784E-3</v>
      </c>
      <c r="K125" s="650">
        <v>4.2351681546230055E-3</v>
      </c>
      <c r="L125" s="650">
        <v>4.4947610434182836E-3</v>
      </c>
    </row>
    <row r="126" spans="1:12" s="651" customFormat="1" ht="12.75" customHeight="1">
      <c r="A126" s="642" t="s">
        <v>750</v>
      </c>
      <c r="B126" s="646" t="s">
        <v>751</v>
      </c>
      <c r="C126" s="644">
        <v>3.3705059431006117E-3</v>
      </c>
      <c r="D126" s="645">
        <v>7.2993252541707692E-3</v>
      </c>
      <c r="E126" s="645">
        <v>2.2927563511120166E-3</v>
      </c>
      <c r="F126" s="645">
        <v>2.7774767097084032E-3</v>
      </c>
      <c r="G126" s="645">
        <v>2.7376221501597118E-3</v>
      </c>
      <c r="H126" s="645">
        <v>3.0537402157125417E-3</v>
      </c>
      <c r="I126" s="645">
        <v>4.3802910363397391E-3</v>
      </c>
      <c r="J126" s="645">
        <v>2.2244927954567341E-3</v>
      </c>
      <c r="K126" s="645">
        <v>2.5884372188089855E-3</v>
      </c>
      <c r="L126" s="645">
        <v>3.0662174077510274E-3</v>
      </c>
    </row>
    <row r="127" spans="1:12" ht="12.75" customHeight="1">
      <c r="A127" s="653" t="s">
        <v>752</v>
      </c>
      <c r="B127" s="648" t="s">
        <v>753</v>
      </c>
      <c r="C127" s="649">
        <v>3.3705059431006117E-3</v>
      </c>
      <c r="D127" s="650">
        <v>7.2993252541707692E-3</v>
      </c>
      <c r="E127" s="650">
        <v>2.2927563511120166E-3</v>
      </c>
      <c r="F127" s="650">
        <v>2.7774767097084032E-3</v>
      </c>
      <c r="G127" s="650">
        <v>2.7376221501597118E-3</v>
      </c>
      <c r="H127" s="650">
        <v>3.0537402157125417E-3</v>
      </c>
      <c r="I127" s="650">
        <v>4.3802910363397391E-3</v>
      </c>
      <c r="J127" s="650">
        <v>2.2244927954567341E-3</v>
      </c>
      <c r="K127" s="650">
        <v>2.5884372188089855E-3</v>
      </c>
      <c r="L127" s="650">
        <v>3.0662174077510274E-3</v>
      </c>
    </row>
    <row r="128" spans="1:12" s="651" customFormat="1" ht="12.75" customHeight="1">
      <c r="A128" s="642" t="s">
        <v>754</v>
      </c>
      <c r="B128" s="646" t="s">
        <v>755</v>
      </c>
      <c r="C128" s="644">
        <v>4.220028066604843E-3</v>
      </c>
      <c r="D128" s="645">
        <v>7.079034212061068E-3</v>
      </c>
      <c r="E128" s="645">
        <v>3.0966638793621841E-3</v>
      </c>
      <c r="F128" s="645">
        <v>3.9319499971009805E-3</v>
      </c>
      <c r="G128" s="645">
        <v>3.6372762674647765E-3</v>
      </c>
      <c r="H128" s="645">
        <v>3.6377718710086781E-3</v>
      </c>
      <c r="I128" s="645">
        <v>5.6589586913776751E-3</v>
      </c>
      <c r="J128" s="645">
        <v>3.3419886317061841E-3</v>
      </c>
      <c r="K128" s="645">
        <v>3.2763242062712607E-3</v>
      </c>
      <c r="L128" s="645">
        <v>4.0865942820336332E-3</v>
      </c>
    </row>
    <row r="129" spans="1:12" ht="12.75" customHeight="1">
      <c r="A129" s="653" t="s">
        <v>756</v>
      </c>
      <c r="B129" s="648" t="s">
        <v>757</v>
      </c>
      <c r="C129" s="649">
        <v>2.7772743066390108E-3</v>
      </c>
      <c r="D129" s="650">
        <v>4.9716048708571903E-3</v>
      </c>
      <c r="E129" s="650">
        <v>1.965750934223319E-3</v>
      </c>
      <c r="F129" s="650">
        <v>2.8671091323711701E-3</v>
      </c>
      <c r="G129" s="650">
        <v>2.0775132355183809E-3</v>
      </c>
      <c r="H129" s="650">
        <v>2.1783887676135169E-3</v>
      </c>
      <c r="I129" s="650">
        <v>4.2320337483631662E-3</v>
      </c>
      <c r="J129" s="650">
        <v>2.3351820601104842E-3</v>
      </c>
      <c r="K129" s="650">
        <v>1.5233887829761905E-3</v>
      </c>
      <c r="L129" s="650">
        <v>2.5554751053346249E-3</v>
      </c>
    </row>
    <row r="130" spans="1:12" ht="12.75" customHeight="1">
      <c r="A130" s="653" t="s">
        <v>758</v>
      </c>
      <c r="B130" s="648" t="s">
        <v>759</v>
      </c>
      <c r="C130" s="649">
        <v>1.442753759965832E-3</v>
      </c>
      <c r="D130" s="650">
        <v>2.1074293412038769E-3</v>
      </c>
      <c r="E130" s="650">
        <v>1.1309129451388652E-3</v>
      </c>
      <c r="F130" s="650">
        <v>1.06484086472981E-3</v>
      </c>
      <c r="G130" s="650">
        <v>1.5597630319463961E-3</v>
      </c>
      <c r="H130" s="650">
        <v>1.4593831033951612E-3</v>
      </c>
      <c r="I130" s="650">
        <v>1.4269249430145087E-3</v>
      </c>
      <c r="J130" s="650">
        <v>1.0068065715956999E-3</v>
      </c>
      <c r="K130" s="650">
        <v>1.7529354232950702E-3</v>
      </c>
      <c r="L130" s="650">
        <v>1.5311191766990081E-3</v>
      </c>
    </row>
    <row r="131" spans="1:12" s="651" customFormat="1" ht="12.75" customHeight="1">
      <c r="A131" s="642" t="s">
        <v>760</v>
      </c>
      <c r="B131" s="646" t="s">
        <v>761</v>
      </c>
      <c r="C131" s="644">
        <v>3.985813186172635E-3</v>
      </c>
      <c r="D131" s="645">
        <v>4.3690405856014417E-3</v>
      </c>
      <c r="E131" s="645">
        <v>4.2890927051722674E-3</v>
      </c>
      <c r="F131" s="645">
        <v>3.6855810100634464E-3</v>
      </c>
      <c r="G131" s="645">
        <v>4.7320252314113215E-3</v>
      </c>
      <c r="H131" s="645">
        <v>3.2520083285416984E-3</v>
      </c>
      <c r="I131" s="645">
        <v>3.5591298190555611E-3</v>
      </c>
      <c r="J131" s="645">
        <v>3.4770406999028577E-3</v>
      </c>
      <c r="K131" s="645">
        <v>4.0456424324970585E-3</v>
      </c>
      <c r="L131" s="645">
        <v>4.5841500491304215E-3</v>
      </c>
    </row>
    <row r="132" spans="1:12" ht="12.75" customHeight="1">
      <c r="A132" s="653" t="s">
        <v>762</v>
      </c>
      <c r="B132" s="648" t="s">
        <v>763</v>
      </c>
      <c r="C132" s="649">
        <v>2.6929107708793258E-3</v>
      </c>
      <c r="D132" s="650">
        <v>2.4771071857396169E-3</v>
      </c>
      <c r="E132" s="650">
        <v>3.2621110375937079E-3</v>
      </c>
      <c r="F132" s="650">
        <v>2.5206095186509651E-3</v>
      </c>
      <c r="G132" s="650">
        <v>3.5602403300560785E-3</v>
      </c>
      <c r="H132" s="650">
        <v>2.0545012417648701E-3</v>
      </c>
      <c r="I132" s="650">
        <v>2.3743407079894318E-3</v>
      </c>
      <c r="J132" s="650">
        <v>1.9177710485369292E-3</v>
      </c>
      <c r="K132" s="650">
        <v>3.0044457446871961E-3</v>
      </c>
      <c r="L132" s="650">
        <v>3.1535456805355179E-3</v>
      </c>
    </row>
    <row r="133" spans="1:12" ht="12.75" customHeight="1">
      <c r="A133" s="653" t="s">
        <v>764</v>
      </c>
      <c r="B133" s="648" t="s">
        <v>765</v>
      </c>
      <c r="C133" s="649">
        <v>1.2929024152933096E-3</v>
      </c>
      <c r="D133" s="650">
        <v>1.8919333998618246E-3</v>
      </c>
      <c r="E133" s="650">
        <v>1.0269816675785588E-3</v>
      </c>
      <c r="F133" s="650">
        <v>1.1649714914124809E-3</v>
      </c>
      <c r="G133" s="650">
        <v>1.1717849013552436E-3</v>
      </c>
      <c r="H133" s="650">
        <v>1.1975070867768283E-3</v>
      </c>
      <c r="I133" s="650">
        <v>1.1847891110661295E-3</v>
      </c>
      <c r="J133" s="650">
        <v>1.5592696513659289E-3</v>
      </c>
      <c r="K133" s="650">
        <v>1.0411966878098617E-3</v>
      </c>
      <c r="L133" s="650">
        <v>1.4306043685949035E-3</v>
      </c>
    </row>
    <row r="134" spans="1:12" s="651" customFormat="1" ht="12.75" customHeight="1">
      <c r="A134" s="642" t="s">
        <v>766</v>
      </c>
      <c r="B134" s="646" t="s">
        <v>767</v>
      </c>
      <c r="C134" s="644">
        <v>1.469557911056894E-3</v>
      </c>
      <c r="D134" s="645">
        <v>2.6450240570866273E-3</v>
      </c>
      <c r="E134" s="645">
        <v>8.0159903967262863E-4</v>
      </c>
      <c r="F134" s="645">
        <v>1.9395721505772977E-3</v>
      </c>
      <c r="G134" s="645">
        <v>1.1119846765481679E-3</v>
      </c>
      <c r="H134" s="645">
        <v>1.6987400837834535E-3</v>
      </c>
      <c r="I134" s="645">
        <v>1.5986933544751957E-3</v>
      </c>
      <c r="J134" s="645">
        <v>1.0065573802178821E-3</v>
      </c>
      <c r="K134" s="645">
        <v>9.7053229585379575E-4</v>
      </c>
      <c r="L134" s="645">
        <v>1.0884026150683025E-3</v>
      </c>
    </row>
    <row r="135" spans="1:12" ht="12.75" customHeight="1">
      <c r="A135" s="653" t="s">
        <v>768</v>
      </c>
      <c r="B135" s="648" t="s">
        <v>767</v>
      </c>
      <c r="C135" s="649">
        <v>1.469557911056894E-3</v>
      </c>
      <c r="D135" s="650">
        <v>2.6450240570866273E-3</v>
      </c>
      <c r="E135" s="650">
        <v>8.0159903967262863E-4</v>
      </c>
      <c r="F135" s="650">
        <v>1.9395721505772977E-3</v>
      </c>
      <c r="G135" s="650">
        <v>1.1119846765481679E-3</v>
      </c>
      <c r="H135" s="650">
        <v>1.6987400837834535E-3</v>
      </c>
      <c r="I135" s="650">
        <v>1.5986933544751957E-3</v>
      </c>
      <c r="J135" s="650">
        <v>1.0065573802178821E-3</v>
      </c>
      <c r="K135" s="650">
        <v>9.7053229585379575E-4</v>
      </c>
      <c r="L135" s="650">
        <v>1.0884026150683025E-3</v>
      </c>
    </row>
    <row r="136" spans="1:12" s="651" customFormat="1" ht="12.75" customHeight="1">
      <c r="A136" s="642" t="s">
        <v>769</v>
      </c>
      <c r="B136" s="646" t="s">
        <v>770</v>
      </c>
      <c r="C136" s="644">
        <v>3.5341477191832886E-2</v>
      </c>
      <c r="D136" s="645">
        <v>4.0378506444745076E-2</v>
      </c>
      <c r="E136" s="645">
        <v>2.5951603448893319E-2</v>
      </c>
      <c r="F136" s="645">
        <v>3.954766698735928E-2</v>
      </c>
      <c r="G136" s="645">
        <v>2.9981378773782399E-2</v>
      </c>
      <c r="H136" s="645">
        <v>3.157242544530374E-2</v>
      </c>
      <c r="I136" s="645">
        <v>4.407641166576038E-2</v>
      </c>
      <c r="J136" s="645">
        <v>3.7751207216458769E-2</v>
      </c>
      <c r="K136" s="645">
        <v>2.4456775547717437E-2</v>
      </c>
      <c r="L136" s="645">
        <v>3.7539585015634383E-2</v>
      </c>
    </row>
    <row r="137" spans="1:12" s="651" customFormat="1" ht="12.75" customHeight="1">
      <c r="A137" s="642" t="s">
        <v>771</v>
      </c>
      <c r="B137" s="646" t="s">
        <v>772</v>
      </c>
      <c r="C137" s="644">
        <v>2.9563390905364239E-3</v>
      </c>
      <c r="D137" s="645">
        <v>2.8502215562783697E-3</v>
      </c>
      <c r="E137" s="645">
        <v>2.6791180617152747E-3</v>
      </c>
      <c r="F137" s="645">
        <v>2.6196445714496172E-3</v>
      </c>
      <c r="G137" s="645">
        <v>3.2373238111447172E-3</v>
      </c>
      <c r="H137" s="645">
        <v>2.7472178201041575E-3</v>
      </c>
      <c r="I137" s="645">
        <v>3.0109627832926658E-3</v>
      </c>
      <c r="J137" s="645">
        <v>2.5897165646804922E-3</v>
      </c>
      <c r="K137" s="645">
        <v>2.0774099162092696E-3</v>
      </c>
      <c r="L137" s="645">
        <v>4.1885516801662814E-3</v>
      </c>
    </row>
    <row r="138" spans="1:12" ht="12.75" customHeight="1">
      <c r="A138" s="653" t="s">
        <v>773</v>
      </c>
      <c r="B138" s="648" t="s">
        <v>774</v>
      </c>
      <c r="C138" s="649">
        <v>2.9563390905364239E-3</v>
      </c>
      <c r="D138" s="650">
        <v>2.8502215562783697E-3</v>
      </c>
      <c r="E138" s="650">
        <v>2.6791180617152747E-3</v>
      </c>
      <c r="F138" s="650">
        <v>2.6196445714496172E-3</v>
      </c>
      <c r="G138" s="650">
        <v>3.2373238111447172E-3</v>
      </c>
      <c r="H138" s="650">
        <v>2.7472178201041575E-3</v>
      </c>
      <c r="I138" s="650">
        <v>3.0109627832926658E-3</v>
      </c>
      <c r="J138" s="650">
        <v>2.5897165646804922E-3</v>
      </c>
      <c r="K138" s="650">
        <v>2.0774099162092696E-3</v>
      </c>
      <c r="L138" s="650">
        <v>4.1885516801662814E-3</v>
      </c>
    </row>
    <row r="139" spans="1:12" s="651" customFormat="1" ht="12.75" customHeight="1">
      <c r="A139" s="642" t="s">
        <v>775</v>
      </c>
      <c r="B139" s="646" t="s">
        <v>776</v>
      </c>
      <c r="C139" s="644">
        <v>1.2554922383422729E-2</v>
      </c>
      <c r="D139" s="645">
        <v>1.6192611342789025E-2</v>
      </c>
      <c r="E139" s="645">
        <v>8.8043063849084936E-3</v>
      </c>
      <c r="F139" s="645">
        <v>1.2779578812818651E-2</v>
      </c>
      <c r="G139" s="645">
        <v>1.1707772269257451E-2</v>
      </c>
      <c r="H139" s="645">
        <v>1.0928444773305897E-2</v>
      </c>
      <c r="I139" s="645">
        <v>1.4830918674205405E-2</v>
      </c>
      <c r="J139" s="645">
        <v>1.1688809334857676E-2</v>
      </c>
      <c r="K139" s="645">
        <v>1.0630447337127208E-2</v>
      </c>
      <c r="L139" s="645">
        <v>1.3581553265482585E-2</v>
      </c>
    </row>
    <row r="140" spans="1:12" ht="12.75" customHeight="1">
      <c r="A140" s="653" t="s">
        <v>777</v>
      </c>
      <c r="B140" s="648" t="s">
        <v>778</v>
      </c>
      <c r="C140" s="649">
        <v>4.2738126810365441E-3</v>
      </c>
      <c r="D140" s="650">
        <v>5.3129768472912143E-3</v>
      </c>
      <c r="E140" s="650">
        <v>3.4951502895361735E-3</v>
      </c>
      <c r="F140" s="650">
        <v>4.5263649497196872E-3</v>
      </c>
      <c r="G140" s="650">
        <v>4.1165505621270828E-3</v>
      </c>
      <c r="H140" s="650">
        <v>4.5350047406834066E-3</v>
      </c>
      <c r="I140" s="650">
        <v>4.5313277544505913E-3</v>
      </c>
      <c r="J140" s="650">
        <v>4.3773778406807993E-3</v>
      </c>
      <c r="K140" s="650">
        <v>3.7034663403198542E-3</v>
      </c>
      <c r="L140" s="650">
        <v>3.7604511574213617E-3</v>
      </c>
    </row>
    <row r="141" spans="1:12" s="651" customFormat="1" ht="12.75" customHeight="1">
      <c r="A141" s="653" t="s">
        <v>779</v>
      </c>
      <c r="B141" s="648" t="s">
        <v>780</v>
      </c>
      <c r="C141" s="649">
        <v>5.8195159137944489E-3</v>
      </c>
      <c r="D141" s="650">
        <v>7.5949088066929816E-3</v>
      </c>
      <c r="E141" s="650">
        <v>3.6027342778928804E-3</v>
      </c>
      <c r="F141" s="650">
        <v>5.3435887419211806E-3</v>
      </c>
      <c r="G141" s="650">
        <v>5.9571390180031096E-3</v>
      </c>
      <c r="H141" s="650">
        <v>4.4209184537098009E-3</v>
      </c>
      <c r="I141" s="650">
        <v>6.4756522389430044E-3</v>
      </c>
      <c r="J141" s="650">
        <v>5.1384817137482179E-3</v>
      </c>
      <c r="K141" s="650">
        <v>5.7978790681257174E-3</v>
      </c>
      <c r="L141" s="650">
        <v>7.1191864096155954E-3</v>
      </c>
    </row>
    <row r="142" spans="1:12" ht="12.75" customHeight="1">
      <c r="A142" s="653" t="s">
        <v>781</v>
      </c>
      <c r="B142" s="648" t="s">
        <v>782</v>
      </c>
      <c r="C142" s="649">
        <v>9.0442857151541213E-4</v>
      </c>
      <c r="D142" s="650">
        <v>1.3024476610069972E-3</v>
      </c>
      <c r="E142" s="650">
        <v>7.6159420598946299E-4</v>
      </c>
      <c r="F142" s="650">
        <v>1.1556611404513202E-3</v>
      </c>
      <c r="G142" s="650">
        <v>4.7545096151337856E-4</v>
      </c>
      <c r="H142" s="650">
        <v>8.1261884568349879E-4</v>
      </c>
      <c r="I142" s="650">
        <v>1.4648965199550851E-3</v>
      </c>
      <c r="J142" s="650">
        <v>9.1783018232913488E-4</v>
      </c>
      <c r="K142" s="650">
        <v>3.5421097297815343E-4</v>
      </c>
      <c r="L142" s="650">
        <v>7.2441174773383546E-4</v>
      </c>
    </row>
    <row r="143" spans="1:12" ht="12.75" customHeight="1">
      <c r="A143" s="653" t="s">
        <v>783</v>
      </c>
      <c r="B143" s="648" t="s">
        <v>784</v>
      </c>
      <c r="C143" s="649">
        <v>2.2610714287885303E-4</v>
      </c>
      <c r="D143" s="650">
        <v>3.2561191525174929E-4</v>
      </c>
      <c r="E143" s="650">
        <v>1.9039855149736575E-4</v>
      </c>
      <c r="F143" s="650">
        <v>2.8891528511283004E-4</v>
      </c>
      <c r="G143" s="650">
        <v>1.1886274037834464E-4</v>
      </c>
      <c r="H143" s="650">
        <v>2.031547114208747E-4</v>
      </c>
      <c r="I143" s="650">
        <v>3.6622412998877128E-4</v>
      </c>
      <c r="J143" s="650">
        <v>2.2945754558228372E-4</v>
      </c>
      <c r="K143" s="650">
        <v>8.8552743244538359E-5</v>
      </c>
      <c r="L143" s="650">
        <v>1.8110293693345887E-4</v>
      </c>
    </row>
    <row r="144" spans="1:12" ht="12.75" customHeight="1">
      <c r="A144" s="653" t="s">
        <v>785</v>
      </c>
      <c r="B144" s="648" t="s">
        <v>786</v>
      </c>
      <c r="C144" s="652">
        <v>1.3310580741974719E-3</v>
      </c>
      <c r="D144" s="650">
        <v>1.6566661125460805E-3</v>
      </c>
      <c r="E144" s="650">
        <v>7.5442905999261204E-4</v>
      </c>
      <c r="F144" s="650">
        <v>1.4650486956136303E-3</v>
      </c>
      <c r="G144" s="650">
        <v>1.0397689872355359E-3</v>
      </c>
      <c r="H144" s="650">
        <v>9.5674802180831903E-4</v>
      </c>
      <c r="I144" s="650">
        <v>1.9928180308679522E-3</v>
      </c>
      <c r="J144" s="650">
        <v>1.0256620525172415E-3</v>
      </c>
      <c r="K144" s="650">
        <v>6.8633821245894387E-4</v>
      </c>
      <c r="L144" s="650">
        <v>1.7964010137783344E-3</v>
      </c>
    </row>
    <row r="145" spans="1:12" s="651" customFormat="1" ht="12.75" customHeight="1">
      <c r="A145" s="642" t="s">
        <v>787</v>
      </c>
      <c r="B145" s="646" t="s">
        <v>788</v>
      </c>
      <c r="C145" s="644">
        <v>6.6469192904569782E-3</v>
      </c>
      <c r="D145" s="645">
        <v>7.3401500546528709E-3</v>
      </c>
      <c r="E145" s="645">
        <v>5.6789404344866051E-3</v>
      </c>
      <c r="F145" s="645">
        <v>7.2958019811197256E-3</v>
      </c>
      <c r="G145" s="645">
        <v>6.0407636711535114E-3</v>
      </c>
      <c r="H145" s="645">
        <v>5.6637139851931769E-3</v>
      </c>
      <c r="I145" s="645">
        <v>8.308972884787014E-3</v>
      </c>
      <c r="J145" s="645">
        <v>7.3279128960027752E-3</v>
      </c>
      <c r="K145" s="645">
        <v>4.2307802993200323E-3</v>
      </c>
      <c r="L145" s="645">
        <v>7.0657528441666539E-3</v>
      </c>
    </row>
    <row r="146" spans="1:12" s="651" customFormat="1" ht="12.75" customHeight="1">
      <c r="A146" s="653" t="s">
        <v>789</v>
      </c>
      <c r="B146" s="648" t="s">
        <v>790</v>
      </c>
      <c r="C146" s="649">
        <v>2.2487577062516827E-3</v>
      </c>
      <c r="D146" s="650">
        <v>2.5827738644146519E-3</v>
      </c>
      <c r="E146" s="650">
        <v>1.789853962929056E-3</v>
      </c>
      <c r="F146" s="650">
        <v>2.3429653504631123E-3</v>
      </c>
      <c r="G146" s="650">
        <v>1.9286910099565817E-3</v>
      </c>
      <c r="H146" s="650">
        <v>2.2108169809759637E-3</v>
      </c>
      <c r="I146" s="650">
        <v>2.8136297334221015E-3</v>
      </c>
      <c r="J146" s="650">
        <v>2.5180054676360924E-3</v>
      </c>
      <c r="K146" s="650">
        <v>1.5637223167040957E-3</v>
      </c>
      <c r="L146" s="650">
        <v>2.2557081305291989E-3</v>
      </c>
    </row>
    <row r="147" spans="1:12" ht="12.75" customHeight="1">
      <c r="A147" s="653" t="s">
        <v>791</v>
      </c>
      <c r="B147" s="648" t="s">
        <v>792</v>
      </c>
      <c r="C147" s="649">
        <v>5.8505750046531941E-4</v>
      </c>
      <c r="D147" s="650">
        <v>7.9331189416392443E-4</v>
      </c>
      <c r="E147" s="650">
        <v>4.4613184813309869E-4</v>
      </c>
      <c r="F147" s="650">
        <v>4.8471180945337778E-4</v>
      </c>
      <c r="G147" s="650">
        <v>4.0308737822507165E-4</v>
      </c>
      <c r="H147" s="650">
        <v>4.1363498094372102E-4</v>
      </c>
      <c r="I147" s="650">
        <v>7.3465771224439367E-4</v>
      </c>
      <c r="J147" s="650">
        <v>5.7509892911339301E-4</v>
      </c>
      <c r="K147" s="650">
        <v>3.9739666373396081E-4</v>
      </c>
      <c r="L147" s="650">
        <v>8.765859049059923E-4</v>
      </c>
    </row>
    <row r="148" spans="1:12" s="651" customFormat="1" ht="12.75" customHeight="1">
      <c r="A148" s="653" t="s">
        <v>793</v>
      </c>
      <c r="B148" s="648" t="s">
        <v>794</v>
      </c>
      <c r="C148" s="649">
        <v>1.321888899388427E-3</v>
      </c>
      <c r="D148" s="650">
        <v>1.7019831184384695E-3</v>
      </c>
      <c r="E148" s="650">
        <v>1.1678066591625505E-3</v>
      </c>
      <c r="F148" s="650">
        <v>1.3097223809697459E-3</v>
      </c>
      <c r="G148" s="650">
        <v>1.0991926301601061E-3</v>
      </c>
      <c r="H148" s="650">
        <v>1.0516101713153949E-3</v>
      </c>
      <c r="I148" s="650">
        <v>1.6790418773063418E-3</v>
      </c>
      <c r="J148" s="650">
        <v>1.5427216053343353E-3</v>
      </c>
      <c r="K148" s="650">
        <v>7.514225192776792E-4</v>
      </c>
      <c r="L148" s="650">
        <v>1.4959219814614879E-3</v>
      </c>
    </row>
    <row r="149" spans="1:12" ht="12.75" customHeight="1">
      <c r="A149" s="653" t="s">
        <v>795</v>
      </c>
      <c r="B149" s="648" t="s">
        <v>796</v>
      </c>
      <c r="C149" s="649">
        <v>2.4912151843515498E-3</v>
      </c>
      <c r="D149" s="650">
        <v>2.2620811776358249E-3</v>
      </c>
      <c r="E149" s="650">
        <v>2.2751479642619003E-3</v>
      </c>
      <c r="F149" s="650">
        <v>3.1584024402334888E-3</v>
      </c>
      <c r="G149" s="650">
        <v>2.6097926528117509E-3</v>
      </c>
      <c r="H149" s="650">
        <v>1.9876518519580974E-3</v>
      </c>
      <c r="I149" s="650">
        <v>3.0816435618141761E-3</v>
      </c>
      <c r="J149" s="650">
        <v>2.6920868939189551E-3</v>
      </c>
      <c r="K149" s="650">
        <v>1.5182387996042967E-3</v>
      </c>
      <c r="L149" s="650">
        <v>2.4375368272699744E-3</v>
      </c>
    </row>
    <row r="150" spans="1:12" s="651" customFormat="1" ht="12.75" customHeight="1">
      <c r="A150" s="642" t="s">
        <v>797</v>
      </c>
      <c r="B150" s="646" t="s">
        <v>798</v>
      </c>
      <c r="C150" s="644">
        <v>6.035252707772467E-4</v>
      </c>
      <c r="D150" s="645">
        <v>4.4648334695389391E-4</v>
      </c>
      <c r="E150" s="645">
        <v>3.0606266063855044E-4</v>
      </c>
      <c r="F150" s="645">
        <v>4.2592727241658494E-4</v>
      </c>
      <c r="G150" s="645">
        <v>8.854320378982438E-4</v>
      </c>
      <c r="H150" s="645">
        <v>4.51322124247521E-4</v>
      </c>
      <c r="I150" s="645">
        <v>8.218685905972044E-4</v>
      </c>
      <c r="J150" s="645">
        <v>3.6098075479448164E-4</v>
      </c>
      <c r="K150" s="645">
        <v>5.5439300269298172E-4</v>
      </c>
      <c r="L150" s="645">
        <v>9.5969109930382714E-4</v>
      </c>
    </row>
    <row r="151" spans="1:12" ht="12.75" customHeight="1">
      <c r="A151" s="653" t="s">
        <v>799</v>
      </c>
      <c r="B151" s="648" t="s">
        <v>800</v>
      </c>
      <c r="C151" s="649">
        <v>6.035252707772467E-4</v>
      </c>
      <c r="D151" s="650">
        <v>4.4648334695389391E-4</v>
      </c>
      <c r="E151" s="650">
        <v>3.0606266063855044E-4</v>
      </c>
      <c r="F151" s="650">
        <v>4.2592727241658494E-4</v>
      </c>
      <c r="G151" s="650">
        <v>8.854320378982438E-4</v>
      </c>
      <c r="H151" s="650">
        <v>4.51322124247521E-4</v>
      </c>
      <c r="I151" s="650">
        <v>8.218685905972044E-4</v>
      </c>
      <c r="J151" s="650">
        <v>3.6098075479448164E-4</v>
      </c>
      <c r="K151" s="650">
        <v>5.5439300269298172E-4</v>
      </c>
      <c r="L151" s="650">
        <v>9.5969109930382714E-4</v>
      </c>
    </row>
    <row r="152" spans="1:12" s="651" customFormat="1" ht="12.75" customHeight="1">
      <c r="A152" s="642" t="s">
        <v>801</v>
      </c>
      <c r="B152" s="646" t="s">
        <v>802</v>
      </c>
      <c r="C152" s="644">
        <v>3.2656873728968139E-3</v>
      </c>
      <c r="D152" s="645">
        <v>3.6626210546901765E-3</v>
      </c>
      <c r="E152" s="645">
        <v>2.5927766866659409E-3</v>
      </c>
      <c r="F152" s="645">
        <v>4.0111903947105763E-3</v>
      </c>
      <c r="G152" s="645">
        <v>3.1213082254250646E-3</v>
      </c>
      <c r="H152" s="645">
        <v>2.7549515406061478E-3</v>
      </c>
      <c r="I152" s="645">
        <v>3.662804046415901E-3</v>
      </c>
      <c r="J152" s="645">
        <v>3.6969318078078806E-3</v>
      </c>
      <c r="K152" s="645">
        <v>2.4651512550379006E-3</v>
      </c>
      <c r="L152" s="645">
        <v>3.0408558436739687E-3</v>
      </c>
    </row>
    <row r="153" spans="1:12" ht="12.75" customHeight="1">
      <c r="A153" s="653" t="s">
        <v>803</v>
      </c>
      <c r="B153" s="648" t="s">
        <v>804</v>
      </c>
      <c r="C153" s="649">
        <v>2.6483431606435237E-3</v>
      </c>
      <c r="D153" s="650">
        <v>3.3115980006931463E-3</v>
      </c>
      <c r="E153" s="650">
        <v>2.2516564230253425E-3</v>
      </c>
      <c r="F153" s="650">
        <v>3.3420080747717396E-3</v>
      </c>
      <c r="G153" s="650">
        <v>2.1220506455342566E-3</v>
      </c>
      <c r="H153" s="650">
        <v>2.3001475729844214E-3</v>
      </c>
      <c r="I153" s="650">
        <v>2.7500282505995149E-3</v>
      </c>
      <c r="J153" s="650">
        <v>2.8467478123189449E-3</v>
      </c>
      <c r="K153" s="650">
        <v>1.8704063294678972E-3</v>
      </c>
      <c r="L153" s="650">
        <v>2.6158698989736003E-3</v>
      </c>
    </row>
    <row r="154" spans="1:12" s="651" customFormat="1" ht="12.75" customHeight="1">
      <c r="A154" s="653" t="s">
        <v>805</v>
      </c>
      <c r="B154" s="648" t="s">
        <v>806</v>
      </c>
      <c r="C154" s="649">
        <v>6.1734421225329039E-4</v>
      </c>
      <c r="D154" s="650">
        <v>3.5102305399702983E-4</v>
      </c>
      <c r="E154" s="650">
        <v>3.4112026364059871E-4</v>
      </c>
      <c r="F154" s="650">
        <v>6.6918231993883654E-4</v>
      </c>
      <c r="G154" s="650">
        <v>9.9925757989080782E-4</v>
      </c>
      <c r="H154" s="650">
        <v>4.5480396762172649E-4</v>
      </c>
      <c r="I154" s="650">
        <v>9.1277579581638632E-4</v>
      </c>
      <c r="J154" s="650">
        <v>8.5018399548893544E-4</v>
      </c>
      <c r="K154" s="650">
        <v>5.9474492557000337E-4</v>
      </c>
      <c r="L154" s="650">
        <v>4.2498594470036845E-4</v>
      </c>
    </row>
    <row r="155" spans="1:12" s="651" customFormat="1" ht="12.75" customHeight="1">
      <c r="A155" s="642" t="s">
        <v>807</v>
      </c>
      <c r="B155" s="646" t="s">
        <v>808</v>
      </c>
      <c r="C155" s="644">
        <v>9.3140837837426948E-3</v>
      </c>
      <c r="D155" s="645">
        <v>9.8864190893807394E-3</v>
      </c>
      <c r="E155" s="645">
        <v>5.890399220478456E-3</v>
      </c>
      <c r="F155" s="645">
        <v>1.2415523954844123E-2</v>
      </c>
      <c r="G155" s="645">
        <v>4.9887787589034081E-3</v>
      </c>
      <c r="H155" s="645">
        <v>9.0267752018468386E-3</v>
      </c>
      <c r="I155" s="645">
        <v>1.3440884686462188E-2</v>
      </c>
      <c r="J155" s="645">
        <v>1.2086855858315466E-2</v>
      </c>
      <c r="K155" s="645">
        <v>4.4985937373300498E-3</v>
      </c>
      <c r="L155" s="645">
        <v>8.7031802828410679E-3</v>
      </c>
    </row>
    <row r="156" spans="1:12" ht="12.75" customHeight="1">
      <c r="A156" s="653" t="s">
        <v>809</v>
      </c>
      <c r="B156" s="648" t="s">
        <v>808</v>
      </c>
      <c r="C156" s="649">
        <v>9.3140837837426948E-3</v>
      </c>
      <c r="D156" s="650">
        <v>9.8864190893807394E-3</v>
      </c>
      <c r="E156" s="650">
        <v>5.890399220478456E-3</v>
      </c>
      <c r="F156" s="650">
        <v>1.2415523954844123E-2</v>
      </c>
      <c r="G156" s="650">
        <v>4.9887787589034081E-3</v>
      </c>
      <c r="H156" s="650">
        <v>9.0267752018468386E-3</v>
      </c>
      <c r="I156" s="650">
        <v>1.3440884686462188E-2</v>
      </c>
      <c r="J156" s="650">
        <v>1.2086855858315466E-2</v>
      </c>
      <c r="K156" s="650">
        <v>4.4985937373300498E-3</v>
      </c>
      <c r="L156" s="650">
        <v>8.7031802828410679E-3</v>
      </c>
    </row>
    <row r="157" spans="1:12" s="651" customFormat="1" ht="12.75" customHeight="1">
      <c r="A157" s="642" t="s">
        <v>810</v>
      </c>
      <c r="B157" s="646" t="s">
        <v>811</v>
      </c>
      <c r="C157" s="644">
        <v>2.9106123210427749E-2</v>
      </c>
      <c r="D157" s="645">
        <v>2.446240960999492E-2</v>
      </c>
      <c r="E157" s="645">
        <v>2.9499718558431157E-2</v>
      </c>
      <c r="F157" s="645">
        <v>3.2090333013621783E-2</v>
      </c>
      <c r="G157" s="645">
        <v>3.2376465956154357E-2</v>
      </c>
      <c r="H157" s="645">
        <v>2.5951961318348097E-2</v>
      </c>
      <c r="I157" s="645">
        <v>2.9061775255544327E-2</v>
      </c>
      <c r="J157" s="645">
        <v>2.8628078102760766E-2</v>
      </c>
      <c r="K157" s="645">
        <v>3.0730490195131702E-2</v>
      </c>
      <c r="L157" s="645">
        <v>2.8408956993583194E-2</v>
      </c>
    </row>
    <row r="158" spans="1:12" s="651" customFormat="1" ht="12.75" customHeight="1">
      <c r="A158" s="642" t="s">
        <v>812</v>
      </c>
      <c r="B158" s="646" t="s">
        <v>813</v>
      </c>
      <c r="C158" s="644">
        <v>7.3129050513086047E-3</v>
      </c>
      <c r="D158" s="645">
        <v>4.5950272482544819E-3</v>
      </c>
      <c r="E158" s="645">
        <v>7.3401629082203261E-3</v>
      </c>
      <c r="F158" s="645">
        <v>7.4263007575514038E-3</v>
      </c>
      <c r="G158" s="645">
        <v>7.4413743963403466E-3</v>
      </c>
      <c r="H158" s="645">
        <v>6.6441694768281006E-3</v>
      </c>
      <c r="I158" s="645">
        <v>7.4080138389678073E-3</v>
      </c>
      <c r="J158" s="645">
        <v>7.9897053122873485E-3</v>
      </c>
      <c r="K158" s="645">
        <v>9.1877389026589658E-3</v>
      </c>
      <c r="L158" s="645">
        <v>7.6416688083635487E-3</v>
      </c>
    </row>
    <row r="159" spans="1:12" s="651" customFormat="1" ht="12.75" customHeight="1">
      <c r="A159" s="653" t="s">
        <v>814</v>
      </c>
      <c r="B159" s="648" t="s">
        <v>815</v>
      </c>
      <c r="C159" s="649">
        <v>7.3129050513086047E-3</v>
      </c>
      <c r="D159" s="650">
        <v>4.5950272482544819E-3</v>
      </c>
      <c r="E159" s="650">
        <v>7.3401629082203261E-3</v>
      </c>
      <c r="F159" s="650">
        <v>7.4263007575514038E-3</v>
      </c>
      <c r="G159" s="650">
        <v>7.4413743963403466E-3</v>
      </c>
      <c r="H159" s="650">
        <v>6.6441694768281006E-3</v>
      </c>
      <c r="I159" s="650">
        <v>7.4080138389678073E-3</v>
      </c>
      <c r="J159" s="650">
        <v>7.9897053122873485E-3</v>
      </c>
      <c r="K159" s="650">
        <v>9.1877389026589658E-3</v>
      </c>
      <c r="L159" s="650">
        <v>7.6416688083635487E-3</v>
      </c>
    </row>
    <row r="160" spans="1:12" s="651" customFormat="1" ht="12.75" customHeight="1">
      <c r="A160" s="642" t="s">
        <v>816</v>
      </c>
      <c r="B160" s="646" t="s">
        <v>817</v>
      </c>
      <c r="C160" s="644">
        <v>1.7872106879385165E-3</v>
      </c>
      <c r="D160" s="645">
        <v>1.3518516755301451E-3</v>
      </c>
      <c r="E160" s="645">
        <v>1.6102098053272132E-3</v>
      </c>
      <c r="F160" s="645">
        <v>1.5395216576169091E-3</v>
      </c>
      <c r="G160" s="645">
        <v>2.8539047666687771E-3</v>
      </c>
      <c r="H160" s="645">
        <v>9.6222060273332469E-4</v>
      </c>
      <c r="I160" s="645">
        <v>1.6326676695855625E-3</v>
      </c>
      <c r="J160" s="645">
        <v>1.0643775067360241E-3</v>
      </c>
      <c r="K160" s="645">
        <v>2.2731593436916098E-3</v>
      </c>
      <c r="L160" s="645">
        <v>2.5637018714152276E-3</v>
      </c>
    </row>
    <row r="161" spans="1:12" s="651" customFormat="1" ht="12.75" customHeight="1">
      <c r="A161" s="653" t="s">
        <v>818</v>
      </c>
      <c r="B161" s="648" t="s">
        <v>819</v>
      </c>
      <c r="C161" s="649">
        <v>1.7872106879385165E-3</v>
      </c>
      <c r="D161" s="650">
        <v>1.3518516755301451E-3</v>
      </c>
      <c r="E161" s="650">
        <v>1.6102098053272132E-3</v>
      </c>
      <c r="F161" s="650">
        <v>1.5395216576169091E-3</v>
      </c>
      <c r="G161" s="650">
        <v>2.8539047666687771E-3</v>
      </c>
      <c r="H161" s="650">
        <v>9.6222060273332469E-4</v>
      </c>
      <c r="I161" s="650">
        <v>1.6326676695855625E-3</v>
      </c>
      <c r="J161" s="650">
        <v>1.0643775067360241E-3</v>
      </c>
      <c r="K161" s="650">
        <v>2.2731593436916098E-3</v>
      </c>
      <c r="L161" s="650">
        <v>2.5637018714152276E-3</v>
      </c>
    </row>
    <row r="162" spans="1:12" s="651" customFormat="1" ht="12.75" customHeight="1">
      <c r="A162" s="642" t="s">
        <v>820</v>
      </c>
      <c r="B162" s="646" t="s">
        <v>821</v>
      </c>
      <c r="C162" s="644">
        <v>2.7022571957690611E-3</v>
      </c>
      <c r="D162" s="645">
        <v>3.8117405965067768E-3</v>
      </c>
      <c r="E162" s="645">
        <v>2.791286166179692E-3</v>
      </c>
      <c r="F162" s="645">
        <v>3.1856006651938451E-3</v>
      </c>
      <c r="G162" s="645">
        <v>2.4460333313337489E-3</v>
      </c>
      <c r="H162" s="645">
        <v>2.5545602711269486E-3</v>
      </c>
      <c r="I162" s="645">
        <v>2.453372756240631E-3</v>
      </c>
      <c r="J162" s="645">
        <v>2.0011410181458174E-3</v>
      </c>
      <c r="K162" s="645">
        <v>2.3837292108489353E-3</v>
      </c>
      <c r="L162" s="645">
        <v>2.5171333101682886E-3</v>
      </c>
    </row>
    <row r="163" spans="1:12" ht="12.75" customHeight="1">
      <c r="A163" s="653" t="s">
        <v>822</v>
      </c>
      <c r="B163" s="648" t="s">
        <v>821</v>
      </c>
      <c r="C163" s="649">
        <v>2.7022571957690611E-3</v>
      </c>
      <c r="D163" s="650">
        <v>3.8117405965067768E-3</v>
      </c>
      <c r="E163" s="650">
        <v>2.791286166179692E-3</v>
      </c>
      <c r="F163" s="650">
        <v>3.1856006651938451E-3</v>
      </c>
      <c r="G163" s="650">
        <v>2.4460333313337489E-3</v>
      </c>
      <c r="H163" s="650">
        <v>2.5545602711269486E-3</v>
      </c>
      <c r="I163" s="650">
        <v>2.453372756240631E-3</v>
      </c>
      <c r="J163" s="650">
        <v>2.0011410181458174E-3</v>
      </c>
      <c r="K163" s="650">
        <v>2.3837292108489353E-3</v>
      </c>
      <c r="L163" s="650">
        <v>2.5171333101682886E-3</v>
      </c>
    </row>
    <row r="164" spans="1:12" s="651" customFormat="1" ht="12.75" customHeight="1">
      <c r="A164" s="642" t="s">
        <v>823</v>
      </c>
      <c r="B164" s="646" t="s">
        <v>824</v>
      </c>
      <c r="C164" s="644">
        <v>1.2871541670415883E-2</v>
      </c>
      <c r="D164" s="645">
        <v>1.0544743588842635E-2</v>
      </c>
      <c r="E164" s="645">
        <v>1.3717189056265454E-2</v>
      </c>
      <c r="F164" s="645">
        <v>1.4218652272116022E-2</v>
      </c>
      <c r="G164" s="645">
        <v>1.566686758843314E-2</v>
      </c>
      <c r="H164" s="645">
        <v>1.1696073840553746E-2</v>
      </c>
      <c r="I164" s="645">
        <v>1.3313385977583914E-2</v>
      </c>
      <c r="J164" s="645">
        <v>1.339372844898391E-2</v>
      </c>
      <c r="K164" s="645">
        <v>1.2885133758912332E-2</v>
      </c>
      <c r="L164" s="645">
        <v>1.1155400120892498E-2</v>
      </c>
    </row>
    <row r="165" spans="1:12" s="651" customFormat="1" ht="12.75" customHeight="1">
      <c r="A165" s="653" t="s">
        <v>825</v>
      </c>
      <c r="B165" s="648" t="s">
        <v>826</v>
      </c>
      <c r="C165" s="649">
        <v>9.7125016383966551E-3</v>
      </c>
      <c r="D165" s="650">
        <v>8.2846349429825713E-3</v>
      </c>
      <c r="E165" s="650">
        <v>1.0222739117801291E-2</v>
      </c>
      <c r="F165" s="650">
        <v>1.0690077134897513E-2</v>
      </c>
      <c r="G165" s="650">
        <v>1.1868971812069173E-2</v>
      </c>
      <c r="H165" s="650">
        <v>8.8397493592668342E-3</v>
      </c>
      <c r="I165" s="650">
        <v>9.7668016050183794E-3</v>
      </c>
      <c r="J165" s="650">
        <v>1.0171653026342944E-2</v>
      </c>
      <c r="K165" s="650">
        <v>9.2900019825128063E-3</v>
      </c>
      <c r="L165" s="650">
        <v>8.7269052693297149E-3</v>
      </c>
    </row>
    <row r="166" spans="1:12" ht="12.75" customHeight="1">
      <c r="A166" s="653" t="s">
        <v>827</v>
      </c>
      <c r="B166" s="648" t="s">
        <v>828</v>
      </c>
      <c r="C166" s="649">
        <v>1.8471174638873943E-3</v>
      </c>
      <c r="D166" s="650">
        <v>6.980661520851921E-4</v>
      </c>
      <c r="E166" s="650">
        <v>2.0275697526749518E-3</v>
      </c>
      <c r="F166" s="650">
        <v>2.0498206675263015E-3</v>
      </c>
      <c r="G166" s="650">
        <v>2.4612218078832082E-3</v>
      </c>
      <c r="H166" s="650">
        <v>1.71929731436673E-3</v>
      </c>
      <c r="I166" s="650">
        <v>2.3489753949560957E-3</v>
      </c>
      <c r="J166" s="650">
        <v>1.5317687750069978E-3</v>
      </c>
      <c r="K166" s="650">
        <v>2.1401250876502188E-3</v>
      </c>
      <c r="L166" s="650">
        <v>1.5903030876726159E-3</v>
      </c>
    </row>
    <row r="167" spans="1:12" s="651" customFormat="1" ht="12.75" customHeight="1">
      <c r="A167" s="653" t="s">
        <v>829</v>
      </c>
      <c r="B167" s="648" t="s">
        <v>830</v>
      </c>
      <c r="C167" s="649">
        <v>1.3119225681318327E-3</v>
      </c>
      <c r="D167" s="650">
        <v>1.5620424937748706E-3</v>
      </c>
      <c r="E167" s="650">
        <v>1.4668801857892102E-3</v>
      </c>
      <c r="F167" s="650">
        <v>1.4787544696922088E-3</v>
      </c>
      <c r="G167" s="650">
        <v>1.3366739684807609E-3</v>
      </c>
      <c r="H167" s="650">
        <v>1.1370271669201841E-3</v>
      </c>
      <c r="I167" s="650">
        <v>1.1976089776094402E-3</v>
      </c>
      <c r="J167" s="650">
        <v>1.6903066476339661E-3</v>
      </c>
      <c r="K167" s="650">
        <v>1.4550066887493072E-3</v>
      </c>
      <c r="L167" s="650">
        <v>8.3819176389016733E-4</v>
      </c>
    </row>
    <row r="168" spans="1:12" s="651" customFormat="1" ht="12.75" customHeight="1">
      <c r="A168" s="642" t="s">
        <v>831</v>
      </c>
      <c r="B168" s="646" t="s">
        <v>832</v>
      </c>
      <c r="C168" s="644">
        <v>4.4322086049956785E-3</v>
      </c>
      <c r="D168" s="645">
        <v>4.1590465008608845E-3</v>
      </c>
      <c r="E168" s="645">
        <v>4.0408706224384699E-3</v>
      </c>
      <c r="F168" s="645">
        <v>5.7202576611436028E-3</v>
      </c>
      <c r="G168" s="645">
        <v>3.9682858733783421E-3</v>
      </c>
      <c r="H168" s="645">
        <v>4.0949371271059767E-3</v>
      </c>
      <c r="I168" s="645">
        <v>4.2543350131664165E-3</v>
      </c>
      <c r="J168" s="645">
        <v>4.1791258166076701E-3</v>
      </c>
      <c r="K168" s="645">
        <v>4.0007289790198576E-3</v>
      </c>
      <c r="L168" s="645">
        <v>4.5310528827436315E-3</v>
      </c>
    </row>
    <row r="169" spans="1:12" ht="12.75" customHeight="1">
      <c r="A169" s="653" t="s">
        <v>833</v>
      </c>
      <c r="B169" s="648" t="s">
        <v>834</v>
      </c>
      <c r="C169" s="649">
        <v>4.4322086049956785E-3</v>
      </c>
      <c r="D169" s="650">
        <v>4.1590465008608845E-3</v>
      </c>
      <c r="E169" s="650">
        <v>4.0408706224384699E-3</v>
      </c>
      <c r="F169" s="650">
        <v>5.7202576611436028E-3</v>
      </c>
      <c r="G169" s="650">
        <v>3.9682858733783421E-3</v>
      </c>
      <c r="H169" s="650">
        <v>4.0949371271059767E-3</v>
      </c>
      <c r="I169" s="650">
        <v>4.2543350131664165E-3</v>
      </c>
      <c r="J169" s="650">
        <v>4.1791258166076701E-3</v>
      </c>
      <c r="K169" s="650">
        <v>4.0007289790198576E-3</v>
      </c>
      <c r="L169" s="650">
        <v>4.5310528827436315E-3</v>
      </c>
    </row>
    <row r="170" spans="1:12" s="651" customFormat="1" ht="12.75" customHeight="1">
      <c r="A170" s="642" t="s">
        <v>835</v>
      </c>
      <c r="B170" s="646" t="s">
        <v>836</v>
      </c>
      <c r="C170" s="644">
        <v>8.8051143972803867E-3</v>
      </c>
      <c r="D170" s="645">
        <v>5.7809063733712729E-3</v>
      </c>
      <c r="E170" s="645">
        <v>9.2632643105920662E-3</v>
      </c>
      <c r="F170" s="645">
        <v>8.2193041621777367E-3</v>
      </c>
      <c r="G170" s="645">
        <v>1.2400965614012696E-2</v>
      </c>
      <c r="H170" s="645">
        <v>6.784300041262006E-3</v>
      </c>
      <c r="I170" s="645">
        <v>6.6459447155225128E-3</v>
      </c>
      <c r="J170" s="645">
        <v>7.8349874082621965E-3</v>
      </c>
      <c r="K170" s="645">
        <v>9.4753697136997321E-3</v>
      </c>
      <c r="L170" s="645">
        <v>1.2104843750367095E-2</v>
      </c>
    </row>
    <row r="171" spans="1:12" s="651" customFormat="1" ht="12.75" customHeight="1">
      <c r="A171" s="642" t="s">
        <v>837</v>
      </c>
      <c r="B171" s="646" t="s">
        <v>838</v>
      </c>
      <c r="C171" s="654">
        <v>5.9524215880543052E-3</v>
      </c>
      <c r="D171" s="645">
        <v>3.7084139329454802E-3</v>
      </c>
      <c r="E171" s="645">
        <v>5.6610054909782791E-3</v>
      </c>
      <c r="F171" s="645">
        <v>5.6056886255118942E-3</v>
      </c>
      <c r="G171" s="645">
        <v>7.5612917616166573E-3</v>
      </c>
      <c r="H171" s="645">
        <v>5.1108664713859281E-3</v>
      </c>
      <c r="I171" s="645">
        <v>4.6903430501917392E-3</v>
      </c>
      <c r="J171" s="645">
        <v>5.9419954480892743E-3</v>
      </c>
      <c r="K171" s="645">
        <v>6.8152587429720878E-3</v>
      </c>
      <c r="L171" s="645">
        <v>7.8718435158581495E-3</v>
      </c>
    </row>
    <row r="172" spans="1:12" ht="12.75" customHeight="1">
      <c r="A172" s="653" t="s">
        <v>839</v>
      </c>
      <c r="B172" s="648" t="s">
        <v>840</v>
      </c>
      <c r="C172" s="649">
        <v>1.1180316121411204E-3</v>
      </c>
      <c r="D172" s="650">
        <v>1.0678501584741253E-3</v>
      </c>
      <c r="E172" s="650">
        <v>9.3713134881505617E-4</v>
      </c>
      <c r="F172" s="650">
        <v>9.9440656451572538E-4</v>
      </c>
      <c r="G172" s="650">
        <v>1.4990462948694311E-3</v>
      </c>
      <c r="H172" s="650">
        <v>9.352393766884667E-4</v>
      </c>
      <c r="I172" s="650">
        <v>7.8846722005754656E-4</v>
      </c>
      <c r="J172" s="650">
        <v>8.6788141260426199E-4</v>
      </c>
      <c r="K172" s="650">
        <v>1.3721359882577543E-3</v>
      </c>
      <c r="L172" s="650">
        <v>1.4844797945968789E-3</v>
      </c>
    </row>
    <row r="173" spans="1:12" ht="12.75" customHeight="1">
      <c r="A173" s="653" t="s">
        <v>841</v>
      </c>
      <c r="B173" s="648" t="s">
        <v>842</v>
      </c>
      <c r="C173" s="649">
        <v>4.834389975913185E-3</v>
      </c>
      <c r="D173" s="650">
        <v>2.6405637744713545E-3</v>
      </c>
      <c r="E173" s="650">
        <v>4.7238741421632225E-3</v>
      </c>
      <c r="F173" s="650">
        <v>4.6112820609961695E-3</v>
      </c>
      <c r="G173" s="650">
        <v>6.0622454667472259E-3</v>
      </c>
      <c r="H173" s="650">
        <v>4.1756270946974611E-3</v>
      </c>
      <c r="I173" s="650">
        <v>3.9018758301341927E-3</v>
      </c>
      <c r="J173" s="650">
        <v>5.0741140354850127E-3</v>
      </c>
      <c r="K173" s="650">
        <v>5.4431227547143335E-3</v>
      </c>
      <c r="L173" s="650">
        <v>6.3873637212612704E-3</v>
      </c>
    </row>
    <row r="174" spans="1:12" s="651" customFormat="1" ht="12.75" customHeight="1">
      <c r="A174" s="642" t="s">
        <v>843</v>
      </c>
      <c r="B174" s="646" t="s">
        <v>844</v>
      </c>
      <c r="C174" s="644">
        <v>2.1700061518827429E-3</v>
      </c>
      <c r="D174" s="645">
        <v>1.6709563888545663E-3</v>
      </c>
      <c r="E174" s="645">
        <v>2.3702663196814413E-3</v>
      </c>
      <c r="F174" s="645">
        <v>2.3871898553707925E-3</v>
      </c>
      <c r="G174" s="645">
        <v>3.354242215247623E-3</v>
      </c>
      <c r="H174" s="645">
        <v>1.4084974480231441E-3</v>
      </c>
      <c r="I174" s="645">
        <v>1.6741968800142281E-3</v>
      </c>
      <c r="J174" s="645">
        <v>1.498054533789534E-3</v>
      </c>
      <c r="K174" s="645">
        <v>2.1385334046322836E-3</v>
      </c>
      <c r="L174" s="645">
        <v>2.775302270052446E-3</v>
      </c>
    </row>
    <row r="175" spans="1:12" s="651" customFormat="1" ht="12.75" customHeight="1">
      <c r="A175" s="653" t="s">
        <v>845</v>
      </c>
      <c r="B175" s="648" t="s">
        <v>846</v>
      </c>
      <c r="C175" s="649">
        <v>2.0535125221312516E-4</v>
      </c>
      <c r="D175" s="650">
        <v>1.2182332490608976E-4</v>
      </c>
      <c r="E175" s="650">
        <v>2.4619907450525993E-4</v>
      </c>
      <c r="F175" s="650">
        <v>1.8259017751094857E-4</v>
      </c>
      <c r="G175" s="650">
        <v>3.0734754794035782E-4</v>
      </c>
      <c r="H175" s="650">
        <v>1.5708466019913301E-4</v>
      </c>
      <c r="I175" s="650">
        <v>1.6022515442201498E-4</v>
      </c>
      <c r="J175" s="650">
        <v>1.7726779200154757E-4</v>
      </c>
      <c r="K175" s="650">
        <v>2.7409844053013138E-4</v>
      </c>
      <c r="L175" s="650">
        <v>2.4111575982955116E-4</v>
      </c>
    </row>
    <row r="176" spans="1:12" ht="12.75" customHeight="1">
      <c r="A176" s="653" t="s">
        <v>847</v>
      </c>
      <c r="B176" s="648" t="s">
        <v>848</v>
      </c>
      <c r="C176" s="649">
        <v>1.3347962690209202E-4</v>
      </c>
      <c r="D176" s="650">
        <v>2.2556201524026828E-4</v>
      </c>
      <c r="E176" s="650">
        <v>1.5820232419480799E-4</v>
      </c>
      <c r="F176" s="650">
        <v>1.515067676314937E-4</v>
      </c>
      <c r="G176" s="650">
        <v>6.5821622388120661E-5</v>
      </c>
      <c r="H176" s="650">
        <v>9.9195258519270296E-5</v>
      </c>
      <c r="I176" s="650">
        <v>1.6598612135144302E-4</v>
      </c>
      <c r="J176" s="650">
        <v>1.6759762116933398E-4</v>
      </c>
      <c r="K176" s="650">
        <v>4.4257573825394976E-5</v>
      </c>
      <c r="L176" s="650">
        <v>1.2924883051363404E-4</v>
      </c>
    </row>
    <row r="177" spans="1:12" ht="12.75" customHeight="1">
      <c r="A177" s="653" t="s">
        <v>849</v>
      </c>
      <c r="B177" s="648" t="s">
        <v>850</v>
      </c>
      <c r="C177" s="649">
        <v>1.1413836068987371E-3</v>
      </c>
      <c r="D177" s="650">
        <v>5.7391691748641762E-4</v>
      </c>
      <c r="E177" s="650">
        <v>1.3621088977055821E-3</v>
      </c>
      <c r="F177" s="650">
        <v>1.1103279340782797E-3</v>
      </c>
      <c r="G177" s="650">
        <v>2.0358818638737345E-3</v>
      </c>
      <c r="H177" s="650">
        <v>7.1304457922135385E-4</v>
      </c>
      <c r="I177" s="650">
        <v>8.5799932815331477E-4</v>
      </c>
      <c r="J177" s="650">
        <v>6.9393520644889706E-4</v>
      </c>
      <c r="K177" s="650">
        <v>1.2209455123224336E-3</v>
      </c>
      <c r="L177" s="650">
        <v>1.6035573646798029E-3</v>
      </c>
    </row>
    <row r="178" spans="1:12" s="651" customFormat="1" ht="12.75" customHeight="1">
      <c r="A178" s="653" t="s">
        <v>851</v>
      </c>
      <c r="B178" s="648" t="s">
        <v>852</v>
      </c>
      <c r="C178" s="649">
        <v>6.8979166586878842E-4</v>
      </c>
      <c r="D178" s="650">
        <v>7.4965413122179058E-4</v>
      </c>
      <c r="E178" s="650">
        <v>6.0375602327579166E-4</v>
      </c>
      <c r="F178" s="650">
        <v>9.4276497615006997E-4</v>
      </c>
      <c r="G178" s="650">
        <v>9.4519118104540974E-4</v>
      </c>
      <c r="H178" s="650">
        <v>4.3917295008338712E-4</v>
      </c>
      <c r="I178" s="650">
        <v>4.8998627608745561E-4</v>
      </c>
      <c r="J178" s="650">
        <v>4.5925391416975532E-4</v>
      </c>
      <c r="K178" s="650">
        <v>5.9923187795432359E-4</v>
      </c>
      <c r="L178" s="650">
        <v>8.0138031502945779E-4</v>
      </c>
    </row>
    <row r="179" spans="1:12" s="651" customFormat="1" ht="12.75" customHeight="1">
      <c r="A179" s="642" t="s">
        <v>853</v>
      </c>
      <c r="B179" s="646" t="s">
        <v>854</v>
      </c>
      <c r="C179" s="644">
        <v>6.8268665734333835E-4</v>
      </c>
      <c r="D179" s="645">
        <v>4.0153605157122572E-4</v>
      </c>
      <c r="E179" s="645">
        <v>1.2319924999323452E-3</v>
      </c>
      <c r="F179" s="645">
        <v>2.2642568129505159E-4</v>
      </c>
      <c r="G179" s="645">
        <v>1.4854316371484167E-3</v>
      </c>
      <c r="H179" s="645">
        <v>2.6493612185293325E-4</v>
      </c>
      <c r="I179" s="645">
        <v>2.8140478531654505E-4</v>
      </c>
      <c r="J179" s="645">
        <v>3.9493742638338844E-4</v>
      </c>
      <c r="K179" s="645">
        <v>5.2157756609536141E-4</v>
      </c>
      <c r="L179" s="645">
        <v>1.4576979644564997E-3</v>
      </c>
    </row>
    <row r="180" spans="1:12" s="651" customFormat="1" ht="12.75" customHeight="1">
      <c r="A180" s="653" t="s">
        <v>855</v>
      </c>
      <c r="B180" s="648" t="s">
        <v>856</v>
      </c>
      <c r="C180" s="649">
        <v>6.8268665734333835E-4</v>
      </c>
      <c r="D180" s="650">
        <v>4.0153605157122572E-4</v>
      </c>
      <c r="E180" s="650">
        <v>1.2319924999323452E-3</v>
      </c>
      <c r="F180" s="650">
        <v>2.2642568129505159E-4</v>
      </c>
      <c r="G180" s="650">
        <v>1.4854316371484167E-3</v>
      </c>
      <c r="H180" s="650">
        <v>2.6493612185293325E-4</v>
      </c>
      <c r="I180" s="650">
        <v>2.8140478531654505E-4</v>
      </c>
      <c r="J180" s="650">
        <v>3.9493742638338844E-4</v>
      </c>
      <c r="K180" s="650">
        <v>5.2157756609536141E-4</v>
      </c>
      <c r="L180" s="650">
        <v>1.4576979644564997E-3</v>
      </c>
    </row>
    <row r="181" spans="1:12" s="651" customFormat="1" ht="12.75" customHeight="1">
      <c r="A181" s="642" t="s">
        <v>857</v>
      </c>
      <c r="B181" s="646" t="s">
        <v>858</v>
      </c>
      <c r="C181" s="654">
        <v>2.3945542545169229E-2</v>
      </c>
      <c r="D181" s="645">
        <v>2.3945542545169226E-2</v>
      </c>
      <c r="E181" s="645">
        <v>2.3945542545169229E-2</v>
      </c>
      <c r="F181" s="645">
        <v>2.3945542545169229E-2</v>
      </c>
      <c r="G181" s="645">
        <v>2.3945542545169233E-2</v>
      </c>
      <c r="H181" s="645">
        <v>2.3945542545169226E-2</v>
      </c>
      <c r="I181" s="645">
        <v>2.3945542545169236E-2</v>
      </c>
      <c r="J181" s="645">
        <v>2.3945542545169229E-2</v>
      </c>
      <c r="K181" s="645">
        <v>2.3945542545169229E-2</v>
      </c>
      <c r="L181" s="645">
        <v>2.3945542545169236E-2</v>
      </c>
    </row>
    <row r="182" spans="1:12" s="651" customFormat="1" ht="12.75" customHeight="1">
      <c r="A182" s="642" t="s">
        <v>859</v>
      </c>
      <c r="B182" s="646" t="s">
        <v>860</v>
      </c>
      <c r="C182" s="644">
        <v>1.7303608310109762E-2</v>
      </c>
      <c r="D182" s="645">
        <v>1.5523916645146197E-2</v>
      </c>
      <c r="E182" s="645">
        <v>1.8779037536420903E-2</v>
      </c>
      <c r="F182" s="645">
        <v>1.6904122383531905E-2</v>
      </c>
      <c r="G182" s="645">
        <v>1.784817756087289E-2</v>
      </c>
      <c r="H182" s="645">
        <v>1.7496040288591724E-2</v>
      </c>
      <c r="I182" s="645">
        <v>1.7511369467005503E-2</v>
      </c>
      <c r="J182" s="645">
        <v>1.847295797452075E-2</v>
      </c>
      <c r="K182" s="645">
        <v>1.7381086629585658E-2</v>
      </c>
      <c r="L182" s="645">
        <v>1.6843514012893881E-2</v>
      </c>
    </row>
    <row r="183" spans="1:12" s="651" customFormat="1" ht="12.75" customHeight="1">
      <c r="A183" s="642" t="s">
        <v>861</v>
      </c>
      <c r="B183" s="646" t="s">
        <v>862</v>
      </c>
      <c r="C183" s="644">
        <v>1.0699891070786548E-2</v>
      </c>
      <c r="D183" s="645">
        <v>9.9048755389206395E-3</v>
      </c>
      <c r="E183" s="645">
        <v>1.094781739900136E-2</v>
      </c>
      <c r="F183" s="645">
        <v>1.0509349540429987E-2</v>
      </c>
      <c r="G183" s="645">
        <v>1.0787608761408428E-2</v>
      </c>
      <c r="H183" s="645">
        <v>1.0200349371115639E-2</v>
      </c>
      <c r="I183" s="645">
        <v>9.8137386129247238E-3</v>
      </c>
      <c r="J183" s="645">
        <v>1.0455107256793158E-2</v>
      </c>
      <c r="K183" s="645">
        <v>1.0776802470145211E-2</v>
      </c>
      <c r="L183" s="645">
        <v>1.2231849481665127E-2</v>
      </c>
    </row>
    <row r="184" spans="1:12" ht="12.75" customHeight="1">
      <c r="A184" s="653" t="s">
        <v>863</v>
      </c>
      <c r="B184" s="648" t="s">
        <v>864</v>
      </c>
      <c r="C184" s="649">
        <v>4.8409070377480124E-3</v>
      </c>
      <c r="D184" s="650">
        <v>7.1058089096577518E-3</v>
      </c>
      <c r="E184" s="650">
        <v>3.7412046096224122E-3</v>
      </c>
      <c r="F184" s="650">
        <v>3.1531414745549777E-3</v>
      </c>
      <c r="G184" s="650">
        <v>4.4151637019339517E-3</v>
      </c>
      <c r="H184" s="650">
        <v>2.9851267795591072E-3</v>
      </c>
      <c r="I184" s="650">
        <v>2.8174838242644986E-3</v>
      </c>
      <c r="J184" s="650">
        <v>2.5960286176210361E-3</v>
      </c>
      <c r="K184" s="650">
        <v>5.5958487876579073E-3</v>
      </c>
      <c r="L184" s="650">
        <v>9.6273854460033181E-3</v>
      </c>
    </row>
    <row r="185" spans="1:12" s="651" customFormat="1" ht="12.75" customHeight="1">
      <c r="A185" s="653" t="s">
        <v>865</v>
      </c>
      <c r="B185" s="648" t="s">
        <v>866</v>
      </c>
      <c r="C185" s="649">
        <v>5.8589840330385366E-3</v>
      </c>
      <c r="D185" s="650">
        <v>2.7990666292628881E-3</v>
      </c>
      <c r="E185" s="650">
        <v>7.206612789378947E-3</v>
      </c>
      <c r="F185" s="650">
        <v>7.3562080658750098E-3</v>
      </c>
      <c r="G185" s="650">
        <v>6.3724450594744766E-3</v>
      </c>
      <c r="H185" s="650">
        <v>7.2152225915565315E-3</v>
      </c>
      <c r="I185" s="650">
        <v>6.9962547886602252E-3</v>
      </c>
      <c r="J185" s="650">
        <v>7.8590786391721235E-3</v>
      </c>
      <c r="K185" s="650">
        <v>5.1809536824873031E-3</v>
      </c>
      <c r="L185" s="650">
        <v>2.6044640356618089E-3</v>
      </c>
    </row>
    <row r="186" spans="1:12" ht="12.75" customHeight="1">
      <c r="A186" s="642" t="s">
        <v>867</v>
      </c>
      <c r="B186" s="646" t="s">
        <v>868</v>
      </c>
      <c r="C186" s="654">
        <v>6.6037172393232134E-3</v>
      </c>
      <c r="D186" s="650">
        <v>5.619041106225557E-3</v>
      </c>
      <c r="E186" s="650">
        <v>7.8312201374195426E-3</v>
      </c>
      <c r="F186" s="650">
        <v>6.394772843101919E-3</v>
      </c>
      <c r="G186" s="650">
        <v>7.0605687994644605E-3</v>
      </c>
      <c r="H186" s="650">
        <v>7.2956909174760869E-3</v>
      </c>
      <c r="I186" s="650">
        <v>7.6976308540807779E-3</v>
      </c>
      <c r="J186" s="650">
        <v>8.0178507177275909E-3</v>
      </c>
      <c r="K186" s="650">
        <v>6.604284159440448E-3</v>
      </c>
      <c r="L186" s="650">
        <v>4.6116645312287499E-3</v>
      </c>
    </row>
    <row r="187" spans="1:12" ht="12.75" customHeight="1">
      <c r="A187" s="653" t="s">
        <v>869</v>
      </c>
      <c r="B187" s="648" t="s">
        <v>868</v>
      </c>
      <c r="C187" s="649">
        <v>6.6037172393232134E-3</v>
      </c>
      <c r="D187" s="650">
        <v>5.619041106225557E-3</v>
      </c>
      <c r="E187" s="650">
        <v>7.8312201374195426E-3</v>
      </c>
      <c r="F187" s="650">
        <v>6.394772843101919E-3</v>
      </c>
      <c r="G187" s="650">
        <v>7.0605687994644605E-3</v>
      </c>
      <c r="H187" s="650">
        <v>7.2956909174760869E-3</v>
      </c>
      <c r="I187" s="650">
        <v>7.6976308540807779E-3</v>
      </c>
      <c r="J187" s="650">
        <v>8.0178507177275909E-3</v>
      </c>
      <c r="K187" s="650">
        <v>6.604284159440448E-3</v>
      </c>
      <c r="L187" s="650">
        <v>4.6116645312287499E-3</v>
      </c>
    </row>
    <row r="188" spans="1:12" s="651" customFormat="1" ht="12.75" customHeight="1">
      <c r="A188" s="642" t="s">
        <v>870</v>
      </c>
      <c r="B188" s="646" t="s">
        <v>871</v>
      </c>
      <c r="C188" s="654">
        <v>6.6419342350594671E-3</v>
      </c>
      <c r="D188" s="645">
        <v>8.4216259000230304E-3</v>
      </c>
      <c r="E188" s="645">
        <v>5.1665050087483285E-3</v>
      </c>
      <c r="F188" s="645">
        <v>7.0414201616373247E-3</v>
      </c>
      <c r="G188" s="645">
        <v>6.097364984296345E-3</v>
      </c>
      <c r="H188" s="645">
        <v>6.4495022565775016E-3</v>
      </c>
      <c r="I188" s="645">
        <v>6.4341730781637321E-3</v>
      </c>
      <c r="J188" s="645">
        <v>5.4725845706484798E-3</v>
      </c>
      <c r="K188" s="645">
        <v>6.5644559155835719E-3</v>
      </c>
      <c r="L188" s="645">
        <v>7.1020285322753564E-3</v>
      </c>
    </row>
    <row r="189" spans="1:12" s="651" customFormat="1" ht="12.75" customHeight="1">
      <c r="A189" s="642" t="s">
        <v>872</v>
      </c>
      <c r="B189" s="646" t="s">
        <v>873</v>
      </c>
      <c r="C189" s="644">
        <v>2.8218843416429125E-3</v>
      </c>
      <c r="D189" s="645">
        <v>3.7270781198315626E-3</v>
      </c>
      <c r="E189" s="645">
        <v>2.1884292116374294E-3</v>
      </c>
      <c r="F189" s="645">
        <v>2.7669754661453945E-3</v>
      </c>
      <c r="G189" s="645">
        <v>2.7762916150257072E-3</v>
      </c>
      <c r="H189" s="645">
        <v>2.3392748627907535E-3</v>
      </c>
      <c r="I189" s="645">
        <v>2.969925296834916E-3</v>
      </c>
      <c r="J189" s="645">
        <v>2.2280701132767118E-3</v>
      </c>
      <c r="K189" s="645">
        <v>2.7203820059782296E-3</v>
      </c>
      <c r="L189" s="645">
        <v>3.2577120446730459E-3</v>
      </c>
    </row>
    <row r="190" spans="1:12" ht="12.75" customHeight="1">
      <c r="A190" s="653" t="s">
        <v>874</v>
      </c>
      <c r="B190" s="648" t="s">
        <v>875</v>
      </c>
      <c r="C190" s="649">
        <v>2.2490418202894013E-3</v>
      </c>
      <c r="D190" s="650">
        <v>2.9704812615057555E-3</v>
      </c>
      <c r="E190" s="650">
        <v>1.7441780816750312E-3</v>
      </c>
      <c r="F190" s="650">
        <v>2.2052794465178792E-3</v>
      </c>
      <c r="G190" s="650">
        <v>2.2127044171754884E-3</v>
      </c>
      <c r="H190" s="650">
        <v>1.8644020656442305E-3</v>
      </c>
      <c r="I190" s="650">
        <v>2.3670304615774282E-3</v>
      </c>
      <c r="J190" s="650">
        <v>1.7757718802815393E-3</v>
      </c>
      <c r="K190" s="650">
        <v>2.168144458764649E-3</v>
      </c>
      <c r="L190" s="650">
        <v>2.5963964996044177E-3</v>
      </c>
    </row>
    <row r="191" spans="1:12" s="651" customFormat="1" ht="12.75" customHeight="1">
      <c r="A191" s="653" t="s">
        <v>876</v>
      </c>
      <c r="B191" s="648" t="s">
        <v>877</v>
      </c>
      <c r="C191" s="649">
        <v>5.7284252135351131E-4</v>
      </c>
      <c r="D191" s="650">
        <v>7.5659685832580714E-4</v>
      </c>
      <c r="E191" s="650">
        <v>4.4425112996239816E-4</v>
      </c>
      <c r="F191" s="650">
        <v>5.6169601962751509E-4</v>
      </c>
      <c r="G191" s="650">
        <v>5.6358719785021857E-4</v>
      </c>
      <c r="H191" s="650">
        <v>4.7487279714652293E-4</v>
      </c>
      <c r="I191" s="650">
        <v>6.0289483525748794E-4</v>
      </c>
      <c r="J191" s="650">
        <v>4.5229823299517243E-4</v>
      </c>
      <c r="K191" s="650">
        <v>5.5223754721358067E-4</v>
      </c>
      <c r="L191" s="650">
        <v>6.6131554506862825E-4</v>
      </c>
    </row>
    <row r="192" spans="1:12" s="651" customFormat="1" ht="12.75" customHeight="1">
      <c r="A192" s="642" t="s">
        <v>878</v>
      </c>
      <c r="B192" s="646" t="s">
        <v>858</v>
      </c>
      <c r="C192" s="644">
        <v>2.3646038903101592E-3</v>
      </c>
      <c r="D192" s="645">
        <v>2.5478042933849486E-3</v>
      </c>
      <c r="E192" s="645">
        <v>1.8495645281558601E-3</v>
      </c>
      <c r="F192" s="645">
        <v>2.8331464240843145E-3</v>
      </c>
      <c r="G192" s="645">
        <v>2.2426321230166572E-3</v>
      </c>
      <c r="H192" s="645">
        <v>2.5835060938036647E-3</v>
      </c>
      <c r="I192" s="645">
        <v>2.176531531065421E-3</v>
      </c>
      <c r="J192" s="645">
        <v>1.6087378599990276E-3</v>
      </c>
      <c r="K192" s="645">
        <v>2.3594591658017807E-3</v>
      </c>
      <c r="L192" s="645">
        <v>2.4354497777507298E-3</v>
      </c>
    </row>
    <row r="193" spans="1:12" s="651" customFormat="1" ht="12.75" customHeight="1">
      <c r="A193" s="653" t="s">
        <v>879</v>
      </c>
      <c r="B193" s="648" t="s">
        <v>880</v>
      </c>
      <c r="C193" s="649">
        <v>2.3646038903101592E-3</v>
      </c>
      <c r="D193" s="650">
        <v>2.5478042933849486E-3</v>
      </c>
      <c r="E193" s="650">
        <v>1.8495645281558601E-3</v>
      </c>
      <c r="F193" s="650">
        <v>2.8331464240843145E-3</v>
      </c>
      <c r="G193" s="650">
        <v>2.2426321230166572E-3</v>
      </c>
      <c r="H193" s="650">
        <v>2.5835060938036647E-3</v>
      </c>
      <c r="I193" s="650">
        <v>2.176531531065421E-3</v>
      </c>
      <c r="J193" s="650">
        <v>1.6087378599990276E-3</v>
      </c>
      <c r="K193" s="650">
        <v>2.3594591658017807E-3</v>
      </c>
      <c r="L193" s="650">
        <v>2.4354497777507298E-3</v>
      </c>
    </row>
    <row r="194" spans="1:12" s="651" customFormat="1" ht="12.75" customHeight="1">
      <c r="A194" s="642" t="s">
        <v>881</v>
      </c>
      <c r="B194" s="646" t="s">
        <v>882</v>
      </c>
      <c r="C194" s="644">
        <v>1.4554460031063953E-3</v>
      </c>
      <c r="D194" s="645">
        <v>2.1467434868065196E-3</v>
      </c>
      <c r="E194" s="645">
        <v>1.1285112689550399E-3</v>
      </c>
      <c r="F194" s="645">
        <v>1.4412982714076161E-3</v>
      </c>
      <c r="G194" s="645">
        <v>1.0784412462539806E-3</v>
      </c>
      <c r="H194" s="645">
        <v>1.5267212999830826E-3</v>
      </c>
      <c r="I194" s="645">
        <v>1.2877162502633937E-3</v>
      </c>
      <c r="J194" s="645">
        <v>1.6357765973727401E-3</v>
      </c>
      <c r="K194" s="645">
        <v>1.4846147438035613E-3</v>
      </c>
      <c r="L194" s="645">
        <v>1.4088667098515807E-3</v>
      </c>
    </row>
    <row r="195" spans="1:12" s="651" customFormat="1" ht="12.75" customHeight="1">
      <c r="A195" s="653" t="s">
        <v>883</v>
      </c>
      <c r="B195" s="648" t="s">
        <v>884</v>
      </c>
      <c r="C195" s="649">
        <v>1.4554460031063953E-3</v>
      </c>
      <c r="D195" s="650">
        <v>2.1467434868065196E-3</v>
      </c>
      <c r="E195" s="650">
        <v>1.1285112689550399E-3</v>
      </c>
      <c r="F195" s="650">
        <v>1.4412982714076161E-3</v>
      </c>
      <c r="G195" s="650">
        <v>1.0784412462539806E-3</v>
      </c>
      <c r="H195" s="650">
        <v>1.5267212999830826E-3</v>
      </c>
      <c r="I195" s="650">
        <v>1.2877162502633937E-3</v>
      </c>
      <c r="J195" s="650">
        <v>1.6357765973727401E-3</v>
      </c>
      <c r="K195" s="650">
        <v>1.4846147438035613E-3</v>
      </c>
      <c r="L195" s="650">
        <v>1.4088667098515807E-3</v>
      </c>
    </row>
    <row r="196" spans="1:12" s="651" customFormat="1" ht="12.75" customHeight="1">
      <c r="A196" s="642" t="s">
        <v>885</v>
      </c>
      <c r="B196" s="646" t="s">
        <v>886</v>
      </c>
      <c r="C196" s="644">
        <v>8.2030630245624583E-2</v>
      </c>
      <c r="D196" s="645">
        <v>8.2030630245624583E-2</v>
      </c>
      <c r="E196" s="645">
        <v>8.2030630245624583E-2</v>
      </c>
      <c r="F196" s="645">
        <v>8.2030630245624583E-2</v>
      </c>
      <c r="G196" s="645">
        <v>8.2030630245624583E-2</v>
      </c>
      <c r="H196" s="645">
        <v>8.2030630245624583E-2</v>
      </c>
      <c r="I196" s="645">
        <v>8.2030630245624583E-2</v>
      </c>
      <c r="J196" s="645">
        <v>8.2030630245624583E-2</v>
      </c>
      <c r="K196" s="645">
        <v>8.2030630245624583E-2</v>
      </c>
      <c r="L196" s="645">
        <v>8.2030630245624583E-2</v>
      </c>
    </row>
    <row r="197" spans="1:12" s="651" customFormat="1" ht="12.75" customHeight="1">
      <c r="A197" s="642" t="s">
        <v>887</v>
      </c>
      <c r="B197" s="646" t="s">
        <v>888</v>
      </c>
      <c r="C197" s="644">
        <v>4.4245739905582053E-2</v>
      </c>
      <c r="D197" s="645">
        <v>4.4245739905582053E-2</v>
      </c>
      <c r="E197" s="645">
        <v>4.4245739905582053E-2</v>
      </c>
      <c r="F197" s="645">
        <v>4.4245739905582053E-2</v>
      </c>
      <c r="G197" s="645">
        <v>4.4245739905582046E-2</v>
      </c>
      <c r="H197" s="645">
        <v>4.4245739905582053E-2</v>
      </c>
      <c r="I197" s="645">
        <v>4.4245739905582053E-2</v>
      </c>
      <c r="J197" s="645">
        <v>4.4245739905582053E-2</v>
      </c>
      <c r="K197" s="645">
        <v>4.4245739905582053E-2</v>
      </c>
      <c r="L197" s="645">
        <v>4.4245739905582053E-2</v>
      </c>
    </row>
    <row r="198" spans="1:12" s="651" customFormat="1" ht="12.75" customHeight="1">
      <c r="A198" s="642" t="s">
        <v>889</v>
      </c>
      <c r="B198" s="646" t="s">
        <v>890</v>
      </c>
      <c r="C198" s="644">
        <v>1.546192968235079E-2</v>
      </c>
      <c r="D198" s="645">
        <v>1.2197672591307445E-2</v>
      </c>
      <c r="E198" s="645">
        <v>1.0990927260982287E-2</v>
      </c>
      <c r="F198" s="645">
        <v>1.5323153040001246E-2</v>
      </c>
      <c r="G198" s="645">
        <v>1.2800170940810355E-2</v>
      </c>
      <c r="H198" s="645">
        <v>1.47738443690759E-2</v>
      </c>
      <c r="I198" s="645">
        <v>1.6018436027771678E-2</v>
      </c>
      <c r="J198" s="645">
        <v>1.5652269740545018E-2</v>
      </c>
      <c r="K198" s="645">
        <v>1.4985274989557843E-2</v>
      </c>
      <c r="L198" s="645">
        <v>2.0461713322290766E-2</v>
      </c>
    </row>
    <row r="199" spans="1:12" s="651" customFormat="1" ht="12.75" customHeight="1">
      <c r="A199" s="653" t="s">
        <v>891</v>
      </c>
      <c r="B199" s="648" t="s">
        <v>892</v>
      </c>
      <c r="C199" s="649">
        <v>7.7974330819427879E-3</v>
      </c>
      <c r="D199" s="650">
        <v>5.8046394850298031E-3</v>
      </c>
      <c r="E199" s="650">
        <v>5.7879607485261343E-3</v>
      </c>
      <c r="F199" s="650">
        <v>8.060474304160398E-3</v>
      </c>
      <c r="G199" s="650">
        <v>6.0045429889689656E-3</v>
      </c>
      <c r="H199" s="650">
        <v>7.3305776715521607E-3</v>
      </c>
      <c r="I199" s="650">
        <v>7.2431278886422538E-3</v>
      </c>
      <c r="J199" s="650">
        <v>6.9055832112494796E-3</v>
      </c>
      <c r="K199" s="650">
        <v>7.5768981308800129E-3</v>
      </c>
      <c r="L199" s="650">
        <v>1.1199178717148893E-2</v>
      </c>
    </row>
    <row r="200" spans="1:12" s="651" customFormat="1" ht="12.75" customHeight="1">
      <c r="A200" s="653" t="s">
        <v>893</v>
      </c>
      <c r="B200" s="648" t="s">
        <v>894</v>
      </c>
      <c r="C200" s="649">
        <v>2.8839820988007577E-3</v>
      </c>
      <c r="D200" s="650">
        <v>2.1469214533671875E-3</v>
      </c>
      <c r="E200" s="650">
        <v>2.1407526056192554E-3</v>
      </c>
      <c r="F200" s="650">
        <v>2.9812713179771331E-3</v>
      </c>
      <c r="G200" s="650">
        <v>2.2208583657830423E-3</v>
      </c>
      <c r="H200" s="650">
        <v>2.7113095497521694E-3</v>
      </c>
      <c r="I200" s="650">
        <v>2.6789651094978203E-3</v>
      </c>
      <c r="J200" s="650">
        <v>2.5541198178593971E-3</v>
      </c>
      <c r="K200" s="650">
        <v>2.8024143771747997E-3</v>
      </c>
      <c r="L200" s="650">
        <v>4.1421619912742486E-3</v>
      </c>
    </row>
    <row r="201" spans="1:12" ht="12.75" customHeight="1">
      <c r="A201" s="653" t="s">
        <v>895</v>
      </c>
      <c r="B201" s="648" t="s">
        <v>896</v>
      </c>
      <c r="C201" s="652">
        <v>4.7805145016072458E-3</v>
      </c>
      <c r="D201" s="650">
        <v>4.2461116529104552E-3</v>
      </c>
      <c r="E201" s="650">
        <v>3.0622139068368975E-3</v>
      </c>
      <c r="F201" s="650">
        <v>4.2814074178637151E-3</v>
      </c>
      <c r="G201" s="650">
        <v>4.5747695860583479E-3</v>
      </c>
      <c r="H201" s="650">
        <v>4.7319571477715686E-3</v>
      </c>
      <c r="I201" s="650">
        <v>6.0963430296316033E-3</v>
      </c>
      <c r="J201" s="650">
        <v>6.1925667114361392E-3</v>
      </c>
      <c r="K201" s="650">
        <v>4.6059624815030318E-3</v>
      </c>
      <c r="L201" s="650">
        <v>5.1203726138676249E-3</v>
      </c>
    </row>
    <row r="202" spans="1:12" s="651" customFormat="1" ht="12.75" customHeight="1">
      <c r="A202" s="642" t="s">
        <v>897</v>
      </c>
      <c r="B202" s="646" t="s">
        <v>898</v>
      </c>
      <c r="C202" s="644">
        <v>1.4899376076505242E-2</v>
      </c>
      <c r="D202" s="645">
        <v>1.8186172402317131E-2</v>
      </c>
      <c r="E202" s="645">
        <v>1.8547868782806627E-2</v>
      </c>
      <c r="F202" s="645">
        <v>1.1486737095387943E-2</v>
      </c>
      <c r="G202" s="645">
        <v>1.8871598077935703E-2</v>
      </c>
      <c r="H202" s="645">
        <v>1.5757364514793936E-2</v>
      </c>
      <c r="I202" s="645">
        <v>1.6327356502854207E-2</v>
      </c>
      <c r="J202" s="645">
        <v>1.3942132282278592E-2</v>
      </c>
      <c r="K202" s="645">
        <v>1.646171448414217E-2</v>
      </c>
      <c r="L202" s="645">
        <v>1.2010093655085659E-2</v>
      </c>
    </row>
    <row r="203" spans="1:12" s="651" customFormat="1" ht="12.75" customHeight="1">
      <c r="A203" s="642" t="s">
        <v>899</v>
      </c>
      <c r="B203" s="646" t="s">
        <v>900</v>
      </c>
      <c r="C203" s="654">
        <v>9.8334819285888324E-3</v>
      </c>
      <c r="D203" s="645">
        <v>1.2585813228753663E-2</v>
      </c>
      <c r="E203" s="645">
        <v>1.4500324425365219E-2</v>
      </c>
      <c r="F203" s="645">
        <v>8.1355561356391756E-3</v>
      </c>
      <c r="G203" s="645">
        <v>1.1901221888545331E-2</v>
      </c>
      <c r="H203" s="645">
        <v>9.347024335671866E-3</v>
      </c>
      <c r="I203" s="645">
        <v>9.3182439395638819E-3</v>
      </c>
      <c r="J203" s="645">
        <v>7.5771409465392528E-3</v>
      </c>
      <c r="K203" s="645">
        <v>1.0769202506253092E-2</v>
      </c>
      <c r="L203" s="645">
        <v>8.6265371116287844E-3</v>
      </c>
    </row>
    <row r="204" spans="1:12" ht="12.75" customHeight="1">
      <c r="A204" s="653" t="s">
        <v>901</v>
      </c>
      <c r="B204" s="648" t="s">
        <v>902</v>
      </c>
      <c r="C204" s="649">
        <v>4.6315699883653395E-3</v>
      </c>
      <c r="D204" s="650">
        <v>5.9279180307429749E-3</v>
      </c>
      <c r="E204" s="650">
        <v>6.8296528043470181E-3</v>
      </c>
      <c r="F204" s="650">
        <v>3.8318469398860512E-3</v>
      </c>
      <c r="G204" s="650">
        <v>5.6054755095048502E-3</v>
      </c>
      <c r="H204" s="650">
        <v>4.4024484621014489E-3</v>
      </c>
      <c r="I204" s="650">
        <v>4.3888928955345876E-3</v>
      </c>
      <c r="J204" s="650">
        <v>3.5688333858199875E-3</v>
      </c>
      <c r="K204" s="650">
        <v>5.0722943804452055E-3</v>
      </c>
      <c r="L204" s="650">
        <v>4.0630989795771566E-3</v>
      </c>
    </row>
    <row r="205" spans="1:12" s="651" customFormat="1" ht="12.75" customHeight="1">
      <c r="A205" s="653" t="s">
        <v>903</v>
      </c>
      <c r="B205" s="648" t="s">
        <v>904</v>
      </c>
      <c r="C205" s="649">
        <v>5.2019119402234928E-3</v>
      </c>
      <c r="D205" s="650">
        <v>6.6578951980106882E-3</v>
      </c>
      <c r="E205" s="650">
        <v>7.6706716210182017E-3</v>
      </c>
      <c r="F205" s="650">
        <v>4.3037091957531248E-3</v>
      </c>
      <c r="G205" s="650">
        <v>6.2957463790404801E-3</v>
      </c>
      <c r="H205" s="650">
        <v>4.9445758735704162E-3</v>
      </c>
      <c r="I205" s="650">
        <v>4.9293510440292935E-3</v>
      </c>
      <c r="J205" s="650">
        <v>4.0083075607192653E-3</v>
      </c>
      <c r="K205" s="650">
        <v>5.6969081258078863E-3</v>
      </c>
      <c r="L205" s="650">
        <v>4.5634381320516278E-3</v>
      </c>
    </row>
    <row r="206" spans="1:12" s="651" customFormat="1" ht="12.75" customHeight="1">
      <c r="A206" s="642" t="s">
        <v>905</v>
      </c>
      <c r="B206" s="646" t="s">
        <v>906</v>
      </c>
      <c r="C206" s="644">
        <v>5.0658941479164096E-3</v>
      </c>
      <c r="D206" s="645">
        <v>5.6003591735634701E-3</v>
      </c>
      <c r="E206" s="645">
        <v>4.0475443574414091E-3</v>
      </c>
      <c r="F206" s="645">
        <v>3.3511809597487666E-3</v>
      </c>
      <c r="G206" s="645">
        <v>6.9703761893903727E-3</v>
      </c>
      <c r="H206" s="645">
        <v>6.410340179122071E-3</v>
      </c>
      <c r="I206" s="645">
        <v>7.0091125632903263E-3</v>
      </c>
      <c r="J206" s="645">
        <v>6.3649913357393378E-3</v>
      </c>
      <c r="K206" s="645">
        <v>5.6925119778890778E-3</v>
      </c>
      <c r="L206" s="645">
        <v>3.3835565434568735E-3</v>
      </c>
    </row>
    <row r="207" spans="1:12" ht="12.75" customHeight="1">
      <c r="A207" s="653" t="s">
        <v>907</v>
      </c>
      <c r="B207" s="648" t="s">
        <v>908</v>
      </c>
      <c r="C207" s="649">
        <v>5.0658941479164096E-3</v>
      </c>
      <c r="D207" s="650">
        <v>5.6003591735634701E-3</v>
      </c>
      <c r="E207" s="650">
        <v>4.0475443574414091E-3</v>
      </c>
      <c r="F207" s="650">
        <v>3.3511809597487666E-3</v>
      </c>
      <c r="G207" s="650">
        <v>6.9703761893903727E-3</v>
      </c>
      <c r="H207" s="650">
        <v>6.410340179122071E-3</v>
      </c>
      <c r="I207" s="650">
        <v>7.0091125632903263E-3</v>
      </c>
      <c r="J207" s="650">
        <v>6.3649913357393378E-3</v>
      </c>
      <c r="K207" s="650">
        <v>5.6925119778890778E-3</v>
      </c>
      <c r="L207" s="650">
        <v>3.3835565434568735E-3</v>
      </c>
    </row>
    <row r="208" spans="1:12" s="651" customFormat="1" ht="12.75" customHeight="1">
      <c r="A208" s="642" t="s">
        <v>909</v>
      </c>
      <c r="B208" s="646" t="s">
        <v>910</v>
      </c>
      <c r="C208" s="644">
        <v>1.3884434146726028E-2</v>
      </c>
      <c r="D208" s="645">
        <v>1.3861894911957481E-2</v>
      </c>
      <c r="E208" s="645">
        <v>1.4706943861793144E-2</v>
      </c>
      <c r="F208" s="645">
        <v>1.7435849770192868E-2</v>
      </c>
      <c r="G208" s="645">
        <v>1.2573970886835996E-2</v>
      </c>
      <c r="H208" s="645">
        <v>1.3714531021712224E-2</v>
      </c>
      <c r="I208" s="645">
        <v>1.189994737495617E-2</v>
      </c>
      <c r="J208" s="645">
        <v>1.4651337882758441E-2</v>
      </c>
      <c r="K208" s="645">
        <v>1.2798750431882042E-2</v>
      </c>
      <c r="L208" s="645">
        <v>1.177393292820563E-2</v>
      </c>
    </row>
    <row r="209" spans="1:12" ht="12.75" customHeight="1">
      <c r="A209" s="653" t="s">
        <v>911</v>
      </c>
      <c r="B209" s="648" t="s">
        <v>912</v>
      </c>
      <c r="C209" s="649">
        <v>1.0107868058816548E-2</v>
      </c>
      <c r="D209" s="650">
        <v>1.0091459495905048E-2</v>
      </c>
      <c r="E209" s="650">
        <v>1.0706655131385408E-2</v>
      </c>
      <c r="F209" s="650">
        <v>1.2693298632700408E-2</v>
      </c>
      <c r="G209" s="650">
        <v>9.1538508056166028E-3</v>
      </c>
      <c r="H209" s="650">
        <v>9.9841785838064995E-3</v>
      </c>
      <c r="I209" s="650">
        <v>8.66316168896809E-3</v>
      </c>
      <c r="J209" s="650">
        <v>1.0666173978648146E-2</v>
      </c>
      <c r="K209" s="650">
        <v>9.3174903144101259E-3</v>
      </c>
      <c r="L209" s="650">
        <v>8.5714231717336966E-3</v>
      </c>
    </row>
    <row r="210" spans="1:12" ht="12.75" customHeight="1">
      <c r="A210" s="653" t="s">
        <v>913</v>
      </c>
      <c r="B210" s="648" t="s">
        <v>914</v>
      </c>
      <c r="C210" s="649">
        <v>3.7765660879094803E-3</v>
      </c>
      <c r="D210" s="650">
        <v>3.7704354160524351E-3</v>
      </c>
      <c r="E210" s="650">
        <v>4.0002887304077354E-3</v>
      </c>
      <c r="F210" s="650">
        <v>4.7425511374924604E-3</v>
      </c>
      <c r="G210" s="650">
        <v>3.420120081219391E-3</v>
      </c>
      <c r="H210" s="650">
        <v>3.7303524379057248E-3</v>
      </c>
      <c r="I210" s="650">
        <v>3.2367856859880782E-3</v>
      </c>
      <c r="J210" s="650">
        <v>3.9851639041102969E-3</v>
      </c>
      <c r="K210" s="650">
        <v>3.4812601174719158E-3</v>
      </c>
      <c r="L210" s="650">
        <v>3.2025097564719312E-3</v>
      </c>
    </row>
    <row r="211" spans="1:12" s="651" customFormat="1" ht="12.75" customHeight="1">
      <c r="A211" s="642" t="s">
        <v>915</v>
      </c>
      <c r="B211" s="646" t="s">
        <v>916</v>
      </c>
      <c r="C211" s="654">
        <v>3.778489034004253E-2</v>
      </c>
      <c r="D211" s="645">
        <v>3.778489034004253E-2</v>
      </c>
      <c r="E211" s="645">
        <v>3.778489034004253E-2</v>
      </c>
      <c r="F211" s="645">
        <v>3.778489034004253E-2</v>
      </c>
      <c r="G211" s="645">
        <v>3.778489034004253E-2</v>
      </c>
      <c r="H211" s="645">
        <v>3.778489034004253E-2</v>
      </c>
      <c r="I211" s="645">
        <v>3.778489034004253E-2</v>
      </c>
      <c r="J211" s="645">
        <v>3.778489034004253E-2</v>
      </c>
      <c r="K211" s="645">
        <v>3.778489034004253E-2</v>
      </c>
      <c r="L211" s="645">
        <v>3.778489034004253E-2</v>
      </c>
    </row>
    <row r="212" spans="1:12" ht="13.5" customHeight="1">
      <c r="A212" s="653" t="s">
        <v>917</v>
      </c>
      <c r="B212" s="648" t="s">
        <v>918</v>
      </c>
      <c r="C212" s="649">
        <v>6.7634953708676122E-3</v>
      </c>
      <c r="D212" s="650">
        <v>6.7634953708676122E-3</v>
      </c>
      <c r="E212" s="650">
        <v>6.7634953708676122E-3</v>
      </c>
      <c r="F212" s="650">
        <v>6.7634953708676122E-3</v>
      </c>
      <c r="G212" s="650">
        <v>6.763495370867614E-3</v>
      </c>
      <c r="H212" s="650">
        <v>6.7634953708676122E-3</v>
      </c>
      <c r="I212" s="650">
        <v>6.7634953708676122E-3</v>
      </c>
      <c r="J212" s="650">
        <v>6.7634953708676122E-3</v>
      </c>
      <c r="K212" s="650">
        <v>6.7634953708676122E-3</v>
      </c>
      <c r="L212" s="650">
        <v>6.7634953708676122E-3</v>
      </c>
    </row>
    <row r="213" spans="1:12" s="651" customFormat="1" ht="12.75" customHeight="1">
      <c r="A213" s="653" t="s">
        <v>919</v>
      </c>
      <c r="B213" s="648" t="s">
        <v>920</v>
      </c>
      <c r="C213" s="649">
        <v>1.7645543788799865E-2</v>
      </c>
      <c r="D213" s="650">
        <v>1.7645543788799865E-2</v>
      </c>
      <c r="E213" s="650">
        <v>1.7645543788799865E-2</v>
      </c>
      <c r="F213" s="650">
        <v>1.7645543788799865E-2</v>
      </c>
      <c r="G213" s="650">
        <v>1.7645543788799865E-2</v>
      </c>
      <c r="H213" s="650">
        <v>1.7645543788799865E-2</v>
      </c>
      <c r="I213" s="650">
        <v>1.7645543788799865E-2</v>
      </c>
      <c r="J213" s="650">
        <v>1.7645543788799865E-2</v>
      </c>
      <c r="K213" s="650">
        <v>1.7645543788799865E-2</v>
      </c>
      <c r="L213" s="650">
        <v>1.7645543788799865E-2</v>
      </c>
    </row>
    <row r="214" spans="1:12" s="651" customFormat="1" ht="12.75" customHeight="1">
      <c r="A214" s="653" t="s">
        <v>921</v>
      </c>
      <c r="B214" s="648" t="s">
        <v>922</v>
      </c>
      <c r="C214" s="649">
        <v>1.3375851180375056E-2</v>
      </c>
      <c r="D214" s="650">
        <v>1.3375851180375056E-2</v>
      </c>
      <c r="E214" s="650">
        <v>1.3375851180375056E-2</v>
      </c>
      <c r="F214" s="650">
        <v>1.3375851180375056E-2</v>
      </c>
      <c r="G214" s="650">
        <v>1.3375851180375056E-2</v>
      </c>
      <c r="H214" s="650">
        <v>1.3375851180375056E-2</v>
      </c>
      <c r="I214" s="650">
        <v>1.3375851180375056E-2</v>
      </c>
      <c r="J214" s="650">
        <v>1.3375851180375056E-2</v>
      </c>
      <c r="K214" s="650">
        <v>1.3375851180375056E-2</v>
      </c>
      <c r="L214" s="650">
        <v>1.3375851180375056E-2</v>
      </c>
    </row>
    <row r="215" spans="1:12" s="651" customFormat="1" ht="12.75" customHeight="1">
      <c r="A215" s="642" t="s">
        <v>923</v>
      </c>
      <c r="B215" s="646" t="s">
        <v>924</v>
      </c>
      <c r="C215" s="644">
        <v>4.993779962547875E-2</v>
      </c>
      <c r="D215" s="645">
        <v>4.993779962547875E-2</v>
      </c>
      <c r="E215" s="645">
        <v>4.993779962547875E-2</v>
      </c>
      <c r="F215" s="645">
        <v>4.993779962547875E-2</v>
      </c>
      <c r="G215" s="645">
        <v>4.993779962547875E-2</v>
      </c>
      <c r="H215" s="645">
        <v>4.993779962547875E-2</v>
      </c>
      <c r="I215" s="645">
        <v>4.9937799625478764E-2</v>
      </c>
      <c r="J215" s="645">
        <v>4.993779962547875E-2</v>
      </c>
      <c r="K215" s="645">
        <v>4.993779962547875E-2</v>
      </c>
      <c r="L215" s="645">
        <v>4.993779962547875E-2</v>
      </c>
    </row>
    <row r="216" spans="1:12" s="651" customFormat="1" ht="12.75" customHeight="1">
      <c r="A216" s="642" t="s">
        <v>925</v>
      </c>
      <c r="B216" s="646" t="s">
        <v>926</v>
      </c>
      <c r="C216" s="654">
        <v>2.6317108475870363E-2</v>
      </c>
      <c r="D216" s="645">
        <v>2.6317108475870356E-2</v>
      </c>
      <c r="E216" s="645">
        <v>2.6317108475870366E-2</v>
      </c>
      <c r="F216" s="645">
        <v>2.6317108475870363E-2</v>
      </c>
      <c r="G216" s="645">
        <v>2.6317108475870363E-2</v>
      </c>
      <c r="H216" s="645">
        <v>2.6317108475870363E-2</v>
      </c>
      <c r="I216" s="645">
        <v>2.6317108475870366E-2</v>
      </c>
      <c r="J216" s="645">
        <v>2.6317108475870366E-2</v>
      </c>
      <c r="K216" s="645">
        <v>2.6317108475870356E-2</v>
      </c>
      <c r="L216" s="645">
        <v>2.6317108475870363E-2</v>
      </c>
    </row>
    <row r="217" spans="1:12" s="651" customFormat="1" ht="12.75" customHeight="1">
      <c r="A217" s="642" t="s">
        <v>927</v>
      </c>
      <c r="B217" s="646" t="s">
        <v>928</v>
      </c>
      <c r="C217" s="644">
        <v>2.5339368166492075E-2</v>
      </c>
      <c r="D217" s="645">
        <v>2.5123256940985154E-2</v>
      </c>
      <c r="E217" s="645">
        <v>2.5560412184541095E-2</v>
      </c>
      <c r="F217" s="645">
        <v>2.5510330223352865E-2</v>
      </c>
      <c r="G217" s="645">
        <v>2.5374762805473763E-2</v>
      </c>
      <c r="H217" s="645">
        <v>2.558927957548713E-2</v>
      </c>
      <c r="I217" s="645">
        <v>2.5336024354669019E-2</v>
      </c>
      <c r="J217" s="645">
        <v>2.541246935450938E-2</v>
      </c>
      <c r="K217" s="645">
        <v>2.5335511052151129E-2</v>
      </c>
      <c r="L217" s="645">
        <v>2.4989177299446226E-2</v>
      </c>
    </row>
    <row r="218" spans="1:12" s="651" customFormat="1" ht="12.75" customHeight="1">
      <c r="A218" s="642" t="s">
        <v>929</v>
      </c>
      <c r="B218" s="646" t="s">
        <v>930</v>
      </c>
      <c r="C218" s="644">
        <v>9.3569983965731338E-3</v>
      </c>
      <c r="D218" s="645">
        <v>8.819213371009476E-3</v>
      </c>
      <c r="E218" s="645">
        <v>8.450951402327881E-3</v>
      </c>
      <c r="F218" s="645">
        <v>9.2666922161215148E-3</v>
      </c>
      <c r="G218" s="645">
        <v>8.7780337048770224E-3</v>
      </c>
      <c r="H218" s="645">
        <v>9.9039024895877462E-3</v>
      </c>
      <c r="I218" s="645">
        <v>9.9804199709105264E-3</v>
      </c>
      <c r="J218" s="645">
        <v>1.0587208221604718E-2</v>
      </c>
      <c r="K218" s="645">
        <v>8.7742983212650543E-3</v>
      </c>
      <c r="L218" s="645">
        <v>9.4658557391007671E-3</v>
      </c>
    </row>
    <row r="219" spans="1:12" ht="12.75" customHeight="1">
      <c r="A219" s="653" t="s">
        <v>931</v>
      </c>
      <c r="B219" s="648" t="s">
        <v>932</v>
      </c>
      <c r="C219" s="649">
        <v>2.4607738063151699E-3</v>
      </c>
      <c r="D219" s="650">
        <v>2.3431692443743797E-3</v>
      </c>
      <c r="E219" s="650">
        <v>3.002095807238959E-3</v>
      </c>
      <c r="F219" s="650">
        <v>2.5062570870139269E-3</v>
      </c>
      <c r="G219" s="650">
        <v>2.3912017897565266E-3</v>
      </c>
      <c r="H219" s="650">
        <v>2.8728923756837902E-3</v>
      </c>
      <c r="I219" s="650">
        <v>2.2965600466340204E-3</v>
      </c>
      <c r="J219" s="650">
        <v>2.8971294311327246E-3</v>
      </c>
      <c r="K219" s="650">
        <v>1.8553000942786132E-3</v>
      </c>
      <c r="L219" s="650">
        <v>2.3335583548235637E-3</v>
      </c>
    </row>
    <row r="220" spans="1:12" ht="12.75" customHeight="1">
      <c r="A220" s="653" t="s">
        <v>933</v>
      </c>
      <c r="B220" s="648" t="s">
        <v>934</v>
      </c>
      <c r="C220" s="649">
        <v>2.6277847300406704E-4</v>
      </c>
      <c r="D220" s="650">
        <v>3.2219996198178363E-4</v>
      </c>
      <c r="E220" s="650">
        <v>1.3102869370276428E-4</v>
      </c>
      <c r="F220" s="650">
        <v>4.213561506126871E-5</v>
      </c>
      <c r="G220" s="650">
        <v>1.2929983125450065E-4</v>
      </c>
      <c r="H220" s="650">
        <v>1.899392789090292E-4</v>
      </c>
      <c r="I220" s="650">
        <v>3.2718704050491393E-4</v>
      </c>
      <c r="J220" s="650">
        <v>1.499970543080319E-3</v>
      </c>
      <c r="K220" s="650">
        <v>1.1766648475139442E-4</v>
      </c>
      <c r="L220" s="650">
        <v>2.4139315246186798E-4</v>
      </c>
    </row>
    <row r="221" spans="1:12" ht="12.75" customHeight="1">
      <c r="A221" s="653" t="s">
        <v>935</v>
      </c>
      <c r="B221" s="648" t="s">
        <v>936</v>
      </c>
      <c r="C221" s="649">
        <v>8.0117252491062295E-4</v>
      </c>
      <c r="D221" s="650">
        <v>1.1692707136224667E-3</v>
      </c>
      <c r="E221" s="650">
        <v>7.4942157378673959E-4</v>
      </c>
      <c r="F221" s="650">
        <v>6.8465444872486264E-4</v>
      </c>
      <c r="G221" s="650">
        <v>8.4412328543173175E-4</v>
      </c>
      <c r="H221" s="650">
        <v>7.9985397187393582E-4</v>
      </c>
      <c r="I221" s="650">
        <v>7.7763147673944174E-4</v>
      </c>
      <c r="J221" s="650">
        <v>4.8888268169890246E-4</v>
      </c>
      <c r="K221" s="650">
        <v>7.2352790986399877E-4</v>
      </c>
      <c r="L221" s="650">
        <v>9.2727977666616892E-4</v>
      </c>
    </row>
    <row r="222" spans="1:12" ht="12.75" customHeight="1">
      <c r="A222" s="653" t="s">
        <v>937</v>
      </c>
      <c r="B222" s="648" t="s">
        <v>938</v>
      </c>
      <c r="C222" s="649">
        <v>1.8589341355920569E-3</v>
      </c>
      <c r="D222" s="650">
        <v>1.2406318079548572E-3</v>
      </c>
      <c r="E222" s="650">
        <v>1.5500966277899771E-3</v>
      </c>
      <c r="F222" s="650">
        <v>1.823467001099725E-3</v>
      </c>
      <c r="G222" s="650">
        <v>1.7161500674380532E-3</v>
      </c>
      <c r="H222" s="650">
        <v>1.996465774844101E-3</v>
      </c>
      <c r="I222" s="650">
        <v>1.925702597940784E-3</v>
      </c>
      <c r="J222" s="650">
        <v>1.8323642484325332E-3</v>
      </c>
      <c r="K222" s="650">
        <v>2.0920374864519952E-3</v>
      </c>
      <c r="L222" s="650">
        <v>2.0040040797954322E-3</v>
      </c>
    </row>
    <row r="223" spans="1:12" ht="12.75" customHeight="1">
      <c r="A223" s="653" t="s">
        <v>939</v>
      </c>
      <c r="B223" s="648" t="s">
        <v>940</v>
      </c>
      <c r="C223" s="649">
        <v>4.4103420261162039E-4</v>
      </c>
      <c r="D223" s="650">
        <v>5.6111849017384085E-4</v>
      </c>
      <c r="E223" s="650">
        <v>2.9611963491882462E-4</v>
      </c>
      <c r="F223" s="650">
        <v>2.399518719398238E-4</v>
      </c>
      <c r="G223" s="650">
        <v>7.9999435021160499E-4</v>
      </c>
      <c r="H223" s="650">
        <v>3.0517018509607232E-4</v>
      </c>
      <c r="I223" s="650">
        <v>3.316027250607416E-4</v>
      </c>
      <c r="J223" s="650">
        <v>1.8114942836777975E-4</v>
      </c>
      <c r="K223" s="650">
        <v>3.6015482858801716E-4</v>
      </c>
      <c r="L223" s="650">
        <v>6.7682554828416442E-4</v>
      </c>
    </row>
    <row r="224" spans="1:12" ht="12.75" customHeight="1">
      <c r="A224" s="653" t="s">
        <v>941</v>
      </c>
      <c r="B224" s="648" t="s">
        <v>942</v>
      </c>
      <c r="C224" s="649">
        <v>9.9156064714650007E-4</v>
      </c>
      <c r="D224" s="650">
        <v>7.1065519256671803E-4</v>
      </c>
      <c r="E224" s="650">
        <v>9.9452416844502366E-4</v>
      </c>
      <c r="F224" s="650">
        <v>9.8869114764483417E-4</v>
      </c>
      <c r="G224" s="650">
        <v>8.9265550794569452E-4</v>
      </c>
      <c r="H224" s="650">
        <v>1.1009636647094268E-3</v>
      </c>
      <c r="I224" s="650">
        <v>1.012013645119494E-3</v>
      </c>
      <c r="J224" s="650">
        <v>8.9082047869348249E-4</v>
      </c>
      <c r="K224" s="650">
        <v>9.9327330665962437E-4</v>
      </c>
      <c r="L224" s="650">
        <v>1.0803833308844419E-3</v>
      </c>
    </row>
    <row r="225" spans="1:12" ht="12.75" customHeight="1">
      <c r="A225" s="653" t="s">
        <v>943</v>
      </c>
      <c r="B225" s="648" t="s">
        <v>944</v>
      </c>
      <c r="C225" s="649">
        <v>1.1292911553379399E-3</v>
      </c>
      <c r="D225" s="650">
        <v>9.4671627015719079E-4</v>
      </c>
      <c r="E225" s="650">
        <v>4.9506896400111568E-4</v>
      </c>
      <c r="F225" s="650">
        <v>1.3678042051767545E-3</v>
      </c>
      <c r="G225" s="650">
        <v>1.1305362238588014E-3</v>
      </c>
      <c r="H225" s="650">
        <v>1.1455523445917837E-3</v>
      </c>
      <c r="I225" s="650">
        <v>1.5095833101575222E-3</v>
      </c>
      <c r="J225" s="650">
        <v>1.0985313034757081E-3</v>
      </c>
      <c r="K225" s="650">
        <v>1.0662203675868176E-3</v>
      </c>
      <c r="L225" s="650">
        <v>1.0475491965604637E-3</v>
      </c>
    </row>
    <row r="226" spans="1:12" ht="12.75" customHeight="1">
      <c r="A226" s="653" t="s">
        <v>945</v>
      </c>
      <c r="B226" s="648" t="s">
        <v>946</v>
      </c>
      <c r="C226" s="649">
        <v>9.0586338163315511E-4</v>
      </c>
      <c r="D226" s="650">
        <v>1.1848561069205531E-3</v>
      </c>
      <c r="E226" s="650">
        <v>8.8559050936664729E-4</v>
      </c>
      <c r="F226" s="650">
        <v>1.129116680962363E-3</v>
      </c>
      <c r="G226" s="650">
        <v>5.0577959673855759E-4</v>
      </c>
      <c r="H226" s="650">
        <v>1.0879574887834511E-3</v>
      </c>
      <c r="I226" s="650">
        <v>1.2103351045554807E-3</v>
      </c>
      <c r="J226" s="650">
        <v>1.0884077899043394E-3</v>
      </c>
      <c r="K226" s="650">
        <v>9.2336163474109295E-4</v>
      </c>
      <c r="L226" s="650">
        <v>5.3736671797019009E-4</v>
      </c>
    </row>
    <row r="227" spans="1:12" ht="12.75" customHeight="1">
      <c r="A227" s="653" t="s">
        <v>947</v>
      </c>
      <c r="B227" s="648" t="s">
        <v>948</v>
      </c>
      <c r="C227" s="649">
        <v>2.3947472994855377E-4</v>
      </c>
      <c r="D227" s="650">
        <v>1.4932082754135783E-4</v>
      </c>
      <c r="E227" s="650">
        <v>1.3148481802724817E-4</v>
      </c>
      <c r="F227" s="650">
        <v>2.6325429136403466E-4</v>
      </c>
      <c r="G227" s="650">
        <v>1.3330069547608182E-4</v>
      </c>
      <c r="H227" s="650">
        <v>2.1734982294380664E-4</v>
      </c>
      <c r="I227" s="650">
        <v>2.6875278628565288E-4</v>
      </c>
      <c r="J227" s="650">
        <v>2.7344266261938014E-4</v>
      </c>
      <c r="K227" s="650">
        <v>2.8557976267788531E-4</v>
      </c>
      <c r="L227" s="650">
        <v>3.0903205590857686E-4</v>
      </c>
    </row>
    <row r="228" spans="1:12" s="651" customFormat="1" ht="12.75" customHeight="1">
      <c r="A228" s="653" t="s">
        <v>949</v>
      </c>
      <c r="B228" s="648" t="s">
        <v>950</v>
      </c>
      <c r="C228" s="652">
        <v>2.6611534007344882E-4</v>
      </c>
      <c r="D228" s="650">
        <v>1.9127475571632718E-4</v>
      </c>
      <c r="E228" s="650">
        <v>2.1552060505058187E-4</v>
      </c>
      <c r="F228" s="650">
        <v>2.2135986713392263E-4</v>
      </c>
      <c r="G228" s="650">
        <v>2.3499235676546965E-4</v>
      </c>
      <c r="H228" s="650">
        <v>1.8775758215234923E-4</v>
      </c>
      <c r="I228" s="650">
        <v>3.2105123791247568E-4</v>
      </c>
      <c r="J228" s="650">
        <v>3.3650965419954802E-4</v>
      </c>
      <c r="K228" s="650">
        <v>3.5717644566561532E-4</v>
      </c>
      <c r="L228" s="650">
        <v>3.084635257458978E-4</v>
      </c>
    </row>
    <row r="229" spans="1:12" s="651" customFormat="1" ht="12.75" customHeight="1">
      <c r="A229" s="642" t="s">
        <v>951</v>
      </c>
      <c r="B229" s="646" t="s">
        <v>952</v>
      </c>
      <c r="C229" s="644">
        <v>1.167140149681852E-2</v>
      </c>
      <c r="D229" s="645">
        <v>1.2325971194521687E-2</v>
      </c>
      <c r="E229" s="645">
        <v>1.3087430027325635E-2</v>
      </c>
      <c r="F229" s="645">
        <v>1.2114141238024203E-2</v>
      </c>
      <c r="G229" s="645">
        <v>1.1880141814551007E-2</v>
      </c>
      <c r="H229" s="645">
        <v>1.1082824859395641E-2</v>
      </c>
      <c r="I229" s="645">
        <v>1.0949766109579751E-2</v>
      </c>
      <c r="J229" s="645">
        <v>1.1390644338809375E-2</v>
      </c>
      <c r="K229" s="645">
        <v>1.1748487224463469E-2</v>
      </c>
      <c r="L229" s="645">
        <v>1.1374083730494405E-2</v>
      </c>
    </row>
    <row r="230" spans="1:12" ht="12.75" customHeight="1">
      <c r="A230" s="653" t="s">
        <v>953</v>
      </c>
      <c r="B230" s="648" t="s">
        <v>954</v>
      </c>
      <c r="C230" s="649">
        <v>1.4691282262989836E-3</v>
      </c>
      <c r="D230" s="650">
        <v>1.0115856993117487E-3</v>
      </c>
      <c r="E230" s="650">
        <v>1.7370517488702779E-3</v>
      </c>
      <c r="F230" s="650">
        <v>1.9034272624716933E-3</v>
      </c>
      <c r="G230" s="650">
        <v>2.1338275704094892E-3</v>
      </c>
      <c r="H230" s="650">
        <v>1.5563623706069179E-3</v>
      </c>
      <c r="I230" s="650">
        <v>1.0751243898213308E-3</v>
      </c>
      <c r="J230" s="650">
        <v>1.0284026247898033E-3</v>
      </c>
      <c r="K230" s="650">
        <v>1.2608998538594476E-3</v>
      </c>
      <c r="L230" s="650">
        <v>1.2071412782937256E-3</v>
      </c>
    </row>
    <row r="231" spans="1:12" ht="12.75" customHeight="1">
      <c r="A231" s="653" t="s">
        <v>955</v>
      </c>
      <c r="B231" s="648" t="s">
        <v>956</v>
      </c>
      <c r="C231" s="649">
        <v>2.0307984754654789E-3</v>
      </c>
      <c r="D231" s="650">
        <v>2.1043779281483968E-3</v>
      </c>
      <c r="E231" s="650">
        <v>3.1055596978874023E-3</v>
      </c>
      <c r="F231" s="650">
        <v>1.9748603701077489E-3</v>
      </c>
      <c r="G231" s="650">
        <v>2.0734881251416675E-3</v>
      </c>
      <c r="H231" s="650">
        <v>2.0553473551742371E-3</v>
      </c>
      <c r="I231" s="650">
        <v>1.4592940936637379E-3</v>
      </c>
      <c r="J231" s="650">
        <v>1.9737161517582049E-3</v>
      </c>
      <c r="K231" s="650">
        <v>2.1481151878788535E-3</v>
      </c>
      <c r="L231" s="650">
        <v>1.9038613357936327E-3</v>
      </c>
    </row>
    <row r="232" spans="1:12" ht="12.75" customHeight="1">
      <c r="A232" s="653" t="s">
        <v>957</v>
      </c>
      <c r="B232" s="648" t="s">
        <v>958</v>
      </c>
      <c r="C232" s="649">
        <v>2.2972122283243117E-4</v>
      </c>
      <c r="D232" s="650">
        <v>5.1812662800295025E-4</v>
      </c>
      <c r="E232" s="650">
        <v>1.0032407973725078E-4</v>
      </c>
      <c r="F232" s="650">
        <v>3.544802802600663E-4</v>
      </c>
      <c r="G232" s="650">
        <v>1.9645061155497491E-4</v>
      </c>
      <c r="H232" s="650">
        <v>2.4109405021495195E-4</v>
      </c>
      <c r="I232" s="650">
        <v>1.1417551566200321E-4</v>
      </c>
      <c r="J232" s="650">
        <v>4.7721167086511401E-4</v>
      </c>
      <c r="K232" s="650">
        <v>6.252086985183034E-5</v>
      </c>
      <c r="L232" s="650">
        <v>1.796712115089492E-4</v>
      </c>
    </row>
    <row r="233" spans="1:12" ht="12.75" customHeight="1">
      <c r="A233" s="653" t="s">
        <v>959</v>
      </c>
      <c r="B233" s="648" t="s">
        <v>960</v>
      </c>
      <c r="C233" s="649">
        <v>5.9565334413380926E-4</v>
      </c>
      <c r="D233" s="650">
        <v>7.3521288438107885E-4</v>
      </c>
      <c r="E233" s="650">
        <v>7.854563262869364E-4</v>
      </c>
      <c r="F233" s="650">
        <v>4.7302345806454548E-4</v>
      </c>
      <c r="G233" s="650">
        <v>5.9719129574024215E-4</v>
      </c>
      <c r="H233" s="650">
        <v>6.0086561900523023E-4</v>
      </c>
      <c r="I233" s="650">
        <v>4.9537083085955788E-4</v>
      </c>
      <c r="J233" s="650">
        <v>6.2288993291371921E-4</v>
      </c>
      <c r="K233" s="650">
        <v>5.0883632595889467E-4</v>
      </c>
      <c r="L233" s="650">
        <v>6.7310734078785284E-4</v>
      </c>
    </row>
    <row r="234" spans="1:12" ht="12.75" customHeight="1">
      <c r="A234" s="653" t="s">
        <v>961</v>
      </c>
      <c r="B234" s="648" t="s">
        <v>962</v>
      </c>
      <c r="C234" s="649">
        <v>9.3950291931678344E-4</v>
      </c>
      <c r="D234" s="650">
        <v>9.2354152661037613E-4</v>
      </c>
      <c r="E234" s="650">
        <v>1.1945868132254426E-3</v>
      </c>
      <c r="F234" s="650">
        <v>7.8656899971741808E-4</v>
      </c>
      <c r="G234" s="650">
        <v>8.738863660418233E-4</v>
      </c>
      <c r="H234" s="650">
        <v>1.2070889553696086E-3</v>
      </c>
      <c r="I234" s="650">
        <v>8.4813315255619125E-4</v>
      </c>
      <c r="J234" s="650">
        <v>9.4683303868086483E-4</v>
      </c>
      <c r="K234" s="650">
        <v>1.0815527837744743E-3</v>
      </c>
      <c r="L234" s="650">
        <v>7.9413952179008371E-4</v>
      </c>
    </row>
    <row r="235" spans="1:12" ht="12.75" customHeight="1">
      <c r="A235" s="653" t="s">
        <v>963</v>
      </c>
      <c r="B235" s="648" t="s">
        <v>964</v>
      </c>
      <c r="C235" s="649">
        <v>6.7696929782892887E-4</v>
      </c>
      <c r="D235" s="650">
        <v>9.7746494432048221E-4</v>
      </c>
      <c r="E235" s="650">
        <v>7.0019924311314798E-4</v>
      </c>
      <c r="F235" s="650">
        <v>5.2422700209368855E-4</v>
      </c>
      <c r="G235" s="650">
        <v>8.5476737569287848E-4</v>
      </c>
      <c r="H235" s="650">
        <v>5.4055515249865343E-4</v>
      </c>
      <c r="I235" s="650">
        <v>7.608300844057852E-4</v>
      </c>
      <c r="J235" s="650">
        <v>4.6111376062891801E-4</v>
      </c>
      <c r="K235" s="650">
        <v>5.2585893558722827E-4</v>
      </c>
      <c r="L235" s="650">
        <v>7.9606665695005469E-4</v>
      </c>
    </row>
    <row r="236" spans="1:12" ht="12.75" customHeight="1">
      <c r="A236" s="653" t="s">
        <v>965</v>
      </c>
      <c r="B236" s="648" t="s">
        <v>966</v>
      </c>
      <c r="C236" s="649">
        <v>2.0227872399194053E-4</v>
      </c>
      <c r="D236" s="650">
        <v>1.9610881042713614E-4</v>
      </c>
      <c r="E236" s="650">
        <v>1.5654186816287626E-4</v>
      </c>
      <c r="F236" s="650">
        <v>2.276130567880172E-4</v>
      </c>
      <c r="G236" s="650">
        <v>1.8447138539120104E-4</v>
      </c>
      <c r="H236" s="650">
        <v>1.725705172063677E-4</v>
      </c>
      <c r="I236" s="650">
        <v>1.9147873551578429E-4</v>
      </c>
      <c r="J236" s="650">
        <v>2.3895099054868955E-4</v>
      </c>
      <c r="K236" s="650">
        <v>2.3999340213925904E-4</v>
      </c>
      <c r="L236" s="650">
        <v>2.0329151536730233E-4</v>
      </c>
    </row>
    <row r="237" spans="1:12" ht="12.75" customHeight="1">
      <c r="A237" s="653" t="s">
        <v>967</v>
      </c>
      <c r="B237" s="648" t="s">
        <v>968</v>
      </c>
      <c r="C237" s="652">
        <v>1.5238846769339536E-3</v>
      </c>
      <c r="D237" s="650">
        <v>1.7058478953412136E-3</v>
      </c>
      <c r="E237" s="650">
        <v>1.525610198492938E-3</v>
      </c>
      <c r="F237" s="650">
        <v>1.6159828001680676E-3</v>
      </c>
      <c r="G237" s="650">
        <v>1.27928607089265E-3</v>
      </c>
      <c r="H237" s="650">
        <v>1.4776702406083878E-3</v>
      </c>
      <c r="I237" s="650">
        <v>1.4761546820794521E-3</v>
      </c>
      <c r="J237" s="650">
        <v>1.6686726207284751E-3</v>
      </c>
      <c r="K237" s="650">
        <v>1.6658096425332307E-3</v>
      </c>
      <c r="L237" s="650">
        <v>1.4700121244990811E-3</v>
      </c>
    </row>
    <row r="238" spans="1:12" ht="12.75" customHeight="1">
      <c r="A238" s="653" t="s">
        <v>969</v>
      </c>
      <c r="B238" s="648" t="s">
        <v>970</v>
      </c>
      <c r="C238" s="649">
        <v>1.1263437552115334E-3</v>
      </c>
      <c r="D238" s="650">
        <v>1.528404549754378E-3</v>
      </c>
      <c r="E238" s="650">
        <v>1.1590184245753813E-3</v>
      </c>
      <c r="F238" s="650">
        <v>1.1070676075765487E-3</v>
      </c>
      <c r="G238" s="650">
        <v>1.1132138578066344E-3</v>
      </c>
      <c r="H238" s="650">
        <v>8.7182088632410681E-4</v>
      </c>
      <c r="I238" s="650">
        <v>9.4756198047191056E-4</v>
      </c>
      <c r="J238" s="650">
        <v>1.0275672042985035E-3</v>
      </c>
      <c r="K238" s="650">
        <v>1.288446379282447E-3</v>
      </c>
      <c r="L238" s="650">
        <v>1.2236761991282273E-3</v>
      </c>
    </row>
    <row r="239" spans="1:12" ht="12.75" customHeight="1">
      <c r="A239" s="653" t="s">
        <v>971</v>
      </c>
      <c r="B239" s="648" t="s">
        <v>972</v>
      </c>
      <c r="C239" s="652">
        <v>8.2326884392681433E-4</v>
      </c>
      <c r="D239" s="650">
        <v>7.1620722390423213E-4</v>
      </c>
      <c r="E239" s="650">
        <v>6.0588483406746462E-4</v>
      </c>
      <c r="F239" s="650">
        <v>1.0075996625239021E-3</v>
      </c>
      <c r="G239" s="650">
        <v>9.8195578395698273E-4</v>
      </c>
      <c r="H239" s="650">
        <v>7.2052776858625572E-4</v>
      </c>
      <c r="I239" s="650">
        <v>1.053148916750119E-3</v>
      </c>
      <c r="J239" s="650">
        <v>7.5693138868959404E-4</v>
      </c>
      <c r="K239" s="650">
        <v>7.691364805661031E-4</v>
      </c>
      <c r="L239" s="650">
        <v>6.9718590828267164E-4</v>
      </c>
    </row>
    <row r="240" spans="1:12" ht="12.75" customHeight="1">
      <c r="A240" s="653" t="s">
        <v>973</v>
      </c>
      <c r="B240" s="648" t="s">
        <v>974</v>
      </c>
      <c r="C240" s="649">
        <v>1.0218258248723263E-3</v>
      </c>
      <c r="D240" s="650">
        <v>7.9643460678116866E-4</v>
      </c>
      <c r="E240" s="650">
        <v>1.0838146938596056E-3</v>
      </c>
      <c r="F240" s="650">
        <v>1.1220950657830392E-3</v>
      </c>
      <c r="G240" s="650">
        <v>8.0996016287516071E-4</v>
      </c>
      <c r="H240" s="650">
        <v>9.3407638274185963E-4</v>
      </c>
      <c r="I240" s="650">
        <v>1.3339579717482348E-3</v>
      </c>
      <c r="J240" s="650">
        <v>1.0361950456999653E-3</v>
      </c>
      <c r="K240" s="650">
        <v>1.1444490053890829E-3</v>
      </c>
      <c r="L240" s="650">
        <v>9.3832565005814962E-4</v>
      </c>
    </row>
    <row r="241" spans="1:12" ht="12.75" customHeight="1">
      <c r="A241" s="653" t="s">
        <v>975</v>
      </c>
      <c r="B241" s="648" t="s">
        <v>976</v>
      </c>
      <c r="C241" s="649">
        <v>2.2253023986566886E-4</v>
      </c>
      <c r="D241" s="650">
        <v>2.0857172819431746E-4</v>
      </c>
      <c r="E241" s="650">
        <v>2.3330293764367585E-4</v>
      </c>
      <c r="F241" s="650">
        <v>1.9544666274789259E-4</v>
      </c>
      <c r="G241" s="650">
        <v>1.2034656696629642E-4</v>
      </c>
      <c r="H241" s="650">
        <v>1.2464750033342403E-4</v>
      </c>
      <c r="I241" s="650">
        <v>2.9254703753023835E-4</v>
      </c>
      <c r="J241" s="650">
        <v>3.6092756478768188E-4</v>
      </c>
      <c r="K241" s="650">
        <v>2.5874026079226911E-4</v>
      </c>
      <c r="L241" s="650">
        <v>2.6939073392504763E-4</v>
      </c>
    </row>
    <row r="242" spans="1:12" ht="12.75" customHeight="1">
      <c r="A242" s="653" t="s">
        <v>977</v>
      </c>
      <c r="B242" s="648" t="s">
        <v>978</v>
      </c>
      <c r="C242" s="649">
        <v>3.9166525049431108E-4</v>
      </c>
      <c r="D242" s="650">
        <v>5.1339761953685386E-4</v>
      </c>
      <c r="E242" s="650">
        <v>3.4569197119651012E-4</v>
      </c>
      <c r="F242" s="650">
        <v>4.812603365194518E-4</v>
      </c>
      <c r="G242" s="650">
        <v>3.3705593486195782E-4</v>
      </c>
      <c r="H242" s="650">
        <v>3.0989382916607022E-4</v>
      </c>
      <c r="I242" s="650">
        <v>4.7256575472530248E-4</v>
      </c>
      <c r="J242" s="650">
        <v>4.1695878180836874E-4</v>
      </c>
      <c r="K242" s="650">
        <v>3.5372276524478399E-4</v>
      </c>
      <c r="L242" s="650">
        <v>3.6114715221757728E-4</v>
      </c>
    </row>
    <row r="243" spans="1:12" ht="12.75" customHeight="1">
      <c r="A243" s="653" t="s">
        <v>979</v>
      </c>
      <c r="B243" s="648" t="s">
        <v>980</v>
      </c>
      <c r="C243" s="649">
        <v>4.1783069564555652E-4</v>
      </c>
      <c r="D243" s="650">
        <v>3.9068914980735386E-4</v>
      </c>
      <c r="E243" s="650">
        <v>3.5438719020672267E-4</v>
      </c>
      <c r="F243" s="650">
        <v>3.4048867320212269E-4</v>
      </c>
      <c r="G243" s="650">
        <v>3.2424070721904765E-4</v>
      </c>
      <c r="H243" s="650">
        <v>2.7030423155957118E-4</v>
      </c>
      <c r="I243" s="650">
        <v>4.2942296379010458E-4</v>
      </c>
      <c r="J243" s="650">
        <v>3.7427356261147043E-4</v>
      </c>
      <c r="K243" s="650">
        <v>4.4040533160556451E-4</v>
      </c>
      <c r="L243" s="650">
        <v>6.5706710189205231E-4</v>
      </c>
    </row>
    <row r="244" spans="1:12" s="651" customFormat="1" ht="12.75" customHeight="1">
      <c r="A244" s="642" t="s">
        <v>981</v>
      </c>
      <c r="B244" s="646" t="s">
        <v>982</v>
      </c>
      <c r="C244" s="644">
        <v>4.3109682731004208E-3</v>
      </c>
      <c r="D244" s="645">
        <v>3.9780723754539908E-3</v>
      </c>
      <c r="E244" s="645">
        <v>4.022030754887578E-3</v>
      </c>
      <c r="F244" s="645">
        <v>4.1294967692071484E-3</v>
      </c>
      <c r="G244" s="645">
        <v>4.7165872860457344E-3</v>
      </c>
      <c r="H244" s="645">
        <v>4.6025522265037448E-3</v>
      </c>
      <c r="I244" s="645">
        <v>4.4058382741787401E-3</v>
      </c>
      <c r="J244" s="645">
        <v>3.4346167940952901E-3</v>
      </c>
      <c r="K244" s="645">
        <v>4.8127255064226038E-3</v>
      </c>
      <c r="L244" s="645">
        <v>4.1492378298510482E-3</v>
      </c>
    </row>
    <row r="245" spans="1:12" ht="12.75" customHeight="1">
      <c r="A245" s="653" t="s">
        <v>983</v>
      </c>
      <c r="B245" s="648" t="s">
        <v>984</v>
      </c>
      <c r="C245" s="649">
        <v>8.4612971180237815E-4</v>
      </c>
      <c r="D245" s="650">
        <v>5.8789969295885145E-4</v>
      </c>
      <c r="E245" s="650">
        <v>9.8596131857550825E-4</v>
      </c>
      <c r="F245" s="650">
        <v>9.7966874873561317E-4</v>
      </c>
      <c r="G245" s="650">
        <v>9.5755453643606029E-4</v>
      </c>
      <c r="H245" s="650">
        <v>8.9970621797590654E-4</v>
      </c>
      <c r="I245" s="650">
        <v>7.1603031792150519E-4</v>
      </c>
      <c r="J245" s="650">
        <v>5.6486282793019561E-4</v>
      </c>
      <c r="K245" s="650">
        <v>9.8950542645945749E-4</v>
      </c>
      <c r="L245" s="650">
        <v>7.4988440556109711E-4</v>
      </c>
    </row>
    <row r="246" spans="1:12" ht="12.75" customHeight="1">
      <c r="A246" s="653" t="s">
        <v>985</v>
      </c>
      <c r="B246" s="648" t="s">
        <v>986</v>
      </c>
      <c r="C246" s="649">
        <v>2.1153242795059454E-4</v>
      </c>
      <c r="D246" s="650">
        <v>1.4697492323971286E-4</v>
      </c>
      <c r="E246" s="650">
        <v>2.4649032964387706E-4</v>
      </c>
      <c r="F246" s="650">
        <v>2.4491718718390329E-4</v>
      </c>
      <c r="G246" s="650">
        <v>2.3938863410901507E-4</v>
      </c>
      <c r="H246" s="650">
        <v>2.2492655449397663E-4</v>
      </c>
      <c r="I246" s="650">
        <v>1.790075794803763E-4</v>
      </c>
      <c r="J246" s="650">
        <v>1.412157069825489E-4</v>
      </c>
      <c r="K246" s="650">
        <v>2.4737635661486437E-4</v>
      </c>
      <c r="L246" s="650">
        <v>1.8747110139027428E-4</v>
      </c>
    </row>
    <row r="247" spans="1:12" ht="12.75" customHeight="1">
      <c r="A247" s="653" t="s">
        <v>987</v>
      </c>
      <c r="B247" s="648" t="s">
        <v>988</v>
      </c>
      <c r="C247" s="652">
        <v>2.2764151526660233E-4</v>
      </c>
      <c r="D247" s="650">
        <v>3.7784363241493503E-4</v>
      </c>
      <c r="E247" s="650">
        <v>2.133060749119141E-4</v>
      </c>
      <c r="F247" s="650">
        <v>1.8485880840192197E-4</v>
      </c>
      <c r="G247" s="650">
        <v>2.2412498660616832E-4</v>
      </c>
      <c r="H247" s="650">
        <v>2.7544870643676279E-4</v>
      </c>
      <c r="I247" s="650">
        <v>2.9852069433269185E-4</v>
      </c>
      <c r="J247" s="650">
        <v>1.7819228858902323E-4</v>
      </c>
      <c r="K247" s="650">
        <v>2.3755028415667733E-4</v>
      </c>
      <c r="L247" s="650">
        <v>1.6126934687511591E-4</v>
      </c>
    </row>
    <row r="248" spans="1:12" ht="12.75" customHeight="1">
      <c r="A248" s="653" t="s">
        <v>989</v>
      </c>
      <c r="B248" s="648" t="s">
        <v>990</v>
      </c>
      <c r="C248" s="652">
        <v>1.5920628164623027E-4</v>
      </c>
      <c r="D248" s="650">
        <v>1.9921875750683718E-4</v>
      </c>
      <c r="E248" s="650">
        <v>4.1117280687303221E-4</v>
      </c>
      <c r="F248" s="650">
        <v>9.5403244834942326E-5</v>
      </c>
      <c r="G248" s="650">
        <v>1.7887575747844127E-4</v>
      </c>
      <c r="H248" s="650">
        <v>2.1150907905356125E-4</v>
      </c>
      <c r="I248" s="650">
        <v>1.6134449809137238E-4</v>
      </c>
      <c r="J248" s="650">
        <v>1.5458388594593279E-4</v>
      </c>
      <c r="K248" s="650">
        <v>5.5583155120080971E-5</v>
      </c>
      <c r="L248" s="650">
        <v>1.2433663612036475E-4</v>
      </c>
    </row>
    <row r="249" spans="1:12" ht="12.75" customHeight="1">
      <c r="A249" s="653" t="s">
        <v>991</v>
      </c>
      <c r="B249" s="648" t="s">
        <v>992</v>
      </c>
      <c r="C249" s="652">
        <v>9.9871872819077098E-5</v>
      </c>
      <c r="D249" s="650">
        <v>9.9527943820590975E-5</v>
      </c>
      <c r="E249" s="650">
        <v>7.0248731166331401E-5</v>
      </c>
      <c r="F249" s="650">
        <v>1.1300425152405572E-4</v>
      </c>
      <c r="G249" s="650">
        <v>1.1849671897286582E-4</v>
      </c>
      <c r="H249" s="650">
        <v>1.757021122917613E-4</v>
      </c>
      <c r="I249" s="650">
        <v>1.3271847388808832E-4</v>
      </c>
      <c r="J249" s="650">
        <v>8.3211405039730651E-5</v>
      </c>
      <c r="K249" s="650">
        <v>4.8222706943466725E-5</v>
      </c>
      <c r="L249" s="650">
        <v>5.4298171204127604E-5</v>
      </c>
    </row>
    <row r="250" spans="1:12" ht="12.75" customHeight="1">
      <c r="A250" s="653" t="s">
        <v>993</v>
      </c>
      <c r="B250" s="648" t="s">
        <v>994</v>
      </c>
      <c r="C250" s="652">
        <v>2.4629384467506852E-4</v>
      </c>
      <c r="D250" s="650">
        <v>3.5542541457545381E-4</v>
      </c>
      <c r="E250" s="650">
        <v>4.7851351275428664E-4</v>
      </c>
      <c r="F250" s="650">
        <v>1.9473409194145771E-4</v>
      </c>
      <c r="G250" s="650">
        <v>2.4091641383074729E-4</v>
      </c>
      <c r="H250" s="650">
        <v>3.1201333019884633E-4</v>
      </c>
      <c r="I250" s="650">
        <v>3.0318688984447479E-4</v>
      </c>
      <c r="J250" s="650">
        <v>1.2845782030859081E-4</v>
      </c>
      <c r="K250" s="650">
        <v>2.453231010352001E-4</v>
      </c>
      <c r="L250" s="650">
        <v>1.4129441390860295E-4</v>
      </c>
    </row>
    <row r="251" spans="1:12" ht="12.75" customHeight="1">
      <c r="A251" s="653" t="s">
        <v>995</v>
      </c>
      <c r="B251" s="648" t="s">
        <v>996</v>
      </c>
      <c r="C251" s="652">
        <v>3.2836195162155293E-4</v>
      </c>
      <c r="D251" s="650">
        <v>1.8717024235641183E-4</v>
      </c>
      <c r="E251" s="650">
        <v>1.7384480478227794E-4</v>
      </c>
      <c r="F251" s="650">
        <v>3.0740913913807495E-4</v>
      </c>
      <c r="G251" s="650">
        <v>3.9525085459634235E-4</v>
      </c>
      <c r="H251" s="650">
        <v>2.9900553879952244E-4</v>
      </c>
      <c r="I251" s="650">
        <v>3.3098159515624985E-4</v>
      </c>
      <c r="J251" s="650">
        <v>2.2140094122029649E-4</v>
      </c>
      <c r="K251" s="650">
        <v>4.1552476613870924E-4</v>
      </c>
      <c r="L251" s="650">
        <v>4.0228971754882153E-4</v>
      </c>
    </row>
    <row r="252" spans="1:12" ht="12.75" customHeight="1">
      <c r="A252" s="653" t="s">
        <v>997</v>
      </c>
      <c r="B252" s="648" t="s">
        <v>998</v>
      </c>
      <c r="C252" s="652">
        <v>3.5540197578226942E-4</v>
      </c>
      <c r="D252" s="650">
        <v>2.4469703537826357E-4</v>
      </c>
      <c r="E252" s="650">
        <v>2.0485753538331019E-4</v>
      </c>
      <c r="F252" s="650">
        <v>3.2114178340888192E-4</v>
      </c>
      <c r="G252" s="650">
        <v>4.4394274820026456E-4</v>
      </c>
      <c r="H252" s="650">
        <v>4.2037282049952284E-4</v>
      </c>
      <c r="I252" s="650">
        <v>3.3680940653914033E-4</v>
      </c>
      <c r="J252" s="650">
        <v>1.7389702492159702E-4</v>
      </c>
      <c r="K252" s="650">
        <v>5.136315002537982E-4</v>
      </c>
      <c r="L252" s="650">
        <v>3.4527433635011016E-4</v>
      </c>
    </row>
    <row r="253" spans="1:12" ht="12.75" customHeight="1">
      <c r="A253" s="653" t="s">
        <v>999</v>
      </c>
      <c r="B253" s="648" t="s">
        <v>1000</v>
      </c>
      <c r="C253" s="652">
        <v>6.3215611423514623E-4</v>
      </c>
      <c r="D253" s="650">
        <v>5.7720887642816036E-4</v>
      </c>
      <c r="E253" s="650">
        <v>5.98121411891555E-4</v>
      </c>
      <c r="F253" s="650">
        <v>6.460554529036075E-4</v>
      </c>
      <c r="G253" s="650">
        <v>8.6754560637592013E-4</v>
      </c>
      <c r="H253" s="650">
        <v>5.5986409769244602E-4</v>
      </c>
      <c r="I253" s="650">
        <v>6.4532051211189695E-4</v>
      </c>
      <c r="J253" s="650">
        <v>3.5419444876847323E-4</v>
      </c>
      <c r="K253" s="650">
        <v>6.9373371589702382E-4</v>
      </c>
      <c r="L253" s="650">
        <v>6.0825544908167954E-4</v>
      </c>
    </row>
    <row r="254" spans="1:12" ht="12.75" customHeight="1">
      <c r="A254" s="653" t="s">
        <v>1001</v>
      </c>
      <c r="B254" s="648" t="s">
        <v>1002</v>
      </c>
      <c r="C254" s="652">
        <v>2.9585102639546602E-4</v>
      </c>
      <c r="D254" s="650">
        <v>4.0464777190291941E-4</v>
      </c>
      <c r="E254" s="650">
        <v>2.4657057029034749E-4</v>
      </c>
      <c r="F254" s="650">
        <v>3.2336327790637805E-4</v>
      </c>
      <c r="G254" s="650">
        <v>2.9798000547651794E-4</v>
      </c>
      <c r="H254" s="650">
        <v>2.7939611556297348E-4</v>
      </c>
      <c r="I254" s="650">
        <v>3.8392691411454614E-4</v>
      </c>
      <c r="J254" s="650">
        <v>2.6115700618839494E-4</v>
      </c>
      <c r="K254" s="650">
        <v>3.3407417395456648E-4</v>
      </c>
      <c r="L254" s="650">
        <v>2.1115331636242806E-4</v>
      </c>
    </row>
    <row r="255" spans="1:12" ht="12.75" customHeight="1">
      <c r="A255" s="653" t="s">
        <v>1003</v>
      </c>
      <c r="B255" s="648" t="s">
        <v>1004</v>
      </c>
      <c r="C255" s="652">
        <v>7.5879790938611813E-4</v>
      </c>
      <c r="D255" s="650">
        <v>6.1074079421282682E-4</v>
      </c>
      <c r="E255" s="650">
        <v>3.1499201156083822E-4</v>
      </c>
      <c r="F255" s="650">
        <v>6.0783897727773094E-4</v>
      </c>
      <c r="G255" s="650">
        <v>6.2452620745790429E-4</v>
      </c>
      <c r="H255" s="650">
        <v>7.9138969926629069E-4</v>
      </c>
      <c r="I255" s="650">
        <v>7.1405145295230527E-4</v>
      </c>
      <c r="J255" s="650">
        <v>1.0861855299374086E-3</v>
      </c>
      <c r="K255" s="650">
        <v>8.2290284431368258E-4</v>
      </c>
      <c r="L255" s="650">
        <v>1.0045518268639662E-3</v>
      </c>
    </row>
    <row r="256" spans="1:12" ht="12.75" customHeight="1">
      <c r="A256" s="653" t="s">
        <v>1005</v>
      </c>
      <c r="B256" s="648" t="s">
        <v>1006</v>
      </c>
      <c r="C256" s="652">
        <v>1.4972364151991769E-4</v>
      </c>
      <c r="D256" s="650">
        <v>1.8671729065902743E-4</v>
      </c>
      <c r="E256" s="650">
        <v>7.7951647054299409E-5</v>
      </c>
      <c r="F256" s="650">
        <v>1.1110180595058102E-4</v>
      </c>
      <c r="G256" s="650">
        <v>1.2798481650548647E-4</v>
      </c>
      <c r="H256" s="650">
        <v>1.5321795423217492E-4</v>
      </c>
      <c r="I256" s="650">
        <v>2.0393993974609272E-4</v>
      </c>
      <c r="J256" s="650">
        <v>8.7257908263097417E-5</v>
      </c>
      <c r="K256" s="650">
        <v>2.0929747553507678E-4</v>
      </c>
      <c r="L256" s="650">
        <v>1.5915910858446005E-4</v>
      </c>
    </row>
    <row r="257" spans="1:12" s="651" customFormat="1" ht="12.75" customHeight="1">
      <c r="A257" s="642" t="s">
        <v>1007</v>
      </c>
      <c r="B257" s="646" t="s">
        <v>1008</v>
      </c>
      <c r="C257" s="654">
        <v>7.5830285022677611E-4</v>
      </c>
      <c r="D257" s="645">
        <v>6.8485043799402666E-4</v>
      </c>
      <c r="E257" s="645">
        <v>6.2466412411264489E-4</v>
      </c>
      <c r="F257" s="645">
        <v>6.2383289137608443E-4</v>
      </c>
      <c r="G257" s="645">
        <v>7.1926763284776421E-4</v>
      </c>
      <c r="H257" s="645">
        <v>6.3966121146111243E-4</v>
      </c>
      <c r="I257" s="645">
        <v>7.4482226273739783E-4</v>
      </c>
      <c r="J257" s="645">
        <v>6.9965533294675977E-4</v>
      </c>
      <c r="K257" s="645">
        <v>8.2271479826290185E-4</v>
      </c>
      <c r="L257" s="645">
        <v>1.0206775476080704E-3</v>
      </c>
    </row>
    <row r="258" spans="1:12" ht="12.75" customHeight="1">
      <c r="A258" s="653" t="s">
        <v>1009</v>
      </c>
      <c r="B258" s="648" t="s">
        <v>1010</v>
      </c>
      <c r="C258" s="652">
        <v>7.5830285022677611E-4</v>
      </c>
      <c r="D258" s="650">
        <v>6.8485043799402666E-4</v>
      </c>
      <c r="E258" s="650">
        <v>6.2466412411264489E-4</v>
      </c>
      <c r="F258" s="650">
        <v>6.2383289137608443E-4</v>
      </c>
      <c r="G258" s="650">
        <v>7.1926763284776421E-4</v>
      </c>
      <c r="H258" s="650">
        <v>6.3966121146111243E-4</v>
      </c>
      <c r="I258" s="650">
        <v>7.4482226273739783E-4</v>
      </c>
      <c r="J258" s="650">
        <v>6.9965533294675977E-4</v>
      </c>
      <c r="K258" s="650">
        <v>8.2271479826290185E-4</v>
      </c>
      <c r="L258" s="650">
        <v>1.0206775476080704E-3</v>
      </c>
    </row>
    <row r="259" spans="1:12" s="651" customFormat="1" ht="12.75" customHeight="1">
      <c r="A259" s="642" t="s">
        <v>1011</v>
      </c>
      <c r="B259" s="646" t="s">
        <v>1012</v>
      </c>
      <c r="C259" s="654">
        <v>2.194374591515112E-4</v>
      </c>
      <c r="D259" s="645">
        <v>5.0900109689117794E-4</v>
      </c>
      <c r="E259" s="645">
        <v>1.3203216721662892E-4</v>
      </c>
      <c r="F259" s="645">
        <v>1.8294536114141203E-4</v>
      </c>
      <c r="G259" s="645">
        <v>2.2307803754883376E-4</v>
      </c>
      <c r="H259" s="645">
        <v>8.8167688922118528E-5</v>
      </c>
      <c r="I259" s="645">
        <v>2.3626185846394956E-4</v>
      </c>
      <c r="J259" s="645">
        <v>2.0498378841422418E-4</v>
      </c>
      <c r="K259" s="645">
        <v>1.5888262545632993E-4</v>
      </c>
      <c r="L259" s="645">
        <v>3.0725362881606823E-4</v>
      </c>
    </row>
    <row r="260" spans="1:12" ht="12.75" customHeight="1">
      <c r="A260" s="653" t="s">
        <v>1013</v>
      </c>
      <c r="B260" s="648" t="s">
        <v>1014</v>
      </c>
      <c r="C260" s="652">
        <v>2.194374591515112E-4</v>
      </c>
      <c r="D260" s="650">
        <v>5.0900109689117794E-4</v>
      </c>
      <c r="E260" s="650">
        <v>1.3203216721662892E-4</v>
      </c>
      <c r="F260" s="650">
        <v>1.8294536114141203E-4</v>
      </c>
      <c r="G260" s="650">
        <v>2.2307803754883376E-4</v>
      </c>
      <c r="H260" s="650">
        <v>8.8167688922118528E-5</v>
      </c>
      <c r="I260" s="650">
        <v>2.3626185846394956E-4</v>
      </c>
      <c r="J260" s="650">
        <v>2.0498378841422418E-4</v>
      </c>
      <c r="K260" s="650">
        <v>1.5888262545632993E-4</v>
      </c>
      <c r="L260" s="650">
        <v>3.0725362881606823E-4</v>
      </c>
    </row>
    <row r="261" spans="1:12" s="651" customFormat="1" ht="12.75" customHeight="1">
      <c r="A261" s="642" t="s">
        <v>1015</v>
      </c>
      <c r="B261" s="646" t="s">
        <v>1016</v>
      </c>
      <c r="C261" s="654">
        <v>2.3620691149608391E-2</v>
      </c>
      <c r="D261" s="645">
        <v>2.3620691149608387E-2</v>
      </c>
      <c r="E261" s="645">
        <v>2.3620691149608384E-2</v>
      </c>
      <c r="F261" s="645">
        <v>2.3620691149608387E-2</v>
      </c>
      <c r="G261" s="645">
        <v>2.3620691149608387E-2</v>
      </c>
      <c r="H261" s="645">
        <v>2.3620691149608391E-2</v>
      </c>
      <c r="I261" s="645">
        <v>2.3620691149608394E-2</v>
      </c>
      <c r="J261" s="645">
        <v>2.3620691149608387E-2</v>
      </c>
      <c r="K261" s="645">
        <v>2.3620691149608391E-2</v>
      </c>
      <c r="L261" s="645">
        <v>2.3620691149608387E-2</v>
      </c>
    </row>
    <row r="262" spans="1:12" s="651" customFormat="1" ht="12.75" customHeight="1">
      <c r="A262" s="642" t="s">
        <v>1017</v>
      </c>
      <c r="B262" s="646" t="s">
        <v>1018</v>
      </c>
      <c r="C262" s="654">
        <v>2.3278404897446994E-2</v>
      </c>
      <c r="D262" s="645">
        <v>2.310040576233514E-2</v>
      </c>
      <c r="E262" s="645">
        <v>2.3238901190155585E-2</v>
      </c>
      <c r="F262" s="645">
        <v>2.3396001780474029E-2</v>
      </c>
      <c r="G262" s="645">
        <v>2.3202615318437831E-2</v>
      </c>
      <c r="H262" s="645">
        <v>2.3288052425320203E-2</v>
      </c>
      <c r="I262" s="645">
        <v>2.337202464530885E-2</v>
      </c>
      <c r="J262" s="645">
        <v>2.3288667731693146E-2</v>
      </c>
      <c r="K262" s="645">
        <v>2.3274283428728421E-2</v>
      </c>
      <c r="L262" s="645">
        <v>2.3254815232412959E-2</v>
      </c>
    </row>
    <row r="263" spans="1:12" s="651" customFormat="1" ht="12.75" customHeight="1">
      <c r="A263" s="642" t="s">
        <v>1019</v>
      </c>
      <c r="B263" s="646" t="s">
        <v>1020</v>
      </c>
      <c r="C263" s="654">
        <v>8.7277344036240101E-3</v>
      </c>
      <c r="D263" s="645">
        <v>8.8270428289585461E-3</v>
      </c>
      <c r="E263" s="645">
        <v>7.6723511724712543E-3</v>
      </c>
      <c r="F263" s="645">
        <v>9.2450889918611907E-3</v>
      </c>
      <c r="G263" s="645">
        <v>8.2310439040233236E-3</v>
      </c>
      <c r="H263" s="645">
        <v>9.089133175780157E-3</v>
      </c>
      <c r="I263" s="645">
        <v>9.3076698112099995E-3</v>
      </c>
      <c r="J263" s="645">
        <v>9.199346418759179E-3</v>
      </c>
      <c r="K263" s="645">
        <v>8.3345551697345307E-3</v>
      </c>
      <c r="L263" s="645">
        <v>8.3951305762549888E-3</v>
      </c>
    </row>
    <row r="264" spans="1:12" ht="12.75" customHeight="1">
      <c r="A264" s="653" t="s">
        <v>1021</v>
      </c>
      <c r="B264" s="648" t="s">
        <v>1022</v>
      </c>
      <c r="C264" s="652">
        <v>2.3748345666873942E-3</v>
      </c>
      <c r="D264" s="650">
        <v>2.0147243137872872E-3</v>
      </c>
      <c r="E264" s="650">
        <v>2.0949712272003971E-3</v>
      </c>
      <c r="F264" s="650">
        <v>2.7037634817874199E-3</v>
      </c>
      <c r="G264" s="650">
        <v>2.2799907702942789E-3</v>
      </c>
      <c r="H264" s="650">
        <v>2.520633264184587E-3</v>
      </c>
      <c r="I264" s="650">
        <v>2.1089379363829143E-3</v>
      </c>
      <c r="J264" s="650">
        <v>1.3546723158443152E-3</v>
      </c>
      <c r="K264" s="650">
        <v>2.5916590077200595E-3</v>
      </c>
      <c r="L264" s="650">
        <v>2.6577312298320093E-3</v>
      </c>
    </row>
    <row r="265" spans="1:12" ht="12.75" customHeight="1">
      <c r="A265" s="653" t="s">
        <v>1023</v>
      </c>
      <c r="B265" s="648" t="s">
        <v>1024</v>
      </c>
      <c r="C265" s="652">
        <v>1.72781990891275E-3</v>
      </c>
      <c r="D265" s="650">
        <v>1.5936875379390109E-3</v>
      </c>
      <c r="E265" s="650">
        <v>1.322983372935444E-3</v>
      </c>
      <c r="F265" s="650">
        <v>1.8471090445211253E-3</v>
      </c>
      <c r="G265" s="650">
        <v>1.7911093067596953E-3</v>
      </c>
      <c r="H265" s="650">
        <v>1.9439410734170778E-3</v>
      </c>
      <c r="I265" s="650">
        <v>2.4496987146700455E-3</v>
      </c>
      <c r="J265" s="650">
        <v>1.734107542817442E-3</v>
      </c>
      <c r="K265" s="650">
        <v>1.5470590706455802E-3</v>
      </c>
      <c r="L265" s="650">
        <v>1.3558090512704899E-3</v>
      </c>
    </row>
    <row r="266" spans="1:12" ht="12.75" customHeight="1">
      <c r="A266" s="653" t="s">
        <v>1025</v>
      </c>
      <c r="B266" s="648" t="s">
        <v>1026</v>
      </c>
      <c r="C266" s="652">
        <v>4.4977122437785087E-3</v>
      </c>
      <c r="D266" s="650">
        <v>5.1128601778469883E-3</v>
      </c>
      <c r="E266" s="650">
        <v>4.1462828208855109E-3</v>
      </c>
      <c r="F266" s="650">
        <v>4.5749317604812899E-3</v>
      </c>
      <c r="G266" s="650">
        <v>4.0605641460356463E-3</v>
      </c>
      <c r="H266" s="650">
        <v>4.5085319668317263E-3</v>
      </c>
      <c r="I266" s="650">
        <v>4.5503688867899609E-3</v>
      </c>
      <c r="J266" s="650">
        <v>5.9989976474519348E-3</v>
      </c>
      <c r="K266" s="650">
        <v>4.1334375185793316E-3</v>
      </c>
      <c r="L266" s="650">
        <v>4.206568584271324E-3</v>
      </c>
    </row>
    <row r="267" spans="1:12" ht="12.75" customHeight="1">
      <c r="A267" s="653" t="s">
        <v>1027</v>
      </c>
      <c r="B267" s="648" t="s">
        <v>1028</v>
      </c>
      <c r="C267" s="652">
        <v>1.273676842453574E-4</v>
      </c>
      <c r="D267" s="650">
        <v>1.057707993852608E-4</v>
      </c>
      <c r="E267" s="650">
        <v>1.0811375144990172E-4</v>
      </c>
      <c r="F267" s="650">
        <v>1.1928470507135718E-4</v>
      </c>
      <c r="G267" s="650">
        <v>9.9379680933703031E-5</v>
      </c>
      <c r="H267" s="650">
        <v>1.1602687134676647E-4</v>
      </c>
      <c r="I267" s="650">
        <v>1.9866427336707741E-4</v>
      </c>
      <c r="J267" s="650">
        <v>1.1156891264548531E-4</v>
      </c>
      <c r="K267" s="650">
        <v>6.2399572789559337E-5</v>
      </c>
      <c r="L267" s="650">
        <v>1.7502171088116511E-4</v>
      </c>
    </row>
    <row r="268" spans="1:12" s="651" customFormat="1" ht="12.75" customHeight="1">
      <c r="A268" s="642" t="s">
        <v>1029</v>
      </c>
      <c r="B268" s="646" t="s">
        <v>1030</v>
      </c>
      <c r="C268" s="654">
        <v>1.0966458062679332E-2</v>
      </c>
      <c r="D268" s="645">
        <v>1.0681322455192424E-2</v>
      </c>
      <c r="E268" s="645">
        <v>1.1959643665903521E-2</v>
      </c>
      <c r="F268" s="645">
        <v>1.0987123494896948E-2</v>
      </c>
      <c r="G268" s="645">
        <v>1.1440204973789137E-2</v>
      </c>
      <c r="H268" s="645">
        <v>1.0216265872073915E-2</v>
      </c>
      <c r="I268" s="645">
        <v>9.7380694149961523E-3</v>
      </c>
      <c r="J268" s="645">
        <v>1.1662665643391062E-2</v>
      </c>
      <c r="K268" s="645">
        <v>1.0763162836717339E-2</v>
      </c>
      <c r="L268" s="645">
        <v>1.1503293958050694E-2</v>
      </c>
    </row>
    <row r="269" spans="1:12" ht="12.75" customHeight="1">
      <c r="A269" s="653" t="s">
        <v>1031</v>
      </c>
      <c r="B269" s="648" t="s">
        <v>1032</v>
      </c>
      <c r="C269" s="652">
        <v>4.1231912590702835E-3</v>
      </c>
      <c r="D269" s="650">
        <v>3.5720694022974035E-3</v>
      </c>
      <c r="E269" s="650">
        <v>3.7487497620520209E-3</v>
      </c>
      <c r="F269" s="650">
        <v>3.9436157679437183E-3</v>
      </c>
      <c r="G269" s="650">
        <v>5.0030570801481346E-3</v>
      </c>
      <c r="H269" s="650">
        <v>3.4444406554687158E-3</v>
      </c>
      <c r="I269" s="650">
        <v>2.8911043292618186E-3</v>
      </c>
      <c r="J269" s="650">
        <v>4.1289631748098205E-3</v>
      </c>
      <c r="K269" s="650">
        <v>4.2726263770072733E-3</v>
      </c>
      <c r="L269" s="650">
        <v>5.1408048908001902E-3</v>
      </c>
    </row>
    <row r="270" spans="1:12" ht="12.75" customHeight="1">
      <c r="A270" s="653" t="s">
        <v>1033</v>
      </c>
      <c r="B270" s="648" t="s">
        <v>1034</v>
      </c>
      <c r="C270" s="652">
        <v>1.1297304400288231E-3</v>
      </c>
      <c r="D270" s="650">
        <v>1.2916818286356751E-3</v>
      </c>
      <c r="E270" s="650">
        <v>1.2989230557716289E-3</v>
      </c>
      <c r="F270" s="650">
        <v>8.3959231246453646E-4</v>
      </c>
      <c r="G270" s="650">
        <v>1.0756179834318879E-3</v>
      </c>
      <c r="H270" s="650">
        <v>1.272506011778388E-3</v>
      </c>
      <c r="I270" s="650">
        <v>8.9509934847461397E-4</v>
      </c>
      <c r="J270" s="650">
        <v>1.1842156094073553E-3</v>
      </c>
      <c r="K270" s="650">
        <v>1.2357696963804234E-3</v>
      </c>
      <c r="L270" s="650">
        <v>1.2133311887825929E-3</v>
      </c>
    </row>
    <row r="271" spans="1:12" ht="12.75" customHeight="1">
      <c r="A271" s="653" t="s">
        <v>1035</v>
      </c>
      <c r="B271" s="648" t="s">
        <v>1036</v>
      </c>
      <c r="C271" s="652">
        <v>1.2769575671183122E-3</v>
      </c>
      <c r="D271" s="650">
        <v>1.3260517139009713E-3</v>
      </c>
      <c r="E271" s="650">
        <v>2.3639099617776571E-3</v>
      </c>
      <c r="F271" s="650">
        <v>1.494473596370728E-3</v>
      </c>
      <c r="G271" s="650">
        <v>1.0113036339870292E-3</v>
      </c>
      <c r="H271" s="650">
        <v>1.4000020430527615E-3</v>
      </c>
      <c r="I271" s="650">
        <v>1.1893983099290739E-3</v>
      </c>
      <c r="J271" s="650">
        <v>1.2115085078597471E-3</v>
      </c>
      <c r="K271" s="650">
        <v>1.0744677128842598E-3</v>
      </c>
      <c r="L271" s="650">
        <v>9.619917642173702E-4</v>
      </c>
    </row>
    <row r="272" spans="1:12" ht="12.75" customHeight="1">
      <c r="A272" s="653" t="s">
        <v>1037</v>
      </c>
      <c r="B272" s="648" t="s">
        <v>1038</v>
      </c>
      <c r="C272" s="652">
        <v>6.176586228883418E-4</v>
      </c>
      <c r="D272" s="650">
        <v>5.1699929536015634E-4</v>
      </c>
      <c r="E272" s="650">
        <v>6.1754478062769208E-4</v>
      </c>
      <c r="F272" s="650">
        <v>6.0854622211730216E-4</v>
      </c>
      <c r="G272" s="650">
        <v>5.972662490529709E-4</v>
      </c>
      <c r="H272" s="650">
        <v>4.9797022143130963E-4</v>
      </c>
      <c r="I272" s="650">
        <v>7.5054059703584758E-4</v>
      </c>
      <c r="J272" s="650">
        <v>6.2511623469679357E-4</v>
      </c>
      <c r="K272" s="650">
        <v>6.266085178892449E-4</v>
      </c>
      <c r="L272" s="650">
        <v>6.8725198976170483E-4</v>
      </c>
    </row>
    <row r="273" spans="1:12" ht="12.75" customHeight="1">
      <c r="A273" s="653" t="s">
        <v>1039</v>
      </c>
      <c r="B273" s="648" t="s">
        <v>1040</v>
      </c>
      <c r="C273" s="652">
        <v>1.6668707719705801E-3</v>
      </c>
      <c r="D273" s="650">
        <v>1.1409283851786559E-3</v>
      </c>
      <c r="E273" s="650">
        <v>1.348875321162301E-3</v>
      </c>
      <c r="F273" s="650">
        <v>2.110093873722975E-3</v>
      </c>
      <c r="G273" s="650">
        <v>1.6522423662594071E-3</v>
      </c>
      <c r="H273" s="650">
        <v>1.7313704863887395E-3</v>
      </c>
      <c r="I273" s="650">
        <v>1.6690251692111013E-3</v>
      </c>
      <c r="J273" s="650">
        <v>2.2093411877577968E-3</v>
      </c>
      <c r="K273" s="650">
        <v>1.5745427224439377E-3</v>
      </c>
      <c r="L273" s="650">
        <v>1.4538469912333553E-3</v>
      </c>
    </row>
    <row r="274" spans="1:12" ht="12.75" customHeight="1">
      <c r="A274" s="653" t="s">
        <v>1041</v>
      </c>
      <c r="B274" s="648" t="s">
        <v>1042</v>
      </c>
      <c r="C274" s="652">
        <v>1.8266920573323947E-3</v>
      </c>
      <c r="D274" s="650">
        <v>2.6409032175711829E-3</v>
      </c>
      <c r="E274" s="650">
        <v>2.228765252532607E-3</v>
      </c>
      <c r="F274" s="650">
        <v>1.6969144412600243E-3</v>
      </c>
      <c r="G274" s="650">
        <v>1.7770724242688772E-3</v>
      </c>
      <c r="H274" s="650">
        <v>1.67497592039399E-3</v>
      </c>
      <c r="I274" s="650">
        <v>1.9844972753568432E-3</v>
      </c>
      <c r="J274" s="650">
        <v>1.9229881161857802E-3</v>
      </c>
      <c r="K274" s="650">
        <v>1.5773604371429736E-3</v>
      </c>
      <c r="L274" s="650">
        <v>1.6331769477542317E-3</v>
      </c>
    </row>
    <row r="275" spans="1:12" ht="12.75" customHeight="1">
      <c r="A275" s="653" t="s">
        <v>1043</v>
      </c>
      <c r="B275" s="648" t="s">
        <v>1044</v>
      </c>
      <c r="C275" s="652">
        <v>3.25357344270598E-4</v>
      </c>
      <c r="D275" s="650">
        <v>1.926886122483781E-4</v>
      </c>
      <c r="E275" s="650">
        <v>3.5287553197961493E-4</v>
      </c>
      <c r="F275" s="650">
        <v>2.9388728101766216E-4</v>
      </c>
      <c r="G275" s="650">
        <v>3.2364523664083096E-4</v>
      </c>
      <c r="H275" s="650">
        <v>1.9500053356001062E-4</v>
      </c>
      <c r="I275" s="650">
        <v>3.5840438572685214E-4</v>
      </c>
      <c r="J275" s="650">
        <v>3.8053281267376861E-4</v>
      </c>
      <c r="K275" s="650">
        <v>4.0178737296922632E-4</v>
      </c>
      <c r="L275" s="650">
        <v>4.1289018550124919E-4</v>
      </c>
    </row>
    <row r="276" spans="1:12" s="651" customFormat="1" ht="12.75" customHeight="1">
      <c r="A276" s="642" t="s">
        <v>1045</v>
      </c>
      <c r="B276" s="646" t="s">
        <v>1046</v>
      </c>
      <c r="C276" s="654">
        <v>3.5842124311436514E-3</v>
      </c>
      <c r="D276" s="645">
        <v>3.5920404781841671E-3</v>
      </c>
      <c r="E276" s="645">
        <v>3.6069063517808119E-3</v>
      </c>
      <c r="F276" s="645">
        <v>3.1637892937158916E-3</v>
      </c>
      <c r="G276" s="645">
        <v>3.5313664406253723E-3</v>
      </c>
      <c r="H276" s="645">
        <v>3.982653377466127E-3</v>
      </c>
      <c r="I276" s="645">
        <v>4.3262854191026996E-3</v>
      </c>
      <c r="J276" s="645">
        <v>2.4266556695429048E-3</v>
      </c>
      <c r="K276" s="645">
        <v>4.1765654222765481E-3</v>
      </c>
      <c r="L276" s="645">
        <v>3.3563906981072793E-3</v>
      </c>
    </row>
    <row r="277" spans="1:12" ht="12.75" customHeight="1">
      <c r="A277" s="653" t="s">
        <v>1047</v>
      </c>
      <c r="B277" s="648" t="s">
        <v>1048</v>
      </c>
      <c r="C277" s="652">
        <v>1.2987614844126119E-3</v>
      </c>
      <c r="D277" s="650">
        <v>1.1149771219687214E-3</v>
      </c>
      <c r="E277" s="650">
        <v>1.5963355895946411E-3</v>
      </c>
      <c r="F277" s="650">
        <v>1.0719737858701566E-3</v>
      </c>
      <c r="G277" s="650">
        <v>1.2913890545801392E-3</v>
      </c>
      <c r="H277" s="650">
        <v>1.4331026105256772E-3</v>
      </c>
      <c r="I277" s="650">
        <v>1.2556355964551057E-3</v>
      </c>
      <c r="J277" s="650">
        <v>9.0282638039690562E-4</v>
      </c>
      <c r="K277" s="650">
        <v>1.4347478366860472E-3</v>
      </c>
      <c r="L277" s="650">
        <v>1.444143451526652E-3</v>
      </c>
    </row>
    <row r="278" spans="1:12" ht="12.75" customHeight="1">
      <c r="A278" s="653" t="s">
        <v>1049</v>
      </c>
      <c r="B278" s="648" t="s">
        <v>1050</v>
      </c>
      <c r="C278" s="652">
        <v>4.5515216575914481E-4</v>
      </c>
      <c r="D278" s="650">
        <v>4.7356425059186691E-4</v>
      </c>
      <c r="E278" s="650">
        <v>5.5631617651478375E-4</v>
      </c>
      <c r="F278" s="650">
        <v>4.3247050519487797E-4</v>
      </c>
      <c r="G278" s="650">
        <v>3.5229267391866727E-4</v>
      </c>
      <c r="H278" s="650">
        <v>8.4572942484928155E-4</v>
      </c>
      <c r="I278" s="650">
        <v>7.0673137156596359E-4</v>
      </c>
      <c r="J278" s="650">
        <v>1.5242066310239828E-4</v>
      </c>
      <c r="K278" s="650">
        <v>3.8486109212082693E-4</v>
      </c>
      <c r="L278" s="650">
        <v>2.2095814954495503E-4</v>
      </c>
    </row>
    <row r="279" spans="1:12" ht="12.75" customHeight="1">
      <c r="A279" s="653" t="s">
        <v>1051</v>
      </c>
      <c r="B279" s="648" t="s">
        <v>1052</v>
      </c>
      <c r="C279" s="652">
        <v>4.2389197431707957E-4</v>
      </c>
      <c r="D279" s="650">
        <v>4.4318494444094906E-4</v>
      </c>
      <c r="E279" s="650">
        <v>2.5208830478188216E-4</v>
      </c>
      <c r="F279" s="650">
        <v>5.2863297814654045E-4</v>
      </c>
      <c r="G279" s="650">
        <v>4.0836268059866863E-4</v>
      </c>
      <c r="H279" s="650">
        <v>4.1646072394043869E-4</v>
      </c>
      <c r="I279" s="650">
        <v>5.4017283497021754E-4</v>
      </c>
      <c r="J279" s="650">
        <v>4.1314143996283082E-4</v>
      </c>
      <c r="K279" s="650">
        <v>4.7339731163310666E-4</v>
      </c>
      <c r="L279" s="650">
        <v>3.23098448943637E-4</v>
      </c>
    </row>
    <row r="280" spans="1:12" ht="12.75" customHeight="1">
      <c r="A280" s="653" t="s">
        <v>1053</v>
      </c>
      <c r="B280" s="648" t="s">
        <v>1054</v>
      </c>
      <c r="C280" s="652">
        <v>1.3617898727662468E-3</v>
      </c>
      <c r="D280" s="650">
        <v>1.4914448559085749E-3</v>
      </c>
      <c r="E280" s="650">
        <v>1.0964774246519961E-3</v>
      </c>
      <c r="F280" s="650">
        <v>1.0948254664036729E-3</v>
      </c>
      <c r="G280" s="650">
        <v>1.4674568346124256E-3</v>
      </c>
      <c r="H280" s="650">
        <v>1.2388441573730989E-3</v>
      </c>
      <c r="I280" s="650">
        <v>1.7830050214492233E-3</v>
      </c>
      <c r="J280" s="650">
        <v>9.5158284424220791E-4</v>
      </c>
      <c r="K280" s="650">
        <v>1.8175771753254403E-3</v>
      </c>
      <c r="L280" s="650">
        <v>1.3270771705776938E-3</v>
      </c>
    </row>
    <row r="281" spans="1:12" ht="12.75" customHeight="1">
      <c r="A281" s="653" t="s">
        <v>1055</v>
      </c>
      <c r="B281" s="648" t="s">
        <v>1056</v>
      </c>
      <c r="C281" s="652">
        <v>4.461693388856796E-5</v>
      </c>
      <c r="D281" s="650">
        <v>6.8869305274054713E-5</v>
      </c>
      <c r="E281" s="650">
        <v>1.0568885623750932E-4</v>
      </c>
      <c r="F281" s="650">
        <v>3.5886558100643657E-5</v>
      </c>
      <c r="G281" s="650">
        <v>1.1865196915471187E-5</v>
      </c>
      <c r="H281" s="650">
        <v>4.8516460777630482E-5</v>
      </c>
      <c r="I281" s="650">
        <v>4.0740594662189539E-5</v>
      </c>
      <c r="J281" s="650">
        <v>6.684341838562407E-6</v>
      </c>
      <c r="K281" s="650">
        <v>6.5982006511127405E-5</v>
      </c>
      <c r="L281" s="650">
        <v>4.1113477514341393E-5</v>
      </c>
    </row>
    <row r="282" spans="1:12" s="651" customFormat="1" ht="12.75" customHeight="1">
      <c r="A282" s="642" t="s">
        <v>1057</v>
      </c>
      <c r="B282" s="646" t="s">
        <v>1058</v>
      </c>
      <c r="C282" s="654">
        <v>3.4228625216139612E-4</v>
      </c>
      <c r="D282" s="645">
        <v>5.2028538727324927E-4</v>
      </c>
      <c r="E282" s="645">
        <v>3.8178995945279759E-4</v>
      </c>
      <c r="F282" s="645">
        <v>2.2468936913435918E-4</v>
      </c>
      <c r="G282" s="645">
        <v>4.1807583117055487E-4</v>
      </c>
      <c r="H282" s="645">
        <v>3.3263872428819074E-4</v>
      </c>
      <c r="I282" s="645">
        <v>2.4866650429954346E-4</v>
      </c>
      <c r="J282" s="645">
        <v>3.3202341791524085E-4</v>
      </c>
      <c r="K282" s="645">
        <v>3.4640772087997032E-4</v>
      </c>
      <c r="L282" s="645">
        <v>3.6587591719542745E-4</v>
      </c>
    </row>
    <row r="283" spans="1:12" ht="12.75" customHeight="1">
      <c r="A283" s="653" t="s">
        <v>1059</v>
      </c>
      <c r="B283" s="648" t="s">
        <v>1060</v>
      </c>
      <c r="C283" s="652">
        <v>3.4228625216139612E-4</v>
      </c>
      <c r="D283" s="650">
        <v>5.2028538727324927E-4</v>
      </c>
      <c r="E283" s="650">
        <v>3.8178995945279759E-4</v>
      </c>
      <c r="F283" s="650">
        <v>2.2468936913435918E-4</v>
      </c>
      <c r="G283" s="650">
        <v>4.1807583117055487E-4</v>
      </c>
      <c r="H283" s="650">
        <v>3.3263872428819074E-4</v>
      </c>
      <c r="I283" s="650">
        <v>2.4866650429954346E-4</v>
      </c>
      <c r="J283" s="650">
        <v>3.3202341791524085E-4</v>
      </c>
      <c r="K283" s="650">
        <v>3.4640772087997032E-4</v>
      </c>
      <c r="L283" s="650">
        <v>3.6587591719542745E-4</v>
      </c>
    </row>
    <row r="284" spans="1:12" s="651" customFormat="1" ht="12.75" customHeight="1">
      <c r="A284" s="642" t="s">
        <v>1061</v>
      </c>
      <c r="B284" s="646" t="s">
        <v>1062</v>
      </c>
      <c r="C284" s="654">
        <v>8.442405392683909E-2</v>
      </c>
      <c r="D284" s="645">
        <v>8.442405392683909E-2</v>
      </c>
      <c r="E284" s="645">
        <v>8.442405392683909E-2</v>
      </c>
      <c r="F284" s="645">
        <v>8.442405392683909E-2</v>
      </c>
      <c r="G284" s="645">
        <v>8.442405392683909E-2</v>
      </c>
      <c r="H284" s="645">
        <v>8.442405392683909E-2</v>
      </c>
      <c r="I284" s="645">
        <v>8.442405392683909E-2</v>
      </c>
      <c r="J284" s="645">
        <v>8.4424053926839077E-2</v>
      </c>
      <c r="K284" s="645">
        <v>8.442405392683909E-2</v>
      </c>
      <c r="L284" s="645">
        <v>8.442405392683909E-2</v>
      </c>
    </row>
    <row r="285" spans="1:12" s="651" customFormat="1" ht="12.75" customHeight="1">
      <c r="A285" s="642" t="s">
        <v>1063</v>
      </c>
      <c r="B285" s="646" t="s">
        <v>1064</v>
      </c>
      <c r="C285" s="654">
        <v>9.8812106631151597E-3</v>
      </c>
      <c r="D285" s="645">
        <v>9.8812106631151597E-3</v>
      </c>
      <c r="E285" s="645">
        <v>9.8812106631151597E-3</v>
      </c>
      <c r="F285" s="645">
        <v>9.8812106631151597E-3</v>
      </c>
      <c r="G285" s="645">
        <v>9.8812106631151597E-3</v>
      </c>
      <c r="H285" s="645">
        <v>9.8812106631151597E-3</v>
      </c>
      <c r="I285" s="645">
        <v>9.8812106631151597E-3</v>
      </c>
      <c r="J285" s="645">
        <v>9.8812106631151597E-3</v>
      </c>
      <c r="K285" s="645">
        <v>9.8812106631151597E-3</v>
      </c>
      <c r="L285" s="645">
        <v>9.8812106631151597E-3</v>
      </c>
    </row>
    <row r="286" spans="1:12" ht="12.75" customHeight="1">
      <c r="A286" s="653" t="s">
        <v>1065</v>
      </c>
      <c r="B286" s="648" t="s">
        <v>1066</v>
      </c>
      <c r="C286" s="652">
        <v>4.9504865422206942E-3</v>
      </c>
      <c r="D286" s="650">
        <v>5.1085859128305374E-3</v>
      </c>
      <c r="E286" s="650">
        <v>5.3160913367559558E-3</v>
      </c>
      <c r="F286" s="650">
        <v>6.8081541468863437E-3</v>
      </c>
      <c r="G286" s="650">
        <v>3.9228406332567183E-3</v>
      </c>
      <c r="H286" s="650">
        <v>5.0492986488518462E-3</v>
      </c>
      <c r="I286" s="650">
        <v>5.5828840246600646E-3</v>
      </c>
      <c r="J286" s="650">
        <v>9.3575064979700556E-3</v>
      </c>
      <c r="K286" s="650">
        <v>4.575000537022319E-3</v>
      </c>
      <c r="L286" s="650">
        <v>4.0710587932034454E-3</v>
      </c>
    </row>
    <row r="287" spans="1:12" ht="12.75" customHeight="1">
      <c r="A287" s="653" t="s">
        <v>1067</v>
      </c>
      <c r="B287" s="648" t="s">
        <v>1068</v>
      </c>
      <c r="C287" s="652">
        <v>4.9307241208944638E-3</v>
      </c>
      <c r="D287" s="650">
        <v>4.7726247502846222E-3</v>
      </c>
      <c r="E287" s="650">
        <v>4.5651193263592038E-3</v>
      </c>
      <c r="F287" s="650">
        <v>3.0730565162288147E-3</v>
      </c>
      <c r="G287" s="650">
        <v>5.9583700298584405E-3</v>
      </c>
      <c r="H287" s="650">
        <v>4.8319120142633126E-3</v>
      </c>
      <c r="I287" s="650">
        <v>4.2983266384550942E-3</v>
      </c>
      <c r="J287" s="650">
        <v>5.2370416514510337E-4</v>
      </c>
      <c r="K287" s="650">
        <v>5.3062101260928406E-3</v>
      </c>
      <c r="L287" s="650">
        <v>5.8101518699117134E-3</v>
      </c>
    </row>
    <row r="288" spans="1:12" s="651" customFormat="1" ht="12.75" customHeight="1">
      <c r="A288" s="642" t="s">
        <v>1069</v>
      </c>
      <c r="B288" s="646" t="s">
        <v>1070</v>
      </c>
      <c r="C288" s="654">
        <v>4.9756531039324729E-3</v>
      </c>
      <c r="D288" s="645">
        <v>4.9756531039324746E-3</v>
      </c>
      <c r="E288" s="645">
        <v>4.9756531039324738E-3</v>
      </c>
      <c r="F288" s="645">
        <v>4.9756531039324729E-3</v>
      </c>
      <c r="G288" s="645">
        <v>4.9756531039324729E-3</v>
      </c>
      <c r="H288" s="645">
        <v>4.975653103932472E-3</v>
      </c>
      <c r="I288" s="645">
        <v>4.9756531039324729E-3</v>
      </c>
      <c r="J288" s="645">
        <v>4.975653103932472E-3</v>
      </c>
      <c r="K288" s="645">
        <v>4.975653103932472E-3</v>
      </c>
      <c r="L288" s="645">
        <v>4.975653103932472E-3</v>
      </c>
    </row>
    <row r="289" spans="1:12" s="651" customFormat="1" ht="12.75" customHeight="1">
      <c r="A289" s="653" t="s">
        <v>1071</v>
      </c>
      <c r="B289" s="648" t="s">
        <v>1072</v>
      </c>
      <c r="C289" s="652">
        <v>1.1952021188703602E-3</v>
      </c>
      <c r="D289" s="650">
        <v>8.5811616870532805E-4</v>
      </c>
      <c r="E289" s="650">
        <v>1.9710014708962898E-3</v>
      </c>
      <c r="F289" s="650">
        <v>2.8416140755305202E-4</v>
      </c>
      <c r="G289" s="650">
        <v>2.5711744107554031E-3</v>
      </c>
      <c r="H289" s="650">
        <v>1.2735564167918856E-3</v>
      </c>
      <c r="I289" s="650">
        <v>7.2703351299406647E-4</v>
      </c>
      <c r="J289" s="650">
        <v>1.1575065923672275E-3</v>
      </c>
      <c r="K289" s="650">
        <v>6.9620261343240539E-4</v>
      </c>
      <c r="L289" s="650">
        <v>1.0263308588514164E-3</v>
      </c>
    </row>
    <row r="290" spans="1:12" ht="12.75" customHeight="1">
      <c r="A290" s="653" t="s">
        <v>1073</v>
      </c>
      <c r="B290" s="648" t="s">
        <v>1074</v>
      </c>
      <c r="C290" s="652">
        <v>1.1256215756585636E-3</v>
      </c>
      <c r="D290" s="650">
        <v>1.2270475593386407E-3</v>
      </c>
      <c r="E290" s="650">
        <v>1.0368805611047382E-3</v>
      </c>
      <c r="F290" s="650">
        <v>8.9288788417587334E-4</v>
      </c>
      <c r="G290" s="650">
        <v>9.9471840960419378E-4</v>
      </c>
      <c r="H290" s="650">
        <v>1.0828200975753959E-3</v>
      </c>
      <c r="I290" s="650">
        <v>1.0727570179979878E-3</v>
      </c>
      <c r="J290" s="650">
        <v>9.0122099898424395E-4</v>
      </c>
      <c r="K290" s="650">
        <v>7.6902028383062061E-4</v>
      </c>
      <c r="L290" s="650">
        <v>1.9234869725619317E-3</v>
      </c>
    </row>
    <row r="291" spans="1:12" ht="12.75" customHeight="1">
      <c r="A291" s="653" t="s">
        <v>1075</v>
      </c>
      <c r="B291" s="648" t="s">
        <v>1076</v>
      </c>
      <c r="C291" s="652">
        <v>2.8691691567820309E-4</v>
      </c>
      <c r="D291" s="650">
        <v>2.6903912371330332E-4</v>
      </c>
      <c r="E291" s="650">
        <v>2.1657002287672734E-4</v>
      </c>
      <c r="F291" s="650">
        <v>3.3468022196387161E-4</v>
      </c>
      <c r="G291" s="650">
        <v>2.4185912198607017E-4</v>
      </c>
      <c r="H291" s="650">
        <v>5.1549201156926778E-4</v>
      </c>
      <c r="I291" s="650">
        <v>3.1325590076988898E-4</v>
      </c>
      <c r="J291" s="650">
        <v>2.8228157818482608E-4</v>
      </c>
      <c r="K291" s="650">
        <v>3.1207058695711487E-4</v>
      </c>
      <c r="L291" s="650">
        <v>1.7770756077855685E-4</v>
      </c>
    </row>
    <row r="292" spans="1:12" ht="12.75" customHeight="1">
      <c r="A292" s="653" t="s">
        <v>1077</v>
      </c>
      <c r="B292" s="648" t="s">
        <v>1078</v>
      </c>
      <c r="C292" s="652">
        <v>2.5660391342972617E-4</v>
      </c>
      <c r="D292" s="650">
        <v>1.8573202505147075E-4</v>
      </c>
      <c r="E292" s="650">
        <v>2.3507008524236721E-4</v>
      </c>
      <c r="F292" s="650">
        <v>2.3738941153981664E-4</v>
      </c>
      <c r="G292" s="650">
        <v>2.8077157416425295E-4</v>
      </c>
      <c r="H292" s="650">
        <v>2.1263873752282153E-4</v>
      </c>
      <c r="I292" s="650">
        <v>1.4340444899718882E-4</v>
      </c>
      <c r="J292" s="650">
        <v>1.2954609222935729E-4</v>
      </c>
      <c r="K292" s="650">
        <v>3.8306726938730734E-4</v>
      </c>
      <c r="L292" s="650">
        <v>4.1852959947223629E-4</v>
      </c>
    </row>
    <row r="293" spans="1:12" ht="12.75" customHeight="1">
      <c r="A293" s="653" t="s">
        <v>1079</v>
      </c>
      <c r="B293" s="648" t="s">
        <v>1080</v>
      </c>
      <c r="C293" s="652">
        <v>2.963185811586331E-4</v>
      </c>
      <c r="D293" s="650">
        <v>2.8964589961530309E-4</v>
      </c>
      <c r="E293" s="650">
        <v>2.8705113732952527E-4</v>
      </c>
      <c r="F293" s="650">
        <v>3.9259801972890907E-4</v>
      </c>
      <c r="G293" s="650">
        <v>2.3018367217814863E-4</v>
      </c>
      <c r="H293" s="650">
        <v>1.9049298083359827E-4</v>
      </c>
      <c r="I293" s="650">
        <v>2.0961893720269312E-4</v>
      </c>
      <c r="J293" s="650">
        <v>7.5584908352603326E-4</v>
      </c>
      <c r="K293" s="650">
        <v>3.6088301710840036E-4</v>
      </c>
      <c r="L293" s="650">
        <v>2.4124162761895789E-4</v>
      </c>
    </row>
    <row r="294" spans="1:12" ht="12.75" customHeight="1">
      <c r="A294" s="653" t="s">
        <v>1081</v>
      </c>
      <c r="B294" s="648" t="s">
        <v>1082</v>
      </c>
      <c r="C294" s="652">
        <v>1.157033256742081E-3</v>
      </c>
      <c r="D294" s="650">
        <v>1.676038730770021E-3</v>
      </c>
      <c r="E294" s="650">
        <v>1.0592279176403871E-3</v>
      </c>
      <c r="F294" s="650">
        <v>1.2322821598985494E-3</v>
      </c>
      <c r="G294" s="650">
        <v>4.9285746128493871E-4</v>
      </c>
      <c r="H294" s="650">
        <v>1.2905571645395368E-3</v>
      </c>
      <c r="I294" s="650">
        <v>1.4278063609548426E-3</v>
      </c>
      <c r="J294" s="650">
        <v>1.4026625555967178E-3</v>
      </c>
      <c r="K294" s="650">
        <v>1.1165179957680013E-3</v>
      </c>
      <c r="L294" s="650">
        <v>8.7113739666942085E-4</v>
      </c>
    </row>
    <row r="295" spans="1:12" ht="12.75" customHeight="1">
      <c r="A295" s="653" t="s">
        <v>1083</v>
      </c>
      <c r="B295" s="648" t="s">
        <v>1084</v>
      </c>
      <c r="C295" s="652">
        <v>6.5795674239490598E-4</v>
      </c>
      <c r="D295" s="650">
        <v>4.7003359673840654E-4</v>
      </c>
      <c r="E295" s="650">
        <v>1.6985190884243883E-4</v>
      </c>
      <c r="F295" s="650">
        <v>1.6016539990724012E-3</v>
      </c>
      <c r="G295" s="650">
        <v>1.6408845395946554E-4</v>
      </c>
      <c r="H295" s="650">
        <v>4.100956950999667E-4</v>
      </c>
      <c r="I295" s="650">
        <v>1.0817769250158057E-3</v>
      </c>
      <c r="J295" s="650">
        <v>3.4658620304406715E-4</v>
      </c>
      <c r="K295" s="650">
        <v>1.3378913374486228E-3</v>
      </c>
      <c r="L295" s="650">
        <v>3.1721908797995268E-4</v>
      </c>
    </row>
    <row r="296" spans="1:12" s="651" customFormat="1" ht="12.75" customHeight="1">
      <c r="A296" s="642" t="s">
        <v>1085</v>
      </c>
      <c r="B296" s="646" t="s">
        <v>1086</v>
      </c>
      <c r="C296" s="654">
        <v>8.1212848890210398E-4</v>
      </c>
      <c r="D296" s="645">
        <v>8.1212848890210398E-4</v>
      </c>
      <c r="E296" s="645">
        <v>8.1212848890210398E-4</v>
      </c>
      <c r="F296" s="645">
        <v>8.1212848890210398E-4</v>
      </c>
      <c r="G296" s="645">
        <v>8.1212848890210398E-4</v>
      </c>
      <c r="H296" s="645">
        <v>8.1212848890210398E-4</v>
      </c>
      <c r="I296" s="645">
        <v>8.1212848890210398E-4</v>
      </c>
      <c r="J296" s="645">
        <v>8.1212848890210398E-4</v>
      </c>
      <c r="K296" s="645">
        <v>8.1212848890210398E-4</v>
      </c>
      <c r="L296" s="645">
        <v>8.1212848890210398E-4</v>
      </c>
    </row>
    <row r="297" spans="1:12" s="651" customFormat="1" ht="12.75" customHeight="1">
      <c r="A297" s="642" t="s">
        <v>1087</v>
      </c>
      <c r="B297" s="646" t="s">
        <v>1088</v>
      </c>
      <c r="C297" s="654">
        <v>5.8792926261753021E-4</v>
      </c>
      <c r="D297" s="645">
        <v>3.4266619567158033E-4</v>
      </c>
      <c r="E297" s="645">
        <v>5.5390408336708681E-4</v>
      </c>
      <c r="F297" s="645">
        <v>5.1406422583778841E-4</v>
      </c>
      <c r="G297" s="645">
        <v>7.1738587280612345E-4</v>
      </c>
      <c r="H297" s="645">
        <v>6.390124402063951E-4</v>
      </c>
      <c r="I297" s="645">
        <v>5.2705757698152185E-4</v>
      </c>
      <c r="J297" s="645">
        <v>5.8681647349133174E-4</v>
      </c>
      <c r="K297" s="645">
        <v>6.0952493372933491E-4</v>
      </c>
      <c r="L297" s="645">
        <v>6.9324184059991242E-4</v>
      </c>
    </row>
    <row r="298" spans="1:12" ht="12.75" customHeight="1">
      <c r="A298" s="653" t="s">
        <v>1089</v>
      </c>
      <c r="B298" s="648" t="s">
        <v>1090</v>
      </c>
      <c r="C298" s="652">
        <v>1.2644683712855964E-4</v>
      </c>
      <c r="D298" s="650">
        <v>4.3043074587945237E-5</v>
      </c>
      <c r="E298" s="650">
        <v>1.0990883830239186E-4</v>
      </c>
      <c r="F298" s="650">
        <v>7.4305403328369456E-5</v>
      </c>
      <c r="G298" s="650">
        <v>1.3019639025431973E-4</v>
      </c>
      <c r="H298" s="650">
        <v>9.158754386675647E-5</v>
      </c>
      <c r="I298" s="650">
        <v>1.3340691975205385E-4</v>
      </c>
      <c r="J298" s="650">
        <v>9.9894488297915532E-5</v>
      </c>
      <c r="K298" s="650">
        <v>1.6937212109027636E-4</v>
      </c>
      <c r="L298" s="650">
        <v>2.3626244749497228E-4</v>
      </c>
    </row>
    <row r="299" spans="1:12" ht="12.75" customHeight="1">
      <c r="A299" s="653" t="s">
        <v>1091</v>
      </c>
      <c r="B299" s="648" t="s">
        <v>1092</v>
      </c>
      <c r="C299" s="652">
        <v>1.497847113877593E-4</v>
      </c>
      <c r="D299" s="650">
        <v>1.6547127208815546E-4</v>
      </c>
      <c r="E299" s="650">
        <v>1.4835220448749218E-4</v>
      </c>
      <c r="F299" s="650">
        <v>1.7777168245199787E-4</v>
      </c>
      <c r="G299" s="650">
        <v>1.7530170404199644E-4</v>
      </c>
      <c r="H299" s="650">
        <v>1.8861144183481457E-4</v>
      </c>
      <c r="I299" s="650">
        <v>9.4723455102417904E-5</v>
      </c>
      <c r="J299" s="650">
        <v>1.2939879281617694E-4</v>
      </c>
      <c r="K299" s="650">
        <v>1.1378958727343337E-4</v>
      </c>
      <c r="L299" s="650">
        <v>1.2825454162387648E-4</v>
      </c>
    </row>
    <row r="300" spans="1:12" s="651" customFormat="1" ht="12.75" customHeight="1">
      <c r="A300" s="653" t="s">
        <v>1093</v>
      </c>
      <c r="B300" s="648" t="s">
        <v>1094</v>
      </c>
      <c r="C300" s="652">
        <v>1.5785178837350784E-4</v>
      </c>
      <c r="D300" s="650">
        <v>7.7020890161252074E-5</v>
      </c>
      <c r="E300" s="650">
        <v>1.3920430333418387E-4</v>
      </c>
      <c r="F300" s="650">
        <v>3.4959667647712312E-5</v>
      </c>
      <c r="G300" s="650">
        <v>1.8051546072356137E-4</v>
      </c>
      <c r="H300" s="650">
        <v>2.505539552667787E-4</v>
      </c>
      <c r="I300" s="650">
        <v>1.5159664211340668E-4</v>
      </c>
      <c r="J300" s="650">
        <v>1.0916095526004472E-4</v>
      </c>
      <c r="K300" s="650">
        <v>1.4150892894630878E-4</v>
      </c>
      <c r="L300" s="650">
        <v>2.5080056355116767E-4</v>
      </c>
    </row>
    <row r="301" spans="1:12" s="651" customFormat="1" ht="12.75" customHeight="1">
      <c r="A301" s="653" t="s">
        <v>1095</v>
      </c>
      <c r="B301" s="648" t="s">
        <v>1096</v>
      </c>
      <c r="C301" s="652">
        <v>1.5384592572770343E-4</v>
      </c>
      <c r="D301" s="650">
        <v>5.7130958834227548E-5</v>
      </c>
      <c r="E301" s="650">
        <v>1.5643873724301892E-4</v>
      </c>
      <c r="F301" s="650">
        <v>2.2702747240970877E-4</v>
      </c>
      <c r="G301" s="650">
        <v>2.3137231778624589E-4</v>
      </c>
      <c r="H301" s="650">
        <v>1.0825949923804536E-4</v>
      </c>
      <c r="I301" s="650">
        <v>1.4733056001364349E-4</v>
      </c>
      <c r="J301" s="650">
        <v>2.4836223711719455E-4</v>
      </c>
      <c r="K301" s="650">
        <v>1.848542964193164E-4</v>
      </c>
      <c r="L301" s="650">
        <v>7.7924287929895985E-5</v>
      </c>
    </row>
    <row r="302" spans="1:12" s="651" customFormat="1" ht="12.75" customHeight="1">
      <c r="A302" s="642" t="s">
        <v>1097</v>
      </c>
      <c r="B302" s="646" t="s">
        <v>1098</v>
      </c>
      <c r="C302" s="654">
        <v>2.2419922628457375E-4</v>
      </c>
      <c r="D302" s="645">
        <v>4.6946229323052371E-4</v>
      </c>
      <c r="E302" s="645">
        <v>2.5822440553501717E-4</v>
      </c>
      <c r="F302" s="645">
        <v>2.9806426306431562E-4</v>
      </c>
      <c r="G302" s="645">
        <v>9.4742616095980665E-5</v>
      </c>
      <c r="H302" s="645">
        <v>1.7311604869570894E-4</v>
      </c>
      <c r="I302" s="645">
        <v>2.8507091192058219E-4</v>
      </c>
      <c r="J302" s="645">
        <v>2.2531201541077227E-4</v>
      </c>
      <c r="K302" s="645">
        <v>2.0260355517276918E-4</v>
      </c>
      <c r="L302" s="645">
        <v>1.1888664830219161E-4</v>
      </c>
    </row>
    <row r="303" spans="1:12" s="651" customFormat="1" ht="12.75" customHeight="1">
      <c r="A303" s="653" t="s">
        <v>1099</v>
      </c>
      <c r="B303" s="648" t="s">
        <v>1100</v>
      </c>
      <c r="C303" s="652">
        <v>1.026648520109111E-4</v>
      </c>
      <c r="D303" s="650">
        <v>2.121432633956922E-4</v>
      </c>
      <c r="E303" s="650">
        <v>1.1976794699746151E-4</v>
      </c>
      <c r="F303" s="650">
        <v>1.4609223621138393E-4</v>
      </c>
      <c r="G303" s="650">
        <v>4.3114331182989162E-5</v>
      </c>
      <c r="H303" s="650">
        <v>6.3953494988815238E-5</v>
      </c>
      <c r="I303" s="650">
        <v>1.3614877289814736E-4</v>
      </c>
      <c r="J303" s="650">
        <v>1.0370479240984722E-4</v>
      </c>
      <c r="K303" s="650">
        <v>9.9242783530005535E-5</v>
      </c>
      <c r="L303" s="650">
        <v>5.4593281594263678E-5</v>
      </c>
    </row>
    <row r="304" spans="1:12" ht="12.75" customHeight="1">
      <c r="A304" s="653" t="s">
        <v>1101</v>
      </c>
      <c r="B304" s="648" t="s">
        <v>1102</v>
      </c>
      <c r="C304" s="652">
        <v>1.2153437427366266E-4</v>
      </c>
      <c r="D304" s="650">
        <v>2.5731902983483143E-4</v>
      </c>
      <c r="E304" s="650">
        <v>1.3845645853755565E-4</v>
      </c>
      <c r="F304" s="650">
        <v>1.5197202685293172E-4</v>
      </c>
      <c r="G304" s="650">
        <v>5.1628284912991496E-5</v>
      </c>
      <c r="H304" s="650">
        <v>1.091625537068937E-4</v>
      </c>
      <c r="I304" s="650">
        <v>1.4892213902243482E-4</v>
      </c>
      <c r="J304" s="650">
        <v>1.2160722300092503E-4</v>
      </c>
      <c r="K304" s="650">
        <v>1.0336077164276364E-4</v>
      </c>
      <c r="L304" s="650">
        <v>6.4293366707927942E-5</v>
      </c>
    </row>
    <row r="305" spans="1:12" s="651" customFormat="1" ht="12.75" customHeight="1">
      <c r="A305" s="642" t="s">
        <v>1103</v>
      </c>
      <c r="B305" s="646" t="s">
        <v>1104</v>
      </c>
      <c r="C305" s="654">
        <v>7.8262052570904853E-3</v>
      </c>
      <c r="D305" s="645">
        <v>7.8262052570904853E-3</v>
      </c>
      <c r="E305" s="645">
        <v>7.8262052570904853E-3</v>
      </c>
      <c r="F305" s="645">
        <v>7.8262052570904853E-3</v>
      </c>
      <c r="G305" s="645">
        <v>7.8262052570904853E-3</v>
      </c>
      <c r="H305" s="645">
        <v>7.8262052570904853E-3</v>
      </c>
      <c r="I305" s="645">
        <v>7.8262052570904836E-3</v>
      </c>
      <c r="J305" s="645">
        <v>7.8262052570904853E-3</v>
      </c>
      <c r="K305" s="645">
        <v>7.8262052570904853E-3</v>
      </c>
      <c r="L305" s="645">
        <v>7.8262052570904853E-3</v>
      </c>
    </row>
    <row r="306" spans="1:12" s="651" customFormat="1" ht="12.75" customHeight="1">
      <c r="A306" s="642" t="s">
        <v>1105</v>
      </c>
      <c r="B306" s="646" t="s">
        <v>1106</v>
      </c>
      <c r="C306" s="654">
        <v>2.3896286099361124E-3</v>
      </c>
      <c r="D306" s="645">
        <v>1.1488876341562179E-3</v>
      </c>
      <c r="E306" s="645">
        <v>2.1185249194648819E-3</v>
      </c>
      <c r="F306" s="645">
        <v>2.4116860387996047E-3</v>
      </c>
      <c r="G306" s="645">
        <v>2.6686423153521703E-3</v>
      </c>
      <c r="H306" s="645">
        <v>2.5858954148370019E-3</v>
      </c>
      <c r="I306" s="645">
        <v>3.7192244710249583E-3</v>
      </c>
      <c r="J306" s="645">
        <v>2.7589531789560182E-3</v>
      </c>
      <c r="K306" s="645">
        <v>2.3158025208910018E-3</v>
      </c>
      <c r="L306" s="645">
        <v>2.2358887161283664E-3</v>
      </c>
    </row>
    <row r="307" spans="1:12" s="651" customFormat="1" ht="12.75" customHeight="1">
      <c r="A307" s="653" t="s">
        <v>1107</v>
      </c>
      <c r="B307" s="648" t="s">
        <v>1108</v>
      </c>
      <c r="C307" s="652">
        <v>2.3896286099361124E-3</v>
      </c>
      <c r="D307" s="650">
        <v>1.1488876341562179E-3</v>
      </c>
      <c r="E307" s="650">
        <v>2.1185249194648819E-3</v>
      </c>
      <c r="F307" s="650">
        <v>2.4116860387996047E-3</v>
      </c>
      <c r="G307" s="650">
        <v>2.6686423153521703E-3</v>
      </c>
      <c r="H307" s="650">
        <v>2.5858954148370019E-3</v>
      </c>
      <c r="I307" s="650">
        <v>3.7192244710249583E-3</v>
      </c>
      <c r="J307" s="650">
        <v>2.7589531789560182E-3</v>
      </c>
      <c r="K307" s="650">
        <v>2.3158025208910018E-3</v>
      </c>
      <c r="L307" s="650">
        <v>2.2358887161283664E-3</v>
      </c>
    </row>
    <row r="308" spans="1:12" s="651" customFormat="1" ht="12.75" customHeight="1">
      <c r="A308" s="642" t="s">
        <v>1109</v>
      </c>
      <c r="B308" s="646" t="s">
        <v>1110</v>
      </c>
      <c r="C308" s="654">
        <v>9.0937313265059753E-4</v>
      </c>
      <c r="D308" s="645">
        <v>9.4460265057925053E-4</v>
      </c>
      <c r="E308" s="645">
        <v>7.4289726013644761E-4</v>
      </c>
      <c r="F308" s="645">
        <v>1.0470543577802503E-3</v>
      </c>
      <c r="G308" s="645">
        <v>9.2283857087790836E-4</v>
      </c>
      <c r="H308" s="645">
        <v>9.3651825202257361E-4</v>
      </c>
      <c r="I308" s="645">
        <v>5.5166042265649871E-4</v>
      </c>
      <c r="J308" s="645">
        <v>9.9221532968327532E-4</v>
      </c>
      <c r="K308" s="645">
        <v>7.8230309131197679E-4</v>
      </c>
      <c r="L308" s="645">
        <v>1.1389139189860911E-3</v>
      </c>
    </row>
    <row r="309" spans="1:12" ht="12.75" customHeight="1">
      <c r="A309" s="653" t="s">
        <v>1111</v>
      </c>
      <c r="B309" s="648" t="s">
        <v>1112</v>
      </c>
      <c r="C309" s="652">
        <v>9.0937313265059753E-4</v>
      </c>
      <c r="D309" s="650">
        <v>9.4460265057925053E-4</v>
      </c>
      <c r="E309" s="650">
        <v>7.4289726013644761E-4</v>
      </c>
      <c r="F309" s="650">
        <v>1.0470543577802503E-3</v>
      </c>
      <c r="G309" s="650">
        <v>9.2283857087790836E-4</v>
      </c>
      <c r="H309" s="650">
        <v>9.3651825202257361E-4</v>
      </c>
      <c r="I309" s="650">
        <v>5.5166042265649871E-4</v>
      </c>
      <c r="J309" s="650">
        <v>9.9221532968327532E-4</v>
      </c>
      <c r="K309" s="650">
        <v>7.8230309131197679E-4</v>
      </c>
      <c r="L309" s="650">
        <v>1.1389139189860911E-3</v>
      </c>
    </row>
    <row r="310" spans="1:12" s="651" customFormat="1" ht="12.75" customHeight="1">
      <c r="A310" s="642" t="s">
        <v>1113</v>
      </c>
      <c r="B310" s="646" t="s">
        <v>1114</v>
      </c>
      <c r="C310" s="654">
        <v>1.2602718521767589E-3</v>
      </c>
      <c r="D310" s="645">
        <v>1.2837725459463676E-3</v>
      </c>
      <c r="E310" s="645">
        <v>1.3707784079034203E-3</v>
      </c>
      <c r="F310" s="645">
        <v>1.2124825053838771E-3</v>
      </c>
      <c r="G310" s="645">
        <v>1.3604668274610769E-3</v>
      </c>
      <c r="H310" s="645">
        <v>1.5829931433955714E-3</v>
      </c>
      <c r="I310" s="645">
        <v>7.1997389950635292E-4</v>
      </c>
      <c r="J310" s="645">
        <v>1.1428722458436168E-3</v>
      </c>
      <c r="K310" s="645">
        <v>1.5399861889312401E-3</v>
      </c>
      <c r="L310" s="645">
        <v>1.2042750009192392E-3</v>
      </c>
    </row>
    <row r="311" spans="1:12" s="651" customFormat="1" ht="12.75" customHeight="1">
      <c r="A311" s="653" t="s">
        <v>1115</v>
      </c>
      <c r="B311" s="648" t="s">
        <v>1114</v>
      </c>
      <c r="C311" s="652">
        <v>1.2602718521767589E-3</v>
      </c>
      <c r="D311" s="650">
        <v>1.2837725459463676E-3</v>
      </c>
      <c r="E311" s="650">
        <v>1.3707784079034203E-3</v>
      </c>
      <c r="F311" s="650">
        <v>1.2124825053838771E-3</v>
      </c>
      <c r="G311" s="650">
        <v>1.3604668274610769E-3</v>
      </c>
      <c r="H311" s="650">
        <v>1.5829931433955714E-3</v>
      </c>
      <c r="I311" s="650">
        <v>7.1997389950635292E-4</v>
      </c>
      <c r="J311" s="650">
        <v>1.1428722458436168E-3</v>
      </c>
      <c r="K311" s="650">
        <v>1.5399861889312401E-3</v>
      </c>
      <c r="L311" s="650">
        <v>1.2042750009192392E-3</v>
      </c>
    </row>
    <row r="312" spans="1:12" s="651" customFormat="1" ht="12.75" customHeight="1">
      <c r="A312" s="642" t="s">
        <v>1116</v>
      </c>
      <c r="B312" s="646" t="s">
        <v>1117</v>
      </c>
      <c r="C312" s="654">
        <v>3.2669316623270168E-3</v>
      </c>
      <c r="D312" s="645">
        <v>4.4489424264086488E-3</v>
      </c>
      <c r="E312" s="645">
        <v>3.5940046695857341E-3</v>
      </c>
      <c r="F312" s="645">
        <v>3.154982355126752E-3</v>
      </c>
      <c r="G312" s="645">
        <v>2.8742575433993289E-3</v>
      </c>
      <c r="H312" s="645">
        <v>2.7207984468353382E-3</v>
      </c>
      <c r="I312" s="645">
        <v>2.8353464639026735E-3</v>
      </c>
      <c r="J312" s="645">
        <v>2.9321645026075746E-3</v>
      </c>
      <c r="K312" s="645">
        <v>3.1881134559562656E-3</v>
      </c>
      <c r="L312" s="645">
        <v>3.2471276210567874E-3</v>
      </c>
    </row>
    <row r="313" spans="1:12" s="651" customFormat="1" ht="12.75" customHeight="1">
      <c r="A313" s="653" t="s">
        <v>1118</v>
      </c>
      <c r="B313" s="648" t="s">
        <v>1119</v>
      </c>
      <c r="C313" s="652">
        <v>3.2669316623270168E-3</v>
      </c>
      <c r="D313" s="650">
        <v>4.4489424264086488E-3</v>
      </c>
      <c r="E313" s="650">
        <v>3.5940046695857341E-3</v>
      </c>
      <c r="F313" s="650">
        <v>3.154982355126752E-3</v>
      </c>
      <c r="G313" s="650">
        <v>2.8742575433993289E-3</v>
      </c>
      <c r="H313" s="650">
        <v>2.7207984468353382E-3</v>
      </c>
      <c r="I313" s="650">
        <v>2.8353464639026735E-3</v>
      </c>
      <c r="J313" s="650">
        <v>2.9321645026075746E-3</v>
      </c>
      <c r="K313" s="650">
        <v>3.1881134559562656E-3</v>
      </c>
      <c r="L313" s="650">
        <v>3.2471276210567874E-3</v>
      </c>
    </row>
    <row r="314" spans="1:12" s="651" customFormat="1" ht="12.75" customHeight="1">
      <c r="A314" s="642" t="s">
        <v>1120</v>
      </c>
      <c r="B314" s="646" t="s">
        <v>1121</v>
      </c>
      <c r="C314" s="654">
        <v>6.0928856413798874E-2</v>
      </c>
      <c r="D314" s="645">
        <v>6.0928856413798874E-2</v>
      </c>
      <c r="E314" s="645">
        <v>6.0928856413798874E-2</v>
      </c>
      <c r="F314" s="645">
        <v>6.0928856413798874E-2</v>
      </c>
      <c r="G314" s="645">
        <v>6.0928856413798874E-2</v>
      </c>
      <c r="H314" s="645">
        <v>6.0928856413798874E-2</v>
      </c>
      <c r="I314" s="645">
        <v>6.0928856413798874E-2</v>
      </c>
      <c r="J314" s="645">
        <v>6.092885641379886E-2</v>
      </c>
      <c r="K314" s="645">
        <v>6.0928856413798874E-2</v>
      </c>
      <c r="L314" s="645">
        <v>6.0928856413798874E-2</v>
      </c>
    </row>
    <row r="315" spans="1:12" s="651" customFormat="1" ht="12.75" customHeight="1">
      <c r="A315" s="642" t="s">
        <v>1122</v>
      </c>
      <c r="B315" s="646" t="s">
        <v>481</v>
      </c>
      <c r="C315" s="654">
        <v>1.566628302983496E-2</v>
      </c>
      <c r="D315" s="645">
        <v>1.23301165389306E-2</v>
      </c>
      <c r="E315" s="645">
        <v>1.4523373867072321E-2</v>
      </c>
      <c r="F315" s="645">
        <v>1.7698874272387935E-2</v>
      </c>
      <c r="G315" s="645">
        <v>1.5508174087135613E-2</v>
      </c>
      <c r="H315" s="645">
        <v>1.2249772495538273E-2</v>
      </c>
      <c r="I315" s="645">
        <v>2.102238542983766E-2</v>
      </c>
      <c r="J315" s="645">
        <v>1.5916073431674949E-2</v>
      </c>
      <c r="K315" s="645">
        <v>1.6564401388191981E-2</v>
      </c>
      <c r="L315" s="645">
        <v>1.5376954494668936E-2</v>
      </c>
    </row>
    <row r="316" spans="1:12" ht="12.75" customHeight="1">
      <c r="A316" s="653" t="s">
        <v>1123</v>
      </c>
      <c r="B316" s="648" t="s">
        <v>481</v>
      </c>
      <c r="C316" s="652">
        <v>1.566628302983496E-2</v>
      </c>
      <c r="D316" s="650">
        <v>1.23301165389306E-2</v>
      </c>
      <c r="E316" s="650">
        <v>1.4523373867072321E-2</v>
      </c>
      <c r="F316" s="650">
        <v>1.7698874272387935E-2</v>
      </c>
      <c r="G316" s="650">
        <v>1.5508174087135613E-2</v>
      </c>
      <c r="H316" s="650">
        <v>1.2249772495538273E-2</v>
      </c>
      <c r="I316" s="650">
        <v>2.102238542983766E-2</v>
      </c>
      <c r="J316" s="650">
        <v>1.5916073431674949E-2</v>
      </c>
      <c r="K316" s="650">
        <v>1.6564401388191981E-2</v>
      </c>
      <c r="L316" s="650">
        <v>1.5376954494668936E-2</v>
      </c>
    </row>
    <row r="317" spans="1:12" s="651" customFormat="1" ht="12.75" customHeight="1">
      <c r="A317" s="642" t="s">
        <v>1124</v>
      </c>
      <c r="B317" s="646" t="s">
        <v>482</v>
      </c>
      <c r="C317" s="654">
        <v>2.3253211786406939E-2</v>
      </c>
      <c r="D317" s="645">
        <v>2.9658744907379202E-3</v>
      </c>
      <c r="E317" s="645">
        <v>2.5774639096330071E-2</v>
      </c>
      <c r="F317" s="645">
        <v>2.0171014250325164E-2</v>
      </c>
      <c r="G317" s="645">
        <v>3.1932733382164027E-2</v>
      </c>
      <c r="H317" s="645">
        <v>2.1700735534550413E-2</v>
      </c>
      <c r="I317" s="645">
        <v>1.9584867900332929E-2</v>
      </c>
      <c r="J317" s="645">
        <v>2.2209640752803121E-2</v>
      </c>
      <c r="K317" s="645">
        <v>2.799426928804143E-2</v>
      </c>
      <c r="L317" s="645">
        <v>3.2941377469404058E-2</v>
      </c>
    </row>
    <row r="318" spans="1:12" s="651" customFormat="1" ht="12.75" customHeight="1">
      <c r="A318" s="642" t="s">
        <v>1125</v>
      </c>
      <c r="B318" s="646" t="s">
        <v>1126</v>
      </c>
      <c r="C318" s="654">
        <v>2.3253211786406939E-2</v>
      </c>
      <c r="D318" s="645">
        <v>2.9658744907379202E-3</v>
      </c>
      <c r="E318" s="645">
        <v>2.5774639096330071E-2</v>
      </c>
      <c r="F318" s="645">
        <v>2.0171014250325164E-2</v>
      </c>
      <c r="G318" s="645">
        <v>3.1932733382164027E-2</v>
      </c>
      <c r="H318" s="645">
        <v>2.1700735534550413E-2</v>
      </c>
      <c r="I318" s="645">
        <v>1.9584867900332929E-2</v>
      </c>
      <c r="J318" s="645">
        <v>2.2209640752803121E-2</v>
      </c>
      <c r="K318" s="645">
        <v>2.799426928804143E-2</v>
      </c>
      <c r="L318" s="645">
        <v>3.2941377469404058E-2</v>
      </c>
    </row>
    <row r="319" spans="1:12" ht="12.75" customHeight="1">
      <c r="A319" s="653" t="s">
        <v>1127</v>
      </c>
      <c r="B319" s="648" t="s">
        <v>1128</v>
      </c>
      <c r="C319" s="652">
        <v>1.9834989653805118E-2</v>
      </c>
      <c r="D319" s="650">
        <v>2.9006252519416858E-3</v>
      </c>
      <c r="E319" s="650">
        <v>2.2011541788265879E-2</v>
      </c>
      <c r="F319" s="650">
        <v>1.7730321526035819E-2</v>
      </c>
      <c r="G319" s="650">
        <v>2.7078957908075092E-2</v>
      </c>
      <c r="H319" s="650">
        <v>1.9053245799335261E-2</v>
      </c>
      <c r="I319" s="650">
        <v>1.6940910733787982E-2</v>
      </c>
      <c r="J319" s="650">
        <v>1.8545050028590606E-2</v>
      </c>
      <c r="K319" s="650">
        <v>2.2423409699721186E-2</v>
      </c>
      <c r="L319" s="650">
        <v>2.6056629578298612E-2</v>
      </c>
    </row>
    <row r="320" spans="1:12" s="651" customFormat="1" ht="12.75" customHeight="1">
      <c r="A320" s="653" t="s">
        <v>1129</v>
      </c>
      <c r="B320" s="648" t="s">
        <v>1130</v>
      </c>
      <c r="C320" s="652">
        <v>3.41822213260182E-3</v>
      </c>
      <c r="D320" s="650">
        <v>6.5249238796234236E-5</v>
      </c>
      <c r="E320" s="650">
        <v>3.7630973080641904E-3</v>
      </c>
      <c r="F320" s="650">
        <v>2.440692724289345E-3</v>
      </c>
      <c r="G320" s="650">
        <v>4.8537754740889325E-3</v>
      </c>
      <c r="H320" s="650">
        <v>2.6474897352151503E-3</v>
      </c>
      <c r="I320" s="650">
        <v>2.6439571665449455E-3</v>
      </c>
      <c r="J320" s="650">
        <v>3.6645907242125156E-3</v>
      </c>
      <c r="K320" s="650">
        <v>5.570859588320245E-3</v>
      </c>
      <c r="L320" s="650">
        <v>6.8847478911054491E-3</v>
      </c>
    </row>
    <row r="321" spans="1:12" s="651" customFormat="1" ht="12.75" customHeight="1">
      <c r="A321" s="642" t="s">
        <v>1131</v>
      </c>
      <c r="B321" s="646" t="s">
        <v>1132</v>
      </c>
      <c r="C321" s="654">
        <v>4.8110943601286397E-3</v>
      </c>
      <c r="D321" s="645">
        <v>4.5576206280460858E-5</v>
      </c>
      <c r="E321" s="645">
        <v>4.0584645661620273E-3</v>
      </c>
      <c r="F321" s="645">
        <v>4.8885579388971987E-3</v>
      </c>
      <c r="G321" s="645">
        <v>5.1169048574477962E-3</v>
      </c>
      <c r="H321" s="645">
        <v>3.990812833859418E-3</v>
      </c>
      <c r="I321" s="645">
        <v>8.0917824548753306E-3</v>
      </c>
      <c r="J321" s="645">
        <v>5.82092625065789E-3</v>
      </c>
      <c r="K321" s="645">
        <v>4.6918946679661844E-3</v>
      </c>
      <c r="L321" s="645">
        <v>5.6541455340525055E-3</v>
      </c>
    </row>
    <row r="322" spans="1:12" s="651" customFormat="1" ht="12.75" customHeight="1">
      <c r="A322" s="653" t="s">
        <v>1133</v>
      </c>
      <c r="B322" s="648" t="s">
        <v>1134</v>
      </c>
      <c r="C322" s="652">
        <v>4.8110943601286397E-3</v>
      </c>
      <c r="D322" s="650">
        <v>4.5576206280460858E-5</v>
      </c>
      <c r="E322" s="650">
        <v>4.0584645661620273E-3</v>
      </c>
      <c r="F322" s="650">
        <v>4.8885579388971987E-3</v>
      </c>
      <c r="G322" s="650">
        <v>5.1169048574477962E-3</v>
      </c>
      <c r="H322" s="650">
        <v>3.990812833859418E-3</v>
      </c>
      <c r="I322" s="650">
        <v>8.0917824548753306E-3</v>
      </c>
      <c r="J322" s="650">
        <v>5.82092625065789E-3</v>
      </c>
      <c r="K322" s="650">
        <v>4.6918946679661844E-3</v>
      </c>
      <c r="L322" s="650">
        <v>5.6541455340525055E-3</v>
      </c>
    </row>
    <row r="323" spans="1:12" s="651" customFormat="1" ht="12.75" customHeight="1">
      <c r="A323" s="642" t="s">
        <v>1135</v>
      </c>
      <c r="B323" s="646" t="s">
        <v>483</v>
      </c>
      <c r="C323" s="654">
        <v>1.7198267237428334E-2</v>
      </c>
      <c r="D323" s="645">
        <v>4.5587289177849891E-2</v>
      </c>
      <c r="E323" s="645">
        <v>1.6572378884234459E-2</v>
      </c>
      <c r="F323" s="645">
        <v>1.8170409952188576E-2</v>
      </c>
      <c r="G323" s="645">
        <v>8.3710440870514401E-3</v>
      </c>
      <c r="H323" s="645">
        <v>2.2987535549850772E-2</v>
      </c>
      <c r="I323" s="645">
        <v>1.2229820628752953E-2</v>
      </c>
      <c r="J323" s="645">
        <v>1.698221597866291E-2</v>
      </c>
      <c r="K323" s="645">
        <v>1.1678291069599283E-2</v>
      </c>
      <c r="L323" s="645">
        <v>6.9563789156733731E-3</v>
      </c>
    </row>
    <row r="324" spans="1:12" ht="12.75" customHeight="1">
      <c r="A324" s="653" t="s">
        <v>1136</v>
      </c>
      <c r="B324" s="648" t="s">
        <v>1137</v>
      </c>
      <c r="C324" s="652">
        <v>1.4466685404028526E-2</v>
      </c>
      <c r="D324" s="650">
        <v>3.4735168651636707E-2</v>
      </c>
      <c r="E324" s="650">
        <v>1.3474652860360776E-2</v>
      </c>
      <c r="F324" s="650">
        <v>1.7158818351314598E-2</v>
      </c>
      <c r="G324" s="650">
        <v>6.4410351092703318E-3</v>
      </c>
      <c r="H324" s="650">
        <v>1.7462856302921798E-2</v>
      </c>
      <c r="I324" s="650">
        <v>1.209045262601241E-2</v>
      </c>
      <c r="J324" s="650">
        <v>1.6846502582411448E-2</v>
      </c>
      <c r="K324" s="650">
        <v>9.9721795472328453E-3</v>
      </c>
      <c r="L324" s="650">
        <v>5.7476379268793457E-3</v>
      </c>
    </row>
    <row r="325" spans="1:12" ht="12.75" customHeight="1">
      <c r="A325" s="653" t="s">
        <v>1138</v>
      </c>
      <c r="B325" s="648" t="s">
        <v>1139</v>
      </c>
      <c r="C325" s="652">
        <v>2.7315818333998082E-3</v>
      </c>
      <c r="D325" s="650">
        <v>1.085212052621318E-2</v>
      </c>
      <c r="E325" s="650">
        <v>3.0977260238736824E-3</v>
      </c>
      <c r="F325" s="650">
        <v>1.0115916008739758E-3</v>
      </c>
      <c r="G325" s="650">
        <v>1.9300089777811089E-3</v>
      </c>
      <c r="H325" s="650">
        <v>5.5246792469289775E-3</v>
      </c>
      <c r="I325" s="650">
        <v>1.3936800274054234E-4</v>
      </c>
      <c r="J325" s="650">
        <v>1.357133962514608E-4</v>
      </c>
      <c r="K325" s="650">
        <v>1.7061115223664376E-3</v>
      </c>
      <c r="L325" s="650">
        <v>1.2087409887940272E-3</v>
      </c>
    </row>
    <row r="326" spans="1:12" s="651" customFormat="1" ht="12.75" customHeight="1">
      <c r="A326" s="642" t="s">
        <v>1140</v>
      </c>
      <c r="B326" s="646" t="s">
        <v>1141</v>
      </c>
      <c r="C326" s="654">
        <v>4.4788038232974225E-2</v>
      </c>
      <c r="D326" s="645">
        <v>4.4788038232974225E-2</v>
      </c>
      <c r="E326" s="645">
        <v>4.4788038232974225E-2</v>
      </c>
      <c r="F326" s="645">
        <v>4.4788038232974225E-2</v>
      </c>
      <c r="G326" s="645">
        <v>4.4788038232974225E-2</v>
      </c>
      <c r="H326" s="645">
        <v>4.4788038232974225E-2</v>
      </c>
      <c r="I326" s="645">
        <v>4.4788038232974225E-2</v>
      </c>
      <c r="J326" s="645">
        <v>4.4788038232974219E-2</v>
      </c>
      <c r="K326" s="645">
        <v>4.4788038232974225E-2</v>
      </c>
      <c r="L326" s="645">
        <v>4.4788038232974232E-2</v>
      </c>
    </row>
    <row r="327" spans="1:12" s="651" customFormat="1" ht="12.75" customHeight="1">
      <c r="A327" s="642" t="s">
        <v>1142</v>
      </c>
      <c r="B327" s="646" t="s">
        <v>1143</v>
      </c>
      <c r="C327" s="654">
        <v>1.0373386907433557E-2</v>
      </c>
      <c r="D327" s="645">
        <v>1.0373386907433557E-2</v>
      </c>
      <c r="E327" s="645">
        <v>1.0373386907433559E-2</v>
      </c>
      <c r="F327" s="645">
        <v>1.0373386907433557E-2</v>
      </c>
      <c r="G327" s="645">
        <v>1.0373386907433557E-2</v>
      </c>
      <c r="H327" s="645">
        <v>1.0373386907433557E-2</v>
      </c>
      <c r="I327" s="645">
        <v>1.0373386907433559E-2</v>
      </c>
      <c r="J327" s="645">
        <v>1.0373386907433554E-2</v>
      </c>
      <c r="K327" s="645">
        <v>1.0373386907433557E-2</v>
      </c>
      <c r="L327" s="645">
        <v>1.0373386907433559E-2</v>
      </c>
    </row>
    <row r="328" spans="1:12" s="651" customFormat="1" ht="12.75" customHeight="1">
      <c r="A328" s="642" t="s">
        <v>1144</v>
      </c>
      <c r="B328" s="646" t="s">
        <v>1145</v>
      </c>
      <c r="C328" s="654">
        <v>9.331724620910269E-3</v>
      </c>
      <c r="D328" s="645">
        <v>1.0098333376381651E-2</v>
      </c>
      <c r="E328" s="645">
        <v>9.7221405260432738E-3</v>
      </c>
      <c r="F328" s="645">
        <v>9.568805499143301E-3</v>
      </c>
      <c r="G328" s="645">
        <v>9.1229173816041245E-3</v>
      </c>
      <c r="H328" s="645">
        <v>9.6620113732172053E-3</v>
      </c>
      <c r="I328" s="645">
        <v>9.4132578506178292E-3</v>
      </c>
      <c r="J328" s="645">
        <v>9.2411004829068312E-3</v>
      </c>
      <c r="K328" s="645">
        <v>9.0501094631063768E-3</v>
      </c>
      <c r="L328" s="645">
        <v>8.8081314468394737E-3</v>
      </c>
    </row>
    <row r="329" spans="1:12" ht="12.75" customHeight="1">
      <c r="A329" s="653" t="s">
        <v>1146</v>
      </c>
      <c r="B329" s="648" t="s">
        <v>1147</v>
      </c>
      <c r="C329" s="652">
        <v>1.5723454058112441E-3</v>
      </c>
      <c r="D329" s="650">
        <v>1.8803164173338798E-3</v>
      </c>
      <c r="E329" s="650">
        <v>4.0039708207033629E-4</v>
      </c>
      <c r="F329" s="650">
        <v>2.6329440370063983E-3</v>
      </c>
      <c r="G329" s="650">
        <v>4.054942556064256E-3</v>
      </c>
      <c r="H329" s="650">
        <v>1.0523382200223813E-4</v>
      </c>
      <c r="I329" s="650">
        <v>1.1322218050706203E-3</v>
      </c>
      <c r="J329" s="650">
        <v>2.0953567003468205E-3</v>
      </c>
      <c r="K329" s="650">
        <v>5.7497690858504156E-4</v>
      </c>
      <c r="L329" s="650">
        <v>7.5464882342401757E-4</v>
      </c>
    </row>
    <row r="330" spans="1:12" ht="12.75" customHeight="1">
      <c r="A330" s="653" t="s">
        <v>1148</v>
      </c>
      <c r="B330" s="648" t="s">
        <v>1149</v>
      </c>
      <c r="C330" s="652">
        <v>3.0073303984539178E-3</v>
      </c>
      <c r="D330" s="650">
        <v>6.5454805234608998E-3</v>
      </c>
      <c r="E330" s="650">
        <v>7.4820269007510763E-3</v>
      </c>
      <c r="F330" s="650">
        <v>2.3311282989763702E-3</v>
      </c>
      <c r="G330" s="650">
        <v>1.0341019042056751E-3</v>
      </c>
      <c r="H330" s="650">
        <v>4.1560578218318E-3</v>
      </c>
      <c r="I330" s="650">
        <v>2.092420303336698E-3</v>
      </c>
      <c r="J330" s="650">
        <v>2.330023376432162E-3</v>
      </c>
      <c r="K330" s="650">
        <v>3.1785682044280952E-3</v>
      </c>
      <c r="L330" s="650">
        <v>2.4818232988962543E-3</v>
      </c>
    </row>
    <row r="331" spans="1:12" s="651" customFormat="1" ht="12.75" customHeight="1">
      <c r="A331" s="653" t="s">
        <v>1150</v>
      </c>
      <c r="B331" s="648" t="s">
        <v>1151</v>
      </c>
      <c r="C331" s="652">
        <v>4.7520488166451066E-3</v>
      </c>
      <c r="D331" s="650">
        <v>1.6725364355868718E-3</v>
      </c>
      <c r="E331" s="650">
        <v>1.83971654322186E-3</v>
      </c>
      <c r="F331" s="650">
        <v>4.6047331631605317E-3</v>
      </c>
      <c r="G331" s="650">
        <v>4.0338729213341921E-3</v>
      </c>
      <c r="H331" s="650">
        <v>5.4007197293831658E-3</v>
      </c>
      <c r="I331" s="650">
        <v>6.1886157422105107E-3</v>
      </c>
      <c r="J331" s="650">
        <v>4.8157204061278491E-3</v>
      </c>
      <c r="K331" s="650">
        <v>5.2965643500932401E-3</v>
      </c>
      <c r="L331" s="650">
        <v>5.5716593245192019E-3</v>
      </c>
    </row>
    <row r="332" spans="1:12" s="651" customFormat="1" ht="12.75" customHeight="1">
      <c r="A332" s="642" t="s">
        <v>1152</v>
      </c>
      <c r="B332" s="646" t="s">
        <v>1153</v>
      </c>
      <c r="C332" s="654">
        <v>1.0416622865232891E-3</v>
      </c>
      <c r="D332" s="645">
        <v>2.7505353105190605E-4</v>
      </c>
      <c r="E332" s="645">
        <v>6.5124638139028542E-4</v>
      </c>
      <c r="F332" s="645">
        <v>8.0458140829025616E-4</v>
      </c>
      <c r="G332" s="645">
        <v>1.250469525829434E-3</v>
      </c>
      <c r="H332" s="645">
        <v>7.1137553421635256E-4</v>
      </c>
      <c r="I332" s="645">
        <v>9.6012905681572909E-4</v>
      </c>
      <c r="J332" s="645">
        <v>1.1322864245267238E-3</v>
      </c>
      <c r="K332" s="645">
        <v>1.3232774443271808E-3</v>
      </c>
      <c r="L332" s="645">
        <v>1.5652554605940843E-3</v>
      </c>
    </row>
    <row r="333" spans="1:12" s="651" customFormat="1" ht="12.75" customHeight="1">
      <c r="A333" s="653" t="s">
        <v>1154</v>
      </c>
      <c r="B333" s="648" t="s">
        <v>1155</v>
      </c>
      <c r="C333" s="652">
        <v>1.0416622865232891E-3</v>
      </c>
      <c r="D333" s="650">
        <v>2.7505353105190605E-4</v>
      </c>
      <c r="E333" s="650">
        <v>6.5124638139028542E-4</v>
      </c>
      <c r="F333" s="650">
        <v>8.0458140829025616E-4</v>
      </c>
      <c r="G333" s="650">
        <v>1.250469525829434E-3</v>
      </c>
      <c r="H333" s="650">
        <v>7.1137553421635256E-4</v>
      </c>
      <c r="I333" s="650">
        <v>9.6012905681572909E-4</v>
      </c>
      <c r="J333" s="650">
        <v>1.1322864245267238E-3</v>
      </c>
      <c r="K333" s="650">
        <v>1.3232774443271808E-3</v>
      </c>
      <c r="L333" s="650">
        <v>1.5652554605940843E-3</v>
      </c>
    </row>
    <row r="334" spans="1:12" s="651" customFormat="1" ht="12.75" customHeight="1">
      <c r="A334" s="642" t="s">
        <v>1156</v>
      </c>
      <c r="B334" s="646" t="s">
        <v>1157</v>
      </c>
      <c r="C334" s="654">
        <v>1.7927123998641805E-3</v>
      </c>
      <c r="D334" s="645">
        <v>1.7927123998641805E-3</v>
      </c>
      <c r="E334" s="645">
        <v>1.7927123998641807E-3</v>
      </c>
      <c r="F334" s="645">
        <v>1.7927123998641805E-3</v>
      </c>
      <c r="G334" s="645">
        <v>1.7927123998641805E-3</v>
      </c>
      <c r="H334" s="645">
        <v>1.7927123998641805E-3</v>
      </c>
      <c r="I334" s="645">
        <v>1.7927123998641805E-3</v>
      </c>
      <c r="J334" s="645">
        <v>1.7927123998641805E-3</v>
      </c>
      <c r="K334" s="645">
        <v>1.7927123998641805E-3</v>
      </c>
      <c r="L334" s="645">
        <v>1.7927123998641805E-3</v>
      </c>
    </row>
    <row r="335" spans="1:12" s="651" customFormat="1" ht="12.75" customHeight="1">
      <c r="A335" s="653" t="s">
        <v>1158</v>
      </c>
      <c r="B335" s="648" t="s">
        <v>1159</v>
      </c>
      <c r="C335" s="652">
        <v>5.0081897898392581E-4</v>
      </c>
      <c r="D335" s="650">
        <v>7.1908329447603527E-4</v>
      </c>
      <c r="E335" s="650">
        <v>2.0986013343999831E-4</v>
      </c>
      <c r="F335" s="650">
        <v>6.1779853859530575E-4</v>
      </c>
      <c r="G335" s="650">
        <v>5.119016867228131E-4</v>
      </c>
      <c r="H335" s="650">
        <v>5.4648576456899729E-4</v>
      </c>
      <c r="I335" s="650">
        <v>5.4354499098863021E-4</v>
      </c>
      <c r="J335" s="650">
        <v>4.4439052670097875E-4</v>
      </c>
      <c r="K335" s="650">
        <v>4.0571344689171253E-4</v>
      </c>
      <c r="L335" s="650">
        <v>3.7648832297682987E-4</v>
      </c>
    </row>
    <row r="336" spans="1:12" ht="12.75" customHeight="1">
      <c r="A336" s="653" t="s">
        <v>1160</v>
      </c>
      <c r="B336" s="648" t="s">
        <v>1161</v>
      </c>
      <c r="C336" s="652">
        <v>1.2918934208802546E-3</v>
      </c>
      <c r="D336" s="650">
        <v>1.0736291053881452E-3</v>
      </c>
      <c r="E336" s="650">
        <v>1.5828522664241825E-3</v>
      </c>
      <c r="F336" s="650">
        <v>1.1749138612688749E-3</v>
      </c>
      <c r="G336" s="650">
        <v>1.2808107131413674E-3</v>
      </c>
      <c r="H336" s="650">
        <v>1.2462266352951832E-3</v>
      </c>
      <c r="I336" s="650">
        <v>1.2491674088755502E-3</v>
      </c>
      <c r="J336" s="650">
        <v>1.3483218731632017E-3</v>
      </c>
      <c r="K336" s="650">
        <v>1.3869989529724678E-3</v>
      </c>
      <c r="L336" s="650">
        <v>1.4162240768873507E-3</v>
      </c>
    </row>
    <row r="337" spans="1:12" s="651" customFormat="1" ht="12.75" customHeight="1">
      <c r="A337" s="642" t="s">
        <v>1162</v>
      </c>
      <c r="B337" s="646" t="s">
        <v>1163</v>
      </c>
      <c r="C337" s="654">
        <v>1.5252187565125733E-2</v>
      </c>
      <c r="D337" s="645">
        <v>1.525218756512573E-2</v>
      </c>
      <c r="E337" s="645">
        <v>1.5252187565125733E-2</v>
      </c>
      <c r="F337" s="645">
        <v>1.525218756512573E-2</v>
      </c>
      <c r="G337" s="645">
        <v>1.525218756512573E-2</v>
      </c>
      <c r="H337" s="645">
        <v>1.525218756512573E-2</v>
      </c>
      <c r="I337" s="645">
        <v>1.525218756512573E-2</v>
      </c>
      <c r="J337" s="645">
        <v>1.525218756512573E-2</v>
      </c>
      <c r="K337" s="645">
        <v>1.5252187565125733E-2</v>
      </c>
      <c r="L337" s="645">
        <v>1.5252187565125737E-2</v>
      </c>
    </row>
    <row r="338" spans="1:12" s="651" customFormat="1" ht="12.75" customHeight="1">
      <c r="A338" s="642" t="s">
        <v>1164</v>
      </c>
      <c r="B338" s="646" t="s">
        <v>1165</v>
      </c>
      <c r="C338" s="654">
        <v>1.082853950725559E-2</v>
      </c>
      <c r="D338" s="645">
        <v>1.1330382369456575E-2</v>
      </c>
      <c r="E338" s="645">
        <v>1.2939834072905316E-2</v>
      </c>
      <c r="F338" s="645">
        <v>1.1359217622197102E-2</v>
      </c>
      <c r="G338" s="645">
        <v>1.1169635200758804E-2</v>
      </c>
      <c r="H338" s="645">
        <v>1.0485686397029178E-2</v>
      </c>
      <c r="I338" s="645">
        <v>1.0487847480024789E-2</v>
      </c>
      <c r="J338" s="645">
        <v>1.1001386309237518E-2</v>
      </c>
      <c r="K338" s="645">
        <v>1.0355670170641852E-2</v>
      </c>
      <c r="L338" s="645">
        <v>9.5984056829378894E-3</v>
      </c>
    </row>
    <row r="339" spans="1:12" s="651" customFormat="1" ht="12.75" customHeight="1">
      <c r="A339" s="642" t="s">
        <v>1166</v>
      </c>
      <c r="B339" s="646" t="s">
        <v>1167</v>
      </c>
      <c r="C339" s="654">
        <v>3.3909204636682014E-3</v>
      </c>
      <c r="D339" s="645">
        <v>3.4740771277647991E-3</v>
      </c>
      <c r="E339" s="645">
        <v>4.247747434901551E-3</v>
      </c>
      <c r="F339" s="645">
        <v>3.715954319053034E-3</v>
      </c>
      <c r="G339" s="645">
        <v>1.7974316782492861E-3</v>
      </c>
      <c r="H339" s="645">
        <v>2.4647276855741763E-3</v>
      </c>
      <c r="I339" s="645">
        <v>3.6656149375071446E-3</v>
      </c>
      <c r="J339" s="645">
        <v>5.6701271588614028E-3</v>
      </c>
      <c r="K339" s="645">
        <v>2.2595389348948319E-3</v>
      </c>
      <c r="L339" s="645">
        <v>3.1539727359060563E-3</v>
      </c>
    </row>
    <row r="340" spans="1:12" s="651" customFormat="1" ht="12.75" customHeight="1">
      <c r="A340" s="653" t="s">
        <v>1168</v>
      </c>
      <c r="B340" s="648" t="s">
        <v>1169</v>
      </c>
      <c r="C340" s="652">
        <v>3.3909204636682014E-3</v>
      </c>
      <c r="D340" s="650">
        <v>3.4740771277647991E-3</v>
      </c>
      <c r="E340" s="650">
        <v>4.247747434901551E-3</v>
      </c>
      <c r="F340" s="650">
        <v>3.715954319053034E-3</v>
      </c>
      <c r="G340" s="650">
        <v>1.7974316782492861E-3</v>
      </c>
      <c r="H340" s="650">
        <v>2.4647276855741763E-3</v>
      </c>
      <c r="I340" s="650">
        <v>3.6656149375071446E-3</v>
      </c>
      <c r="J340" s="650">
        <v>5.6701271588614028E-3</v>
      </c>
      <c r="K340" s="650">
        <v>2.2595389348948319E-3</v>
      </c>
      <c r="L340" s="650">
        <v>3.1539727359060563E-3</v>
      </c>
    </row>
    <row r="341" spans="1:12" s="651" customFormat="1" ht="12.75" customHeight="1">
      <c r="A341" s="642" t="s">
        <v>1170</v>
      </c>
      <c r="B341" s="646" t="s">
        <v>1171</v>
      </c>
      <c r="C341" s="654">
        <v>2.9978065388368471E-3</v>
      </c>
      <c r="D341" s="645">
        <v>1.5017777363648677E-3</v>
      </c>
      <c r="E341" s="645">
        <v>1.6894321077470912E-3</v>
      </c>
      <c r="F341" s="645">
        <v>2.7960700357376384E-3</v>
      </c>
      <c r="G341" s="645">
        <v>5.0424012031789929E-3</v>
      </c>
      <c r="H341" s="645">
        <v>3.0450762876306522E-3</v>
      </c>
      <c r="I341" s="645">
        <v>3.5287375404012542E-3</v>
      </c>
      <c r="J341" s="645">
        <v>1.9429523498524805E-3</v>
      </c>
      <c r="K341" s="645">
        <v>2.9421524808950286E-3</v>
      </c>
      <c r="L341" s="645">
        <v>3.2606420212410682E-3</v>
      </c>
    </row>
    <row r="342" spans="1:12" ht="12.75" customHeight="1">
      <c r="A342" s="653" t="s">
        <v>1172</v>
      </c>
      <c r="B342" s="648" t="s">
        <v>1173</v>
      </c>
      <c r="C342" s="652">
        <v>2.9978065388368471E-3</v>
      </c>
      <c r="D342" s="650">
        <v>1.5017777363648677E-3</v>
      </c>
      <c r="E342" s="650">
        <v>1.6894321077470912E-3</v>
      </c>
      <c r="F342" s="650">
        <v>2.7960700357376384E-3</v>
      </c>
      <c r="G342" s="650">
        <v>5.0424012031789929E-3</v>
      </c>
      <c r="H342" s="650">
        <v>3.0450762876306522E-3</v>
      </c>
      <c r="I342" s="650">
        <v>3.5287375404012542E-3</v>
      </c>
      <c r="J342" s="650">
        <v>1.9429523498524805E-3</v>
      </c>
      <c r="K342" s="650">
        <v>2.9421524808950286E-3</v>
      </c>
      <c r="L342" s="650">
        <v>3.2606420212410682E-3</v>
      </c>
    </row>
    <row r="343" spans="1:12" s="651" customFormat="1" ht="12.75" customHeight="1">
      <c r="A343" s="642" t="s">
        <v>1174</v>
      </c>
      <c r="B343" s="646" t="s">
        <v>1175</v>
      </c>
      <c r="C343" s="654">
        <v>2.2507189894555705E-3</v>
      </c>
      <c r="D343" s="645">
        <v>3.0944266996115397E-3</v>
      </c>
      <c r="E343" s="645">
        <v>2.3867132204574686E-3</v>
      </c>
      <c r="F343" s="645">
        <v>2.1976673702712533E-3</v>
      </c>
      <c r="G343" s="645">
        <v>2.8011180685732014E-3</v>
      </c>
      <c r="H343" s="645">
        <v>2.8188782145433843E-3</v>
      </c>
      <c r="I343" s="645">
        <v>1.8455820065101567E-3</v>
      </c>
      <c r="J343" s="645">
        <v>1.0284774336231409E-3</v>
      </c>
      <c r="K343" s="645">
        <v>2.95281960959691E-3</v>
      </c>
      <c r="L343" s="645">
        <v>1.0338078253987238E-3</v>
      </c>
    </row>
    <row r="344" spans="1:12" ht="12.75" customHeight="1">
      <c r="A344" s="653" t="s">
        <v>1176</v>
      </c>
      <c r="B344" s="648" t="s">
        <v>1175</v>
      </c>
      <c r="C344" s="652">
        <v>1.7976905124806476E-3</v>
      </c>
      <c r="D344" s="650">
        <v>2.9453952769083764E-3</v>
      </c>
      <c r="E344" s="650">
        <v>1.9509223619637395E-3</v>
      </c>
      <c r="F344" s="650">
        <v>1.909825948488156E-3</v>
      </c>
      <c r="G344" s="650">
        <v>2.040294475612831E-3</v>
      </c>
      <c r="H344" s="650">
        <v>2.0145612493864414E-3</v>
      </c>
      <c r="I344" s="650">
        <v>1.4677925018049638E-3</v>
      </c>
      <c r="J344" s="650">
        <v>8.8505467250690902E-4</v>
      </c>
      <c r="K344" s="650">
        <v>2.3165670460318102E-3</v>
      </c>
      <c r="L344" s="650">
        <v>5.2787401003888173E-4</v>
      </c>
    </row>
    <row r="345" spans="1:12" s="651" customFormat="1" ht="12.75" customHeight="1">
      <c r="A345" s="653" t="s">
        <v>1177</v>
      </c>
      <c r="B345" s="648" t="s">
        <v>1178</v>
      </c>
      <c r="C345" s="652">
        <v>4.5302847697492295E-4</v>
      </c>
      <c r="D345" s="650">
        <v>1.4903142270316337E-4</v>
      </c>
      <c r="E345" s="650">
        <v>4.357908584937291E-4</v>
      </c>
      <c r="F345" s="650">
        <v>2.8784142178309727E-4</v>
      </c>
      <c r="G345" s="650">
        <v>7.6082359296037046E-4</v>
      </c>
      <c r="H345" s="650">
        <v>8.0431696515694288E-4</v>
      </c>
      <c r="I345" s="650">
        <v>3.7778950470519269E-4</v>
      </c>
      <c r="J345" s="650">
        <v>1.4342276111623187E-4</v>
      </c>
      <c r="K345" s="650">
        <v>6.3625256356509977E-4</v>
      </c>
      <c r="L345" s="650">
        <v>5.0593381535984211E-4</v>
      </c>
    </row>
    <row r="346" spans="1:12" s="651" customFormat="1" ht="12.75" customHeight="1">
      <c r="A346" s="642" t="s">
        <v>1179</v>
      </c>
      <c r="B346" s="646" t="s">
        <v>1180</v>
      </c>
      <c r="C346" s="654">
        <v>1.2377799838657036E-3</v>
      </c>
      <c r="D346" s="645">
        <v>2.6208665764523467E-3</v>
      </c>
      <c r="E346" s="645">
        <v>2.3769321186925718E-3</v>
      </c>
      <c r="F346" s="645">
        <v>1.8668249062613255E-3</v>
      </c>
      <c r="G346" s="645">
        <v>7.7981326052848526E-4</v>
      </c>
      <c r="H346" s="645">
        <v>1.3365701483997554E-3</v>
      </c>
      <c r="I346" s="645">
        <v>9.8157977242739505E-4</v>
      </c>
      <c r="J346" s="645">
        <v>1.1098262244956755E-3</v>
      </c>
      <c r="K346" s="645">
        <v>1.0328191341785484E-3</v>
      </c>
      <c r="L346" s="645">
        <v>9.2069290762270852E-4</v>
      </c>
    </row>
    <row r="347" spans="1:12" ht="12.75" customHeight="1">
      <c r="A347" s="653" t="s">
        <v>1181</v>
      </c>
      <c r="B347" s="648" t="s">
        <v>1182</v>
      </c>
      <c r="C347" s="652">
        <v>4.2016801373210162E-4</v>
      </c>
      <c r="D347" s="650">
        <v>1.0224437985984368E-3</v>
      </c>
      <c r="E347" s="650">
        <v>1.132353556514393E-3</v>
      </c>
      <c r="F347" s="650">
        <v>3.0726195920142464E-4</v>
      </c>
      <c r="G347" s="650">
        <v>3.2624280905069273E-4</v>
      </c>
      <c r="H347" s="650">
        <v>3.2153253498195981E-5</v>
      </c>
      <c r="I347" s="650">
        <v>3.1058127075693948E-4</v>
      </c>
      <c r="J347" s="650">
        <v>9.4297554557779006E-5</v>
      </c>
      <c r="K347" s="650">
        <v>2.5708289038733591E-4</v>
      </c>
      <c r="L347" s="650">
        <v>4.8245580789665047E-4</v>
      </c>
    </row>
    <row r="348" spans="1:12" ht="12.75" customHeight="1">
      <c r="A348" s="653" t="s">
        <v>1183</v>
      </c>
      <c r="B348" s="648" t="s">
        <v>1184</v>
      </c>
      <c r="C348" s="652">
        <v>4.1930717246567109E-4</v>
      </c>
      <c r="D348" s="650">
        <v>7.3325124963467836E-4</v>
      </c>
      <c r="E348" s="650">
        <v>5.4876728022873456E-4</v>
      </c>
      <c r="F348" s="650">
        <v>9.2939041569374211E-4</v>
      </c>
      <c r="G348" s="650">
        <v>3.8995266339599498E-4</v>
      </c>
      <c r="H348" s="650">
        <v>8.211990550570107E-4</v>
      </c>
      <c r="I348" s="650">
        <v>1.6151241319843049E-4</v>
      </c>
      <c r="J348" s="650">
        <v>4.8165050045404195E-4</v>
      </c>
      <c r="K348" s="650">
        <v>6.1966031239106523E-4</v>
      </c>
      <c r="L348" s="650">
        <v>4.2803041659009974E-4</v>
      </c>
    </row>
    <row r="349" spans="1:12" s="651" customFormat="1" ht="12.75" customHeight="1">
      <c r="A349" s="653" t="s">
        <v>1185</v>
      </c>
      <c r="B349" s="648" t="s">
        <v>1186</v>
      </c>
      <c r="C349" s="652">
        <v>3.9830479766793099E-4</v>
      </c>
      <c r="D349" s="650">
        <v>8.6517152821923135E-4</v>
      </c>
      <c r="E349" s="650">
        <v>6.9581128194944411E-4</v>
      </c>
      <c r="F349" s="650">
        <v>6.3017253136615867E-4</v>
      </c>
      <c r="G349" s="650">
        <v>6.3617788081797504E-5</v>
      </c>
      <c r="H349" s="650">
        <v>4.8321783984454876E-4</v>
      </c>
      <c r="I349" s="650">
        <v>5.0948608847202503E-4</v>
      </c>
      <c r="J349" s="650">
        <v>5.3387816948385458E-4</v>
      </c>
      <c r="K349" s="650">
        <v>1.560759314001475E-4</v>
      </c>
      <c r="L349" s="650">
        <v>1.0206683135958463E-5</v>
      </c>
    </row>
    <row r="350" spans="1:12" s="651" customFormat="1" ht="12.75" customHeight="1">
      <c r="A350" s="642" t="s">
        <v>1187</v>
      </c>
      <c r="B350" s="646" t="s">
        <v>1188</v>
      </c>
      <c r="C350" s="654">
        <v>9.5131353142926763E-4</v>
      </c>
      <c r="D350" s="645">
        <v>6.3923422926302266E-4</v>
      </c>
      <c r="E350" s="645">
        <v>2.2390091911066333E-3</v>
      </c>
      <c r="F350" s="645">
        <v>7.8270099087385139E-4</v>
      </c>
      <c r="G350" s="645">
        <v>7.4887099022883795E-4</v>
      </c>
      <c r="H350" s="645">
        <v>8.2043406088121119E-4</v>
      </c>
      <c r="I350" s="645">
        <v>4.6633322317884073E-4</v>
      </c>
      <c r="J350" s="645">
        <v>1.2500031424048195E-3</v>
      </c>
      <c r="K350" s="645">
        <v>1.1683400110765331E-3</v>
      </c>
      <c r="L350" s="645">
        <v>1.229290192769334E-3</v>
      </c>
    </row>
    <row r="351" spans="1:12" s="651" customFormat="1" ht="12.75" customHeight="1">
      <c r="A351" s="653" t="s">
        <v>1189</v>
      </c>
      <c r="B351" s="648" t="s">
        <v>1190</v>
      </c>
      <c r="C351" s="652">
        <v>9.5131353142926763E-4</v>
      </c>
      <c r="D351" s="650">
        <v>6.3923422926302266E-4</v>
      </c>
      <c r="E351" s="650">
        <v>2.2390091911066333E-3</v>
      </c>
      <c r="F351" s="650">
        <v>7.8270099087385139E-4</v>
      </c>
      <c r="G351" s="650">
        <v>7.4887099022883795E-4</v>
      </c>
      <c r="H351" s="650">
        <v>8.2043406088121119E-4</v>
      </c>
      <c r="I351" s="650">
        <v>4.6633322317884073E-4</v>
      </c>
      <c r="J351" s="650">
        <v>1.2500031424048195E-3</v>
      </c>
      <c r="K351" s="650">
        <v>1.1683400110765331E-3</v>
      </c>
      <c r="L351" s="650">
        <v>1.229290192769334E-3</v>
      </c>
    </row>
    <row r="352" spans="1:12" s="651" customFormat="1" ht="12.75" customHeight="1">
      <c r="A352" s="642" t="s">
        <v>1191</v>
      </c>
      <c r="B352" s="646" t="s">
        <v>1192</v>
      </c>
      <c r="C352" s="654">
        <v>2.4536687743260781E-3</v>
      </c>
      <c r="D352" s="645">
        <v>2.6329667862660068E-3</v>
      </c>
      <c r="E352" s="645">
        <v>1.0204103318773145E-3</v>
      </c>
      <c r="F352" s="645">
        <v>1.6752034198690318E-3</v>
      </c>
      <c r="G352" s="645">
        <v>2.0147520918117894E-3</v>
      </c>
      <c r="H352" s="645">
        <v>2.6987271327136254E-3</v>
      </c>
      <c r="I352" s="645">
        <v>3.0731552337475883E-3</v>
      </c>
      <c r="J352" s="645">
        <v>1.5169854885756302E-3</v>
      </c>
      <c r="K352" s="645">
        <v>2.7908185557246083E-3</v>
      </c>
      <c r="L352" s="645">
        <v>3.7158609678549777E-3</v>
      </c>
    </row>
    <row r="353" spans="1:12" s="651" customFormat="1" ht="12.75" customHeight="1">
      <c r="A353" s="653" t="s">
        <v>1193</v>
      </c>
      <c r="B353" s="648" t="s">
        <v>1194</v>
      </c>
      <c r="C353" s="652">
        <v>5.4853399477430376E-4</v>
      </c>
      <c r="D353" s="650">
        <v>6.9636613205335124E-4</v>
      </c>
      <c r="E353" s="650">
        <v>2.4750599496040017E-4</v>
      </c>
      <c r="F353" s="650">
        <v>2.7301715178308249E-4</v>
      </c>
      <c r="G353" s="650">
        <v>4.1143388422741026E-4</v>
      </c>
      <c r="H353" s="650">
        <v>4.1800461893221243E-4</v>
      </c>
      <c r="I353" s="650">
        <v>8.1314417371099819E-4</v>
      </c>
      <c r="J353" s="650">
        <v>3.5985449844891967E-4</v>
      </c>
      <c r="K353" s="650">
        <v>4.9974970018590119E-4</v>
      </c>
      <c r="L353" s="650">
        <v>1.0003980957253801E-3</v>
      </c>
    </row>
    <row r="354" spans="1:12" ht="12.75" customHeight="1">
      <c r="A354" s="653" t="s">
        <v>1195</v>
      </c>
      <c r="B354" s="648" t="s">
        <v>1196</v>
      </c>
      <c r="C354" s="652">
        <v>7.6491557200905407E-4</v>
      </c>
      <c r="D354" s="650">
        <v>7.7862087247908989E-4</v>
      </c>
      <c r="E354" s="650">
        <v>1.0495962459678989E-4</v>
      </c>
      <c r="F354" s="650">
        <v>3.2670088728018598E-4</v>
      </c>
      <c r="G354" s="650">
        <v>3.7846839774403023E-4</v>
      </c>
      <c r="H354" s="650">
        <v>1.4696765240872526E-3</v>
      </c>
      <c r="I354" s="650">
        <v>9.36214643245636E-4</v>
      </c>
      <c r="J354" s="650">
        <v>6.5974420671833654E-4</v>
      </c>
      <c r="K354" s="650">
        <v>1.1249940668076207E-3</v>
      </c>
      <c r="L354" s="650">
        <v>9.9729355927673387E-4</v>
      </c>
    </row>
    <row r="355" spans="1:12" s="651" customFormat="1" ht="12.75" customHeight="1">
      <c r="A355" s="653" t="s">
        <v>1197</v>
      </c>
      <c r="B355" s="648" t="s">
        <v>1198</v>
      </c>
      <c r="C355" s="652">
        <v>4.4208503237542417E-4</v>
      </c>
      <c r="D355" s="650">
        <v>2.7169561366566431E-4</v>
      </c>
      <c r="E355" s="650">
        <v>3.5293708237052425E-4</v>
      </c>
      <c r="F355" s="650">
        <v>7.280090058091129E-4</v>
      </c>
      <c r="G355" s="650">
        <v>7.0120668446000864E-4</v>
      </c>
      <c r="H355" s="650">
        <v>2.7904011105316242E-4</v>
      </c>
      <c r="I355" s="650">
        <v>2.888856502496837E-4</v>
      </c>
      <c r="J355" s="650">
        <v>3.9390149018839979E-5</v>
      </c>
      <c r="K355" s="650">
        <v>5.3002971576721243E-4</v>
      </c>
      <c r="L355" s="650">
        <v>4.449353728387438E-4</v>
      </c>
    </row>
    <row r="356" spans="1:12" ht="12.75" customHeight="1">
      <c r="A356" s="653" t="s">
        <v>1199</v>
      </c>
      <c r="B356" s="648" t="s">
        <v>1200</v>
      </c>
      <c r="C356" s="652">
        <v>6.9813417516729581E-4</v>
      </c>
      <c r="D356" s="650">
        <v>8.862841680679016E-4</v>
      </c>
      <c r="E356" s="650">
        <v>3.1500762994960026E-4</v>
      </c>
      <c r="F356" s="650">
        <v>3.4747637499665037E-4</v>
      </c>
      <c r="G356" s="650">
        <v>5.2364312538034029E-4</v>
      </c>
      <c r="H356" s="650">
        <v>5.3200587864099785E-4</v>
      </c>
      <c r="I356" s="650">
        <v>1.0349107665412706E-3</v>
      </c>
      <c r="J356" s="650">
        <v>4.5799663438953419E-4</v>
      </c>
      <c r="K356" s="650">
        <v>6.3604507296387432E-4</v>
      </c>
      <c r="L356" s="650">
        <v>1.2732339400141201E-3</v>
      </c>
    </row>
    <row r="357" spans="1:12" s="651" customFormat="1" ht="12.75" customHeight="1">
      <c r="A357" s="642" t="s">
        <v>1201</v>
      </c>
      <c r="B357" s="646" t="s">
        <v>1202</v>
      </c>
      <c r="C357" s="654">
        <v>1.9699792835440634E-3</v>
      </c>
      <c r="D357" s="645">
        <v>1.2888384094031482E-3</v>
      </c>
      <c r="E357" s="645">
        <v>1.2919431603431019E-3</v>
      </c>
      <c r="F357" s="645">
        <v>2.2177665230595956E-3</v>
      </c>
      <c r="G357" s="645">
        <v>2.0678002725551367E-3</v>
      </c>
      <c r="H357" s="645">
        <v>2.0677740353829276E-3</v>
      </c>
      <c r="I357" s="645">
        <v>1.6911848513533516E-3</v>
      </c>
      <c r="J357" s="645">
        <v>2.7338157673125821E-3</v>
      </c>
      <c r="K357" s="645">
        <v>2.1056988387592704E-3</v>
      </c>
      <c r="L357" s="645">
        <v>1.9379209143328665E-3</v>
      </c>
    </row>
    <row r="358" spans="1:12" ht="12.75" customHeight="1">
      <c r="A358" s="653" t="s">
        <v>1203</v>
      </c>
      <c r="B358" s="648" t="s">
        <v>1204</v>
      </c>
      <c r="C358" s="652">
        <v>1.9699792835440634E-3</v>
      </c>
      <c r="D358" s="650">
        <v>1.2888384094031482E-3</v>
      </c>
      <c r="E358" s="650">
        <v>1.2919431603431019E-3</v>
      </c>
      <c r="F358" s="650">
        <v>2.2177665230595956E-3</v>
      </c>
      <c r="G358" s="650">
        <v>2.0678002725551367E-3</v>
      </c>
      <c r="H358" s="650">
        <v>2.0677740353829276E-3</v>
      </c>
      <c r="I358" s="650">
        <v>1.6911848513533516E-3</v>
      </c>
      <c r="J358" s="650">
        <v>2.7338157673125821E-3</v>
      </c>
      <c r="K358" s="650">
        <v>2.1056988387592704E-3</v>
      </c>
      <c r="L358" s="650">
        <v>1.9379209143328665E-3</v>
      </c>
    </row>
    <row r="359" spans="1:12" s="651" customFormat="1" ht="12.75" customHeight="1">
      <c r="A359" s="642" t="s">
        <v>1205</v>
      </c>
      <c r="B359" s="646" t="s">
        <v>1206</v>
      </c>
      <c r="C359" s="654">
        <v>2.49894385610666E-3</v>
      </c>
      <c r="D359" s="645">
        <v>2.49894385610666E-3</v>
      </c>
      <c r="E359" s="645">
        <v>2.49894385610666E-3</v>
      </c>
      <c r="F359" s="645">
        <v>2.49894385610666E-3</v>
      </c>
      <c r="G359" s="645">
        <v>2.49894385610666E-3</v>
      </c>
      <c r="H359" s="645">
        <v>2.49894385610666E-3</v>
      </c>
      <c r="I359" s="645">
        <v>2.49894385610666E-3</v>
      </c>
      <c r="J359" s="645">
        <v>2.4989438561066595E-3</v>
      </c>
      <c r="K359" s="645">
        <v>2.4989438561066595E-3</v>
      </c>
      <c r="L359" s="645">
        <v>2.4989438561066595E-3</v>
      </c>
    </row>
    <row r="360" spans="1:12" s="651" customFormat="1" ht="12.75" customHeight="1">
      <c r="A360" s="642" t="s">
        <v>1207</v>
      </c>
      <c r="B360" s="646" t="s">
        <v>1206</v>
      </c>
      <c r="C360" s="654">
        <v>2.49894385610666E-3</v>
      </c>
      <c r="D360" s="645">
        <v>2.49894385610666E-3</v>
      </c>
      <c r="E360" s="645">
        <v>2.49894385610666E-3</v>
      </c>
      <c r="F360" s="645">
        <v>2.49894385610666E-3</v>
      </c>
      <c r="G360" s="645">
        <v>2.49894385610666E-3</v>
      </c>
      <c r="H360" s="645">
        <v>2.49894385610666E-3</v>
      </c>
      <c r="I360" s="645">
        <v>2.49894385610666E-3</v>
      </c>
      <c r="J360" s="645">
        <v>2.4989438561066595E-3</v>
      </c>
      <c r="K360" s="645">
        <v>2.4989438561066595E-3</v>
      </c>
      <c r="L360" s="645">
        <v>2.4989438561066595E-3</v>
      </c>
    </row>
    <row r="361" spans="1:12" s="651" customFormat="1" ht="12.75" customHeight="1">
      <c r="A361" s="642" t="s">
        <v>1208</v>
      </c>
      <c r="B361" s="646" t="s">
        <v>1209</v>
      </c>
      <c r="C361" s="654">
        <v>5.6137468376947486E-4</v>
      </c>
      <c r="D361" s="645">
        <v>4.5507787519501739E-4</v>
      </c>
      <c r="E361" s="645">
        <v>5.3764561957689706E-4</v>
      </c>
      <c r="F361" s="645">
        <v>7.39539681650833E-4</v>
      </c>
      <c r="G361" s="645">
        <v>4.6637160700157068E-4</v>
      </c>
      <c r="H361" s="645">
        <v>4.5035068381842823E-4</v>
      </c>
      <c r="I361" s="645">
        <v>6.2259312395573354E-4</v>
      </c>
      <c r="J361" s="645">
        <v>2.802212597447397E-4</v>
      </c>
      <c r="K361" s="645">
        <v>6.7985786945779858E-4</v>
      </c>
      <c r="L361" s="645">
        <v>5.7424259188264292E-4</v>
      </c>
    </row>
    <row r="362" spans="1:12" ht="12.75" customHeight="1">
      <c r="A362" s="653" t="s">
        <v>1210</v>
      </c>
      <c r="B362" s="648" t="s">
        <v>1211</v>
      </c>
      <c r="C362" s="652">
        <v>5.6137468376947486E-4</v>
      </c>
      <c r="D362" s="650">
        <v>4.5507787519501739E-4</v>
      </c>
      <c r="E362" s="650">
        <v>5.3764561957689706E-4</v>
      </c>
      <c r="F362" s="650">
        <v>7.39539681650833E-4</v>
      </c>
      <c r="G362" s="650">
        <v>4.6637160700157068E-4</v>
      </c>
      <c r="H362" s="650">
        <v>4.5035068381842823E-4</v>
      </c>
      <c r="I362" s="650">
        <v>6.2259312395573354E-4</v>
      </c>
      <c r="J362" s="650">
        <v>2.802212597447397E-4</v>
      </c>
      <c r="K362" s="650">
        <v>6.7985786945779858E-4</v>
      </c>
      <c r="L362" s="650">
        <v>5.7424259188264292E-4</v>
      </c>
    </row>
    <row r="363" spans="1:12" s="651" customFormat="1" ht="12.75" customHeight="1">
      <c r="A363" s="642" t="s">
        <v>1212</v>
      </c>
      <c r="B363" s="646" t="s">
        <v>1213</v>
      </c>
      <c r="C363" s="654">
        <v>1.937569172337185E-3</v>
      </c>
      <c r="D363" s="645">
        <v>2.043865980911642E-3</v>
      </c>
      <c r="E363" s="645">
        <v>1.9612982365297626E-3</v>
      </c>
      <c r="F363" s="645">
        <v>1.7594041744558267E-3</v>
      </c>
      <c r="G363" s="645">
        <v>2.0325722491050893E-3</v>
      </c>
      <c r="H363" s="645">
        <v>2.0485931722882315E-3</v>
      </c>
      <c r="I363" s="645">
        <v>1.8763507321509262E-3</v>
      </c>
      <c r="J363" s="645">
        <v>2.2187225963619197E-3</v>
      </c>
      <c r="K363" s="645">
        <v>1.8190859866488609E-3</v>
      </c>
      <c r="L363" s="645">
        <v>1.9247012642240166E-3</v>
      </c>
    </row>
    <row r="364" spans="1:12" ht="12.75" customHeight="1">
      <c r="A364" s="653" t="s">
        <v>1214</v>
      </c>
      <c r="B364" s="648" t="s">
        <v>1215</v>
      </c>
      <c r="C364" s="652">
        <v>1.937569172337185E-3</v>
      </c>
      <c r="D364" s="650">
        <v>2.043865980911642E-3</v>
      </c>
      <c r="E364" s="650">
        <v>1.9612982365297626E-3</v>
      </c>
      <c r="F364" s="650">
        <v>1.7594041744558267E-3</v>
      </c>
      <c r="G364" s="650">
        <v>2.0325722491050893E-3</v>
      </c>
      <c r="H364" s="650">
        <v>2.0485931722882315E-3</v>
      </c>
      <c r="I364" s="650">
        <v>1.8763507321509262E-3</v>
      </c>
      <c r="J364" s="650">
        <v>2.2187225963619197E-3</v>
      </c>
      <c r="K364" s="650">
        <v>1.8190859866488609E-3</v>
      </c>
      <c r="L364" s="650">
        <v>1.9247012642240166E-3</v>
      </c>
    </row>
    <row r="365" spans="1:12" s="651" customFormat="1" ht="12.75" customHeight="1">
      <c r="A365" s="642" t="s">
        <v>1216</v>
      </c>
      <c r="B365" s="646" t="s">
        <v>1217</v>
      </c>
      <c r="C365" s="654">
        <v>5.0039174364928714E-3</v>
      </c>
      <c r="D365" s="645">
        <v>5.0039174364928714E-3</v>
      </c>
      <c r="E365" s="645">
        <v>5.0039174364928714E-3</v>
      </c>
      <c r="F365" s="645">
        <v>5.0039174364928714E-3</v>
      </c>
      <c r="G365" s="645">
        <v>5.0039174364928714E-3</v>
      </c>
      <c r="H365" s="645">
        <v>5.0039174364928714E-3</v>
      </c>
      <c r="I365" s="645">
        <v>5.0039174364928714E-3</v>
      </c>
      <c r="J365" s="645">
        <v>5.0039174364928714E-3</v>
      </c>
      <c r="K365" s="645">
        <v>5.0039174364928714E-3</v>
      </c>
      <c r="L365" s="645">
        <v>5.0039174364928714E-3</v>
      </c>
    </row>
    <row r="366" spans="1:12" ht="12.75" customHeight="1">
      <c r="A366" s="653" t="s">
        <v>1218</v>
      </c>
      <c r="B366" s="648" t="s">
        <v>1219</v>
      </c>
      <c r="C366" s="652">
        <v>5.0039174364928714E-3</v>
      </c>
      <c r="D366" s="650">
        <v>5.0039174364928714E-3</v>
      </c>
      <c r="E366" s="650">
        <v>5.0039174364928714E-3</v>
      </c>
      <c r="F366" s="650">
        <v>5.0039174364928714E-3</v>
      </c>
      <c r="G366" s="650">
        <v>5.0039174364928714E-3</v>
      </c>
      <c r="H366" s="650">
        <v>5.0039174364928714E-3</v>
      </c>
      <c r="I366" s="650">
        <v>5.0039174364928714E-3</v>
      </c>
      <c r="J366" s="650">
        <v>5.0039174364928714E-3</v>
      </c>
      <c r="K366" s="650">
        <v>5.0039174364928714E-3</v>
      </c>
      <c r="L366" s="650">
        <v>5.0039174364928714E-3</v>
      </c>
    </row>
    <row r="367" spans="1:12" s="651" customFormat="1" ht="12.75" customHeight="1">
      <c r="A367" s="642" t="s">
        <v>1220</v>
      </c>
      <c r="B367" s="646" t="s">
        <v>1221</v>
      </c>
      <c r="C367" s="654">
        <v>9.8668900679512242E-3</v>
      </c>
      <c r="D367" s="645">
        <v>9.8668900679512259E-3</v>
      </c>
      <c r="E367" s="645">
        <v>9.8668900679512242E-3</v>
      </c>
      <c r="F367" s="645">
        <v>9.8668900679512242E-3</v>
      </c>
      <c r="G367" s="645">
        <v>9.8668900679512242E-3</v>
      </c>
      <c r="H367" s="645">
        <v>9.8668900679512225E-3</v>
      </c>
      <c r="I367" s="645">
        <v>9.8668900679512242E-3</v>
      </c>
      <c r="J367" s="645">
        <v>9.8668900679512259E-3</v>
      </c>
      <c r="K367" s="645">
        <v>9.8668900679512242E-3</v>
      </c>
      <c r="L367" s="645">
        <v>9.8668900679512225E-3</v>
      </c>
    </row>
    <row r="368" spans="1:12" s="651" customFormat="1" ht="12.75" customHeight="1">
      <c r="A368" s="642" t="s">
        <v>1222</v>
      </c>
      <c r="B368" s="646" t="s">
        <v>1223</v>
      </c>
      <c r="C368" s="654">
        <v>9.8668900679512242E-3</v>
      </c>
      <c r="D368" s="645">
        <v>9.8668900679512259E-3</v>
      </c>
      <c r="E368" s="645">
        <v>9.8668900679512242E-3</v>
      </c>
      <c r="F368" s="645">
        <v>9.8668900679512242E-3</v>
      </c>
      <c r="G368" s="645">
        <v>9.8668900679512242E-3</v>
      </c>
      <c r="H368" s="645">
        <v>9.8668900679512225E-3</v>
      </c>
      <c r="I368" s="645">
        <v>9.8668900679512242E-3</v>
      </c>
      <c r="J368" s="645">
        <v>9.8668900679512259E-3</v>
      </c>
      <c r="K368" s="645">
        <v>9.8668900679512242E-3</v>
      </c>
      <c r="L368" s="645">
        <v>9.8668900679512225E-3</v>
      </c>
    </row>
    <row r="369" spans="1:12" s="651" customFormat="1" ht="12.75" customHeight="1">
      <c r="A369" s="642" t="s">
        <v>1224</v>
      </c>
      <c r="B369" s="646" t="s">
        <v>1225</v>
      </c>
      <c r="C369" s="654">
        <v>8.7107375622701728E-3</v>
      </c>
      <c r="D369" s="645">
        <v>8.5886666713403219E-3</v>
      </c>
      <c r="E369" s="645">
        <v>8.7317945787963903E-3</v>
      </c>
      <c r="F369" s="645">
        <v>8.1471384457720061E-3</v>
      </c>
      <c r="G369" s="645">
        <v>8.7662173672940751E-3</v>
      </c>
      <c r="H369" s="645">
        <v>8.5968284155766156E-3</v>
      </c>
      <c r="I369" s="645">
        <v>9.1833688332918911E-3</v>
      </c>
      <c r="J369" s="645">
        <v>8.9965414767093996E-3</v>
      </c>
      <c r="K369" s="645">
        <v>8.884425013903274E-3</v>
      </c>
      <c r="L369" s="645">
        <v>8.7294080879570697E-3</v>
      </c>
    </row>
    <row r="370" spans="1:12" ht="12.75" customHeight="1">
      <c r="A370" s="653" t="s">
        <v>1226</v>
      </c>
      <c r="B370" s="648" t="s">
        <v>1227</v>
      </c>
      <c r="C370" s="652">
        <v>2.6290029930832897E-3</v>
      </c>
      <c r="D370" s="650">
        <v>2.5829725255692368E-3</v>
      </c>
      <c r="E370" s="650">
        <v>2.6374065344920432E-3</v>
      </c>
      <c r="F370" s="650">
        <v>2.423687957935424E-3</v>
      </c>
      <c r="G370" s="650">
        <v>2.6521388115614036E-3</v>
      </c>
      <c r="H370" s="650">
        <v>2.6132410259668342E-3</v>
      </c>
      <c r="I370" s="650">
        <v>2.8240268198544195E-3</v>
      </c>
      <c r="J370" s="650">
        <v>2.7264035688079761E-3</v>
      </c>
      <c r="K370" s="650">
        <v>2.6756598168247814E-3</v>
      </c>
      <c r="L370" s="650">
        <v>2.6131961116864612E-3</v>
      </c>
    </row>
    <row r="371" spans="1:12" ht="12.75" customHeight="1">
      <c r="A371" s="653" t="s">
        <v>1228</v>
      </c>
      <c r="B371" s="648" t="s">
        <v>1229</v>
      </c>
      <c r="C371" s="652">
        <v>5.5866313603019913E-3</v>
      </c>
      <c r="D371" s="650">
        <v>5.488816616834629E-3</v>
      </c>
      <c r="E371" s="650">
        <v>5.6044888857955909E-3</v>
      </c>
      <c r="F371" s="650">
        <v>5.1503369106127754E-3</v>
      </c>
      <c r="G371" s="650">
        <v>5.6357949745679823E-3</v>
      </c>
      <c r="H371" s="650">
        <v>5.5531371801795229E-3</v>
      </c>
      <c r="I371" s="650">
        <v>6.0010569921906416E-3</v>
      </c>
      <c r="J371" s="650">
        <v>5.793607583716949E-3</v>
      </c>
      <c r="K371" s="650">
        <v>5.68577711075266E-3</v>
      </c>
      <c r="L371" s="650">
        <v>5.5530417373337295E-3</v>
      </c>
    </row>
    <row r="372" spans="1:12" ht="12.75" customHeight="1">
      <c r="A372" s="653" t="s">
        <v>1230</v>
      </c>
      <c r="B372" s="648" t="s">
        <v>1231</v>
      </c>
      <c r="C372" s="652">
        <v>4.9510320888489071E-4</v>
      </c>
      <c r="D372" s="650">
        <v>5.1687752893645519E-4</v>
      </c>
      <c r="E372" s="650">
        <v>4.8989915850875616E-4</v>
      </c>
      <c r="F372" s="650">
        <v>5.7311357722380574E-4</v>
      </c>
      <c r="G372" s="650">
        <v>4.7828358116468818E-4</v>
      </c>
      <c r="H372" s="650">
        <v>4.3045020943025827E-4</v>
      </c>
      <c r="I372" s="650">
        <v>3.5828502124683032E-4</v>
      </c>
      <c r="J372" s="650">
        <v>4.7653032418447442E-4</v>
      </c>
      <c r="K372" s="650">
        <v>5.2298808632583206E-4</v>
      </c>
      <c r="L372" s="650">
        <v>5.6317023893687928E-4</v>
      </c>
    </row>
    <row r="373" spans="1:12" s="651" customFormat="1" ht="12.75" customHeight="1">
      <c r="A373" s="642" t="s">
        <v>1232</v>
      </c>
      <c r="B373" s="646" t="s">
        <v>1233</v>
      </c>
      <c r="C373" s="654">
        <v>1.1561525056810527E-3</v>
      </c>
      <c r="D373" s="645">
        <v>1.2782233966109036E-3</v>
      </c>
      <c r="E373" s="645">
        <v>1.1350954891548345E-3</v>
      </c>
      <c r="F373" s="645">
        <v>1.7197516221792194E-3</v>
      </c>
      <c r="G373" s="645">
        <v>1.1006727006571497E-3</v>
      </c>
      <c r="H373" s="645">
        <v>1.2700616523746075E-3</v>
      </c>
      <c r="I373" s="645">
        <v>6.8352123465933285E-4</v>
      </c>
      <c r="J373" s="645">
        <v>8.7034859124182509E-4</v>
      </c>
      <c r="K373" s="645">
        <v>9.8246505404795022E-4</v>
      </c>
      <c r="L373" s="645">
        <v>1.1374819799941536E-3</v>
      </c>
    </row>
    <row r="374" spans="1:12" ht="12.75" customHeight="1">
      <c r="A374" s="653" t="s">
        <v>1234</v>
      </c>
      <c r="B374" s="648" t="s">
        <v>1235</v>
      </c>
      <c r="C374" s="652">
        <v>5.4513209395249827E-4</v>
      </c>
      <c r="D374" s="650">
        <v>5.8025831133043328E-4</v>
      </c>
      <c r="E374" s="650">
        <v>5.3660596931791977E-4</v>
      </c>
      <c r="F374" s="650">
        <v>6.4989910513408406E-4</v>
      </c>
      <c r="G374" s="650">
        <v>6.4754964448501275E-4</v>
      </c>
      <c r="H374" s="650">
        <v>5.8301059652062783E-4</v>
      </c>
      <c r="I374" s="650">
        <v>3.2953705147130527E-4</v>
      </c>
      <c r="J374" s="650">
        <v>4.1710544812073445E-4</v>
      </c>
      <c r="K374" s="650">
        <v>4.6915668039264677E-4</v>
      </c>
      <c r="L374" s="650">
        <v>6.1679907406088157E-4</v>
      </c>
    </row>
    <row r="375" spans="1:12" ht="12.75" customHeight="1">
      <c r="A375" s="653" t="s">
        <v>1236</v>
      </c>
      <c r="B375" s="648" t="s">
        <v>1237</v>
      </c>
      <c r="C375" s="652">
        <v>6.1102041172855445E-4</v>
      </c>
      <c r="D375" s="650">
        <v>6.9796508528047045E-4</v>
      </c>
      <c r="E375" s="650">
        <v>5.9848951983691473E-4</v>
      </c>
      <c r="F375" s="650">
        <v>1.0698525170451355E-3</v>
      </c>
      <c r="G375" s="650">
        <v>4.5312305617213697E-4</v>
      </c>
      <c r="H375" s="650">
        <v>6.8705105585397969E-4</v>
      </c>
      <c r="I375" s="650">
        <v>3.5398418318802763E-4</v>
      </c>
      <c r="J375" s="650">
        <v>4.5324314312109065E-4</v>
      </c>
      <c r="K375" s="650">
        <v>5.133083736553035E-4</v>
      </c>
      <c r="L375" s="650">
        <v>5.2068290593327194E-4</v>
      </c>
    </row>
    <row r="376" spans="1:12" s="651" customFormat="1" ht="12.75" customHeight="1">
      <c r="A376" s="642" t="s">
        <v>1238</v>
      </c>
      <c r="B376" s="646" t="s">
        <v>1239</v>
      </c>
      <c r="C376" s="654">
        <v>7.1617673272606472E-2</v>
      </c>
      <c r="D376" s="645">
        <v>7.1617673272606472E-2</v>
      </c>
      <c r="E376" s="645">
        <v>7.1617673272606472E-2</v>
      </c>
      <c r="F376" s="645">
        <v>7.1617673272606486E-2</v>
      </c>
      <c r="G376" s="645">
        <v>7.1617673272606458E-2</v>
      </c>
      <c r="H376" s="645">
        <v>7.1617673272606472E-2</v>
      </c>
      <c r="I376" s="645">
        <v>7.1617673272606472E-2</v>
      </c>
      <c r="J376" s="645">
        <v>7.1617673272606458E-2</v>
      </c>
      <c r="K376" s="645">
        <v>7.1617673272606486E-2</v>
      </c>
      <c r="L376" s="645">
        <v>7.1617673272606472E-2</v>
      </c>
    </row>
    <row r="377" spans="1:12" s="651" customFormat="1" ht="12.75" customHeight="1">
      <c r="A377" s="642" t="s">
        <v>1240</v>
      </c>
      <c r="B377" s="646" t="s">
        <v>1241</v>
      </c>
      <c r="C377" s="654">
        <v>5.1345740244754044E-2</v>
      </c>
      <c r="D377" s="645">
        <v>5.1345740244754044E-2</v>
      </c>
      <c r="E377" s="645">
        <v>5.1345740244754044E-2</v>
      </c>
      <c r="F377" s="645">
        <v>5.1345740244754058E-2</v>
      </c>
      <c r="G377" s="645">
        <v>5.1345740244754037E-2</v>
      </c>
      <c r="H377" s="645">
        <v>5.1345740244754044E-2</v>
      </c>
      <c r="I377" s="645">
        <v>5.1345740244754044E-2</v>
      </c>
      <c r="J377" s="645">
        <v>5.1345740244754037E-2</v>
      </c>
      <c r="K377" s="645">
        <v>5.1345740244754058E-2</v>
      </c>
      <c r="L377" s="645">
        <v>5.1345740244754044E-2</v>
      </c>
    </row>
    <row r="378" spans="1:12" s="651" customFormat="1" ht="12.75" customHeight="1">
      <c r="A378" s="642" t="s">
        <v>1242</v>
      </c>
      <c r="B378" s="646" t="s">
        <v>1243</v>
      </c>
      <c r="C378" s="654">
        <v>4.6782425814019438E-2</v>
      </c>
      <c r="D378" s="645">
        <v>4.5942614181986474E-2</v>
      </c>
      <c r="E378" s="645">
        <v>4.7865684319269117E-2</v>
      </c>
      <c r="F378" s="645">
        <v>4.574561726131169E-2</v>
      </c>
      <c r="G378" s="645">
        <v>4.7579856381809664E-2</v>
      </c>
      <c r="H378" s="645">
        <v>4.8775418208208368E-2</v>
      </c>
      <c r="I378" s="645">
        <v>4.6030653008935073E-2</v>
      </c>
      <c r="J378" s="645">
        <v>4.437603852611563E-2</v>
      </c>
      <c r="K378" s="645">
        <v>4.6793660881512947E-2</v>
      </c>
      <c r="L378" s="645">
        <v>4.7190582886865604E-2</v>
      </c>
    </row>
    <row r="379" spans="1:12" ht="12.75" customHeight="1">
      <c r="A379" s="653" t="s">
        <v>1244</v>
      </c>
      <c r="B379" s="648" t="s">
        <v>1245</v>
      </c>
      <c r="C379" s="652">
        <v>2.3343587435990668E-3</v>
      </c>
      <c r="D379" s="650">
        <v>9.2782261846983038E-4</v>
      </c>
      <c r="E379" s="650">
        <v>3.4797130782135105E-3</v>
      </c>
      <c r="F379" s="650">
        <v>1.9088316773725484E-3</v>
      </c>
      <c r="G379" s="650">
        <v>2.884140925030647E-3</v>
      </c>
      <c r="H379" s="650">
        <v>2.2973381070384418E-3</v>
      </c>
      <c r="I379" s="650">
        <v>1.9745342237520603E-3</v>
      </c>
      <c r="J379" s="650">
        <v>1.3701082993762578E-3</v>
      </c>
      <c r="K379" s="650">
        <v>1.9709756238440236E-3</v>
      </c>
      <c r="L379" s="650">
        <v>3.1647418882416816E-3</v>
      </c>
    </row>
    <row r="380" spans="1:12" ht="12.75" customHeight="1">
      <c r="A380" s="653" t="s">
        <v>1246</v>
      </c>
      <c r="B380" s="648" t="s">
        <v>1247</v>
      </c>
      <c r="C380" s="652">
        <v>4.6590787642998331E-3</v>
      </c>
      <c r="D380" s="650">
        <v>1.8523072578338605E-3</v>
      </c>
      <c r="E380" s="650">
        <v>7.0378168290601882E-3</v>
      </c>
      <c r="F380" s="650">
        <v>3.8098793066052212E-3</v>
      </c>
      <c r="G380" s="650">
        <v>5.7581689459404719E-3</v>
      </c>
      <c r="H380" s="650">
        <v>4.5148654787549184E-3</v>
      </c>
      <c r="I380" s="650">
        <v>4.1140222705285268E-3</v>
      </c>
      <c r="J380" s="650">
        <v>2.7353627863722302E-3</v>
      </c>
      <c r="K380" s="650">
        <v>4.1284942105493487E-3</v>
      </c>
      <c r="L380" s="650">
        <v>6.2128870767987109E-3</v>
      </c>
    </row>
    <row r="381" spans="1:12" s="651" customFormat="1" ht="12.75" customHeight="1">
      <c r="A381" s="653" t="s">
        <v>1248</v>
      </c>
      <c r="B381" s="648" t="s">
        <v>1249</v>
      </c>
      <c r="C381" s="652">
        <v>1.3988075784077977E-3</v>
      </c>
      <c r="D381" s="650">
        <v>2.3575918985074512E-3</v>
      </c>
      <c r="E381" s="650">
        <v>1.4324826205639404E-3</v>
      </c>
      <c r="F381" s="650">
        <v>1.2791134282166977E-3</v>
      </c>
      <c r="G381" s="650">
        <v>1.4601708438759346E-3</v>
      </c>
      <c r="H381" s="650">
        <v>9.7462068043440027E-4</v>
      </c>
      <c r="I381" s="650">
        <v>1.7407064379498874E-3</v>
      </c>
      <c r="J381" s="650">
        <v>1.3639977402732683E-3</v>
      </c>
      <c r="K381" s="650">
        <v>1.3103324967286402E-3</v>
      </c>
      <c r="L381" s="650">
        <v>1.460736014048726E-3</v>
      </c>
    </row>
    <row r="382" spans="1:12" ht="12.75" customHeight="1">
      <c r="A382" s="653" t="s">
        <v>1250</v>
      </c>
      <c r="B382" s="648" t="s">
        <v>1251</v>
      </c>
      <c r="C382" s="652">
        <v>2.956246812088443E-3</v>
      </c>
      <c r="D382" s="650">
        <v>5.1359604480934445E-3</v>
      </c>
      <c r="E382" s="650">
        <v>3.0536752969117817E-3</v>
      </c>
      <c r="F382" s="650">
        <v>2.6935653639800737E-3</v>
      </c>
      <c r="G382" s="650">
        <v>3.2614909774068427E-3</v>
      </c>
      <c r="H382" s="650">
        <v>2.0872116477112664E-3</v>
      </c>
      <c r="I382" s="650">
        <v>3.6542203104088832E-3</v>
      </c>
      <c r="J382" s="650">
        <v>3.046884835590416E-3</v>
      </c>
      <c r="K382" s="650">
        <v>2.7406625338956703E-3</v>
      </c>
      <c r="L382" s="650">
        <v>3.2134504448367842E-3</v>
      </c>
    </row>
    <row r="383" spans="1:12" s="651" customFormat="1" ht="12.75" customHeight="1">
      <c r="A383" s="653" t="s">
        <v>1252</v>
      </c>
      <c r="B383" s="648" t="s">
        <v>1253</v>
      </c>
      <c r="C383" s="652">
        <v>7.3597694024784962E-3</v>
      </c>
      <c r="D383" s="650">
        <v>6.3181636072785355E-3</v>
      </c>
      <c r="E383" s="650">
        <v>7.1608399642445093E-3</v>
      </c>
      <c r="F383" s="650">
        <v>7.2542055194608317E-3</v>
      </c>
      <c r="G383" s="650">
        <v>7.5367638966921868E-3</v>
      </c>
      <c r="H383" s="650">
        <v>8.5797266932522639E-3</v>
      </c>
      <c r="I383" s="650">
        <v>7.2388373656185907E-3</v>
      </c>
      <c r="J383" s="650">
        <v>6.5668699069387926E-3</v>
      </c>
      <c r="K383" s="650">
        <v>7.940164771082019E-3</v>
      </c>
      <c r="L383" s="650">
        <v>6.6830583347415951E-3</v>
      </c>
    </row>
    <row r="384" spans="1:12" ht="12.75" customHeight="1">
      <c r="A384" s="653" t="s">
        <v>1254</v>
      </c>
      <c r="B384" s="648" t="s">
        <v>1255</v>
      </c>
      <c r="C384" s="652">
        <v>1.9995488332180275E-2</v>
      </c>
      <c r="D384" s="650">
        <v>1.6867902263662107E-2</v>
      </c>
      <c r="E384" s="650">
        <v>1.979039861078874E-2</v>
      </c>
      <c r="F384" s="650">
        <v>1.9979364866264258E-2</v>
      </c>
      <c r="G384" s="650">
        <v>2.029320527519464E-2</v>
      </c>
      <c r="H384" s="650">
        <v>2.3702578730564933E-2</v>
      </c>
      <c r="I384" s="650">
        <v>1.973108500556308E-2</v>
      </c>
      <c r="J384" s="650">
        <v>1.796853329699994E-2</v>
      </c>
      <c r="K384" s="650">
        <v>2.1866203129410771E-2</v>
      </c>
      <c r="L384" s="650">
        <v>1.8628468140234312E-2</v>
      </c>
    </row>
    <row r="385" spans="1:12" s="651" customFormat="1" ht="12.75" customHeight="1">
      <c r="A385" s="653" t="s">
        <v>1256</v>
      </c>
      <c r="B385" s="648" t="s">
        <v>1257</v>
      </c>
      <c r="C385" s="652">
        <v>4.0548605332745265E-3</v>
      </c>
      <c r="D385" s="650">
        <v>8.6151329713638376E-3</v>
      </c>
      <c r="E385" s="650">
        <v>2.2082903694070847E-3</v>
      </c>
      <c r="F385" s="650">
        <v>5.172165004359297E-3</v>
      </c>
      <c r="G385" s="650">
        <v>2.2724210097898436E-3</v>
      </c>
      <c r="H385" s="650">
        <v>3.9152108046352956E-3</v>
      </c>
      <c r="I385" s="650">
        <v>3.3463086742931939E-3</v>
      </c>
      <c r="J385" s="650">
        <v>5.3030159709602873E-3</v>
      </c>
      <c r="K385" s="650">
        <v>2.2958030471821791E-3</v>
      </c>
      <c r="L385" s="650">
        <v>3.3985144985786571E-3</v>
      </c>
    </row>
    <row r="386" spans="1:12" s="651" customFormat="1" ht="12.75" customHeight="1">
      <c r="A386" s="653" t="s">
        <v>1258</v>
      </c>
      <c r="B386" s="648" t="s">
        <v>1259</v>
      </c>
      <c r="C386" s="652">
        <v>2.1110612270506561E-4</v>
      </c>
      <c r="D386" s="650">
        <v>1.8653888270928331E-4</v>
      </c>
      <c r="E386" s="650">
        <v>1.3177418707509031E-4</v>
      </c>
      <c r="F386" s="650">
        <v>1.8648440348507613E-4</v>
      </c>
      <c r="G386" s="650">
        <v>2.2379757002958226E-4</v>
      </c>
      <c r="H386" s="650">
        <v>1.1323890366438067E-4</v>
      </c>
      <c r="I386" s="650">
        <v>2.5010644663406425E-4</v>
      </c>
      <c r="J386" s="650">
        <v>3.321521094825824E-4</v>
      </c>
      <c r="K386" s="650">
        <v>4.0060516249074639E-4</v>
      </c>
      <c r="L386" s="650">
        <v>1.7066992327684975E-4</v>
      </c>
    </row>
    <row r="387" spans="1:12" ht="12.75" customHeight="1">
      <c r="A387" s="653" t="s">
        <v>1260</v>
      </c>
      <c r="B387" s="648" t="s">
        <v>1261</v>
      </c>
      <c r="C387" s="652">
        <v>2.985969933954953E-4</v>
      </c>
      <c r="D387" s="650">
        <v>1.8832238392479266E-4</v>
      </c>
      <c r="E387" s="650">
        <v>1.8008796396742582E-4</v>
      </c>
      <c r="F387" s="650">
        <v>2.3178565466360992E-4</v>
      </c>
      <c r="G387" s="650">
        <v>2.5630299326491343E-4</v>
      </c>
      <c r="H387" s="650">
        <v>1.7293357954634164E-4</v>
      </c>
      <c r="I387" s="650">
        <v>3.5253420445550932E-4</v>
      </c>
      <c r="J387" s="650">
        <v>5.2473240764262796E-4</v>
      </c>
      <c r="K387" s="650">
        <v>8.678856128004768E-4</v>
      </c>
      <c r="L387" s="650">
        <v>2.6157755916866556E-4</v>
      </c>
    </row>
    <row r="388" spans="1:12" s="651" customFormat="1" ht="12.75" customHeight="1">
      <c r="A388" s="653" t="s">
        <v>1262</v>
      </c>
      <c r="B388" s="648" t="s">
        <v>1263</v>
      </c>
      <c r="C388" s="652">
        <v>7.9993077531445101E-4</v>
      </c>
      <c r="D388" s="650">
        <v>7.8386541592173099E-4</v>
      </c>
      <c r="E388" s="650">
        <v>4.833281500542011E-4</v>
      </c>
      <c r="F388" s="650">
        <v>7.7406252495840265E-4</v>
      </c>
      <c r="G388" s="650">
        <v>9.0191607146598689E-4</v>
      </c>
      <c r="H388" s="650">
        <v>6.2840988660578751E-4</v>
      </c>
      <c r="I388" s="650">
        <v>8.1799385090128415E-4</v>
      </c>
      <c r="J388" s="650">
        <v>1.2866765421338619E-3</v>
      </c>
      <c r="K388" s="650">
        <v>6.0109942984298457E-4</v>
      </c>
      <c r="L388" s="650">
        <v>8.3077583867102115E-4</v>
      </c>
    </row>
    <row r="389" spans="1:12" ht="12.75" customHeight="1">
      <c r="A389" s="653" t="s">
        <v>1264</v>
      </c>
      <c r="B389" s="648" t="s">
        <v>1265</v>
      </c>
      <c r="C389" s="652">
        <v>1.4610683752361978E-3</v>
      </c>
      <c r="D389" s="650">
        <v>1.387522528643141E-3</v>
      </c>
      <c r="E389" s="650">
        <v>9.7133211666438311E-4</v>
      </c>
      <c r="F389" s="650">
        <v>1.4015591489189279E-3</v>
      </c>
      <c r="G389" s="650">
        <v>1.8098982564964099E-3</v>
      </c>
      <c r="H389" s="650">
        <v>1.3316635101111713E-3</v>
      </c>
      <c r="I389" s="650">
        <v>1.4690407576507848E-3</v>
      </c>
      <c r="J389" s="650">
        <v>2.5821139868010407E-3</v>
      </c>
      <c r="K389" s="650">
        <v>1.4008127776089605E-3</v>
      </c>
      <c r="L389" s="650">
        <v>1.5671869968197727E-3</v>
      </c>
    </row>
    <row r="390" spans="1:12" s="651" customFormat="1" ht="12.75" customHeight="1">
      <c r="A390" s="653" t="s">
        <v>1266</v>
      </c>
      <c r="B390" s="648" t="s">
        <v>1267</v>
      </c>
      <c r="C390" s="652">
        <v>1.2531133810397858E-3</v>
      </c>
      <c r="D390" s="650">
        <v>1.3214839055784593E-3</v>
      </c>
      <c r="E390" s="650">
        <v>1.9359451323182595E-3</v>
      </c>
      <c r="F390" s="650">
        <v>1.054600363026749E-3</v>
      </c>
      <c r="G390" s="650">
        <v>9.2157961662220453E-4</v>
      </c>
      <c r="H390" s="650">
        <v>4.5762018588915796E-4</v>
      </c>
      <c r="I390" s="650">
        <v>1.3412634611792075E-3</v>
      </c>
      <c r="J390" s="650">
        <v>1.2955906435443251E-3</v>
      </c>
      <c r="K390" s="650">
        <v>1.2706220860771251E-3</v>
      </c>
      <c r="L390" s="650">
        <v>1.598516171448819E-3</v>
      </c>
    </row>
    <row r="391" spans="1:12" s="651" customFormat="1" ht="12.75" customHeight="1">
      <c r="A391" s="642" t="s">
        <v>1268</v>
      </c>
      <c r="B391" s="646" t="s">
        <v>1269</v>
      </c>
      <c r="C391" s="654">
        <v>9.3232719136038473E-4</v>
      </c>
      <c r="D391" s="645">
        <v>9.9136778365245017E-4</v>
      </c>
      <c r="E391" s="645">
        <v>1.2379193169234509E-3</v>
      </c>
      <c r="F391" s="645">
        <v>8.0661388004686348E-4</v>
      </c>
      <c r="G391" s="645">
        <v>8.0075820957778616E-4</v>
      </c>
      <c r="H391" s="645">
        <v>7.0968092156945114E-4</v>
      </c>
      <c r="I391" s="645">
        <v>9.460583141777969E-4</v>
      </c>
      <c r="J391" s="645">
        <v>5.5822542886736998E-4</v>
      </c>
      <c r="K391" s="645">
        <v>3.4794088126070859E-4</v>
      </c>
      <c r="L391" s="645">
        <v>1.7301964573085945E-3</v>
      </c>
    </row>
    <row r="392" spans="1:12" s="651" customFormat="1" ht="12.75" customHeight="1">
      <c r="A392" s="653" t="s">
        <v>1270</v>
      </c>
      <c r="B392" s="648" t="s">
        <v>1271</v>
      </c>
      <c r="C392" s="652">
        <v>9.3232719136038473E-4</v>
      </c>
      <c r="D392" s="650">
        <v>9.9136778365245017E-4</v>
      </c>
      <c r="E392" s="650">
        <v>1.2379193169234509E-3</v>
      </c>
      <c r="F392" s="650">
        <v>8.0661388004686348E-4</v>
      </c>
      <c r="G392" s="650">
        <v>8.0075820957778616E-4</v>
      </c>
      <c r="H392" s="650">
        <v>7.0968092156945114E-4</v>
      </c>
      <c r="I392" s="650">
        <v>9.460583141777969E-4</v>
      </c>
      <c r="J392" s="650">
        <v>5.5822542886736998E-4</v>
      </c>
      <c r="K392" s="650">
        <v>3.4794088126070859E-4</v>
      </c>
      <c r="L392" s="650">
        <v>1.7301964573085945E-3</v>
      </c>
    </row>
    <row r="393" spans="1:12" s="651" customFormat="1" ht="12.75" customHeight="1">
      <c r="A393" s="642" t="s">
        <v>1272</v>
      </c>
      <c r="B393" s="646" t="s">
        <v>1273</v>
      </c>
      <c r="C393" s="654">
        <v>3.6309872393742262E-3</v>
      </c>
      <c r="D393" s="645">
        <v>4.411758279115126E-3</v>
      </c>
      <c r="E393" s="645">
        <v>2.2421366085614825E-3</v>
      </c>
      <c r="F393" s="645">
        <v>4.7935091033955053E-3</v>
      </c>
      <c r="G393" s="645">
        <v>2.9651256533665842E-3</v>
      </c>
      <c r="H393" s="645">
        <v>1.8606411149762307E-3</v>
      </c>
      <c r="I393" s="645">
        <v>4.3690289216411805E-3</v>
      </c>
      <c r="J393" s="645">
        <v>6.4114762897710398E-3</v>
      </c>
      <c r="K393" s="645">
        <v>4.2041384819803962E-3</v>
      </c>
      <c r="L393" s="645">
        <v>2.4249609005798532E-3</v>
      </c>
    </row>
    <row r="394" spans="1:12" ht="12.75" customHeight="1">
      <c r="A394" s="653" t="s">
        <v>1274</v>
      </c>
      <c r="B394" s="648" t="s">
        <v>1275</v>
      </c>
      <c r="C394" s="652">
        <v>3.6309872393742262E-3</v>
      </c>
      <c r="D394" s="650">
        <v>4.411758279115126E-3</v>
      </c>
      <c r="E394" s="650">
        <v>2.2421366085614825E-3</v>
      </c>
      <c r="F394" s="650">
        <v>4.7935091033955053E-3</v>
      </c>
      <c r="G394" s="650">
        <v>2.9651256533665842E-3</v>
      </c>
      <c r="H394" s="650">
        <v>1.8606411149762307E-3</v>
      </c>
      <c r="I394" s="650">
        <v>4.3690289216411805E-3</v>
      </c>
      <c r="J394" s="650">
        <v>6.4114762897710398E-3</v>
      </c>
      <c r="K394" s="650">
        <v>4.2041384819803962E-3</v>
      </c>
      <c r="L394" s="650">
        <v>2.4249609005798532E-3</v>
      </c>
    </row>
    <row r="395" spans="1:12" s="651" customFormat="1" ht="12.75" customHeight="1">
      <c r="A395" s="642" t="s">
        <v>1276</v>
      </c>
      <c r="B395" s="646" t="s">
        <v>1277</v>
      </c>
      <c r="C395" s="654">
        <v>1.3562734193548876E-2</v>
      </c>
      <c r="D395" s="645">
        <v>1.3562734193548873E-2</v>
      </c>
      <c r="E395" s="645">
        <v>1.3562734193548873E-2</v>
      </c>
      <c r="F395" s="645">
        <v>1.3562734193548873E-2</v>
      </c>
      <c r="G395" s="645">
        <v>1.3562734193548873E-2</v>
      </c>
      <c r="H395" s="645">
        <v>1.3562734193548873E-2</v>
      </c>
      <c r="I395" s="645">
        <v>1.3562734193548873E-2</v>
      </c>
      <c r="J395" s="645">
        <v>1.3562734193548873E-2</v>
      </c>
      <c r="K395" s="645">
        <v>1.3562734193548873E-2</v>
      </c>
      <c r="L395" s="645">
        <v>1.3562734193548873E-2</v>
      </c>
    </row>
    <row r="396" spans="1:12" s="651" customFormat="1" ht="12.75" customHeight="1">
      <c r="A396" s="642" t="s">
        <v>1278</v>
      </c>
      <c r="B396" s="646" t="s">
        <v>1279</v>
      </c>
      <c r="C396" s="654">
        <v>1.2443163357585343E-3</v>
      </c>
      <c r="D396" s="645">
        <v>1.626763481191872E-3</v>
      </c>
      <c r="E396" s="645">
        <v>7.9085999660993779E-4</v>
      </c>
      <c r="F396" s="645">
        <v>1.4294709391276818E-3</v>
      </c>
      <c r="G396" s="645">
        <v>1.0304175085502083E-3</v>
      </c>
      <c r="H396" s="645">
        <v>8.7214607594039977E-4</v>
      </c>
      <c r="I396" s="645">
        <v>1.4653513538562773E-3</v>
      </c>
      <c r="J396" s="645">
        <v>1.010301416837096E-3</v>
      </c>
      <c r="K396" s="645">
        <v>1.6790992403695991E-3</v>
      </c>
      <c r="L396" s="645">
        <v>1.0710501136683389E-3</v>
      </c>
    </row>
    <row r="397" spans="1:12" s="651" customFormat="1" ht="12.75" customHeight="1">
      <c r="A397" s="653" t="s">
        <v>1280</v>
      </c>
      <c r="B397" s="648" t="s">
        <v>1281</v>
      </c>
      <c r="C397" s="652">
        <v>1.2443163357585343E-3</v>
      </c>
      <c r="D397" s="650">
        <v>1.626763481191872E-3</v>
      </c>
      <c r="E397" s="650">
        <v>7.9085999660993779E-4</v>
      </c>
      <c r="F397" s="650">
        <v>1.4294709391276818E-3</v>
      </c>
      <c r="G397" s="650">
        <v>1.0304175085502083E-3</v>
      </c>
      <c r="H397" s="650">
        <v>8.7214607594039977E-4</v>
      </c>
      <c r="I397" s="650">
        <v>1.4653513538562773E-3</v>
      </c>
      <c r="J397" s="650">
        <v>1.010301416837096E-3</v>
      </c>
      <c r="K397" s="650">
        <v>1.6790992403695991E-3</v>
      </c>
      <c r="L397" s="650">
        <v>1.0710501136683389E-3</v>
      </c>
    </row>
    <row r="398" spans="1:12" s="651" customFormat="1" ht="12.75" customHeight="1">
      <c r="A398" s="642" t="s">
        <v>1282</v>
      </c>
      <c r="B398" s="646" t="s">
        <v>1283</v>
      </c>
      <c r="C398" s="654">
        <v>6.8914750608696359E-3</v>
      </c>
      <c r="D398" s="645">
        <v>6.1672228161296517E-3</v>
      </c>
      <c r="E398" s="645">
        <v>6.9618131456331304E-3</v>
      </c>
      <c r="F398" s="645">
        <v>7.1440729068348845E-3</v>
      </c>
      <c r="G398" s="645">
        <v>5.7498149127689956E-3</v>
      </c>
      <c r="H398" s="645">
        <v>6.8018585385050687E-3</v>
      </c>
      <c r="I398" s="645">
        <v>5.1180111247765515E-3</v>
      </c>
      <c r="J398" s="645">
        <v>7.6915513313312598E-3</v>
      </c>
      <c r="K398" s="645">
        <v>7.2222560510985722E-3</v>
      </c>
      <c r="L398" s="645">
        <v>8.3431445214113466E-3</v>
      </c>
    </row>
    <row r="399" spans="1:12" ht="12.75" customHeight="1">
      <c r="A399" s="653" t="s">
        <v>1284</v>
      </c>
      <c r="B399" s="648" t="s">
        <v>1283</v>
      </c>
      <c r="C399" s="652">
        <v>6.8914750608696359E-3</v>
      </c>
      <c r="D399" s="650">
        <v>6.1672228161296517E-3</v>
      </c>
      <c r="E399" s="650">
        <v>6.9618131456331304E-3</v>
      </c>
      <c r="F399" s="650">
        <v>7.1440729068348845E-3</v>
      </c>
      <c r="G399" s="650">
        <v>5.7498149127689956E-3</v>
      </c>
      <c r="H399" s="650">
        <v>6.8018585385050687E-3</v>
      </c>
      <c r="I399" s="650">
        <v>5.1180111247765515E-3</v>
      </c>
      <c r="J399" s="650">
        <v>7.6915513313312598E-3</v>
      </c>
      <c r="K399" s="650">
        <v>7.2222560510985722E-3</v>
      </c>
      <c r="L399" s="650">
        <v>8.3431445214113466E-3</v>
      </c>
    </row>
    <row r="400" spans="1:12" s="651" customFormat="1" ht="12.75" customHeight="1">
      <c r="A400" s="642" t="s">
        <v>1285</v>
      </c>
      <c r="B400" s="646" t="s">
        <v>1286</v>
      </c>
      <c r="C400" s="654">
        <v>5.4269427969207045E-3</v>
      </c>
      <c r="D400" s="645">
        <v>5.7687478962273496E-3</v>
      </c>
      <c r="E400" s="645">
        <v>5.8100610513058051E-3</v>
      </c>
      <c r="F400" s="645">
        <v>4.9891903475863062E-3</v>
      </c>
      <c r="G400" s="645">
        <v>6.7825017722296689E-3</v>
      </c>
      <c r="H400" s="645">
        <v>5.8887295791034038E-3</v>
      </c>
      <c r="I400" s="645">
        <v>6.9793717149160455E-3</v>
      </c>
      <c r="J400" s="645">
        <v>4.8608814453805164E-3</v>
      </c>
      <c r="K400" s="645">
        <v>4.6613789020806999E-3</v>
      </c>
      <c r="L400" s="645">
        <v>4.1485395584691899E-3</v>
      </c>
    </row>
    <row r="401" spans="1:12" ht="12.75" customHeight="1">
      <c r="A401" s="653" t="s">
        <v>1287</v>
      </c>
      <c r="B401" s="648" t="s">
        <v>1288</v>
      </c>
      <c r="C401" s="652">
        <v>5.4269427969207045E-3</v>
      </c>
      <c r="D401" s="650">
        <v>5.7687478962273496E-3</v>
      </c>
      <c r="E401" s="650">
        <v>5.8100610513058051E-3</v>
      </c>
      <c r="F401" s="650">
        <v>4.9891903475863062E-3</v>
      </c>
      <c r="G401" s="650">
        <v>6.7825017722296689E-3</v>
      </c>
      <c r="H401" s="650">
        <v>5.8887295791034038E-3</v>
      </c>
      <c r="I401" s="650">
        <v>6.9793717149160455E-3</v>
      </c>
      <c r="J401" s="650">
        <v>4.8608814453805164E-3</v>
      </c>
      <c r="K401" s="650">
        <v>4.6613789020806999E-3</v>
      </c>
      <c r="L401" s="650">
        <v>4.1485395584691899E-3</v>
      </c>
    </row>
    <row r="402" spans="1:12" s="651" customFormat="1" ht="12.75" customHeight="1">
      <c r="A402" s="642" t="s">
        <v>1289</v>
      </c>
      <c r="B402" s="646" t="s">
        <v>1290</v>
      </c>
      <c r="C402" s="654">
        <v>6.7091988343035537E-3</v>
      </c>
      <c r="D402" s="645">
        <v>6.7091988343035537E-3</v>
      </c>
      <c r="E402" s="645">
        <v>6.709198834303552E-3</v>
      </c>
      <c r="F402" s="645">
        <v>6.7091988343035537E-3</v>
      </c>
      <c r="G402" s="645">
        <v>6.7091988343035546E-3</v>
      </c>
      <c r="H402" s="645">
        <v>6.7091988343035537E-3</v>
      </c>
      <c r="I402" s="645">
        <v>6.7091988343035537E-3</v>
      </c>
      <c r="J402" s="645">
        <v>6.7091988343035537E-3</v>
      </c>
      <c r="K402" s="645">
        <v>6.7091988343035537E-3</v>
      </c>
      <c r="L402" s="645">
        <v>6.7091988343035537E-3</v>
      </c>
    </row>
    <row r="403" spans="1:12" ht="12.75" customHeight="1">
      <c r="A403" s="653" t="s">
        <v>1291</v>
      </c>
      <c r="B403" s="648" t="s">
        <v>1290</v>
      </c>
      <c r="C403" s="652">
        <v>6.44602472725672E-3</v>
      </c>
      <c r="D403" s="655">
        <v>6.2419742148141473E-3</v>
      </c>
      <c r="E403" s="655">
        <v>6.6190021889053468E-3</v>
      </c>
      <c r="F403" s="655">
        <v>6.1273144688999588E-3</v>
      </c>
      <c r="G403" s="655">
        <v>6.5638954768462996E-3</v>
      </c>
      <c r="H403" s="655">
        <v>6.4424280611754588E-3</v>
      </c>
      <c r="I403" s="655">
        <v>6.6632601190020303E-3</v>
      </c>
      <c r="J403" s="655">
        <v>6.4923489180018241E-3</v>
      </c>
      <c r="K403" s="655">
        <v>6.5575212448465425E-3</v>
      </c>
      <c r="L403" s="655">
        <v>6.6892196965034128E-3</v>
      </c>
    </row>
    <row r="404" spans="1:12" s="651" customFormat="1" ht="12.75" customHeight="1">
      <c r="A404" s="653" t="s">
        <v>1292</v>
      </c>
      <c r="B404" s="648" t="s">
        <v>1293</v>
      </c>
      <c r="C404" s="652">
        <v>2.631741070468342E-4</v>
      </c>
      <c r="D404" s="655">
        <v>4.6722461948940657E-4</v>
      </c>
      <c r="E404" s="655">
        <v>9.019664539820557E-5</v>
      </c>
      <c r="F404" s="655">
        <v>5.818843654035946E-4</v>
      </c>
      <c r="G404" s="655">
        <v>1.4530335745725539E-4</v>
      </c>
      <c r="H404" s="655">
        <v>2.6677077312809409E-4</v>
      </c>
      <c r="I404" s="655">
        <v>4.5938715301523809E-5</v>
      </c>
      <c r="J404" s="655">
        <v>2.1684991630172948E-4</v>
      </c>
      <c r="K404" s="655">
        <v>1.5167758945701065E-4</v>
      </c>
      <c r="L404" s="655">
        <v>1.9979137800140462E-5</v>
      </c>
    </row>
    <row r="405" spans="1:12" s="651" customFormat="1" ht="12.75" customHeight="1">
      <c r="A405" s="642" t="s">
        <v>1294</v>
      </c>
      <c r="B405" s="646" t="s">
        <v>336</v>
      </c>
      <c r="C405" s="654">
        <v>9.2507276181345466E-2</v>
      </c>
      <c r="D405" s="656">
        <v>9.2507276181345466E-2</v>
      </c>
      <c r="E405" s="656">
        <v>9.2507276181345466E-2</v>
      </c>
      <c r="F405" s="656">
        <v>9.2507276181345466E-2</v>
      </c>
      <c r="G405" s="656">
        <v>9.2507276181345466E-2</v>
      </c>
      <c r="H405" s="656">
        <v>9.2507276181345466E-2</v>
      </c>
      <c r="I405" s="656">
        <v>9.2507276181345466E-2</v>
      </c>
      <c r="J405" s="656">
        <v>9.2507276181345466E-2</v>
      </c>
      <c r="K405" s="656">
        <v>9.2507276181345466E-2</v>
      </c>
      <c r="L405" s="656">
        <v>9.2507276181345466E-2</v>
      </c>
    </row>
    <row r="406" spans="1:12" s="651" customFormat="1" ht="12.75" customHeight="1">
      <c r="A406" s="642" t="s">
        <v>1295</v>
      </c>
      <c r="B406" s="646" t="s">
        <v>1296</v>
      </c>
      <c r="C406" s="654">
        <v>3.8927523091017553E-2</v>
      </c>
      <c r="D406" s="656">
        <v>3.892752309101756E-2</v>
      </c>
      <c r="E406" s="656">
        <v>3.892752309101756E-2</v>
      </c>
      <c r="F406" s="656">
        <v>3.892752309101756E-2</v>
      </c>
      <c r="G406" s="656">
        <v>3.8927523091017553E-2</v>
      </c>
      <c r="H406" s="656">
        <v>3.892752309101756E-2</v>
      </c>
      <c r="I406" s="656">
        <v>3.892752309101756E-2</v>
      </c>
      <c r="J406" s="656">
        <v>3.892752309101756E-2</v>
      </c>
      <c r="K406" s="656">
        <v>3.892752309101756E-2</v>
      </c>
      <c r="L406" s="656">
        <v>3.892752309101756E-2</v>
      </c>
    </row>
    <row r="407" spans="1:12" s="651" customFormat="1" ht="12.75" customHeight="1">
      <c r="A407" s="642" t="s">
        <v>1297</v>
      </c>
      <c r="B407" s="646" t="s">
        <v>1298</v>
      </c>
      <c r="C407" s="654">
        <v>3.0337721194958835E-2</v>
      </c>
      <c r="D407" s="656">
        <v>3.0105533295058072E-2</v>
      </c>
      <c r="E407" s="656">
        <v>7.8121282675750426E-3</v>
      </c>
      <c r="F407" s="656">
        <v>2.8839062577934546E-2</v>
      </c>
      <c r="G407" s="656">
        <v>2.1636223194082552E-2</v>
      </c>
      <c r="H407" s="656">
        <v>2.5136191289423373E-2</v>
      </c>
      <c r="I407" s="656">
        <v>1.2881488654122015E-2</v>
      </c>
      <c r="J407" s="656">
        <v>3.0221491479186444E-2</v>
      </c>
      <c r="K407" s="656">
        <v>3.7657433952669468E-2</v>
      </c>
      <c r="L407" s="656">
        <v>3.3494544636229993E-2</v>
      </c>
    </row>
    <row r="408" spans="1:12" ht="12.75" customHeight="1">
      <c r="A408" s="653" t="s">
        <v>1299</v>
      </c>
      <c r="B408" s="648" t="s">
        <v>1300</v>
      </c>
      <c r="C408" s="652">
        <v>1.5290211482259253E-2</v>
      </c>
      <c r="D408" s="655">
        <v>1.5173188780709269E-2</v>
      </c>
      <c r="E408" s="655">
        <v>3.9373126468578218E-3</v>
      </c>
      <c r="F408" s="655">
        <v>1.453488753927901E-2</v>
      </c>
      <c r="G408" s="655">
        <v>1.0904656489817605E-2</v>
      </c>
      <c r="H408" s="655">
        <v>1.2668640409869378E-2</v>
      </c>
      <c r="I408" s="655">
        <v>6.4922702816774961E-3</v>
      </c>
      <c r="J408" s="655">
        <v>1.5231631705509967E-2</v>
      </c>
      <c r="K408" s="655">
        <v>1.8979346712145413E-2</v>
      </c>
      <c r="L408" s="655">
        <v>1.6881250496659918E-2</v>
      </c>
    </row>
    <row r="409" spans="1:12" ht="12.75" customHeight="1">
      <c r="A409" s="653" t="s">
        <v>1301</v>
      </c>
      <c r="B409" s="648" t="s">
        <v>1302</v>
      </c>
      <c r="C409" s="652">
        <v>8.2518601650288046E-3</v>
      </c>
      <c r="D409" s="655">
        <v>8.1887050562557944E-3</v>
      </c>
      <c r="E409" s="655">
        <v>2.1248988887804117E-3</v>
      </c>
      <c r="F409" s="655">
        <v>7.8442250211981975E-3</v>
      </c>
      <c r="G409" s="655">
        <v>5.8850527087904534E-3</v>
      </c>
      <c r="H409" s="655">
        <v>6.837044030723158E-3</v>
      </c>
      <c r="I409" s="655">
        <v>3.5037649139211891E-3</v>
      </c>
      <c r="J409" s="655">
        <v>8.2202456823387126E-3</v>
      </c>
      <c r="K409" s="655">
        <v>1.0242822035126095E-2</v>
      </c>
      <c r="L409" s="655">
        <v>9.1105161410545595E-3</v>
      </c>
    </row>
    <row r="410" spans="1:12" ht="12.75" customHeight="1">
      <c r="A410" s="653" t="s">
        <v>1303</v>
      </c>
      <c r="B410" s="648" t="s">
        <v>1304</v>
      </c>
      <c r="C410" s="652">
        <v>6.7956495476707802E-3</v>
      </c>
      <c r="D410" s="655">
        <v>6.743639458093008E-3</v>
      </c>
      <c r="E410" s="655">
        <v>1.7499167319368096E-3</v>
      </c>
      <c r="F410" s="655">
        <v>6.4599500174573393E-3</v>
      </c>
      <c r="G410" s="655">
        <v>4.8465139954744912E-3</v>
      </c>
      <c r="H410" s="655">
        <v>5.6305068488308359E-3</v>
      </c>
      <c r="I410" s="655">
        <v>2.8854534585233318E-3</v>
      </c>
      <c r="J410" s="655">
        <v>6.7696140913377631E-3</v>
      </c>
      <c r="K410" s="655">
        <v>8.4352652053979616E-3</v>
      </c>
      <c r="L410" s="655">
        <v>7.5027779985155189E-3</v>
      </c>
    </row>
    <row r="411" spans="1:12" s="651" customFormat="1" ht="12.75" customHeight="1">
      <c r="A411" s="642" t="s">
        <v>1305</v>
      </c>
      <c r="B411" s="646" t="s">
        <v>1306</v>
      </c>
      <c r="C411" s="654">
        <v>8.5898018960587144E-3</v>
      </c>
      <c r="D411" s="656">
        <v>8.8219897959594881E-3</v>
      </c>
      <c r="E411" s="656">
        <v>3.1115394823442513E-2</v>
      </c>
      <c r="F411" s="656">
        <v>1.0088460513083011E-2</v>
      </c>
      <c r="G411" s="656">
        <v>1.7291299896935002E-2</v>
      </c>
      <c r="H411" s="656">
        <v>1.3791331801594186E-2</v>
      </c>
      <c r="I411" s="656">
        <v>2.6046034436895543E-2</v>
      </c>
      <c r="J411" s="656">
        <v>8.70603161183112E-3</v>
      </c>
      <c r="K411" s="656">
        <v>1.2700891383480913E-3</v>
      </c>
      <c r="L411" s="656">
        <v>5.4329784547875633E-3</v>
      </c>
    </row>
    <row r="412" spans="1:12" ht="12.75" customHeight="1">
      <c r="A412" s="653" t="s">
        <v>1307</v>
      </c>
      <c r="B412" s="648" t="s">
        <v>1308</v>
      </c>
      <c r="C412" s="652">
        <v>8.5898018960587144E-3</v>
      </c>
      <c r="D412" s="655">
        <v>8.8219897959594881E-3</v>
      </c>
      <c r="E412" s="655">
        <v>3.1115394823442513E-2</v>
      </c>
      <c r="F412" s="655">
        <v>1.0088460513083011E-2</v>
      </c>
      <c r="G412" s="655">
        <v>1.7291299896935002E-2</v>
      </c>
      <c r="H412" s="655">
        <v>1.3791331801594186E-2</v>
      </c>
      <c r="I412" s="655">
        <v>2.6046034436895543E-2</v>
      </c>
      <c r="J412" s="655">
        <v>8.70603161183112E-3</v>
      </c>
      <c r="K412" s="655">
        <v>1.2700891383480913E-3</v>
      </c>
      <c r="L412" s="655">
        <v>5.4329784547875633E-3</v>
      </c>
    </row>
    <row r="413" spans="1:12" s="651" customFormat="1" ht="12.75" customHeight="1">
      <c r="A413" s="642" t="s">
        <v>1309</v>
      </c>
      <c r="B413" s="646" t="s">
        <v>1310</v>
      </c>
      <c r="C413" s="654">
        <v>3.4740256436636453E-2</v>
      </c>
      <c r="D413" s="656">
        <v>3.4740256436636453E-2</v>
      </c>
      <c r="E413" s="656">
        <v>3.474025643663646E-2</v>
      </c>
      <c r="F413" s="656">
        <v>3.4740256436636453E-2</v>
      </c>
      <c r="G413" s="656">
        <v>3.4740256436636446E-2</v>
      </c>
      <c r="H413" s="656">
        <v>3.4740256436636446E-2</v>
      </c>
      <c r="I413" s="656">
        <v>3.4740256436636453E-2</v>
      </c>
      <c r="J413" s="656">
        <v>3.4740256436636453E-2</v>
      </c>
      <c r="K413" s="656">
        <v>3.474025643663646E-2</v>
      </c>
      <c r="L413" s="656">
        <v>3.4740256436636446E-2</v>
      </c>
    </row>
    <row r="414" spans="1:12" s="651" customFormat="1" ht="12.75" customHeight="1">
      <c r="A414" s="642" t="s">
        <v>1311</v>
      </c>
      <c r="B414" s="646" t="s">
        <v>1312</v>
      </c>
      <c r="C414" s="654">
        <v>1.8986117791394703E-3</v>
      </c>
      <c r="D414" s="656">
        <v>2.5105924341384117E-3</v>
      </c>
      <c r="E414" s="656">
        <v>6.2679473080365865E-4</v>
      </c>
      <c r="F414" s="656">
        <v>1.4286507704507308E-3</v>
      </c>
      <c r="G414" s="656">
        <v>2.9749913041725038E-3</v>
      </c>
      <c r="H414" s="656">
        <v>2.7228725427605126E-3</v>
      </c>
      <c r="I414" s="656">
        <v>1.4747585503256866E-3</v>
      </c>
      <c r="J414" s="656">
        <v>1.365653643812892E-3</v>
      </c>
      <c r="K414" s="656">
        <v>2.2782266137245364E-3</v>
      </c>
      <c r="L414" s="656">
        <v>1.2616466443042857E-3</v>
      </c>
    </row>
    <row r="415" spans="1:12" s="651" customFormat="1" ht="12.75" customHeight="1">
      <c r="A415" s="653" t="s">
        <v>1313</v>
      </c>
      <c r="B415" s="648" t="s">
        <v>1314</v>
      </c>
      <c r="C415" s="652">
        <v>1.8986117791394703E-3</v>
      </c>
      <c r="D415" s="655">
        <v>2.5105924341384117E-3</v>
      </c>
      <c r="E415" s="655">
        <v>6.2679473080365865E-4</v>
      </c>
      <c r="F415" s="655">
        <v>1.4286507704507308E-3</v>
      </c>
      <c r="G415" s="655">
        <v>2.9749913041725038E-3</v>
      </c>
      <c r="H415" s="655">
        <v>2.7228725427605126E-3</v>
      </c>
      <c r="I415" s="655">
        <v>1.4747585503256866E-3</v>
      </c>
      <c r="J415" s="655">
        <v>1.365653643812892E-3</v>
      </c>
      <c r="K415" s="655">
        <v>2.2782266137245364E-3</v>
      </c>
      <c r="L415" s="655">
        <v>1.2616466443042857E-3</v>
      </c>
    </row>
    <row r="416" spans="1:12" s="651" customFormat="1" ht="12.75" customHeight="1">
      <c r="A416" s="642" t="s">
        <v>1315</v>
      </c>
      <c r="B416" s="646" t="s">
        <v>1316</v>
      </c>
      <c r="C416" s="654">
        <v>2.7714036812947988E-2</v>
      </c>
      <c r="D416" s="656">
        <v>2.6383064075031538E-2</v>
      </c>
      <c r="E416" s="656">
        <v>2.8865873014386867E-2</v>
      </c>
      <c r="F416" s="656">
        <v>2.8115512575634494E-2</v>
      </c>
      <c r="G416" s="656">
        <v>2.6022329335383003E-2</v>
      </c>
      <c r="H416" s="656">
        <v>2.6947579059678751E-2</v>
      </c>
      <c r="I416" s="656">
        <v>2.8828126934997995E-2</v>
      </c>
      <c r="J416" s="656">
        <v>2.8577584420360735E-2</v>
      </c>
      <c r="K416" s="656">
        <v>2.7571685400997682E-2</v>
      </c>
      <c r="L416" s="656">
        <v>2.8117640020522958E-2</v>
      </c>
    </row>
    <row r="417" spans="1:12" ht="12.75" customHeight="1">
      <c r="A417" s="857" t="s">
        <v>1317</v>
      </c>
      <c r="B417" s="858" t="s">
        <v>1318</v>
      </c>
      <c r="C417" s="859">
        <v>7.8010654478240385E-3</v>
      </c>
      <c r="D417" s="655">
        <v>7.9109006686528729E-3</v>
      </c>
      <c r="E417" s="655">
        <v>8.6725906540062667E-3</v>
      </c>
      <c r="F417" s="655">
        <v>8.0353824901040326E-3</v>
      </c>
      <c r="G417" s="655">
        <v>6.9005311560011665E-3</v>
      </c>
      <c r="H417" s="655">
        <v>7.3670713368705811E-3</v>
      </c>
      <c r="I417" s="655">
        <v>9.5205490918685333E-3</v>
      </c>
      <c r="J417" s="655">
        <v>7.5906021145134258E-3</v>
      </c>
      <c r="K417" s="655">
        <v>6.665751260252417E-3</v>
      </c>
      <c r="L417" s="655">
        <v>7.7444709752611633E-3</v>
      </c>
    </row>
    <row r="418" spans="1:12" ht="12.75" customHeight="1">
      <c r="A418" s="857" t="s">
        <v>1319</v>
      </c>
      <c r="B418" s="858" t="s">
        <v>1320</v>
      </c>
      <c r="C418" s="859">
        <v>1.240894866570974E-2</v>
      </c>
      <c r="D418" s="655">
        <v>1.2583660649100681E-2</v>
      </c>
      <c r="E418" s="655">
        <v>1.3795260781243131E-2</v>
      </c>
      <c r="F418" s="655">
        <v>1.2781670593067035E-2</v>
      </c>
      <c r="G418" s="655">
        <v>1.0976492564209109E-2</v>
      </c>
      <c r="H418" s="655">
        <v>1.171860570165424E-2</v>
      </c>
      <c r="I418" s="655">
        <v>1.5144085861158755E-2</v>
      </c>
      <c r="J418" s="655">
        <v>1.2074170202878869E-2</v>
      </c>
      <c r="K418" s="655">
        <v>1.0603034388069905E-2</v>
      </c>
      <c r="L418" s="655">
        <v>1.2318925333705582E-2</v>
      </c>
    </row>
    <row r="419" spans="1:12" s="651" customFormat="1" ht="12.75" customHeight="1">
      <c r="A419" s="857" t="s">
        <v>1321</v>
      </c>
      <c r="B419" s="858" t="s">
        <v>1322</v>
      </c>
      <c r="C419" s="859">
        <v>4.650521777322926E-3</v>
      </c>
      <c r="D419" s="655">
        <v>3.0612598634982141E-3</v>
      </c>
      <c r="E419" s="655">
        <v>4.3110720824810333E-3</v>
      </c>
      <c r="F419" s="655">
        <v>2.8240483568731634E-3</v>
      </c>
      <c r="G419" s="655">
        <v>5.9426899668846688E-3</v>
      </c>
      <c r="H419" s="655">
        <v>3.8141367541872913E-3</v>
      </c>
      <c r="I419" s="655">
        <v>2.5268923341550437E-3</v>
      </c>
      <c r="J419" s="655">
        <v>5.0631903954414153E-3</v>
      </c>
      <c r="K419" s="655">
        <v>6.5012682517096628E-3</v>
      </c>
      <c r="L419" s="655">
        <v>7.7916026170322551E-3</v>
      </c>
    </row>
    <row r="420" spans="1:12" s="651" customFormat="1" ht="12.75" customHeight="1">
      <c r="A420" s="857" t="s">
        <v>1323</v>
      </c>
      <c r="B420" s="858" t="s">
        <v>1324</v>
      </c>
      <c r="C420" s="859">
        <v>2.7469641502504446E-3</v>
      </c>
      <c r="D420" s="655">
        <v>2.7500693882153808E-3</v>
      </c>
      <c r="E420" s="655">
        <v>1.7873846018507057E-3</v>
      </c>
      <c r="F420" s="655">
        <v>4.3861375410986928E-3</v>
      </c>
      <c r="G420" s="655">
        <v>2.1842770342879658E-3</v>
      </c>
      <c r="H420" s="655">
        <v>3.9922885948445756E-3</v>
      </c>
      <c r="I420" s="655">
        <v>1.5388678406145536E-3</v>
      </c>
      <c r="J420" s="655">
        <v>3.7334277378903795E-3</v>
      </c>
      <c r="K420" s="655">
        <v>3.5881510623678734E-3</v>
      </c>
      <c r="L420" s="655">
        <v>1.5822103862978907E-4</v>
      </c>
    </row>
    <row r="421" spans="1:12" ht="12.75" customHeight="1">
      <c r="A421" s="857" t="s">
        <v>1325</v>
      </c>
      <c r="B421" s="858" t="s">
        <v>1326</v>
      </c>
      <c r="C421" s="859">
        <v>1.0653677184084473E-4</v>
      </c>
      <c r="D421" s="655">
        <v>7.7173505564387556E-5</v>
      </c>
      <c r="E421" s="655">
        <v>2.9956489480573319E-4</v>
      </c>
      <c r="F421" s="655">
        <v>8.8273594491566082E-5</v>
      </c>
      <c r="G421" s="655">
        <v>1.8338614000092167E-5</v>
      </c>
      <c r="H421" s="655">
        <v>5.5476672122066569E-5</v>
      </c>
      <c r="I421" s="655">
        <v>9.7731807201108177E-5</v>
      </c>
      <c r="J421" s="655">
        <v>1.1619396963664579E-4</v>
      </c>
      <c r="K421" s="655">
        <v>2.1348043859782158E-4</v>
      </c>
      <c r="L421" s="655">
        <v>1.0442005589416848E-4</v>
      </c>
    </row>
    <row r="422" spans="1:12" s="651" customFormat="1" ht="12.75" customHeight="1">
      <c r="A422" s="642" t="s">
        <v>1327</v>
      </c>
      <c r="B422" s="646" t="s">
        <v>1328</v>
      </c>
      <c r="C422" s="654">
        <v>4.4244502756687915E-3</v>
      </c>
      <c r="D422" s="656">
        <v>4.6075378133498867E-3</v>
      </c>
      <c r="E422" s="656">
        <v>4.6124205226534612E-3</v>
      </c>
      <c r="F422" s="656">
        <v>4.1489952418326918E-3</v>
      </c>
      <c r="G422" s="656">
        <v>5.0444769707343974E-3</v>
      </c>
      <c r="H422" s="656">
        <v>4.0330443371449929E-3</v>
      </c>
      <c r="I422" s="656">
        <v>4.0298372056583442E-3</v>
      </c>
      <c r="J422" s="656">
        <v>3.7101925362947753E-3</v>
      </c>
      <c r="K422" s="656">
        <v>4.3502984263387116E-3</v>
      </c>
      <c r="L422" s="656">
        <v>5.0279299027422598E-3</v>
      </c>
    </row>
    <row r="423" spans="1:12" s="651" customFormat="1" ht="12.75" customHeight="1">
      <c r="A423" s="653" t="s">
        <v>1329</v>
      </c>
      <c r="B423" s="648" t="s">
        <v>1330</v>
      </c>
      <c r="C423" s="652">
        <v>4.4244502756687915E-3</v>
      </c>
      <c r="D423" s="655">
        <v>4.6075378133498867E-3</v>
      </c>
      <c r="E423" s="655">
        <v>4.6124205226534612E-3</v>
      </c>
      <c r="F423" s="655">
        <v>4.1489952418326918E-3</v>
      </c>
      <c r="G423" s="655">
        <v>5.0444769707343974E-3</v>
      </c>
      <c r="H423" s="655">
        <v>4.0330443371449929E-3</v>
      </c>
      <c r="I423" s="655">
        <v>4.0298372056583442E-3</v>
      </c>
      <c r="J423" s="655">
        <v>3.7101925362947753E-3</v>
      </c>
      <c r="K423" s="655">
        <v>4.3502984263387116E-3</v>
      </c>
      <c r="L423" s="655">
        <v>5.0279299027422598E-3</v>
      </c>
    </row>
    <row r="424" spans="1:12" s="651" customFormat="1" ht="12.75" customHeight="1">
      <c r="A424" s="642" t="s">
        <v>1331</v>
      </c>
      <c r="B424" s="646" t="s">
        <v>1332</v>
      </c>
      <c r="C424" s="654">
        <v>7.031575688802008E-4</v>
      </c>
      <c r="D424" s="656">
        <v>1.2390621141166193E-3</v>
      </c>
      <c r="E424" s="656">
        <v>6.3516816879246956E-4</v>
      </c>
      <c r="F424" s="656">
        <v>1.0470978487185408E-3</v>
      </c>
      <c r="G424" s="656">
        <v>6.9845882634654837E-4</v>
      </c>
      <c r="H424" s="656">
        <v>1.0367604970521931E-3</v>
      </c>
      <c r="I424" s="656">
        <v>4.0753374565443177E-4</v>
      </c>
      <c r="J424" s="656">
        <v>1.0868258361680517E-3</v>
      </c>
      <c r="K424" s="656">
        <v>5.4004599557552909E-4</v>
      </c>
      <c r="L424" s="656">
        <v>3.3303986906694323E-4</v>
      </c>
    </row>
    <row r="425" spans="1:12" ht="12.75" customHeight="1">
      <c r="A425" s="653" t="s">
        <v>1333</v>
      </c>
      <c r="B425" s="648" t="s">
        <v>1334</v>
      </c>
      <c r="C425" s="652">
        <v>1.8018528185082954E-4</v>
      </c>
      <c r="D425" s="655">
        <v>5.7569638420683746E-4</v>
      </c>
      <c r="E425" s="655">
        <v>3.2563540794166433E-5</v>
      </c>
      <c r="F425" s="655">
        <v>2.3521311971586641E-4</v>
      </c>
      <c r="G425" s="655">
        <v>1.0302819816477376E-4</v>
      </c>
      <c r="H425" s="655">
        <v>3.8364594108002365E-4</v>
      </c>
      <c r="I425" s="655">
        <v>2.1093554986015352E-4</v>
      </c>
      <c r="J425" s="655">
        <v>2.78500905457889E-4</v>
      </c>
      <c r="K425" s="655">
        <v>3.6538485753778646E-5</v>
      </c>
      <c r="L425" s="655">
        <v>5.3035725683536614E-5</v>
      </c>
    </row>
    <row r="426" spans="1:12" ht="12.75" customHeight="1">
      <c r="A426" s="653" t="s">
        <v>1335</v>
      </c>
      <c r="B426" s="648" t="s">
        <v>1336</v>
      </c>
      <c r="C426" s="652">
        <v>3.3061994036213586E-4</v>
      </c>
      <c r="D426" s="655">
        <v>4.8060120923621298E-4</v>
      </c>
      <c r="E426" s="655">
        <v>4.1336738951374698E-5</v>
      </c>
      <c r="F426" s="655">
        <v>7.2569653566611797E-4</v>
      </c>
      <c r="G426" s="655">
        <v>1.5704793319068315E-4</v>
      </c>
      <c r="H426" s="655">
        <v>6.195605090546757E-4</v>
      </c>
      <c r="I426" s="655">
        <v>9.3466923910803687E-5</v>
      </c>
      <c r="J426" s="655">
        <v>5.1101816867327112E-4</v>
      </c>
      <c r="K426" s="655">
        <v>2.417233126596784E-4</v>
      </c>
      <c r="L426" s="655">
        <v>3.979824095710577E-5</v>
      </c>
    </row>
    <row r="427" spans="1:12" ht="12.75" customHeight="1">
      <c r="A427" s="653" t="s">
        <v>1337</v>
      </c>
      <c r="B427" s="648" t="s">
        <v>1338</v>
      </c>
      <c r="C427" s="652">
        <v>1.9235234666723544E-4</v>
      </c>
      <c r="D427" s="655">
        <v>1.8276452067356901E-4</v>
      </c>
      <c r="E427" s="655">
        <v>5.6126788904692847E-4</v>
      </c>
      <c r="F427" s="655">
        <v>8.6188193336556463E-5</v>
      </c>
      <c r="G427" s="655">
        <v>4.383826949910915E-4</v>
      </c>
      <c r="H427" s="655">
        <v>3.3554046917493786E-5</v>
      </c>
      <c r="I427" s="655">
        <v>1.0313127188347453E-4</v>
      </c>
      <c r="J427" s="655">
        <v>2.9730676203689165E-4</v>
      </c>
      <c r="K427" s="655">
        <v>2.6178419716207214E-4</v>
      </c>
      <c r="L427" s="655">
        <v>2.4020590242630088E-4</v>
      </c>
    </row>
    <row r="428" spans="1:12" s="651" customFormat="1" ht="12.75" customHeight="1">
      <c r="A428" s="642" t="s">
        <v>1339</v>
      </c>
      <c r="B428" s="646" t="s">
        <v>1340</v>
      </c>
      <c r="C428" s="654">
        <v>1.8839496653691456E-2</v>
      </c>
      <c r="D428" s="656">
        <v>1.8839496653691452E-2</v>
      </c>
      <c r="E428" s="656">
        <v>1.8839496653691456E-2</v>
      </c>
      <c r="F428" s="656">
        <v>1.8839496653691452E-2</v>
      </c>
      <c r="G428" s="656">
        <v>1.8839496653691459E-2</v>
      </c>
      <c r="H428" s="656">
        <v>1.8839496653691452E-2</v>
      </c>
      <c r="I428" s="656">
        <v>1.8839496653691456E-2</v>
      </c>
      <c r="J428" s="656">
        <v>1.8839496653691456E-2</v>
      </c>
      <c r="K428" s="656">
        <v>1.8839496653691456E-2</v>
      </c>
      <c r="L428" s="656">
        <v>1.8839496653691452E-2</v>
      </c>
    </row>
    <row r="429" spans="1:12" s="651" customFormat="1" ht="12.75" customHeight="1">
      <c r="A429" s="642" t="s">
        <v>1341</v>
      </c>
      <c r="B429" s="646" t="s">
        <v>1342</v>
      </c>
      <c r="C429" s="654">
        <v>1.1169742932252225E-3</v>
      </c>
      <c r="D429" s="656">
        <v>2.0406575493162435E-3</v>
      </c>
      <c r="E429" s="656">
        <v>1.2098287349818998E-3</v>
      </c>
      <c r="F429" s="656">
        <v>7.2852649281075408E-4</v>
      </c>
      <c r="G429" s="656">
        <v>1.329503559942636E-3</v>
      </c>
      <c r="H429" s="656">
        <v>1.3710657643185079E-3</v>
      </c>
      <c r="I429" s="656">
        <v>6.1322900465120885E-4</v>
      </c>
      <c r="J429" s="656">
        <v>2.7538051751634846E-3</v>
      </c>
      <c r="K429" s="656">
        <v>6.7554170748168336E-4</v>
      </c>
      <c r="L429" s="656">
        <v>4.9591479932315809E-4</v>
      </c>
    </row>
    <row r="430" spans="1:12" ht="12.75" customHeight="1">
      <c r="A430" s="653" t="s">
        <v>1343</v>
      </c>
      <c r="B430" s="648" t="s">
        <v>1344</v>
      </c>
      <c r="C430" s="652">
        <v>1.8901303361337502E-4</v>
      </c>
      <c r="D430" s="655">
        <v>1.2792942286409952E-4</v>
      </c>
      <c r="E430" s="655">
        <v>1.7087932776386688E-4</v>
      </c>
      <c r="F430" s="655">
        <v>1.4262157837901645E-4</v>
      </c>
      <c r="G430" s="655">
        <v>8.6309240411555806E-5</v>
      </c>
      <c r="H430" s="655">
        <v>3.0330032554972319E-4</v>
      </c>
      <c r="I430" s="655">
        <v>2.223732180952523E-4</v>
      </c>
      <c r="J430" s="655">
        <v>2.9658665258793524E-4</v>
      </c>
      <c r="K430" s="655">
        <v>3.5280536763895154E-4</v>
      </c>
      <c r="L430" s="655">
        <v>1.1582216312806909E-4</v>
      </c>
    </row>
    <row r="431" spans="1:12" s="651" customFormat="1" ht="12.75" customHeight="1">
      <c r="A431" s="653" t="s">
        <v>1345</v>
      </c>
      <c r="B431" s="648" t="s">
        <v>1346</v>
      </c>
      <c r="C431" s="652">
        <v>9.2796125961184747E-4</v>
      </c>
      <c r="D431" s="655">
        <v>1.9127281264521437E-3</v>
      </c>
      <c r="E431" s="655">
        <v>1.0389494072180329E-3</v>
      </c>
      <c r="F431" s="655">
        <v>5.8590491443173773E-4</v>
      </c>
      <c r="G431" s="655">
        <v>1.2431943195310802E-3</v>
      </c>
      <c r="H431" s="655">
        <v>1.0677654387687846E-3</v>
      </c>
      <c r="I431" s="655">
        <v>3.9085578655595655E-4</v>
      </c>
      <c r="J431" s="655">
        <v>2.4572185225755494E-3</v>
      </c>
      <c r="K431" s="655">
        <v>3.2273633984273176E-4</v>
      </c>
      <c r="L431" s="655">
        <v>3.8009263619508902E-4</v>
      </c>
    </row>
    <row r="432" spans="1:12" s="651" customFormat="1" ht="12.75" customHeight="1">
      <c r="A432" s="642" t="s">
        <v>1347</v>
      </c>
      <c r="B432" s="646" t="s">
        <v>1348</v>
      </c>
      <c r="C432" s="654">
        <v>1.7295005451997993E-2</v>
      </c>
      <c r="D432" s="656">
        <v>1.5791973948091766E-2</v>
      </c>
      <c r="E432" s="656">
        <v>1.684553767948636E-2</v>
      </c>
      <c r="F432" s="656">
        <v>1.7755230449182535E-2</v>
      </c>
      <c r="G432" s="656">
        <v>1.7167267011226436E-2</v>
      </c>
      <c r="H432" s="656">
        <v>1.720144329619237E-2</v>
      </c>
      <c r="I432" s="656">
        <v>1.7788946632567419E-2</v>
      </c>
      <c r="J432" s="656">
        <v>1.5259058092627793E-2</v>
      </c>
      <c r="K432" s="656">
        <v>1.735953580151357E-2</v>
      </c>
      <c r="L432" s="656">
        <v>1.8015791076755876E-2</v>
      </c>
    </row>
    <row r="433" spans="1:12" ht="12.75" customHeight="1">
      <c r="A433" s="653" t="s">
        <v>1349</v>
      </c>
      <c r="B433" s="648" t="s">
        <v>1350</v>
      </c>
      <c r="C433" s="652">
        <v>3.5163226729412215E-3</v>
      </c>
      <c r="D433" s="655">
        <v>4.5513326198792168E-4</v>
      </c>
      <c r="E433" s="655">
        <v>4.0893373581542608E-3</v>
      </c>
      <c r="F433" s="655">
        <v>8.0637996145221068E-4</v>
      </c>
      <c r="G433" s="655">
        <v>4.4656569834164977E-3</v>
      </c>
      <c r="H433" s="655">
        <v>1.8028882741472462E-3</v>
      </c>
      <c r="I433" s="655">
        <v>4.2330061266183331E-3</v>
      </c>
      <c r="J433" s="655">
        <v>5.2311013219822969E-3</v>
      </c>
      <c r="K433" s="655">
        <v>4.2470749587431066E-3</v>
      </c>
      <c r="L433" s="655">
        <v>7.3003063187603509E-3</v>
      </c>
    </row>
    <row r="434" spans="1:12" s="651" customFormat="1" ht="12.75" customHeight="1">
      <c r="A434" s="653" t="s">
        <v>1351</v>
      </c>
      <c r="B434" s="648" t="s">
        <v>1352</v>
      </c>
      <c r="C434" s="652">
        <v>4.3767345810662665E-3</v>
      </c>
      <c r="D434" s="655">
        <v>2.2227581057281069E-3</v>
      </c>
      <c r="E434" s="655">
        <v>7.4798497273712017E-3</v>
      </c>
      <c r="F434" s="655">
        <v>5.4906388722951857E-3</v>
      </c>
      <c r="G434" s="655">
        <v>6.0444093903705724E-3</v>
      </c>
      <c r="H434" s="655">
        <v>1.7195988608740822E-3</v>
      </c>
      <c r="I434" s="655">
        <v>3.0824804912274071E-3</v>
      </c>
      <c r="J434" s="655">
        <v>4.3767851993737937E-3</v>
      </c>
      <c r="K434" s="655">
        <v>7.1724460566856881E-3</v>
      </c>
      <c r="L434" s="655">
        <v>4.3220497621621334E-3</v>
      </c>
    </row>
    <row r="435" spans="1:12" ht="12.75" customHeight="1">
      <c r="A435" s="653" t="s">
        <v>1353</v>
      </c>
      <c r="B435" s="648" t="s">
        <v>1354</v>
      </c>
      <c r="C435" s="652">
        <v>3.8269628736334418E-3</v>
      </c>
      <c r="D435" s="655">
        <v>4.861003264216705E-3</v>
      </c>
      <c r="E435" s="655">
        <v>1.3502203515481028E-3</v>
      </c>
      <c r="F435" s="655">
        <v>4.5099590112900982E-3</v>
      </c>
      <c r="G435" s="655">
        <v>2.9346865863715673E-3</v>
      </c>
      <c r="H435" s="655">
        <v>8.4395309673452323E-3</v>
      </c>
      <c r="I435" s="655">
        <v>3.7883496334142884E-3</v>
      </c>
      <c r="J435" s="655">
        <v>1.7770862158710435E-3</v>
      </c>
      <c r="K435" s="655">
        <v>1.8407407516343086E-3</v>
      </c>
      <c r="L435" s="655">
        <v>1.450489523513015E-3</v>
      </c>
    </row>
    <row r="436" spans="1:12" s="651" customFormat="1" ht="12.75" customHeight="1">
      <c r="A436" s="653" t="s">
        <v>1355</v>
      </c>
      <c r="B436" s="648" t="s">
        <v>1356</v>
      </c>
      <c r="C436" s="652">
        <v>1.9281697141666136E-3</v>
      </c>
      <c r="D436" s="655">
        <v>1.0133511209991061E-3</v>
      </c>
      <c r="E436" s="655">
        <v>1.1200675289361006E-3</v>
      </c>
      <c r="F436" s="655">
        <v>3.5071988073620574E-3</v>
      </c>
      <c r="G436" s="655">
        <v>1.018025734740453E-3</v>
      </c>
      <c r="H436" s="655">
        <v>2.549260106128496E-3</v>
      </c>
      <c r="I436" s="655">
        <v>3.3499789025931478E-3</v>
      </c>
      <c r="J436" s="655">
        <v>1.1753814325007946E-3</v>
      </c>
      <c r="K436" s="655">
        <v>1.1970629826473116E-3</v>
      </c>
      <c r="L436" s="655">
        <v>1.0871534868014331E-3</v>
      </c>
    </row>
    <row r="437" spans="1:12" ht="12.75" customHeight="1">
      <c r="A437" s="653" t="s">
        <v>1357</v>
      </c>
      <c r="B437" s="648" t="s">
        <v>1358</v>
      </c>
      <c r="C437" s="652">
        <v>3.6468156101904492E-3</v>
      </c>
      <c r="D437" s="655">
        <v>7.2397281951599264E-3</v>
      </c>
      <c r="E437" s="655">
        <v>2.8060627134766942E-3</v>
      </c>
      <c r="F437" s="655">
        <v>3.4410537967829811E-3</v>
      </c>
      <c r="G437" s="655">
        <v>2.7044883163273451E-3</v>
      </c>
      <c r="H437" s="655">
        <v>2.6901650876973138E-3</v>
      </c>
      <c r="I437" s="655">
        <v>3.3351314787142422E-3</v>
      </c>
      <c r="J437" s="655">
        <v>2.6987039228998657E-3</v>
      </c>
      <c r="K437" s="655">
        <v>2.9022110518031577E-3</v>
      </c>
      <c r="L437" s="655">
        <v>3.8557919855189437E-3</v>
      </c>
    </row>
    <row r="438" spans="1:12" s="651" customFormat="1" ht="12.75" customHeight="1">
      <c r="A438" s="642" t="s">
        <v>1359</v>
      </c>
      <c r="B438" s="646" t="s">
        <v>1360</v>
      </c>
      <c r="C438" s="654">
        <v>2.7643238378216578E-4</v>
      </c>
      <c r="D438" s="656">
        <v>9.6745706056946038E-4</v>
      </c>
      <c r="E438" s="656">
        <v>7.2926628392915071E-4</v>
      </c>
      <c r="F438" s="656">
        <v>3.3685293376745903E-4</v>
      </c>
      <c r="G438" s="656">
        <v>2.9152753306351778E-4</v>
      </c>
      <c r="H438" s="656">
        <v>1.8488037452618939E-4</v>
      </c>
      <c r="I438" s="656">
        <v>3.349658978805864E-4</v>
      </c>
      <c r="J438" s="656">
        <v>4.6829538479934753E-4</v>
      </c>
      <c r="K438" s="656">
        <v>1.1464920859841603E-4</v>
      </c>
      <c r="L438" s="656">
        <v>8.806427436694342E-5</v>
      </c>
    </row>
    <row r="439" spans="1:12" ht="12.75" customHeight="1">
      <c r="A439" s="653" t="s">
        <v>1361</v>
      </c>
      <c r="B439" s="648" t="s">
        <v>1362</v>
      </c>
      <c r="C439" s="652">
        <v>2.7643238378216578E-4</v>
      </c>
      <c r="D439" s="655">
        <v>9.6745706056946038E-4</v>
      </c>
      <c r="E439" s="655">
        <v>7.2926628392915071E-4</v>
      </c>
      <c r="F439" s="655">
        <v>3.3685293376745903E-4</v>
      </c>
      <c r="G439" s="655">
        <v>2.9152753306351778E-4</v>
      </c>
      <c r="H439" s="655">
        <v>1.8488037452618939E-4</v>
      </c>
      <c r="I439" s="655">
        <v>3.349658978805864E-4</v>
      </c>
      <c r="J439" s="655">
        <v>4.6829538479934753E-4</v>
      </c>
      <c r="K439" s="655">
        <v>1.1464920859841603E-4</v>
      </c>
      <c r="L439" s="655">
        <v>8.806427436694342E-5</v>
      </c>
    </row>
    <row r="440" spans="1:12" s="651" customFormat="1" ht="12.75" customHeight="1">
      <c r="A440" s="642" t="s">
        <v>1363</v>
      </c>
      <c r="B440" s="646" t="s">
        <v>1364</v>
      </c>
      <c r="C440" s="654">
        <v>1.5108452468607611E-4</v>
      </c>
      <c r="D440" s="656">
        <v>3.9408095713983796E-5</v>
      </c>
      <c r="E440" s="656">
        <v>5.4863955294045345E-5</v>
      </c>
      <c r="F440" s="656">
        <v>1.888677793070537E-5</v>
      </c>
      <c r="G440" s="656">
        <v>5.1198549458866284E-5</v>
      </c>
      <c r="H440" s="656">
        <v>8.2107218654387272E-5</v>
      </c>
      <c r="I440" s="656">
        <v>1.0235511859224122E-4</v>
      </c>
      <c r="J440" s="656">
        <v>3.5833800110082905E-4</v>
      </c>
      <c r="K440" s="656">
        <v>6.8976993609778361E-4</v>
      </c>
      <c r="L440" s="656">
        <v>2.3972650324547359E-4</v>
      </c>
    </row>
    <row r="441" spans="1:12" s="651" customFormat="1" ht="12.75" customHeight="1">
      <c r="A441" s="653" t="s">
        <v>1365</v>
      </c>
      <c r="B441" s="648" t="s">
        <v>1366</v>
      </c>
      <c r="C441" s="652">
        <v>1.5108452468607611E-4</v>
      </c>
      <c r="D441" s="655">
        <v>3.9408095713983796E-5</v>
      </c>
      <c r="E441" s="655">
        <v>5.4863955294045345E-5</v>
      </c>
      <c r="F441" s="655">
        <v>1.888677793070537E-5</v>
      </c>
      <c r="G441" s="655">
        <v>5.1198549458866284E-5</v>
      </c>
      <c r="H441" s="655">
        <v>8.2107218654387272E-5</v>
      </c>
      <c r="I441" s="655">
        <v>1.0235511859224122E-4</v>
      </c>
      <c r="J441" s="655">
        <v>3.5833800110082905E-4</v>
      </c>
      <c r="K441" s="655">
        <v>6.8976993609778361E-4</v>
      </c>
      <c r="L441" s="655">
        <v>2.3972650324547359E-4</v>
      </c>
    </row>
    <row r="442" spans="1:12" s="651" customFormat="1" ht="12.75" customHeight="1">
      <c r="A442" s="642" t="s">
        <v>1367</v>
      </c>
      <c r="B442" s="646" t="s">
        <v>1368</v>
      </c>
      <c r="C442" s="654">
        <v>2.9698653223396387E-2</v>
      </c>
      <c r="D442" s="656">
        <v>2.9698653223396387E-2</v>
      </c>
      <c r="E442" s="656">
        <v>2.9698653223396387E-2</v>
      </c>
      <c r="F442" s="656">
        <v>2.9698653223396387E-2</v>
      </c>
      <c r="G442" s="656">
        <v>2.9698653223396387E-2</v>
      </c>
      <c r="H442" s="656">
        <v>2.9698653223396387E-2</v>
      </c>
      <c r="I442" s="656">
        <v>2.9698653223396387E-2</v>
      </c>
      <c r="J442" s="656">
        <v>2.9698653223396387E-2</v>
      </c>
      <c r="K442" s="656">
        <v>2.9698653223396387E-2</v>
      </c>
      <c r="L442" s="656">
        <v>2.9698653223396387E-2</v>
      </c>
    </row>
    <row r="443" spans="1:12" s="651" customFormat="1" ht="12.75" customHeight="1">
      <c r="A443" s="642" t="s">
        <v>1369</v>
      </c>
      <c r="B443" s="646" t="s">
        <v>1370</v>
      </c>
      <c r="C443" s="654">
        <v>1.4335669474633893E-3</v>
      </c>
      <c r="D443" s="656">
        <v>1.4335669474633893E-3</v>
      </c>
      <c r="E443" s="656">
        <v>1.4335669474633893E-3</v>
      </c>
      <c r="F443" s="656">
        <v>1.4335669474633893E-3</v>
      </c>
      <c r="G443" s="656">
        <v>1.4335669474633893E-3</v>
      </c>
      <c r="H443" s="656">
        <v>1.4335669474633893E-3</v>
      </c>
      <c r="I443" s="656">
        <v>1.4335669474633893E-3</v>
      </c>
      <c r="J443" s="656">
        <v>1.4335669474633893E-3</v>
      </c>
      <c r="K443" s="656">
        <v>1.4335669474633893E-3</v>
      </c>
      <c r="L443" s="656">
        <v>1.4335669474633893E-3</v>
      </c>
    </row>
    <row r="444" spans="1:12" s="651" customFormat="1" ht="12.75" customHeight="1">
      <c r="A444" s="653" t="s">
        <v>1371</v>
      </c>
      <c r="B444" s="648" t="s">
        <v>1370</v>
      </c>
      <c r="C444" s="652">
        <v>1.4335669474633893E-3</v>
      </c>
      <c r="D444" s="655">
        <v>1.4335669474633893E-3</v>
      </c>
      <c r="E444" s="655">
        <v>1.4335669474633893E-3</v>
      </c>
      <c r="F444" s="655">
        <v>1.4335669474633893E-3</v>
      </c>
      <c r="G444" s="655">
        <v>1.4335669474633893E-3</v>
      </c>
      <c r="H444" s="655">
        <v>1.4335669474633893E-3</v>
      </c>
      <c r="I444" s="655">
        <v>1.4335669474633893E-3</v>
      </c>
      <c r="J444" s="655">
        <v>1.4335669474633893E-3</v>
      </c>
      <c r="K444" s="655">
        <v>1.4335669474633893E-3</v>
      </c>
      <c r="L444" s="655">
        <v>1.4335669474633893E-3</v>
      </c>
    </row>
    <row r="445" spans="1:12" s="651" customFormat="1" ht="12.75" customHeight="1">
      <c r="A445" s="642" t="s">
        <v>1372</v>
      </c>
      <c r="B445" s="646" t="s">
        <v>1373</v>
      </c>
      <c r="C445" s="654">
        <v>6.9922190176750065E-3</v>
      </c>
      <c r="D445" s="656">
        <v>6.9922190176750065E-3</v>
      </c>
      <c r="E445" s="656">
        <v>6.9922190176750065E-3</v>
      </c>
      <c r="F445" s="656">
        <v>6.9922190176750065E-3</v>
      </c>
      <c r="G445" s="656">
        <v>6.9922190176750065E-3</v>
      </c>
      <c r="H445" s="656">
        <v>6.9922190176750065E-3</v>
      </c>
      <c r="I445" s="656">
        <v>6.9922190176750065E-3</v>
      </c>
      <c r="J445" s="656">
        <v>6.9922190176750065E-3</v>
      </c>
      <c r="K445" s="656">
        <v>6.9922190176750065E-3</v>
      </c>
      <c r="L445" s="656">
        <v>6.9922190176750065E-3</v>
      </c>
    </row>
    <row r="446" spans="1:12" s="651" customFormat="1" ht="12.75" customHeight="1">
      <c r="A446" s="653" t="s">
        <v>1374</v>
      </c>
      <c r="B446" s="648" t="s">
        <v>1375</v>
      </c>
      <c r="C446" s="652">
        <v>6.9922190176750065E-3</v>
      </c>
      <c r="D446" s="655">
        <v>6.9922190176750065E-3</v>
      </c>
      <c r="E446" s="655">
        <v>6.9922190176750065E-3</v>
      </c>
      <c r="F446" s="655">
        <v>6.9922190176750065E-3</v>
      </c>
      <c r="G446" s="655">
        <v>6.9922190176750065E-3</v>
      </c>
      <c r="H446" s="655">
        <v>6.9922190176750065E-3</v>
      </c>
      <c r="I446" s="655">
        <v>6.9922190176750065E-3</v>
      </c>
      <c r="J446" s="655">
        <v>6.9922190176750065E-3</v>
      </c>
      <c r="K446" s="655">
        <v>6.9922190176750065E-3</v>
      </c>
      <c r="L446" s="655">
        <v>6.9922190176750065E-3</v>
      </c>
    </row>
    <row r="447" spans="1:12" s="651" customFormat="1" ht="12.75" customHeight="1">
      <c r="A447" s="642" t="s">
        <v>1376</v>
      </c>
      <c r="B447" s="646" t="s">
        <v>1377</v>
      </c>
      <c r="C447" s="654">
        <v>2.1272867258257989E-2</v>
      </c>
      <c r="D447" s="656">
        <v>2.1272867258257989E-2</v>
      </c>
      <c r="E447" s="656">
        <v>2.1272867258257989E-2</v>
      </c>
      <c r="F447" s="656">
        <v>2.1272867258257989E-2</v>
      </c>
      <c r="G447" s="656">
        <v>2.1272867258257989E-2</v>
      </c>
      <c r="H447" s="656">
        <v>2.1272867258257989E-2</v>
      </c>
      <c r="I447" s="656">
        <v>2.1272867258257989E-2</v>
      </c>
      <c r="J447" s="656">
        <v>2.1272867258257989E-2</v>
      </c>
      <c r="K447" s="656">
        <v>2.1272867258257989E-2</v>
      </c>
      <c r="L447" s="656">
        <v>2.1272867258257989E-2</v>
      </c>
    </row>
    <row r="448" spans="1:12" s="651" customFormat="1" ht="12.75" customHeight="1">
      <c r="A448" s="653" t="s">
        <v>1378</v>
      </c>
      <c r="B448" s="648" t="s">
        <v>1379</v>
      </c>
      <c r="C448" s="652">
        <v>4.3099011921218826E-4</v>
      </c>
      <c r="D448" s="655">
        <v>1.3173984157103856E-3</v>
      </c>
      <c r="E448" s="655">
        <v>5.706899853681846E-4</v>
      </c>
      <c r="F448" s="655">
        <v>8.5736747045175239E-5</v>
      </c>
      <c r="G448" s="655">
        <v>2.0821778230713185E-4</v>
      </c>
      <c r="H448" s="655">
        <v>4.9039191585795389E-4</v>
      </c>
      <c r="I448" s="655">
        <v>2.0587691096725233E-4</v>
      </c>
      <c r="J448" s="655">
        <v>2.0698319843695946E-4</v>
      </c>
      <c r="K448" s="655">
        <v>5.0911883828375819E-4</v>
      </c>
      <c r="L448" s="655">
        <v>4.8870858521673187E-4</v>
      </c>
    </row>
    <row r="449" spans="1:12" ht="12.75" customHeight="1">
      <c r="A449" s="653" t="s">
        <v>1380</v>
      </c>
      <c r="B449" s="648" t="s">
        <v>1381</v>
      </c>
      <c r="C449" s="652">
        <v>1.3669994979958187E-2</v>
      </c>
      <c r="D449" s="655">
        <v>1.3416577335023515E-2</v>
      </c>
      <c r="E449" s="655">
        <v>1.3252879321370674E-2</v>
      </c>
      <c r="F449" s="655">
        <v>1.3764974431865641E-2</v>
      </c>
      <c r="G449" s="655">
        <v>1.4246061198079737E-2</v>
      </c>
      <c r="H449" s="655">
        <v>1.3253864750072637E-2</v>
      </c>
      <c r="I449" s="655">
        <v>1.3921322041201114E-2</v>
      </c>
      <c r="J449" s="655">
        <v>1.3162871531232549E-2</v>
      </c>
      <c r="K449" s="655">
        <v>1.4385284545977019E-2</v>
      </c>
      <c r="L449" s="655">
        <v>1.3552752592420277E-2</v>
      </c>
    </row>
    <row r="450" spans="1:12" ht="12.75" customHeight="1">
      <c r="A450" s="653" t="s">
        <v>1382</v>
      </c>
      <c r="B450" s="648" t="s">
        <v>1383</v>
      </c>
      <c r="C450" s="652">
        <v>7.1718821590876147E-3</v>
      </c>
      <c r="D450" s="655">
        <v>6.5388915075240894E-3</v>
      </c>
      <c r="E450" s="655">
        <v>7.4492979515191323E-3</v>
      </c>
      <c r="F450" s="655">
        <v>7.422156079347173E-3</v>
      </c>
      <c r="G450" s="655">
        <v>6.8185882778711224E-3</v>
      </c>
      <c r="H450" s="655">
        <v>7.5286105923273988E-3</v>
      </c>
      <c r="I450" s="655">
        <v>7.1456683060896241E-3</v>
      </c>
      <c r="J450" s="655">
        <v>7.9030125285884829E-3</v>
      </c>
      <c r="K450" s="655">
        <v>6.3784638739972132E-3</v>
      </c>
      <c r="L450" s="655">
        <v>7.2314060806209814E-3</v>
      </c>
    </row>
    <row r="451" spans="1:12" s="651" customFormat="1" ht="12.75" customHeight="1">
      <c r="A451" s="642" t="s">
        <v>1384</v>
      </c>
      <c r="B451" s="646" t="s">
        <v>1385</v>
      </c>
      <c r="C451" s="654">
        <v>3.2585383722231707E-2</v>
      </c>
      <c r="D451" s="656">
        <v>3.2585383722231707E-2</v>
      </c>
      <c r="E451" s="656">
        <v>3.2585383722231707E-2</v>
      </c>
      <c r="F451" s="656">
        <v>3.2585383722231707E-2</v>
      </c>
      <c r="G451" s="656">
        <v>3.2585383722231707E-2</v>
      </c>
      <c r="H451" s="656">
        <v>3.2585383722231707E-2</v>
      </c>
      <c r="I451" s="656">
        <v>3.2585383722231707E-2</v>
      </c>
      <c r="J451" s="656">
        <v>3.2585383722231707E-2</v>
      </c>
      <c r="K451" s="656">
        <v>3.2585383722231707E-2</v>
      </c>
      <c r="L451" s="656">
        <v>3.2585383722231707E-2</v>
      </c>
    </row>
    <row r="452" spans="1:12" s="651" customFormat="1" ht="12.75" customHeight="1">
      <c r="A452" s="642" t="s">
        <v>1386</v>
      </c>
      <c r="B452" s="646" t="s">
        <v>1387</v>
      </c>
      <c r="C452" s="654">
        <v>1.281165666297723E-2</v>
      </c>
      <c r="D452" s="656">
        <v>1.281165666297723E-2</v>
      </c>
      <c r="E452" s="656">
        <v>1.281165666297723E-2</v>
      </c>
      <c r="F452" s="656">
        <v>1.281165666297723E-2</v>
      </c>
      <c r="G452" s="656">
        <v>1.281165666297723E-2</v>
      </c>
      <c r="H452" s="656">
        <v>1.281165666297723E-2</v>
      </c>
      <c r="I452" s="656">
        <v>1.281165666297723E-2</v>
      </c>
      <c r="J452" s="656">
        <v>1.281165666297723E-2</v>
      </c>
      <c r="K452" s="656">
        <v>1.281165666297723E-2</v>
      </c>
      <c r="L452" s="656">
        <v>1.281165666297723E-2</v>
      </c>
    </row>
    <row r="453" spans="1:12" s="651" customFormat="1" ht="12.75" customHeight="1">
      <c r="A453" s="642" t="s">
        <v>1388</v>
      </c>
      <c r="B453" s="646" t="s">
        <v>1389</v>
      </c>
      <c r="C453" s="654">
        <v>6.1566596759486799E-3</v>
      </c>
      <c r="D453" s="656">
        <v>3.1947617317187333E-3</v>
      </c>
      <c r="E453" s="656">
        <v>6.085805882020151E-3</v>
      </c>
      <c r="F453" s="656">
        <v>6.5018502147214463E-3</v>
      </c>
      <c r="G453" s="656">
        <v>6.5582086860099314E-3</v>
      </c>
      <c r="H453" s="656">
        <v>1.0135374504474408E-2</v>
      </c>
      <c r="I453" s="656">
        <v>3.9899992071061362E-3</v>
      </c>
      <c r="J453" s="656">
        <v>4.7556454545988501E-3</v>
      </c>
      <c r="K453" s="656">
        <v>3.4934088458113115E-3</v>
      </c>
      <c r="L453" s="656">
        <v>8.4042722556017819E-3</v>
      </c>
    </row>
    <row r="454" spans="1:12" s="651" customFormat="1" ht="12.75" customHeight="1">
      <c r="A454" s="653" t="s">
        <v>1390</v>
      </c>
      <c r="B454" s="648" t="s">
        <v>1391</v>
      </c>
      <c r="C454" s="652">
        <v>6.1566596759486799E-3</v>
      </c>
      <c r="D454" s="655">
        <v>3.1947617317187333E-3</v>
      </c>
      <c r="E454" s="655">
        <v>6.085805882020151E-3</v>
      </c>
      <c r="F454" s="655">
        <v>6.5018502147214463E-3</v>
      </c>
      <c r="G454" s="655">
        <v>6.5582086860099314E-3</v>
      </c>
      <c r="H454" s="655">
        <v>1.0135374504474408E-2</v>
      </c>
      <c r="I454" s="655">
        <v>3.9899992071061362E-3</v>
      </c>
      <c r="J454" s="655">
        <v>4.7556454545988501E-3</v>
      </c>
      <c r="K454" s="655">
        <v>3.4934088458113115E-3</v>
      </c>
      <c r="L454" s="655">
        <v>8.4042722556017819E-3</v>
      </c>
    </row>
    <row r="455" spans="1:12" s="651" customFormat="1" ht="12.75" customHeight="1">
      <c r="A455" s="642" t="s">
        <v>1392</v>
      </c>
      <c r="B455" s="646" t="s">
        <v>1393</v>
      </c>
      <c r="C455" s="654">
        <v>6.654996987028549E-3</v>
      </c>
      <c r="D455" s="656">
        <v>9.6168949312584948E-3</v>
      </c>
      <c r="E455" s="656">
        <v>6.7258507809570779E-3</v>
      </c>
      <c r="F455" s="656">
        <v>6.3098064482557826E-3</v>
      </c>
      <c r="G455" s="656">
        <v>6.2534479769672975E-3</v>
      </c>
      <c r="H455" s="656">
        <v>2.676282158502821E-3</v>
      </c>
      <c r="I455" s="656">
        <v>8.821657455871091E-3</v>
      </c>
      <c r="J455" s="656">
        <v>8.0560112083783789E-3</v>
      </c>
      <c r="K455" s="656">
        <v>9.3182478171659183E-3</v>
      </c>
      <c r="L455" s="656">
        <v>4.4073844073754488E-3</v>
      </c>
    </row>
    <row r="456" spans="1:12" s="651" customFormat="1" ht="12.75" customHeight="1">
      <c r="A456" s="653" t="s">
        <v>1394</v>
      </c>
      <c r="B456" s="648" t="s">
        <v>1395</v>
      </c>
      <c r="C456" s="652">
        <v>2.5288988550708491E-3</v>
      </c>
      <c r="D456" s="655">
        <v>3.6544200738782276E-3</v>
      </c>
      <c r="E456" s="655">
        <v>2.5558232967636896E-3</v>
      </c>
      <c r="F456" s="655">
        <v>2.3977264503371974E-3</v>
      </c>
      <c r="G456" s="655">
        <v>2.3763102312475731E-3</v>
      </c>
      <c r="H456" s="655">
        <v>1.0169872202310721E-3</v>
      </c>
      <c r="I456" s="655">
        <v>3.3522298332310154E-3</v>
      </c>
      <c r="J456" s="655">
        <v>3.0612842591837843E-3</v>
      </c>
      <c r="K456" s="655">
        <v>3.5409341705230479E-3</v>
      </c>
      <c r="L456" s="655">
        <v>1.6748060748026704E-3</v>
      </c>
    </row>
    <row r="457" spans="1:12" ht="12.75" customHeight="1">
      <c r="A457" s="653" t="s">
        <v>1396</v>
      </c>
      <c r="B457" s="648" t="s">
        <v>1397</v>
      </c>
      <c r="C457" s="652">
        <v>4.1260981319577008E-3</v>
      </c>
      <c r="D457" s="655">
        <v>5.9624748573802672E-3</v>
      </c>
      <c r="E457" s="655">
        <v>4.1700274841933891E-3</v>
      </c>
      <c r="F457" s="655">
        <v>3.9120799979185852E-3</v>
      </c>
      <c r="G457" s="655">
        <v>3.8771377457197244E-3</v>
      </c>
      <c r="H457" s="655">
        <v>1.6592949382717487E-3</v>
      </c>
      <c r="I457" s="655">
        <v>5.4694276226400764E-3</v>
      </c>
      <c r="J457" s="655">
        <v>4.994726949194595E-3</v>
      </c>
      <c r="K457" s="655">
        <v>5.7773136466428687E-3</v>
      </c>
      <c r="L457" s="655">
        <v>2.7325783325727777E-3</v>
      </c>
    </row>
    <row r="458" spans="1:12" s="651" customFormat="1" ht="12.75" customHeight="1">
      <c r="A458" s="642" t="s">
        <v>1398</v>
      </c>
      <c r="B458" s="646" t="s">
        <v>1399</v>
      </c>
      <c r="C458" s="654">
        <v>9.0543847212816459E-3</v>
      </c>
      <c r="D458" s="656">
        <v>9.0543847212816459E-3</v>
      </c>
      <c r="E458" s="656">
        <v>9.0543847212816476E-3</v>
      </c>
      <c r="F458" s="656">
        <v>9.0543847212816476E-3</v>
      </c>
      <c r="G458" s="656">
        <v>9.0543847212816459E-3</v>
      </c>
      <c r="H458" s="656">
        <v>9.0543847212816476E-3</v>
      </c>
      <c r="I458" s="656">
        <v>9.0543847212816459E-3</v>
      </c>
      <c r="J458" s="656">
        <v>9.0543847212816476E-3</v>
      </c>
      <c r="K458" s="656">
        <v>9.0543847212816459E-3</v>
      </c>
      <c r="L458" s="656">
        <v>9.0543847212816476E-3</v>
      </c>
    </row>
    <row r="459" spans="1:12" s="651" customFormat="1" ht="12.75" customHeight="1">
      <c r="A459" s="642" t="s">
        <v>1400</v>
      </c>
      <c r="B459" s="646" t="s">
        <v>1401</v>
      </c>
      <c r="C459" s="654">
        <v>3.6827671216882558E-3</v>
      </c>
      <c r="D459" s="656">
        <v>3.0444879523748867E-3</v>
      </c>
      <c r="E459" s="656">
        <v>3.5725980117707365E-3</v>
      </c>
      <c r="F459" s="656">
        <v>3.0035625146017661E-3</v>
      </c>
      <c r="G459" s="656">
        <v>4.0804909059872696E-3</v>
      </c>
      <c r="H459" s="656">
        <v>3.1147444298723756E-3</v>
      </c>
      <c r="I459" s="656">
        <v>4.0950296316806861E-3</v>
      </c>
      <c r="J459" s="656">
        <v>3.9139593447157341E-3</v>
      </c>
      <c r="K459" s="656">
        <v>4.74220788571382E-3</v>
      </c>
      <c r="L459" s="656">
        <v>4.273805038268793E-3</v>
      </c>
    </row>
    <row r="460" spans="1:12" s="651" customFormat="1" ht="12.75" customHeight="1">
      <c r="A460" s="653" t="s">
        <v>1402</v>
      </c>
      <c r="B460" s="648" t="s">
        <v>1403</v>
      </c>
      <c r="C460" s="652">
        <v>2.0255219169285407E-3</v>
      </c>
      <c r="D460" s="655">
        <v>1.6744683738061877E-3</v>
      </c>
      <c r="E460" s="655">
        <v>1.9649289064739054E-3</v>
      </c>
      <c r="F460" s="655">
        <v>1.6519593830309712E-3</v>
      </c>
      <c r="G460" s="655">
        <v>2.2442699982929987E-3</v>
      </c>
      <c r="H460" s="655">
        <v>1.7131094364298066E-3</v>
      </c>
      <c r="I460" s="655">
        <v>2.2522662974243774E-3</v>
      </c>
      <c r="J460" s="655">
        <v>2.1526776395936536E-3</v>
      </c>
      <c r="K460" s="655">
        <v>2.6082143371426009E-3</v>
      </c>
      <c r="L460" s="655">
        <v>2.3505927710478361E-3</v>
      </c>
    </row>
    <row r="461" spans="1:12" s="651" customFormat="1" ht="12.75" customHeight="1">
      <c r="A461" s="653" t="s">
        <v>1404</v>
      </c>
      <c r="B461" s="648" t="s">
        <v>1405</v>
      </c>
      <c r="C461" s="652">
        <v>1.6572452047597149E-3</v>
      </c>
      <c r="D461" s="655">
        <v>1.3700195785686991E-3</v>
      </c>
      <c r="E461" s="655">
        <v>1.6076691052968313E-3</v>
      </c>
      <c r="F461" s="655">
        <v>1.3516031315707949E-3</v>
      </c>
      <c r="G461" s="655">
        <v>1.8362209076942713E-3</v>
      </c>
      <c r="H461" s="655">
        <v>1.4016349934425688E-3</v>
      </c>
      <c r="I461" s="655">
        <v>1.8427633342563087E-3</v>
      </c>
      <c r="J461" s="655">
        <v>1.76128170512208E-3</v>
      </c>
      <c r="K461" s="655">
        <v>2.1339935485712191E-3</v>
      </c>
      <c r="L461" s="655">
        <v>1.923212267220957E-3</v>
      </c>
    </row>
    <row r="462" spans="1:12" s="651" customFormat="1" ht="12.75" customHeight="1">
      <c r="A462" s="642" t="s">
        <v>1406</v>
      </c>
      <c r="B462" s="646" t="s">
        <v>1407</v>
      </c>
      <c r="C462" s="654">
        <v>1.1616794677734949E-3</v>
      </c>
      <c r="D462" s="656">
        <v>6.6568494052260082E-4</v>
      </c>
      <c r="E462" s="656">
        <v>6.7529280615861E-4</v>
      </c>
      <c r="F462" s="656">
        <v>1.0009235625031139E-3</v>
      </c>
      <c r="G462" s="656">
        <v>8.6549510982366024E-4</v>
      </c>
      <c r="H462" s="656">
        <v>1.5027526311815259E-3</v>
      </c>
      <c r="I462" s="656">
        <v>1.5496076256874892E-3</v>
      </c>
      <c r="J462" s="656">
        <v>7.794677982341622E-4</v>
      </c>
      <c r="K462" s="656">
        <v>9.0697530710652833E-4</v>
      </c>
      <c r="L462" s="656">
        <v>1.8924987453548113E-3</v>
      </c>
    </row>
    <row r="463" spans="1:12" s="651" customFormat="1" ht="12.75" customHeight="1">
      <c r="A463" s="653" t="s">
        <v>1408</v>
      </c>
      <c r="B463" s="648" t="s">
        <v>1409</v>
      </c>
      <c r="C463" s="652">
        <v>1.1616794677734949E-3</v>
      </c>
      <c r="D463" s="655">
        <v>6.6568494052260082E-4</v>
      </c>
      <c r="E463" s="655">
        <v>6.7529280615861E-4</v>
      </c>
      <c r="F463" s="655">
        <v>1.0009235625031139E-3</v>
      </c>
      <c r="G463" s="655">
        <v>8.6549510982366024E-4</v>
      </c>
      <c r="H463" s="655">
        <v>1.5027526311815259E-3</v>
      </c>
      <c r="I463" s="655">
        <v>1.5496076256874892E-3</v>
      </c>
      <c r="J463" s="655">
        <v>7.794677982341622E-4</v>
      </c>
      <c r="K463" s="655">
        <v>9.0697530710652833E-4</v>
      </c>
      <c r="L463" s="655">
        <v>1.8924987453548113E-3</v>
      </c>
    </row>
    <row r="464" spans="1:12" s="651" customFormat="1" ht="12.75" customHeight="1">
      <c r="A464" s="642" t="s">
        <v>1410</v>
      </c>
      <c r="B464" s="646" t="s">
        <v>1411</v>
      </c>
      <c r="C464" s="654">
        <v>3.9290621129250622E-3</v>
      </c>
      <c r="D464" s="656">
        <v>4.4201129159631486E-3</v>
      </c>
      <c r="E464" s="656">
        <v>4.1736944422411633E-3</v>
      </c>
      <c r="F464" s="656">
        <v>4.5277883671843121E-3</v>
      </c>
      <c r="G464" s="656">
        <v>3.7315112241066346E-3</v>
      </c>
      <c r="H464" s="656">
        <v>4.3058979562467419E-3</v>
      </c>
      <c r="I464" s="656">
        <v>3.0542061914008117E-3</v>
      </c>
      <c r="J464" s="656">
        <v>4.162040068572884E-3</v>
      </c>
      <c r="K464" s="656">
        <v>3.2593903303257832E-3</v>
      </c>
      <c r="L464" s="656">
        <v>2.6128068179117323E-3</v>
      </c>
    </row>
    <row r="465" spans="1:12" ht="12.75" customHeight="1">
      <c r="A465" s="653" t="s">
        <v>1412</v>
      </c>
      <c r="B465" s="648" t="s">
        <v>1413</v>
      </c>
      <c r="C465" s="652">
        <v>3.9290621129250622E-3</v>
      </c>
      <c r="D465" s="655">
        <v>4.4201129159631486E-3</v>
      </c>
      <c r="E465" s="655">
        <v>4.1736944422411633E-3</v>
      </c>
      <c r="F465" s="655">
        <v>4.5277883671843121E-3</v>
      </c>
      <c r="G465" s="655">
        <v>3.7315112241066346E-3</v>
      </c>
      <c r="H465" s="655">
        <v>4.3058979562467419E-3</v>
      </c>
      <c r="I465" s="655">
        <v>3.0542061914008117E-3</v>
      </c>
      <c r="J465" s="655">
        <v>4.162040068572884E-3</v>
      </c>
      <c r="K465" s="655">
        <v>3.2593903303257832E-3</v>
      </c>
      <c r="L465" s="655">
        <v>2.6128068179117323E-3</v>
      </c>
    </row>
    <row r="466" spans="1:12" s="651" customFormat="1" ht="12.75" customHeight="1">
      <c r="A466" s="642" t="s">
        <v>1414</v>
      </c>
      <c r="B466" s="646" t="s">
        <v>1415</v>
      </c>
      <c r="C466" s="654">
        <v>2.8087601889483481E-4</v>
      </c>
      <c r="D466" s="656">
        <v>9.2409891242101129E-4</v>
      </c>
      <c r="E466" s="656">
        <v>6.3279946111113677E-4</v>
      </c>
      <c r="F466" s="656">
        <v>5.2211027699245556E-4</v>
      </c>
      <c r="G466" s="656">
        <v>3.7688748136408277E-4</v>
      </c>
      <c r="H466" s="656">
        <v>1.3098970398100538E-4</v>
      </c>
      <c r="I466" s="656">
        <v>3.555412725126603E-4</v>
      </c>
      <c r="J466" s="656">
        <v>1.9891750975886875E-4</v>
      </c>
      <c r="K466" s="656">
        <v>1.4581119813551513E-4</v>
      </c>
      <c r="L466" s="656">
        <v>2.7527411974631073E-4</v>
      </c>
    </row>
    <row r="467" spans="1:12" ht="12.75" customHeight="1">
      <c r="A467" s="653" t="s">
        <v>1416</v>
      </c>
      <c r="B467" s="648" t="s">
        <v>1417</v>
      </c>
      <c r="C467" s="652">
        <v>2.8087601889483481E-4</v>
      </c>
      <c r="D467" s="655">
        <v>9.2409891242101129E-4</v>
      </c>
      <c r="E467" s="655">
        <v>6.3279946111113677E-4</v>
      </c>
      <c r="F467" s="655">
        <v>5.2211027699245556E-4</v>
      </c>
      <c r="G467" s="655">
        <v>3.7688748136408277E-4</v>
      </c>
      <c r="H467" s="655">
        <v>1.3098970398100538E-4</v>
      </c>
      <c r="I467" s="655">
        <v>3.555412725126603E-4</v>
      </c>
      <c r="J467" s="655">
        <v>1.9891750975886875E-4</v>
      </c>
      <c r="K467" s="655">
        <v>1.4581119813551513E-4</v>
      </c>
      <c r="L467" s="655">
        <v>2.7527411974631073E-4</v>
      </c>
    </row>
    <row r="468" spans="1:12" s="651" customFormat="1" ht="12.75" customHeight="1">
      <c r="A468" s="642" t="s">
        <v>1418</v>
      </c>
      <c r="B468" s="646" t="s">
        <v>1419</v>
      </c>
      <c r="C468" s="654">
        <v>5.6272401838915161E-3</v>
      </c>
      <c r="D468" s="656">
        <v>5.6272401838915152E-3</v>
      </c>
      <c r="E468" s="656">
        <v>5.6272401838915152E-3</v>
      </c>
      <c r="F468" s="656">
        <v>5.6272401838915161E-3</v>
      </c>
      <c r="G468" s="656">
        <v>5.627240183891517E-3</v>
      </c>
      <c r="H468" s="656">
        <v>5.6272401838915161E-3</v>
      </c>
      <c r="I468" s="656">
        <v>5.6272401838915161E-3</v>
      </c>
      <c r="J468" s="656">
        <v>5.627240183891517E-3</v>
      </c>
      <c r="K468" s="656">
        <v>5.6272401838915161E-3</v>
      </c>
      <c r="L468" s="656">
        <v>5.627240183891517E-3</v>
      </c>
    </row>
    <row r="469" spans="1:12" s="651" customFormat="1" ht="12.75" customHeight="1">
      <c r="A469" s="642" t="s">
        <v>1420</v>
      </c>
      <c r="B469" s="646" t="s">
        <v>1421</v>
      </c>
      <c r="C469" s="654">
        <v>2.2515907659514159E-3</v>
      </c>
      <c r="D469" s="656">
        <v>2.7578077048546943E-3</v>
      </c>
      <c r="E469" s="656">
        <v>4.5146465410172293E-4</v>
      </c>
      <c r="F469" s="656">
        <v>2.5911243019405834E-3</v>
      </c>
      <c r="G469" s="656">
        <v>1.6731888499831476E-3</v>
      </c>
      <c r="H469" s="656">
        <v>1.5222627616928151E-3</v>
      </c>
      <c r="I469" s="656">
        <v>2.9332718764266455E-3</v>
      </c>
      <c r="J469" s="656">
        <v>1.379995743702648E-3</v>
      </c>
      <c r="K469" s="656">
        <v>1.827657413744939E-3</v>
      </c>
      <c r="L469" s="656">
        <v>2.3217343037048644E-3</v>
      </c>
    </row>
    <row r="470" spans="1:12" ht="12.75" customHeight="1">
      <c r="A470" s="653" t="s">
        <v>1422</v>
      </c>
      <c r="B470" s="648" t="s">
        <v>1423</v>
      </c>
      <c r="C470" s="652">
        <v>2.2515907659514159E-3</v>
      </c>
      <c r="D470" s="655">
        <v>2.7578077048546943E-3</v>
      </c>
      <c r="E470" s="655">
        <v>4.5146465410172293E-4</v>
      </c>
      <c r="F470" s="655">
        <v>2.5911243019405834E-3</v>
      </c>
      <c r="G470" s="655">
        <v>1.6731888499831476E-3</v>
      </c>
      <c r="H470" s="655">
        <v>1.5222627616928151E-3</v>
      </c>
      <c r="I470" s="655">
        <v>2.9332718764266455E-3</v>
      </c>
      <c r="J470" s="655">
        <v>1.379995743702648E-3</v>
      </c>
      <c r="K470" s="655">
        <v>1.827657413744939E-3</v>
      </c>
      <c r="L470" s="655">
        <v>2.3217343037048644E-3</v>
      </c>
    </row>
    <row r="471" spans="1:12" s="651" customFormat="1" ht="12.75" customHeight="1">
      <c r="A471" s="642" t="s">
        <v>1424</v>
      </c>
      <c r="B471" s="646" t="s">
        <v>1425</v>
      </c>
      <c r="C471" s="654">
        <v>3.3756494179401006E-3</v>
      </c>
      <c r="D471" s="656">
        <v>2.8694324790368209E-3</v>
      </c>
      <c r="E471" s="656">
        <v>5.1757755297897924E-3</v>
      </c>
      <c r="F471" s="656">
        <v>3.0361158819509327E-3</v>
      </c>
      <c r="G471" s="656">
        <v>3.9540513339083689E-3</v>
      </c>
      <c r="H471" s="656">
        <v>4.1049774221987006E-3</v>
      </c>
      <c r="I471" s="656">
        <v>2.6939683074648705E-3</v>
      </c>
      <c r="J471" s="656">
        <v>4.2472444401888687E-3</v>
      </c>
      <c r="K471" s="656">
        <v>3.7995827701465777E-3</v>
      </c>
      <c r="L471" s="656">
        <v>3.3055058801866521E-3</v>
      </c>
    </row>
    <row r="472" spans="1:12" s="651" customFormat="1" ht="12.75" customHeight="1">
      <c r="A472" s="642" t="s">
        <v>1426</v>
      </c>
      <c r="B472" s="646" t="s">
        <v>1427</v>
      </c>
      <c r="C472" s="654">
        <v>4.7249064059600322E-4</v>
      </c>
      <c r="D472" s="656">
        <v>4.9715052843783594E-4</v>
      </c>
      <c r="E472" s="656">
        <v>6.2322511097249046E-4</v>
      </c>
      <c r="F472" s="656">
        <v>4.829623884961675E-4</v>
      </c>
      <c r="G472" s="656">
        <v>5.0605960227993751E-4</v>
      </c>
      <c r="H472" s="656">
        <v>3.6719489239167016E-4</v>
      </c>
      <c r="I472" s="656">
        <v>4.8661803959435099E-4</v>
      </c>
      <c r="J472" s="656">
        <v>2.7161232331671781E-4</v>
      </c>
      <c r="K472" s="656">
        <v>5.6170513416489503E-4</v>
      </c>
      <c r="L472" s="656">
        <v>5.039483690668289E-4</v>
      </c>
    </row>
    <row r="473" spans="1:12" ht="12.75" customHeight="1">
      <c r="A473" s="653" t="s">
        <v>1428</v>
      </c>
      <c r="B473" s="648" t="s">
        <v>1429</v>
      </c>
      <c r="C473" s="652">
        <v>4.7249064059600322E-4</v>
      </c>
      <c r="D473" s="655">
        <v>4.9715052843783594E-4</v>
      </c>
      <c r="E473" s="655">
        <v>6.2322511097249046E-4</v>
      </c>
      <c r="F473" s="655">
        <v>4.829623884961675E-4</v>
      </c>
      <c r="G473" s="655">
        <v>5.0605960227993751E-4</v>
      </c>
      <c r="H473" s="655">
        <v>3.6719489239167016E-4</v>
      </c>
      <c r="I473" s="655">
        <v>4.8661803959435099E-4</v>
      </c>
      <c r="J473" s="655">
        <v>2.7161232331671781E-4</v>
      </c>
      <c r="K473" s="655">
        <v>5.6170513416489503E-4</v>
      </c>
      <c r="L473" s="655">
        <v>5.039483690668289E-4</v>
      </c>
    </row>
    <row r="474" spans="1:12" s="651" customFormat="1" ht="12.75" customHeight="1">
      <c r="A474" s="642" t="s">
        <v>1430</v>
      </c>
      <c r="B474" s="646" t="s">
        <v>1431</v>
      </c>
      <c r="C474" s="654">
        <v>2.9031587773440974E-3</v>
      </c>
      <c r="D474" s="656">
        <v>2.3722819505989849E-3</v>
      </c>
      <c r="E474" s="656">
        <v>4.5525504188173018E-3</v>
      </c>
      <c r="F474" s="656">
        <v>2.5531534934547652E-3</v>
      </c>
      <c r="G474" s="656">
        <v>3.4479917316284315E-3</v>
      </c>
      <c r="H474" s="656">
        <v>3.737782529807031E-3</v>
      </c>
      <c r="I474" s="656">
        <v>2.2073502678705199E-3</v>
      </c>
      <c r="J474" s="656">
        <v>3.9756321168721506E-3</v>
      </c>
      <c r="K474" s="656">
        <v>3.2378776359816824E-3</v>
      </c>
      <c r="L474" s="656">
        <v>2.8015575111198236E-3</v>
      </c>
    </row>
    <row r="475" spans="1:12" ht="12.75" customHeight="1">
      <c r="A475" s="653" t="s">
        <v>1432</v>
      </c>
      <c r="B475" s="648" t="s">
        <v>1433</v>
      </c>
      <c r="C475" s="652">
        <v>2.9031587773440974E-3</v>
      </c>
      <c r="D475" s="655">
        <v>2.3722819505989849E-3</v>
      </c>
      <c r="E475" s="655">
        <v>4.5525504188173018E-3</v>
      </c>
      <c r="F475" s="655">
        <v>2.5531534934547652E-3</v>
      </c>
      <c r="G475" s="655">
        <v>3.4479917316284315E-3</v>
      </c>
      <c r="H475" s="655">
        <v>3.737782529807031E-3</v>
      </c>
      <c r="I475" s="655">
        <v>2.2073502678705199E-3</v>
      </c>
      <c r="J475" s="655">
        <v>3.9756321168721506E-3</v>
      </c>
      <c r="K475" s="655">
        <v>3.2378776359816824E-3</v>
      </c>
      <c r="L475" s="655">
        <v>2.8015575111198236E-3</v>
      </c>
    </row>
    <row r="476" spans="1:12" s="651" customFormat="1" ht="12.75" customHeight="1">
      <c r="A476" s="642" t="s">
        <v>1434</v>
      </c>
      <c r="B476" s="646" t="s">
        <v>1435</v>
      </c>
      <c r="C476" s="654">
        <v>2.7005627617041656E-3</v>
      </c>
      <c r="D476" s="656">
        <v>2.7005627617041664E-3</v>
      </c>
      <c r="E476" s="656">
        <v>2.700562761704166E-3</v>
      </c>
      <c r="F476" s="656">
        <v>2.700562761704166E-3</v>
      </c>
      <c r="G476" s="656">
        <v>2.7005627617041656E-3</v>
      </c>
      <c r="H476" s="656">
        <v>2.7005627617041656E-3</v>
      </c>
      <c r="I476" s="656">
        <v>2.7005627617041664E-3</v>
      </c>
      <c r="J476" s="656">
        <v>2.700562761704166E-3</v>
      </c>
      <c r="K476" s="656">
        <v>2.7005627617041656E-3</v>
      </c>
      <c r="L476" s="656">
        <v>2.700562761704166E-3</v>
      </c>
    </row>
    <row r="477" spans="1:12" s="651" customFormat="1" ht="12.75" customHeight="1">
      <c r="A477" s="642" t="s">
        <v>1436</v>
      </c>
      <c r="B477" s="646" t="s">
        <v>1437</v>
      </c>
      <c r="C477" s="654">
        <v>8.0790620989391621E-4</v>
      </c>
      <c r="D477" s="656">
        <v>1.585087486112085E-3</v>
      </c>
      <c r="E477" s="656">
        <v>1.1815759660734248E-3</v>
      </c>
      <c r="F477" s="656">
        <v>6.4637058327915084E-4</v>
      </c>
      <c r="G477" s="656">
        <v>7.4221875894756246E-4</v>
      </c>
      <c r="H477" s="656">
        <v>5.7548549912346861E-4</v>
      </c>
      <c r="I477" s="656">
        <v>4.9995141808366545E-4</v>
      </c>
      <c r="J477" s="656">
        <v>9.5901914686213408E-4</v>
      </c>
      <c r="K477" s="656">
        <v>7.7941407978760716E-4</v>
      </c>
      <c r="L477" s="656">
        <v>7.8608271815831473E-4</v>
      </c>
    </row>
    <row r="478" spans="1:12" ht="12.75" customHeight="1">
      <c r="A478" s="653" t="s">
        <v>1438</v>
      </c>
      <c r="B478" s="648" t="s">
        <v>1437</v>
      </c>
      <c r="C478" s="652">
        <v>8.0790620989391621E-4</v>
      </c>
      <c r="D478" s="655">
        <v>1.585087486112085E-3</v>
      </c>
      <c r="E478" s="655">
        <v>1.1815759660734248E-3</v>
      </c>
      <c r="F478" s="655">
        <v>6.4637058327915084E-4</v>
      </c>
      <c r="G478" s="655">
        <v>7.4221875894756246E-4</v>
      </c>
      <c r="H478" s="655">
        <v>5.7548549912346861E-4</v>
      </c>
      <c r="I478" s="655">
        <v>4.9995141808366545E-4</v>
      </c>
      <c r="J478" s="655">
        <v>9.5901914686213408E-4</v>
      </c>
      <c r="K478" s="655">
        <v>7.7941407978760716E-4</v>
      </c>
      <c r="L478" s="655">
        <v>7.8608271815831473E-4</v>
      </c>
    </row>
    <row r="479" spans="1:12" s="651" customFormat="1" ht="12.75" customHeight="1">
      <c r="A479" s="642" t="s">
        <v>1439</v>
      </c>
      <c r="B479" s="646" t="s">
        <v>1440</v>
      </c>
      <c r="C479" s="654">
        <v>1.9673898347181192E-4</v>
      </c>
      <c r="D479" s="656">
        <v>2.9136377222748945E-5</v>
      </c>
      <c r="E479" s="656">
        <v>1.6686580565832495E-4</v>
      </c>
      <c r="F479" s="656">
        <v>1.8916415664507885E-4</v>
      </c>
      <c r="G479" s="656">
        <v>1.8570298530851364E-4</v>
      </c>
      <c r="H479" s="656">
        <v>1.6820019979966306E-4</v>
      </c>
      <c r="I479" s="656">
        <v>4.6925166374114107E-5</v>
      </c>
      <c r="J479" s="656">
        <v>2.6928468680992968E-4</v>
      </c>
      <c r="K479" s="656">
        <v>4.823159399577105E-4</v>
      </c>
      <c r="L479" s="656">
        <v>2.041023041749211E-4</v>
      </c>
    </row>
    <row r="480" spans="1:12" s="651" customFormat="1" ht="12.75" customHeight="1">
      <c r="A480" s="653" t="s">
        <v>1441</v>
      </c>
      <c r="B480" s="648" t="s">
        <v>1442</v>
      </c>
      <c r="C480" s="652">
        <v>1.9673898347181192E-4</v>
      </c>
      <c r="D480" s="655">
        <v>2.9136377222748945E-5</v>
      </c>
      <c r="E480" s="655">
        <v>1.6686580565832495E-4</v>
      </c>
      <c r="F480" s="655">
        <v>1.8916415664507885E-4</v>
      </c>
      <c r="G480" s="655">
        <v>1.8570298530851364E-4</v>
      </c>
      <c r="H480" s="655">
        <v>1.6820019979966306E-4</v>
      </c>
      <c r="I480" s="655">
        <v>4.6925166374114107E-5</v>
      </c>
      <c r="J480" s="655">
        <v>2.6928468680992968E-4</v>
      </c>
      <c r="K480" s="655">
        <v>4.823159399577105E-4</v>
      </c>
      <c r="L480" s="655">
        <v>2.041023041749211E-4</v>
      </c>
    </row>
    <row r="481" spans="1:12" s="651" customFormat="1" ht="12.75" customHeight="1">
      <c r="A481" s="642" t="s">
        <v>1443</v>
      </c>
      <c r="B481" s="646" t="s">
        <v>1444</v>
      </c>
      <c r="C481" s="654">
        <v>1.6959175683384374E-3</v>
      </c>
      <c r="D481" s="656">
        <v>1.0863388983693323E-3</v>
      </c>
      <c r="E481" s="656">
        <v>1.3521209899724162E-3</v>
      </c>
      <c r="F481" s="656">
        <v>1.8650280217799361E-3</v>
      </c>
      <c r="G481" s="656">
        <v>1.7726410174480896E-3</v>
      </c>
      <c r="H481" s="656">
        <v>1.9568770627810339E-3</v>
      </c>
      <c r="I481" s="656">
        <v>2.1536861772463865E-3</v>
      </c>
      <c r="J481" s="656">
        <v>1.4722589280321021E-3</v>
      </c>
      <c r="K481" s="656">
        <v>1.438832741958848E-3</v>
      </c>
      <c r="L481" s="656">
        <v>1.7103777393709301E-3</v>
      </c>
    </row>
    <row r="482" spans="1:12" ht="12.75" customHeight="1">
      <c r="A482" s="653" t="s">
        <v>1445</v>
      </c>
      <c r="B482" s="648" t="s">
        <v>1446</v>
      </c>
      <c r="C482" s="652">
        <v>8.5828143952800667E-4</v>
      </c>
      <c r="D482" s="655">
        <v>2.141379126090261E-4</v>
      </c>
      <c r="E482" s="655">
        <v>7.90435291758271E-4</v>
      </c>
      <c r="F482" s="655">
        <v>8.3799114125209266E-4</v>
      </c>
      <c r="G482" s="655">
        <v>9.35065320819083E-4</v>
      </c>
      <c r="H482" s="655">
        <v>1.1385071455922086E-3</v>
      </c>
      <c r="I482" s="655">
        <v>1.071934840196197E-3</v>
      </c>
      <c r="J482" s="655">
        <v>8.0692917516986761E-4</v>
      </c>
      <c r="K482" s="655">
        <v>7.2625707740808993E-4</v>
      </c>
      <c r="L482" s="655">
        <v>9.9007155717290821E-4</v>
      </c>
    </row>
    <row r="483" spans="1:12" s="651" customFormat="1" ht="12.75" customHeight="1">
      <c r="A483" s="653" t="s">
        <v>1447</v>
      </c>
      <c r="B483" s="648" t="s">
        <v>1448</v>
      </c>
      <c r="C483" s="652">
        <v>8.3763612881043075E-4</v>
      </c>
      <c r="D483" s="655">
        <v>8.7220098576030634E-4</v>
      </c>
      <c r="E483" s="655">
        <v>5.6168569821414516E-4</v>
      </c>
      <c r="F483" s="655">
        <v>1.0270368805278434E-3</v>
      </c>
      <c r="G483" s="655">
        <v>8.3757569662900645E-4</v>
      </c>
      <c r="H483" s="655">
        <v>8.1836991718882532E-4</v>
      </c>
      <c r="I483" s="655">
        <v>1.0817513370501896E-3</v>
      </c>
      <c r="J483" s="655">
        <v>6.6532975286223445E-4</v>
      </c>
      <c r="K483" s="655">
        <v>7.1257566455075808E-4</v>
      </c>
      <c r="L483" s="655">
        <v>7.2030618219802152E-4</v>
      </c>
    </row>
    <row r="484" spans="1:12" s="651" customFormat="1" ht="12.75" customHeight="1">
      <c r="A484" s="642" t="s">
        <v>1449</v>
      </c>
      <c r="B484" s="646" t="s">
        <v>1450</v>
      </c>
      <c r="C484" s="654">
        <v>2.3915393923771471E-3</v>
      </c>
      <c r="D484" s="656">
        <v>2.3915393923771471E-3</v>
      </c>
      <c r="E484" s="656">
        <v>2.3915393923771471E-3</v>
      </c>
      <c r="F484" s="656">
        <v>2.3915393923771471E-3</v>
      </c>
      <c r="G484" s="656">
        <v>2.3915393923771471E-3</v>
      </c>
      <c r="H484" s="656">
        <v>2.3915393923771471E-3</v>
      </c>
      <c r="I484" s="656">
        <v>2.3915393923771471E-3</v>
      </c>
      <c r="J484" s="656">
        <v>2.3915393923771471E-3</v>
      </c>
      <c r="K484" s="656">
        <v>2.3915393923771467E-3</v>
      </c>
      <c r="L484" s="656">
        <v>2.3915393923771471E-3</v>
      </c>
    </row>
    <row r="485" spans="1:12" s="651" customFormat="1" ht="12.75" customHeight="1">
      <c r="A485" s="653" t="s">
        <v>1451</v>
      </c>
      <c r="B485" s="648" t="s">
        <v>1452</v>
      </c>
      <c r="C485" s="652">
        <v>1.8893161199779462E-3</v>
      </c>
      <c r="D485" s="655">
        <v>1.8893161199779462E-3</v>
      </c>
      <c r="E485" s="655">
        <v>1.8893161199779462E-3</v>
      </c>
      <c r="F485" s="655">
        <v>1.8893161199779462E-3</v>
      </c>
      <c r="G485" s="655">
        <v>1.8893161199779462E-3</v>
      </c>
      <c r="H485" s="655">
        <v>1.8893161199779462E-3</v>
      </c>
      <c r="I485" s="655">
        <v>1.8893161199779462E-3</v>
      </c>
      <c r="J485" s="655">
        <v>1.8893161199779462E-3</v>
      </c>
      <c r="K485" s="655">
        <v>1.889316119977946E-3</v>
      </c>
      <c r="L485" s="655">
        <v>1.8893161199779462E-3</v>
      </c>
    </row>
    <row r="486" spans="1:12" ht="12.75" customHeight="1">
      <c r="A486" s="653" t="s">
        <v>1453</v>
      </c>
      <c r="B486" s="648" t="s">
        <v>1454</v>
      </c>
      <c r="C486" s="652">
        <v>5.0222327239920084E-4</v>
      </c>
      <c r="D486" s="655">
        <v>5.0222327239920084E-4</v>
      </c>
      <c r="E486" s="655">
        <v>5.0222327239920084E-4</v>
      </c>
      <c r="F486" s="655">
        <v>5.0222327239920084E-4</v>
      </c>
      <c r="G486" s="655">
        <v>5.0222327239920084E-4</v>
      </c>
      <c r="H486" s="655">
        <v>5.0222327239920084E-4</v>
      </c>
      <c r="I486" s="655">
        <v>5.0222327239920084E-4</v>
      </c>
      <c r="J486" s="655">
        <v>5.0222327239920084E-4</v>
      </c>
      <c r="K486" s="655">
        <v>5.0222327239920084E-4</v>
      </c>
      <c r="L486" s="655">
        <v>5.0222327239920084E-4</v>
      </c>
    </row>
    <row r="487" spans="1:12" s="651" customFormat="1" ht="12.75" customHeight="1">
      <c r="A487" s="642" t="s">
        <v>545</v>
      </c>
      <c r="B487" s="646" t="s">
        <v>324</v>
      </c>
      <c r="C487" s="654">
        <v>1.3824650341941896E-2</v>
      </c>
      <c r="D487" s="656">
        <v>1.3824650341941896E-2</v>
      </c>
      <c r="E487" s="656">
        <v>1.3824650341941896E-2</v>
      </c>
      <c r="F487" s="656">
        <v>1.3824650341941896E-2</v>
      </c>
      <c r="G487" s="656">
        <v>1.3824650341941896E-2</v>
      </c>
      <c r="H487" s="656">
        <v>1.3824650341941896E-2</v>
      </c>
      <c r="I487" s="656">
        <v>1.3824650341941896E-2</v>
      </c>
      <c r="J487" s="656">
        <v>1.3824650341941896E-2</v>
      </c>
      <c r="K487" s="656">
        <v>1.3824650341941896E-2</v>
      </c>
      <c r="L487" s="656">
        <v>1.3824650341941896E-2</v>
      </c>
    </row>
    <row r="488" spans="1:12" s="651" customFormat="1" ht="12.75" customHeight="1">
      <c r="A488" s="642" t="s">
        <v>1455</v>
      </c>
      <c r="B488" s="646" t="s">
        <v>1456</v>
      </c>
      <c r="C488" s="654">
        <v>9.4327499198235099E-4</v>
      </c>
      <c r="D488" s="656">
        <v>9.4327499198235099E-4</v>
      </c>
      <c r="E488" s="656">
        <v>9.4327499198235099E-4</v>
      </c>
      <c r="F488" s="656">
        <v>9.4327499198235099E-4</v>
      </c>
      <c r="G488" s="656">
        <v>9.4327499198235099E-4</v>
      </c>
      <c r="H488" s="656">
        <v>9.4327499198235099E-4</v>
      </c>
      <c r="I488" s="656">
        <v>9.4327499198235099E-4</v>
      </c>
      <c r="J488" s="656">
        <v>9.4327499198235099E-4</v>
      </c>
      <c r="K488" s="656">
        <v>9.4327499198235099E-4</v>
      </c>
      <c r="L488" s="656">
        <v>9.4327499198235099E-4</v>
      </c>
    </row>
    <row r="489" spans="1:12" s="651" customFormat="1" ht="12.75" customHeight="1">
      <c r="A489" s="653" t="s">
        <v>1457</v>
      </c>
      <c r="B489" s="648" t="s">
        <v>1458</v>
      </c>
      <c r="C489" s="652">
        <v>9.4327499198235099E-4</v>
      </c>
      <c r="D489" s="655">
        <v>9.4327499198235099E-4</v>
      </c>
      <c r="E489" s="655">
        <v>9.4327499198235099E-4</v>
      </c>
      <c r="F489" s="655">
        <v>9.4327499198235099E-4</v>
      </c>
      <c r="G489" s="655">
        <v>9.4327499198235099E-4</v>
      </c>
      <c r="H489" s="655">
        <v>9.4327499198235099E-4</v>
      </c>
      <c r="I489" s="655">
        <v>9.4327499198235099E-4</v>
      </c>
      <c r="J489" s="655">
        <v>9.4327499198235099E-4</v>
      </c>
      <c r="K489" s="655">
        <v>9.4327499198235099E-4</v>
      </c>
      <c r="L489" s="655">
        <v>9.4327499198235099E-4</v>
      </c>
    </row>
    <row r="490" spans="1:12" s="651" customFormat="1" ht="12.75" customHeight="1">
      <c r="A490" s="642" t="s">
        <v>1459</v>
      </c>
      <c r="B490" s="646" t="s">
        <v>1460</v>
      </c>
      <c r="C490" s="654">
        <v>1.4968790523986809E-3</v>
      </c>
      <c r="D490" s="656">
        <v>1.4968790523986809E-3</v>
      </c>
      <c r="E490" s="656">
        <v>1.4968790523986809E-3</v>
      </c>
      <c r="F490" s="656">
        <v>1.4968790523986809E-3</v>
      </c>
      <c r="G490" s="656">
        <v>1.4968790523986809E-3</v>
      </c>
      <c r="H490" s="656">
        <v>1.4968790523986809E-3</v>
      </c>
      <c r="I490" s="656">
        <v>1.4968790523986809E-3</v>
      </c>
      <c r="J490" s="656">
        <v>1.4968790523986809E-3</v>
      </c>
      <c r="K490" s="656">
        <v>1.4968790523986809E-3</v>
      </c>
      <c r="L490" s="656">
        <v>1.4968790523986809E-3</v>
      </c>
    </row>
    <row r="491" spans="1:12" s="651" customFormat="1" ht="12.75" customHeight="1">
      <c r="A491" s="653" t="s">
        <v>1461</v>
      </c>
      <c r="B491" s="648" t="s">
        <v>1460</v>
      </c>
      <c r="C491" s="652">
        <v>1.4968790523986809E-3</v>
      </c>
      <c r="D491" s="655">
        <v>1.4968790523986809E-3</v>
      </c>
      <c r="E491" s="655">
        <v>1.4968790523986809E-3</v>
      </c>
      <c r="F491" s="655">
        <v>1.4968790523986809E-3</v>
      </c>
      <c r="G491" s="655">
        <v>1.4968790523986809E-3</v>
      </c>
      <c r="H491" s="655">
        <v>1.4968790523986809E-3</v>
      </c>
      <c r="I491" s="655">
        <v>1.4968790523986809E-3</v>
      </c>
      <c r="J491" s="655">
        <v>1.4968790523986809E-3</v>
      </c>
      <c r="K491" s="655">
        <v>1.4968790523986809E-3</v>
      </c>
      <c r="L491" s="655">
        <v>1.4968790523986809E-3</v>
      </c>
    </row>
    <row r="492" spans="1:12" s="651" customFormat="1" ht="12.75" customHeight="1">
      <c r="A492" s="642" t="s">
        <v>1462</v>
      </c>
      <c r="B492" s="646" t="s">
        <v>1463</v>
      </c>
      <c r="C492" s="654">
        <v>9.3645386639110827E-3</v>
      </c>
      <c r="D492" s="656">
        <v>9.3645386639110827E-3</v>
      </c>
      <c r="E492" s="656">
        <v>9.3645386639110827E-3</v>
      </c>
      <c r="F492" s="656">
        <v>9.3645386639110827E-3</v>
      </c>
      <c r="G492" s="656">
        <v>9.3645386639110827E-3</v>
      </c>
      <c r="H492" s="656">
        <v>9.3645386639110827E-3</v>
      </c>
      <c r="I492" s="656">
        <v>9.3645386639110827E-3</v>
      </c>
      <c r="J492" s="656">
        <v>9.3645386639110827E-3</v>
      </c>
      <c r="K492" s="656">
        <v>9.3645386639110827E-3</v>
      </c>
      <c r="L492" s="656">
        <v>9.3645386639110827E-3</v>
      </c>
    </row>
    <row r="493" spans="1:12" ht="12.75" customHeight="1">
      <c r="A493" s="653" t="s">
        <v>1464</v>
      </c>
      <c r="B493" s="648" t="s">
        <v>1463</v>
      </c>
      <c r="C493" s="652">
        <v>9.3645386639110827E-3</v>
      </c>
      <c r="D493" s="655">
        <v>9.3645386639110827E-3</v>
      </c>
      <c r="E493" s="655">
        <v>9.3645386639110827E-3</v>
      </c>
      <c r="F493" s="655">
        <v>9.3645386639110827E-3</v>
      </c>
      <c r="G493" s="655">
        <v>9.3645386639110827E-3</v>
      </c>
      <c r="H493" s="655">
        <v>9.3645386639110827E-3</v>
      </c>
      <c r="I493" s="655">
        <v>9.3645386639110827E-3</v>
      </c>
      <c r="J493" s="655">
        <v>9.3645386639110827E-3</v>
      </c>
      <c r="K493" s="655">
        <v>9.3645386639110827E-3</v>
      </c>
      <c r="L493" s="655">
        <v>9.3645386639110827E-3</v>
      </c>
    </row>
    <row r="494" spans="1:12" s="651" customFormat="1" ht="12.75" customHeight="1">
      <c r="A494" s="642" t="s">
        <v>1465</v>
      </c>
      <c r="B494" s="646" t="s">
        <v>1466</v>
      </c>
      <c r="C494" s="654">
        <v>2.0199576336497808E-3</v>
      </c>
      <c r="D494" s="656">
        <v>2.0199576336497808E-3</v>
      </c>
      <c r="E494" s="656">
        <v>2.0199576336497808E-3</v>
      </c>
      <c r="F494" s="656">
        <v>2.0199576336497808E-3</v>
      </c>
      <c r="G494" s="656">
        <v>2.0199576336497808E-3</v>
      </c>
      <c r="H494" s="656">
        <v>2.0199576336497808E-3</v>
      </c>
      <c r="I494" s="656">
        <v>2.0199576336497808E-3</v>
      </c>
      <c r="J494" s="656">
        <v>2.0199576336497808E-3</v>
      </c>
      <c r="K494" s="656">
        <v>2.0199576336497808E-3</v>
      </c>
      <c r="L494" s="656">
        <v>2.0199576336497808E-3</v>
      </c>
    </row>
    <row r="495" spans="1:12" ht="12.75" customHeight="1">
      <c r="A495" s="653" t="s">
        <v>1467</v>
      </c>
      <c r="B495" s="648" t="s">
        <v>1468</v>
      </c>
      <c r="C495" s="652">
        <v>2.0199576336497808E-3</v>
      </c>
      <c r="D495" s="655">
        <v>2.0199576336497808E-3</v>
      </c>
      <c r="E495" s="655">
        <v>2.0199576336497808E-3</v>
      </c>
      <c r="F495" s="655">
        <v>2.0199576336497808E-3</v>
      </c>
      <c r="G495" s="655">
        <v>2.0199576336497808E-3</v>
      </c>
      <c r="H495" s="655">
        <v>2.0199576336497808E-3</v>
      </c>
      <c r="I495" s="655">
        <v>2.0199576336497808E-3</v>
      </c>
      <c r="J495" s="655">
        <v>2.0199576336497808E-3</v>
      </c>
      <c r="K495" s="655">
        <v>2.0199576336497808E-3</v>
      </c>
      <c r="L495" s="655">
        <v>2.0199576336497808E-3</v>
      </c>
    </row>
    <row r="496" spans="1:12" s="651" customFormat="1" ht="12.75" customHeight="1">
      <c r="A496" s="642" t="s">
        <v>547</v>
      </c>
      <c r="B496" s="646" t="s">
        <v>1469</v>
      </c>
      <c r="C496" s="654">
        <v>2.4198414107142924E-2</v>
      </c>
      <c r="D496" s="656">
        <v>2.4198414107142921E-2</v>
      </c>
      <c r="E496" s="656">
        <v>2.4198414107142924E-2</v>
      </c>
      <c r="F496" s="656">
        <v>2.4198414107142924E-2</v>
      </c>
      <c r="G496" s="656">
        <v>2.4198414107142924E-2</v>
      </c>
      <c r="H496" s="656">
        <v>2.4198414107142924E-2</v>
      </c>
      <c r="I496" s="656">
        <v>2.4198414107142924E-2</v>
      </c>
      <c r="J496" s="656">
        <v>2.4198414107142924E-2</v>
      </c>
      <c r="K496" s="656">
        <v>2.4198414107142924E-2</v>
      </c>
      <c r="L496" s="656">
        <v>2.4198414107142924E-2</v>
      </c>
    </row>
    <row r="497" spans="1:12" s="651" customFormat="1" ht="12.75" customHeight="1">
      <c r="A497" s="642" t="s">
        <v>1470</v>
      </c>
      <c r="B497" s="646" t="s">
        <v>1471</v>
      </c>
      <c r="C497" s="654">
        <v>2.1612416106750239E-2</v>
      </c>
      <c r="D497" s="656">
        <v>2.1612416106750236E-2</v>
      </c>
      <c r="E497" s="656">
        <v>2.1612416106750239E-2</v>
      </c>
      <c r="F497" s="656">
        <v>2.1612416106750239E-2</v>
      </c>
      <c r="G497" s="656">
        <v>2.1612416106750239E-2</v>
      </c>
      <c r="H497" s="656">
        <v>2.1612416106750239E-2</v>
      </c>
      <c r="I497" s="656">
        <v>2.1612416106750239E-2</v>
      </c>
      <c r="J497" s="656">
        <v>2.1612416106750239E-2</v>
      </c>
      <c r="K497" s="656">
        <v>2.1612416106750239E-2</v>
      </c>
      <c r="L497" s="656">
        <v>2.1612416106750239E-2</v>
      </c>
    </row>
    <row r="498" spans="1:12" s="651" customFormat="1" ht="12.75" customHeight="1">
      <c r="A498" s="642" t="s">
        <v>1472</v>
      </c>
      <c r="B498" s="646" t="s">
        <v>1473</v>
      </c>
      <c r="C498" s="645">
        <v>1.5108211369219469E-2</v>
      </c>
      <c r="D498" s="656">
        <v>1.6464634775176349E-2</v>
      </c>
      <c r="E498" s="656">
        <v>1.2634638338018296E-2</v>
      </c>
      <c r="F498" s="656">
        <v>1.3748933862133227E-2</v>
      </c>
      <c r="G498" s="656">
        <v>1.5832307737596765E-2</v>
      </c>
      <c r="H498" s="656">
        <v>1.4561813916752044E-2</v>
      </c>
      <c r="I498" s="656">
        <v>1.6786119975051708E-2</v>
      </c>
      <c r="J498" s="656">
        <v>7.6871179738629601E-3</v>
      </c>
      <c r="K498" s="656">
        <v>1.4501743304678046E-2</v>
      </c>
      <c r="L498" s="656">
        <v>1.6661018879285575E-2</v>
      </c>
    </row>
    <row r="499" spans="1:12" s="651" customFormat="1" ht="12.75" customHeight="1">
      <c r="A499" s="642" t="s">
        <v>1474</v>
      </c>
      <c r="B499" s="646" t="s">
        <v>1475</v>
      </c>
      <c r="C499" s="645">
        <v>2.0872495541908323E-3</v>
      </c>
      <c r="D499" s="656">
        <v>4.701926957277839E-3</v>
      </c>
      <c r="E499" s="656">
        <v>3.3024356579658548E-3</v>
      </c>
      <c r="F499" s="656">
        <v>1.7764695522057197E-4</v>
      </c>
      <c r="G499" s="656">
        <v>1.7919205511453416E-3</v>
      </c>
      <c r="H499" s="656">
        <v>4.260737902320809E-4</v>
      </c>
      <c r="I499" s="656">
        <v>2.0180130581686777E-3</v>
      </c>
      <c r="J499" s="656">
        <v>2.3191765839770764E-3</v>
      </c>
      <c r="K499" s="656">
        <v>5.1304430879272863E-4</v>
      </c>
      <c r="L499" s="656">
        <v>2.4184764945370065E-3</v>
      </c>
    </row>
    <row r="500" spans="1:12" ht="12.75" customHeight="1">
      <c r="A500" s="653" t="s">
        <v>1476</v>
      </c>
      <c r="B500" s="648" t="s">
        <v>1477</v>
      </c>
      <c r="C500" s="650">
        <v>2.0872495541908323E-3</v>
      </c>
      <c r="D500" s="655">
        <v>4.701926957277839E-3</v>
      </c>
      <c r="E500" s="655">
        <v>3.3024356579658548E-3</v>
      </c>
      <c r="F500" s="655">
        <v>1.7764695522057197E-4</v>
      </c>
      <c r="G500" s="655">
        <v>1.7919205511453416E-3</v>
      </c>
      <c r="H500" s="655">
        <v>4.260737902320809E-4</v>
      </c>
      <c r="I500" s="655">
        <v>2.0180130581686777E-3</v>
      </c>
      <c r="J500" s="655">
        <v>2.3191765839770764E-3</v>
      </c>
      <c r="K500" s="655">
        <v>5.1304430879272863E-4</v>
      </c>
      <c r="L500" s="655">
        <v>2.4184764945370065E-3</v>
      </c>
    </row>
    <row r="501" spans="1:12" s="651" customFormat="1" ht="12.75" customHeight="1">
      <c r="A501" s="642" t="s">
        <v>1478</v>
      </c>
      <c r="B501" s="646" t="s">
        <v>1479</v>
      </c>
      <c r="C501" s="645">
        <v>1.3020961815028638E-2</v>
      </c>
      <c r="D501" s="656">
        <v>1.1762707817898508E-2</v>
      </c>
      <c r="E501" s="656">
        <v>9.332202680052441E-3</v>
      </c>
      <c r="F501" s="656">
        <v>1.3571286906912656E-2</v>
      </c>
      <c r="G501" s="656">
        <v>1.4040387186451425E-2</v>
      </c>
      <c r="H501" s="656">
        <v>1.4135740126519964E-2</v>
      </c>
      <c r="I501" s="656">
        <v>1.4768106916883031E-2</v>
      </c>
      <c r="J501" s="656">
        <v>5.3679413898858833E-3</v>
      </c>
      <c r="K501" s="656">
        <v>1.3988698995885318E-2</v>
      </c>
      <c r="L501" s="656">
        <v>1.4242542384748567E-2</v>
      </c>
    </row>
    <row r="502" spans="1:12" s="651" customFormat="1" ht="12.75" customHeight="1">
      <c r="A502" s="653" t="s">
        <v>1480</v>
      </c>
      <c r="B502" s="648" t="s">
        <v>1481</v>
      </c>
      <c r="C502" s="650">
        <v>1.3020961815028638E-2</v>
      </c>
      <c r="D502" s="655">
        <v>1.1762707817898508E-2</v>
      </c>
      <c r="E502" s="655">
        <v>9.332202680052441E-3</v>
      </c>
      <c r="F502" s="655">
        <v>1.3571286906912656E-2</v>
      </c>
      <c r="G502" s="655">
        <v>1.4040387186451425E-2</v>
      </c>
      <c r="H502" s="655">
        <v>1.4135740126519964E-2</v>
      </c>
      <c r="I502" s="655">
        <v>1.4768106916883031E-2</v>
      </c>
      <c r="J502" s="655">
        <v>5.3679413898858833E-3</v>
      </c>
      <c r="K502" s="655">
        <v>1.3988698995885318E-2</v>
      </c>
      <c r="L502" s="655">
        <v>1.4242542384748567E-2</v>
      </c>
    </row>
    <row r="503" spans="1:12" s="651" customFormat="1" ht="12.75" customHeight="1">
      <c r="A503" s="642" t="s">
        <v>1482</v>
      </c>
      <c r="B503" s="646" t="s">
        <v>1483</v>
      </c>
      <c r="C503" s="645">
        <v>6.5042047375307704E-3</v>
      </c>
      <c r="D503" s="656">
        <v>5.147781331573887E-3</v>
      </c>
      <c r="E503" s="656">
        <v>8.9777777687319454E-3</v>
      </c>
      <c r="F503" s="656">
        <v>7.8634822446170122E-3</v>
      </c>
      <c r="G503" s="656">
        <v>5.7801083691534725E-3</v>
      </c>
      <c r="H503" s="656">
        <v>7.0506021899981938E-3</v>
      </c>
      <c r="I503" s="656">
        <v>4.8262961316985304E-3</v>
      </c>
      <c r="J503" s="656">
        <v>1.392529813288728E-2</v>
      </c>
      <c r="K503" s="656">
        <v>7.1106728020721936E-3</v>
      </c>
      <c r="L503" s="656">
        <v>4.9513972274646632E-3</v>
      </c>
    </row>
    <row r="504" spans="1:12" ht="12.75" customHeight="1">
      <c r="A504" s="653" t="s">
        <v>1484</v>
      </c>
      <c r="B504" s="648" t="s">
        <v>1485</v>
      </c>
      <c r="C504" s="650">
        <v>6.5042047375307704E-3</v>
      </c>
      <c r="D504" s="655">
        <v>5.147781331573887E-3</v>
      </c>
      <c r="E504" s="655">
        <v>8.9777777687319454E-3</v>
      </c>
      <c r="F504" s="655">
        <v>7.8634822446170122E-3</v>
      </c>
      <c r="G504" s="655">
        <v>5.7801083691534725E-3</v>
      </c>
      <c r="H504" s="655">
        <v>7.0506021899981938E-3</v>
      </c>
      <c r="I504" s="655">
        <v>4.8262961316985304E-3</v>
      </c>
      <c r="J504" s="655">
        <v>1.392529813288728E-2</v>
      </c>
      <c r="K504" s="655">
        <v>7.1106728020721936E-3</v>
      </c>
      <c r="L504" s="655">
        <v>4.9513972274646632E-3</v>
      </c>
    </row>
    <row r="505" spans="1:12" s="651" customFormat="1" ht="12.75" customHeight="1">
      <c r="A505" s="642" t="s">
        <v>1486</v>
      </c>
      <c r="B505" s="646" t="s">
        <v>1487</v>
      </c>
      <c r="C505" s="645">
        <v>2.5859980003926863E-3</v>
      </c>
      <c r="D505" s="656">
        <v>2.5859980003926858E-3</v>
      </c>
      <c r="E505" s="656">
        <v>2.5859980003926858E-3</v>
      </c>
      <c r="F505" s="656">
        <v>2.5859980003926854E-3</v>
      </c>
      <c r="G505" s="656">
        <v>2.5859980003926854E-3</v>
      </c>
      <c r="H505" s="656">
        <v>2.5859980003926858E-3</v>
      </c>
      <c r="I505" s="656">
        <v>2.5859980003926858E-3</v>
      </c>
      <c r="J505" s="656">
        <v>2.5859980003926858E-3</v>
      </c>
      <c r="K505" s="656">
        <v>2.5859980003926854E-3</v>
      </c>
      <c r="L505" s="656">
        <v>2.5859980003926858E-3</v>
      </c>
    </row>
    <row r="506" spans="1:12" ht="12.75" customHeight="1">
      <c r="A506" s="653" t="s">
        <v>1488</v>
      </c>
      <c r="B506" s="648" t="s">
        <v>1489</v>
      </c>
      <c r="C506" s="650">
        <v>2.0923134784502449E-3</v>
      </c>
      <c r="D506" s="655">
        <v>1.9657121896293037E-3</v>
      </c>
      <c r="E506" s="655">
        <v>1.5770047704012963E-3</v>
      </c>
      <c r="F506" s="655">
        <v>2.1160355324575351E-3</v>
      </c>
      <c r="G506" s="655">
        <v>2.2018007011775395E-3</v>
      </c>
      <c r="H506" s="655">
        <v>2.3160452118205408E-3</v>
      </c>
      <c r="I506" s="655">
        <v>1.8052108068785254E-3</v>
      </c>
      <c r="J506" s="655">
        <v>2.0438720771790921E-3</v>
      </c>
      <c r="K506" s="655">
        <v>2.5335211096343012E-3</v>
      </c>
      <c r="L506" s="655">
        <v>2.1535178916504932E-3</v>
      </c>
    </row>
    <row r="507" spans="1:12" s="651" customFormat="1" ht="12.75" customHeight="1">
      <c r="A507" s="653" t="s">
        <v>1490</v>
      </c>
      <c r="B507" s="648" t="s">
        <v>1491</v>
      </c>
      <c r="C507" s="650">
        <v>4.9368452194244118E-4</v>
      </c>
      <c r="D507" s="655">
        <v>6.2028581076338236E-4</v>
      </c>
      <c r="E507" s="655">
        <v>1.0089932299913896E-3</v>
      </c>
      <c r="F507" s="655">
        <v>4.6996246793515052E-4</v>
      </c>
      <c r="G507" s="655">
        <v>3.8419729921514595E-4</v>
      </c>
      <c r="H507" s="655">
        <v>2.6995278857214504E-4</v>
      </c>
      <c r="I507" s="655">
        <v>7.8078719351416012E-4</v>
      </c>
      <c r="J507" s="655">
        <v>5.4212592321359343E-4</v>
      </c>
      <c r="K507" s="655">
        <v>5.2476890758384483E-5</v>
      </c>
      <c r="L507" s="655">
        <v>4.3248010874219256E-4</v>
      </c>
    </row>
    <row r="508" spans="1:12" s="651" customFormat="1" ht="12.75" customHeight="1">
      <c r="A508" s="642" t="s">
        <v>551</v>
      </c>
      <c r="B508" s="646" t="s">
        <v>1492</v>
      </c>
      <c r="C508" s="645">
        <v>3.8835569795754393E-2</v>
      </c>
      <c r="D508" s="656">
        <v>3.88355697957544E-2</v>
      </c>
      <c r="E508" s="656">
        <v>3.8835569795754393E-2</v>
      </c>
      <c r="F508" s="656">
        <v>3.8835569795754393E-2</v>
      </c>
      <c r="G508" s="656">
        <v>3.8835569795754393E-2</v>
      </c>
      <c r="H508" s="656">
        <v>3.8835569795754393E-2</v>
      </c>
      <c r="I508" s="656">
        <v>3.8835569795754393E-2</v>
      </c>
      <c r="J508" s="656">
        <v>3.8835569795754393E-2</v>
      </c>
      <c r="K508" s="656">
        <v>3.8835569795754393E-2</v>
      </c>
      <c r="L508" s="656">
        <v>3.8835569795754393E-2</v>
      </c>
    </row>
    <row r="509" spans="1:12" s="651" customFormat="1" ht="12.75" customHeight="1">
      <c r="A509" s="642" t="s">
        <v>1493</v>
      </c>
      <c r="B509" s="646" t="s">
        <v>1494</v>
      </c>
      <c r="C509" s="645">
        <v>2.3442437425594143E-2</v>
      </c>
      <c r="D509" s="656">
        <v>2.3442437425594147E-2</v>
      </c>
      <c r="E509" s="656">
        <v>2.3442437425594143E-2</v>
      </c>
      <c r="F509" s="656">
        <v>2.3442437425594143E-2</v>
      </c>
      <c r="G509" s="656">
        <v>2.3442437425594143E-2</v>
      </c>
      <c r="H509" s="656">
        <v>2.3442437425594143E-2</v>
      </c>
      <c r="I509" s="656">
        <v>2.3442437425594143E-2</v>
      </c>
      <c r="J509" s="656">
        <v>2.3442437425594147E-2</v>
      </c>
      <c r="K509" s="656">
        <v>2.3442437425594143E-2</v>
      </c>
      <c r="L509" s="656">
        <v>2.3442437425594147E-2</v>
      </c>
    </row>
    <row r="510" spans="1:12" s="651" customFormat="1" ht="12.75" customHeight="1">
      <c r="A510" s="642" t="s">
        <v>1495</v>
      </c>
      <c r="B510" s="646" t="s">
        <v>1496</v>
      </c>
      <c r="C510" s="645">
        <v>1.0372729015717027E-2</v>
      </c>
      <c r="D510" s="656">
        <v>1.2365664818797308E-2</v>
      </c>
      <c r="E510" s="656">
        <v>1.0759237321473002E-2</v>
      </c>
      <c r="F510" s="656">
        <v>1.0896734979249867E-2</v>
      </c>
      <c r="G510" s="656">
        <v>1.0338662890339453E-2</v>
      </c>
      <c r="H510" s="656">
        <v>1.0955663932730678E-2</v>
      </c>
      <c r="I510" s="656">
        <v>1.0665040942020013E-2</v>
      </c>
      <c r="J510" s="656">
        <v>1.0950545093641018E-2</v>
      </c>
      <c r="K510" s="656">
        <v>8.6929718427873285E-3</v>
      </c>
      <c r="L510" s="656">
        <v>8.6955066289925598E-3</v>
      </c>
    </row>
    <row r="511" spans="1:12" ht="12.75" customHeight="1">
      <c r="A511" s="653" t="s">
        <v>1497</v>
      </c>
      <c r="B511" s="648" t="s">
        <v>1498</v>
      </c>
      <c r="C511" s="650">
        <v>6.0161828291158759E-3</v>
      </c>
      <c r="D511" s="655">
        <v>7.172085594902438E-3</v>
      </c>
      <c r="E511" s="655">
        <v>6.2403576464543408E-3</v>
      </c>
      <c r="F511" s="655">
        <v>6.3201062879649226E-3</v>
      </c>
      <c r="G511" s="655">
        <v>5.9964244763968822E-3</v>
      </c>
      <c r="H511" s="655">
        <v>6.3542850809837929E-3</v>
      </c>
      <c r="I511" s="655">
        <v>6.1857237463716075E-3</v>
      </c>
      <c r="J511" s="655">
        <v>6.35131615431179E-3</v>
      </c>
      <c r="K511" s="655">
        <v>5.0419236688166499E-3</v>
      </c>
      <c r="L511" s="655">
        <v>5.0433938448156846E-3</v>
      </c>
    </row>
    <row r="512" spans="1:12" ht="12.75" customHeight="1">
      <c r="A512" s="653" t="s">
        <v>1499</v>
      </c>
      <c r="B512" s="648" t="s">
        <v>1500</v>
      </c>
      <c r="C512" s="650">
        <v>2.2820003834577458E-3</v>
      </c>
      <c r="D512" s="655">
        <v>2.7204462601354085E-3</v>
      </c>
      <c r="E512" s="655">
        <v>2.36703221072406E-3</v>
      </c>
      <c r="F512" s="655">
        <v>2.3972816954349707E-3</v>
      </c>
      <c r="G512" s="655">
        <v>2.2745058358746798E-3</v>
      </c>
      <c r="H512" s="655">
        <v>2.4102460652007498E-3</v>
      </c>
      <c r="I512" s="655">
        <v>2.346309007244403E-3</v>
      </c>
      <c r="J512" s="655">
        <v>2.4091199206010237E-3</v>
      </c>
      <c r="K512" s="655">
        <v>1.9124538054132124E-3</v>
      </c>
      <c r="L512" s="655">
        <v>1.9130114583783631E-3</v>
      </c>
    </row>
    <row r="513" spans="1:12" ht="12.75" customHeight="1">
      <c r="A513" s="653" t="s">
        <v>1501</v>
      </c>
      <c r="B513" s="648" t="s">
        <v>1502</v>
      </c>
      <c r="C513" s="650">
        <v>2.0745458031434056E-3</v>
      </c>
      <c r="D513" s="655">
        <v>2.4731329637594618E-3</v>
      </c>
      <c r="E513" s="655">
        <v>2.1518474642946003E-3</v>
      </c>
      <c r="F513" s="655">
        <v>2.1793469958499736E-3</v>
      </c>
      <c r="G513" s="655">
        <v>2.0677325780678914E-3</v>
      </c>
      <c r="H513" s="655">
        <v>2.1911327865461357E-3</v>
      </c>
      <c r="I513" s="655">
        <v>2.1330081884040029E-3</v>
      </c>
      <c r="J513" s="655">
        <v>2.1901090187282034E-3</v>
      </c>
      <c r="K513" s="655">
        <v>1.738594368557466E-3</v>
      </c>
      <c r="L513" s="655">
        <v>1.7391013257985119E-3</v>
      </c>
    </row>
    <row r="514" spans="1:12" s="651" customFormat="1" ht="12.75" customHeight="1">
      <c r="A514" s="642" t="s">
        <v>1503</v>
      </c>
      <c r="B514" s="646" t="s">
        <v>1504</v>
      </c>
      <c r="C514" s="645">
        <v>1.3069708409877118E-2</v>
      </c>
      <c r="D514" s="656">
        <v>1.1076772606796839E-2</v>
      </c>
      <c r="E514" s="656">
        <v>1.2683200104121141E-2</v>
      </c>
      <c r="F514" s="656">
        <v>1.2545702446344278E-2</v>
      </c>
      <c r="G514" s="656">
        <v>1.3103774535254693E-2</v>
      </c>
      <c r="H514" s="656">
        <v>1.2486773492863465E-2</v>
      </c>
      <c r="I514" s="656">
        <v>1.2777396483574132E-2</v>
      </c>
      <c r="J514" s="656">
        <v>1.2491892331953129E-2</v>
      </c>
      <c r="K514" s="656">
        <v>1.4749465582806815E-2</v>
      </c>
      <c r="L514" s="656">
        <v>1.4746930796601587E-2</v>
      </c>
    </row>
    <row r="515" spans="1:12" ht="12.75" customHeight="1">
      <c r="A515" s="653" t="s">
        <v>1505</v>
      </c>
      <c r="B515" s="648" t="s">
        <v>1506</v>
      </c>
      <c r="C515" s="650">
        <v>1.5565528098118644E-3</v>
      </c>
      <c r="D515" s="655">
        <v>9.876738944332691E-4</v>
      </c>
      <c r="E515" s="655">
        <v>1.4210458432390436E-3</v>
      </c>
      <c r="F515" s="655">
        <v>1.6159581190770757E-3</v>
      </c>
      <c r="G515" s="655">
        <v>1.4637060965903381E-3</v>
      </c>
      <c r="H515" s="655">
        <v>1.3822959863547758E-3</v>
      </c>
      <c r="I515" s="655">
        <v>1.5005202662677912E-3</v>
      </c>
      <c r="J515" s="655">
        <v>1.7520357743716481E-3</v>
      </c>
      <c r="K515" s="655">
        <v>1.7604527094474147E-3</v>
      </c>
      <c r="L515" s="655">
        <v>1.8869293031423147E-3</v>
      </c>
    </row>
    <row r="516" spans="1:12" ht="12.75" customHeight="1">
      <c r="A516" s="653" t="s">
        <v>1507</v>
      </c>
      <c r="B516" s="648" t="s">
        <v>1508</v>
      </c>
      <c r="C516" s="650">
        <v>2.4275759091044683E-3</v>
      </c>
      <c r="D516" s="655">
        <v>1.9179417144528281E-3</v>
      </c>
      <c r="E516" s="655">
        <v>2.2691333553658171E-3</v>
      </c>
      <c r="F516" s="655">
        <v>2.1958480354415115E-3</v>
      </c>
      <c r="G516" s="655">
        <v>2.3896096856567293E-3</v>
      </c>
      <c r="H516" s="655">
        <v>2.2361383545890802E-3</v>
      </c>
      <c r="I516" s="655">
        <v>2.5647395285302351E-3</v>
      </c>
      <c r="J516" s="655">
        <v>2.5596487769162998E-3</v>
      </c>
      <c r="K516" s="655">
        <v>2.6973146728123073E-3</v>
      </c>
      <c r="L516" s="655">
        <v>2.8603673495373534E-3</v>
      </c>
    </row>
    <row r="517" spans="1:12" s="651" customFormat="1" ht="12.75" customHeight="1">
      <c r="A517" s="653" t="s">
        <v>1509</v>
      </c>
      <c r="B517" s="648" t="s">
        <v>1510</v>
      </c>
      <c r="C517" s="650">
        <v>1.2984715251704944E-3</v>
      </c>
      <c r="D517" s="655">
        <v>1.1329226651343835E-3</v>
      </c>
      <c r="E517" s="655">
        <v>1.1278092247953926E-3</v>
      </c>
      <c r="F517" s="655">
        <v>1.213996495839031E-3</v>
      </c>
      <c r="G517" s="655">
        <v>1.0421491623183992E-3</v>
      </c>
      <c r="H517" s="655">
        <v>1.3635371118734018E-3</v>
      </c>
      <c r="I517" s="655">
        <v>1.2913738832722071E-3</v>
      </c>
      <c r="J517" s="655">
        <v>1.3721955042013934E-3</v>
      </c>
      <c r="K517" s="655">
        <v>1.6638213017998982E-3</v>
      </c>
      <c r="L517" s="655">
        <v>1.3895858630870305E-3</v>
      </c>
    </row>
    <row r="518" spans="1:12" s="651" customFormat="1" ht="12.75" customHeight="1">
      <c r="A518" s="653" t="s">
        <v>1511</v>
      </c>
      <c r="B518" s="648" t="s">
        <v>1512</v>
      </c>
      <c r="C518" s="650">
        <v>6.3080392850473424E-4</v>
      </c>
      <c r="D518" s="655">
        <v>7.4723096699437128E-4</v>
      </c>
      <c r="E518" s="655">
        <v>5.2072998378349103E-4</v>
      </c>
      <c r="F518" s="655">
        <v>7.1934250165452032E-4</v>
      </c>
      <c r="G518" s="655">
        <v>4.3881431357843242E-4</v>
      </c>
      <c r="H518" s="655">
        <v>5.6823369189930111E-4</v>
      </c>
      <c r="I518" s="655">
        <v>6.9295758664976611E-4</v>
      </c>
      <c r="J518" s="655">
        <v>5.9325685646964034E-4</v>
      </c>
      <c r="K518" s="655">
        <v>6.1529348659322182E-4</v>
      </c>
      <c r="L518" s="655">
        <v>6.6727168989838483E-4</v>
      </c>
    </row>
    <row r="519" spans="1:12" ht="12.75" customHeight="1">
      <c r="A519" s="653" t="s">
        <v>1513</v>
      </c>
      <c r="B519" s="648" t="s">
        <v>1514</v>
      </c>
      <c r="C519" s="650">
        <v>1.9735692231302076E-3</v>
      </c>
      <c r="D519" s="655">
        <v>1.1390070041444721E-3</v>
      </c>
      <c r="E519" s="655">
        <v>2.1553995052136683E-3</v>
      </c>
      <c r="F519" s="655">
        <v>2.204195407542429E-3</v>
      </c>
      <c r="G519" s="655">
        <v>1.7929496594420043E-3</v>
      </c>
      <c r="H519" s="655">
        <v>1.7290236547589898E-3</v>
      </c>
      <c r="I519" s="655">
        <v>2.2469891656151869E-3</v>
      </c>
      <c r="J519" s="655">
        <v>1.7420883716678015E-3</v>
      </c>
      <c r="K519" s="655">
        <v>2.0029295989404845E-3</v>
      </c>
      <c r="L519" s="655">
        <v>2.3485377563068738E-3</v>
      </c>
    </row>
    <row r="520" spans="1:12" ht="12.75" customHeight="1">
      <c r="A520" s="653" t="s">
        <v>1515</v>
      </c>
      <c r="B520" s="648" t="s">
        <v>1516</v>
      </c>
      <c r="C520" s="650">
        <v>4.0133031422079243E-4</v>
      </c>
      <c r="D520" s="655">
        <v>2.6636501454757502E-4</v>
      </c>
      <c r="E520" s="655">
        <v>2.661298117869599E-4</v>
      </c>
      <c r="F520" s="655">
        <v>5.2965736024901888E-4</v>
      </c>
      <c r="G520" s="655">
        <v>3.9935799417581484E-4</v>
      </c>
      <c r="H520" s="655">
        <v>2.874063241874883E-4</v>
      </c>
      <c r="I520" s="655">
        <v>4.5275924024920964E-4</v>
      </c>
      <c r="J520" s="655">
        <v>3.8186967339746091E-4</v>
      </c>
      <c r="K520" s="655">
        <v>4.40724211380878E-4</v>
      </c>
      <c r="L520" s="655">
        <v>4.3220078789633589E-4</v>
      </c>
    </row>
    <row r="521" spans="1:12" s="651" customFormat="1" ht="12.75" customHeight="1">
      <c r="A521" s="653" t="s">
        <v>1517</v>
      </c>
      <c r="B521" s="648" t="s">
        <v>1518</v>
      </c>
      <c r="C521" s="650">
        <v>1.803650165423769E-3</v>
      </c>
      <c r="D521" s="655">
        <v>1.729250083219954E-3</v>
      </c>
      <c r="E521" s="655">
        <v>1.5940100662991271E-3</v>
      </c>
      <c r="F521" s="655">
        <v>1.8509742648465729E-3</v>
      </c>
      <c r="G521" s="655">
        <v>1.6204873301542777E-3</v>
      </c>
      <c r="H521" s="655">
        <v>1.5864785628707326E-3</v>
      </c>
      <c r="I521" s="655">
        <v>1.6995612647759842E-3</v>
      </c>
      <c r="J521" s="655">
        <v>1.417842736768116E-3</v>
      </c>
      <c r="K521" s="655">
        <v>2.0599692828747879E-3</v>
      </c>
      <c r="L521" s="655">
        <v>2.2542363282791887E-3</v>
      </c>
    </row>
    <row r="522" spans="1:12" s="651" customFormat="1" ht="12.75" customHeight="1">
      <c r="A522" s="653" t="s">
        <v>1519</v>
      </c>
      <c r="B522" s="648" t="s">
        <v>1520</v>
      </c>
      <c r="C522" s="650">
        <v>1.6079874486358259E-3</v>
      </c>
      <c r="D522" s="655">
        <v>1.7044458824897915E-3</v>
      </c>
      <c r="E522" s="655">
        <v>1.797628849364326E-3</v>
      </c>
      <c r="F522" s="655">
        <v>1.1964943413148249E-3</v>
      </c>
      <c r="G522" s="655">
        <v>2.1366181584028953E-3</v>
      </c>
      <c r="H522" s="655">
        <v>1.8001762954180354E-3</v>
      </c>
      <c r="I522" s="655">
        <v>1.2573875960354248E-3</v>
      </c>
      <c r="J522" s="655">
        <v>1.4433955046068161E-3</v>
      </c>
      <c r="K522" s="655">
        <v>1.894838572237224E-3</v>
      </c>
      <c r="L522" s="655">
        <v>1.570212927965216E-3</v>
      </c>
    </row>
    <row r="523" spans="1:12" ht="12.75" customHeight="1">
      <c r="A523" s="653" t="s">
        <v>1521</v>
      </c>
      <c r="B523" s="648" t="s">
        <v>1522</v>
      </c>
      <c r="C523" s="650">
        <v>1.3697670858749628E-3</v>
      </c>
      <c r="D523" s="655">
        <v>1.4519353813801925E-3</v>
      </c>
      <c r="E523" s="655">
        <v>1.5313134642733145E-3</v>
      </c>
      <c r="F523" s="655">
        <v>1.0192359203792952E-3</v>
      </c>
      <c r="G523" s="655">
        <v>1.8200821349357995E-3</v>
      </c>
      <c r="H523" s="655">
        <v>1.53348351091166E-3</v>
      </c>
      <c r="I523" s="655">
        <v>1.0711079521783249E-3</v>
      </c>
      <c r="J523" s="655">
        <v>1.2295591335539544E-3</v>
      </c>
      <c r="K523" s="655">
        <v>1.6141217467205984E-3</v>
      </c>
      <c r="L523" s="655">
        <v>1.3375887904888873E-3</v>
      </c>
    </row>
    <row r="524" spans="1:12" s="651" customFormat="1" ht="12.75" customHeight="1">
      <c r="A524" s="642" t="s">
        <v>1523</v>
      </c>
      <c r="B524" s="646" t="s">
        <v>1524</v>
      </c>
      <c r="C524" s="645">
        <v>2.6651381315618001E-3</v>
      </c>
      <c r="D524" s="656">
        <v>2.6651381315618006E-3</v>
      </c>
      <c r="E524" s="656">
        <v>2.6651381315618001E-3</v>
      </c>
      <c r="F524" s="656">
        <v>2.6651381315618001E-3</v>
      </c>
      <c r="G524" s="656">
        <v>2.6651381315618001E-3</v>
      </c>
      <c r="H524" s="656">
        <v>2.6651381315618006E-3</v>
      </c>
      <c r="I524" s="656">
        <v>2.6651381315618001E-3</v>
      </c>
      <c r="J524" s="656">
        <v>2.6651381315618001E-3</v>
      </c>
      <c r="K524" s="656">
        <v>2.6651381315618001E-3</v>
      </c>
      <c r="L524" s="656">
        <v>2.6651381315618001E-3</v>
      </c>
    </row>
    <row r="525" spans="1:12" s="651" customFormat="1" ht="12.75" customHeight="1">
      <c r="A525" s="642" t="s">
        <v>1525</v>
      </c>
      <c r="B525" s="646" t="s">
        <v>1526</v>
      </c>
      <c r="C525" s="656">
        <v>8.5179469910300195E-4</v>
      </c>
      <c r="D525" s="656">
        <v>1.0601126363519765E-3</v>
      </c>
      <c r="E525" s="656">
        <v>7.2344655772157171E-4</v>
      </c>
      <c r="F525" s="656">
        <v>9.3503542491993016E-4</v>
      </c>
      <c r="G525" s="656">
        <v>6.4741521650704247E-4</v>
      </c>
      <c r="H525" s="656">
        <v>4.101613194034538E-4</v>
      </c>
      <c r="I525" s="656">
        <v>7.034428519852125E-4</v>
      </c>
      <c r="J525" s="656">
        <v>9.289816900092836E-4</v>
      </c>
      <c r="K525" s="656">
        <v>4.8054267974466998E-4</v>
      </c>
      <c r="L525" s="656">
        <v>1.2092474337453236E-3</v>
      </c>
    </row>
    <row r="526" spans="1:12" s="651" customFormat="1" ht="12.75" customHeight="1">
      <c r="A526" s="653" t="s">
        <v>1527</v>
      </c>
      <c r="B526" s="648" t="s">
        <v>1528</v>
      </c>
      <c r="C526" s="650">
        <v>4.8563281144914817E-4</v>
      </c>
      <c r="D526" s="655">
        <v>4.1181082976668806E-4</v>
      </c>
      <c r="E526" s="655">
        <v>2.4189524036923625E-5</v>
      </c>
      <c r="F526" s="655">
        <v>5.2211596046058256E-4</v>
      </c>
      <c r="G526" s="655">
        <v>2.8510456880988613E-4</v>
      </c>
      <c r="H526" s="655">
        <v>2.1587672804143456E-4</v>
      </c>
      <c r="I526" s="655">
        <v>4.190334258436368E-4</v>
      </c>
      <c r="J526" s="655">
        <v>6.4682072674625149E-4</v>
      </c>
      <c r="K526" s="655">
        <v>1.9797551496324102E-4</v>
      </c>
      <c r="L526" s="655">
        <v>8.9987795345159718E-4</v>
      </c>
    </row>
    <row r="527" spans="1:12" s="651" customFormat="1" ht="12.75" customHeight="1">
      <c r="A527" s="653" t="s">
        <v>1529</v>
      </c>
      <c r="B527" s="648" t="s">
        <v>1530</v>
      </c>
      <c r="C527" s="650">
        <v>3.6616188765385373E-4</v>
      </c>
      <c r="D527" s="655">
        <v>6.4830180658528858E-4</v>
      </c>
      <c r="E527" s="655">
        <v>6.9925703368464806E-4</v>
      </c>
      <c r="F527" s="655">
        <v>4.1291946445934754E-4</v>
      </c>
      <c r="G527" s="655">
        <v>3.6231064769715634E-4</v>
      </c>
      <c r="H527" s="655">
        <v>1.9428459136201922E-4</v>
      </c>
      <c r="I527" s="655">
        <v>2.844094261415757E-4</v>
      </c>
      <c r="J527" s="655">
        <v>2.8216096326303211E-4</v>
      </c>
      <c r="K527" s="655">
        <v>2.8256716478142901E-4</v>
      </c>
      <c r="L527" s="655">
        <v>3.0936948029372649E-4</v>
      </c>
    </row>
    <row r="528" spans="1:12" s="651" customFormat="1" ht="12.75" customHeight="1">
      <c r="A528" s="642" t="s">
        <v>1531</v>
      </c>
      <c r="B528" s="646" t="s">
        <v>1532</v>
      </c>
      <c r="C528" s="645">
        <v>1.8133434324587984E-3</v>
      </c>
      <c r="D528" s="656">
        <v>1.605025495209824E-3</v>
      </c>
      <c r="E528" s="656">
        <v>1.9416915738402285E-3</v>
      </c>
      <c r="F528" s="656">
        <v>1.7301027066418703E-3</v>
      </c>
      <c r="G528" s="656">
        <v>2.0177229150547577E-3</v>
      </c>
      <c r="H528" s="656">
        <v>2.2549768121583468E-3</v>
      </c>
      <c r="I528" s="656">
        <v>1.9616952795765879E-3</v>
      </c>
      <c r="J528" s="656">
        <v>1.7361564415525165E-3</v>
      </c>
      <c r="K528" s="656">
        <v>2.1845954518171303E-3</v>
      </c>
      <c r="L528" s="656">
        <v>1.4558906978164767E-3</v>
      </c>
    </row>
    <row r="529" spans="1:12" s="651" customFormat="1" ht="12.75" customHeight="1">
      <c r="A529" s="653" t="s">
        <v>1533</v>
      </c>
      <c r="B529" s="648" t="s">
        <v>1534</v>
      </c>
      <c r="C529" s="650">
        <v>1.8133434324587984E-3</v>
      </c>
      <c r="D529" s="655">
        <v>1.605025495209824E-3</v>
      </c>
      <c r="E529" s="655">
        <v>1.9416915738402285E-3</v>
      </c>
      <c r="F529" s="655">
        <v>1.7301027066418703E-3</v>
      </c>
      <c r="G529" s="655">
        <v>2.0177229150547577E-3</v>
      </c>
      <c r="H529" s="655">
        <v>2.2549768121583468E-3</v>
      </c>
      <c r="I529" s="655">
        <v>1.9616952795765879E-3</v>
      </c>
      <c r="J529" s="655">
        <v>1.7361564415525165E-3</v>
      </c>
      <c r="K529" s="655">
        <v>2.1845954518171303E-3</v>
      </c>
      <c r="L529" s="655">
        <v>1.4558906978164767E-3</v>
      </c>
    </row>
    <row r="530" spans="1:12" s="651" customFormat="1" ht="12.75" customHeight="1">
      <c r="A530" s="642" t="s">
        <v>1535</v>
      </c>
      <c r="B530" s="646" t="s">
        <v>1536</v>
      </c>
      <c r="C530" s="645">
        <v>3.221380196350434E-3</v>
      </c>
      <c r="D530" s="656">
        <v>3.221380196350434E-3</v>
      </c>
      <c r="E530" s="656">
        <v>3.221380196350434E-3</v>
      </c>
      <c r="F530" s="656">
        <v>3.221380196350434E-3</v>
      </c>
      <c r="G530" s="656">
        <v>3.221380196350434E-3</v>
      </c>
      <c r="H530" s="656">
        <v>3.221380196350434E-3</v>
      </c>
      <c r="I530" s="656">
        <v>3.221380196350434E-3</v>
      </c>
      <c r="J530" s="656">
        <v>3.221380196350434E-3</v>
      </c>
      <c r="K530" s="656">
        <v>3.221380196350434E-3</v>
      </c>
      <c r="L530" s="656">
        <v>3.221380196350434E-3</v>
      </c>
    </row>
    <row r="531" spans="1:12" s="651" customFormat="1" ht="12.75" customHeight="1">
      <c r="A531" s="642" t="s">
        <v>1537</v>
      </c>
      <c r="B531" s="646" t="s">
        <v>1538</v>
      </c>
      <c r="C531" s="656">
        <v>7.5169327000347672E-4</v>
      </c>
      <c r="D531" s="656">
        <v>1.2750408073545841E-3</v>
      </c>
      <c r="E531" s="656">
        <v>2.695643658732158E-3</v>
      </c>
      <c r="F531" s="656">
        <v>1.0376056675049262E-4</v>
      </c>
      <c r="G531" s="656">
        <v>5.3919476840153067E-4</v>
      </c>
      <c r="H531" s="656">
        <v>4.7252245651860722E-4</v>
      </c>
      <c r="I531" s="656">
        <v>1.2535343990768512E-3</v>
      </c>
      <c r="J531" s="656">
        <v>2.0234681151355392E-3</v>
      </c>
      <c r="K531" s="656">
        <v>8.0124362038791648E-4</v>
      </c>
      <c r="L531" s="656">
        <v>8.451876345566511E-4</v>
      </c>
    </row>
    <row r="532" spans="1:12" ht="12.75" customHeight="1">
      <c r="A532" s="653" t="s">
        <v>1539</v>
      </c>
      <c r="B532" s="648" t="s">
        <v>1540</v>
      </c>
      <c r="C532" s="650">
        <v>7.5169327000347672E-4</v>
      </c>
      <c r="D532" s="655">
        <v>1.2750408073545841E-3</v>
      </c>
      <c r="E532" s="655">
        <v>2.695643658732158E-3</v>
      </c>
      <c r="F532" s="655">
        <v>1.0376056675049262E-4</v>
      </c>
      <c r="G532" s="655">
        <v>5.3919476840153067E-4</v>
      </c>
      <c r="H532" s="655">
        <v>4.7252245651860722E-4</v>
      </c>
      <c r="I532" s="655">
        <v>1.2535343990768512E-3</v>
      </c>
      <c r="J532" s="655">
        <v>2.0234681151355392E-3</v>
      </c>
      <c r="K532" s="655">
        <v>8.0124362038791648E-4</v>
      </c>
      <c r="L532" s="655">
        <v>8.451876345566511E-4</v>
      </c>
    </row>
    <row r="533" spans="1:12" s="651" customFormat="1" ht="12.75" customHeight="1">
      <c r="A533" s="642" t="s">
        <v>1541</v>
      </c>
      <c r="B533" s="646" t="s">
        <v>1542</v>
      </c>
      <c r="C533" s="645">
        <v>2.4696869263469575E-3</v>
      </c>
      <c r="D533" s="656">
        <v>1.9463393889958499E-3</v>
      </c>
      <c r="E533" s="656">
        <v>5.2573653761827613E-4</v>
      </c>
      <c r="F533" s="656">
        <v>3.1176196295999411E-3</v>
      </c>
      <c r="G533" s="656">
        <v>2.6821854279489034E-3</v>
      </c>
      <c r="H533" s="656">
        <v>2.7488577398318268E-3</v>
      </c>
      <c r="I533" s="656">
        <v>1.9678457972735828E-3</v>
      </c>
      <c r="J533" s="656">
        <v>1.1979120812148946E-3</v>
      </c>
      <c r="K533" s="656">
        <v>2.4201365759625175E-3</v>
      </c>
      <c r="L533" s="656">
        <v>2.376192561793783E-3</v>
      </c>
    </row>
    <row r="534" spans="1:12" ht="12.75" customHeight="1">
      <c r="A534" s="653" t="s">
        <v>1543</v>
      </c>
      <c r="B534" s="657" t="s">
        <v>1544</v>
      </c>
      <c r="C534" s="658">
        <v>2.4696869263469575E-3</v>
      </c>
      <c r="D534" s="659">
        <v>1.9463393889958499E-3</v>
      </c>
      <c r="E534" s="659">
        <v>5.2573653761827613E-4</v>
      </c>
      <c r="F534" s="660">
        <v>3.1176196295999411E-3</v>
      </c>
      <c r="G534" s="655">
        <v>2.6821854279489034E-3</v>
      </c>
      <c r="H534" s="655">
        <v>2.7488577398318268E-3</v>
      </c>
      <c r="I534" s="655">
        <v>1.9678457972735828E-3</v>
      </c>
      <c r="J534" s="661">
        <v>1.1979120812148946E-3</v>
      </c>
      <c r="K534" s="659">
        <v>2.4201365759625175E-3</v>
      </c>
      <c r="L534" s="660">
        <v>2.376192561793783E-3</v>
      </c>
    </row>
    <row r="535" spans="1:12" s="651" customFormat="1" ht="12.75" customHeight="1">
      <c r="A535" s="642" t="s">
        <v>1545</v>
      </c>
      <c r="B535" s="662" t="s">
        <v>1546</v>
      </c>
      <c r="C535" s="663">
        <v>2.3448090292106224E-3</v>
      </c>
      <c r="D535" s="664">
        <v>2.3448090292106224E-3</v>
      </c>
      <c r="E535" s="664">
        <v>2.3448090292106224E-3</v>
      </c>
      <c r="F535" s="664">
        <v>2.3448090292106224E-3</v>
      </c>
      <c r="G535" s="664">
        <v>2.3448090292106224E-3</v>
      </c>
      <c r="H535" s="664">
        <v>2.3448090292106224E-3</v>
      </c>
      <c r="I535" s="664">
        <v>2.3448090292106224E-3</v>
      </c>
      <c r="J535" s="664">
        <v>2.3448090292106224E-3</v>
      </c>
      <c r="K535" s="664">
        <v>2.3448090292106224E-3</v>
      </c>
      <c r="L535" s="665">
        <v>2.3448090292106224E-3</v>
      </c>
    </row>
    <row r="536" spans="1:12">
      <c r="A536" s="653" t="s">
        <v>1547</v>
      </c>
      <c r="B536" s="657" t="s">
        <v>1546</v>
      </c>
      <c r="C536" s="658">
        <v>2.3448090292106224E-3</v>
      </c>
      <c r="D536" s="658">
        <v>2.3448090292106224E-3</v>
      </c>
      <c r="E536" s="658">
        <v>2.3448090292106224E-3</v>
      </c>
      <c r="F536" s="658">
        <v>2.3448090292106224E-3</v>
      </c>
      <c r="G536" s="658">
        <v>2.3448090292106224E-3</v>
      </c>
      <c r="H536" s="658">
        <v>2.3448090292106224E-3</v>
      </c>
      <c r="I536" s="658">
        <v>2.3448090292106224E-3</v>
      </c>
      <c r="J536" s="658">
        <v>2.3448090292106224E-3</v>
      </c>
      <c r="K536" s="658">
        <v>2.3448090292106224E-3</v>
      </c>
      <c r="L536" s="666">
        <v>2.3448090292106224E-3</v>
      </c>
    </row>
    <row r="537" spans="1:12" s="651" customFormat="1">
      <c r="A537" s="642" t="s">
        <v>1548</v>
      </c>
      <c r="B537" s="662" t="s">
        <v>1549</v>
      </c>
      <c r="C537" s="663">
        <v>7.1618050130373943E-3</v>
      </c>
      <c r="D537" s="663">
        <v>7.1618050130373943E-3</v>
      </c>
      <c r="E537" s="663">
        <v>7.1618050130373943E-3</v>
      </c>
      <c r="F537" s="663">
        <v>7.1618050130373943E-3</v>
      </c>
      <c r="G537" s="663">
        <v>7.1618050130373935E-3</v>
      </c>
      <c r="H537" s="663">
        <v>7.1618050130373935E-3</v>
      </c>
      <c r="I537" s="663">
        <v>7.1618050130373943E-3</v>
      </c>
      <c r="J537" s="663">
        <v>7.1618050130373935E-3</v>
      </c>
      <c r="K537" s="663">
        <v>7.1618050130373943E-3</v>
      </c>
      <c r="L537" s="667">
        <v>7.1618050130373961E-3</v>
      </c>
    </row>
    <row r="538" spans="1:12">
      <c r="A538" s="653" t="s">
        <v>1550</v>
      </c>
      <c r="B538" s="657" t="s">
        <v>1551</v>
      </c>
      <c r="C538" s="658">
        <v>1.5967839050830969E-3</v>
      </c>
      <c r="D538" s="658">
        <v>1.8653087340156982E-3</v>
      </c>
      <c r="E538" s="658">
        <v>1.7614800629958864E-3</v>
      </c>
      <c r="F538" s="658">
        <v>2.7556363237923355E-3</v>
      </c>
      <c r="G538" s="658">
        <v>2.8720148004277224E-3</v>
      </c>
      <c r="H538" s="658">
        <v>9.184205353518518E-4</v>
      </c>
      <c r="I538" s="658">
        <v>5.7986083508441446E-4</v>
      </c>
      <c r="J538" s="658">
        <v>7.9094238717627942E-4</v>
      </c>
      <c r="K538" s="658">
        <v>1.5171386938784121E-3</v>
      </c>
      <c r="L538" s="666">
        <v>2.9868213700399456E-4</v>
      </c>
    </row>
    <row r="539" spans="1:12">
      <c r="A539" s="668" t="s">
        <v>1552</v>
      </c>
      <c r="B539" s="669" t="s">
        <v>1553</v>
      </c>
      <c r="C539" s="670">
        <v>5.5650211079542981E-3</v>
      </c>
      <c r="D539" s="670">
        <v>5.2964962790216959E-3</v>
      </c>
      <c r="E539" s="670">
        <v>5.4003249500415079E-3</v>
      </c>
      <c r="F539" s="670">
        <v>4.4061686892450588E-3</v>
      </c>
      <c r="G539" s="670">
        <v>4.2897902126096711E-3</v>
      </c>
      <c r="H539" s="670">
        <v>6.2433844776855416E-3</v>
      </c>
      <c r="I539" s="670">
        <v>6.5819441779529798E-3</v>
      </c>
      <c r="J539" s="670">
        <v>6.3708626258611144E-3</v>
      </c>
      <c r="K539" s="670">
        <v>5.6446663191589818E-3</v>
      </c>
      <c r="L539" s="671">
        <v>6.8631228760334005E-3</v>
      </c>
    </row>
    <row r="540" spans="1:12">
      <c r="C540" s="672"/>
    </row>
    <row r="541" spans="1:12" ht="14.25">
      <c r="A541" s="674" t="s">
        <v>1554</v>
      </c>
      <c r="C541" s="672"/>
    </row>
    <row r="542" spans="1:12">
      <c r="C542" s="672"/>
    </row>
    <row r="543" spans="1:12">
      <c r="C543" s="672"/>
    </row>
    <row r="544" spans="1:12">
      <c r="C544" s="672"/>
    </row>
    <row r="545" spans="3:3">
      <c r="C545" s="672"/>
    </row>
    <row r="546" spans="3:3">
      <c r="C546" s="672"/>
    </row>
    <row r="547" spans="3:3">
      <c r="C547" s="672"/>
    </row>
    <row r="548" spans="3:3">
      <c r="C548" s="672"/>
    </row>
    <row r="549" spans="3:3">
      <c r="C549" s="672"/>
    </row>
    <row r="550" spans="3:3">
      <c r="C550" s="672"/>
    </row>
    <row r="551" spans="3:3">
      <c r="C551" s="672"/>
    </row>
    <row r="552" spans="3:3">
      <c r="C552" s="672"/>
    </row>
    <row r="553" spans="3:3">
      <c r="C553" s="672"/>
    </row>
    <row r="554" spans="3:3">
      <c r="C554" s="672"/>
    </row>
    <row r="555" spans="3:3">
      <c r="C555" s="672"/>
    </row>
    <row r="556" spans="3:3">
      <c r="C556" s="672"/>
    </row>
    <row r="557" spans="3:3">
      <c r="C557" s="672"/>
    </row>
    <row r="558" spans="3:3">
      <c r="C558" s="672"/>
    </row>
    <row r="559" spans="3:3">
      <c r="C559" s="672"/>
    </row>
    <row r="560" spans="3:3">
      <c r="C560" s="672"/>
    </row>
    <row r="561" spans="3:3">
      <c r="C561" s="672"/>
    </row>
    <row r="562" spans="3:3">
      <c r="C562" s="672"/>
    </row>
    <row r="563" spans="3:3">
      <c r="C563" s="672"/>
    </row>
    <row r="564" spans="3:3">
      <c r="C564" s="672"/>
    </row>
    <row r="565" spans="3:3">
      <c r="C565" s="672"/>
    </row>
    <row r="567" spans="3:3">
      <c r="C567" s="672"/>
    </row>
    <row r="568" spans="3:3">
      <c r="C568" s="672"/>
    </row>
    <row r="569" spans="3:3">
      <c r="C569" s="672"/>
    </row>
    <row r="570" spans="3:3">
      <c r="C570" s="672"/>
    </row>
    <row r="571" spans="3:3">
      <c r="C571" s="672"/>
    </row>
    <row r="572" spans="3:3">
      <c r="C572" s="672"/>
    </row>
    <row r="573" spans="3:3">
      <c r="C573" s="672"/>
    </row>
    <row r="574" spans="3:3">
      <c r="C574" s="672"/>
    </row>
    <row r="575" spans="3:3">
      <c r="C575" s="672"/>
    </row>
    <row r="576" spans="3:3">
      <c r="C576" s="672"/>
    </row>
    <row r="577" spans="3:3">
      <c r="C577" s="672"/>
    </row>
    <row r="578" spans="3:3">
      <c r="C578" s="672"/>
    </row>
    <row r="579" spans="3:3">
      <c r="C579" s="672"/>
    </row>
    <row r="580" spans="3:3">
      <c r="C580" s="672"/>
    </row>
    <row r="581" spans="3:3">
      <c r="C581" s="672"/>
    </row>
    <row r="582" spans="3:3">
      <c r="C582" s="672"/>
    </row>
    <row r="583" spans="3:3">
      <c r="C583" s="672"/>
    </row>
    <row r="584" spans="3:3">
      <c r="C584" s="672"/>
    </row>
    <row r="585" spans="3:3">
      <c r="C585" s="672"/>
    </row>
    <row r="586" spans="3:3">
      <c r="C586" s="672"/>
    </row>
    <row r="587" spans="3:3">
      <c r="C587" s="672"/>
    </row>
    <row r="588" spans="3:3">
      <c r="C588" s="672"/>
    </row>
    <row r="589" spans="3:3">
      <c r="C589" s="672"/>
    </row>
    <row r="590" spans="3:3">
      <c r="C590" s="672"/>
    </row>
    <row r="591" spans="3:3">
      <c r="C591" s="672"/>
    </row>
    <row r="592" spans="3:3">
      <c r="C592" s="672"/>
    </row>
    <row r="594" spans="3:3">
      <c r="C594" s="672"/>
    </row>
    <row r="595" spans="3:3">
      <c r="C595" s="672"/>
    </row>
    <row r="596" spans="3:3">
      <c r="C596" s="672"/>
    </row>
    <row r="597" spans="3:3">
      <c r="C597" s="672"/>
    </row>
    <row r="598" spans="3:3">
      <c r="C598" s="672"/>
    </row>
    <row r="599" spans="3:3">
      <c r="C599" s="672"/>
    </row>
    <row r="600" spans="3:3">
      <c r="C600" s="672"/>
    </row>
    <row r="601" spans="3:3">
      <c r="C601" s="672"/>
    </row>
    <row r="602" spans="3:3">
      <c r="C602" s="672"/>
    </row>
    <row r="604" spans="3:3">
      <c r="C604" s="672"/>
    </row>
    <row r="605" spans="3:3">
      <c r="C605" s="672"/>
    </row>
    <row r="606" spans="3:3">
      <c r="C606" s="672"/>
    </row>
    <row r="607" spans="3:3">
      <c r="C607" s="672"/>
    </row>
    <row r="609" spans="3:3">
      <c r="C609" s="672"/>
    </row>
    <row r="611" spans="3:3">
      <c r="C611" s="672"/>
    </row>
    <row r="612" spans="3:3">
      <c r="C612" s="672"/>
    </row>
    <row r="613" spans="3:3">
      <c r="C613" s="672"/>
    </row>
    <row r="614" spans="3:3">
      <c r="C614" s="672"/>
    </row>
    <row r="615" spans="3:3">
      <c r="C615" s="672"/>
    </row>
    <row r="616" spans="3:3">
      <c r="C616" s="672"/>
    </row>
    <row r="617" spans="3:3">
      <c r="C617" s="672"/>
    </row>
    <row r="618" spans="3:3">
      <c r="C618" s="672"/>
    </row>
    <row r="619" spans="3:3">
      <c r="C619" s="672"/>
    </row>
    <row r="620" spans="3:3">
      <c r="C620" s="672"/>
    </row>
    <row r="621" spans="3:3">
      <c r="C621" s="672"/>
    </row>
    <row r="622" spans="3:3">
      <c r="C622" s="672"/>
    </row>
    <row r="624" spans="3:3">
      <c r="C624" s="672"/>
    </row>
    <row r="626" spans="3:3">
      <c r="C626" s="672"/>
    </row>
    <row r="627" spans="3:3">
      <c r="C627" s="672"/>
    </row>
    <row r="628" spans="3:3">
      <c r="C628" s="672"/>
    </row>
    <row r="629" spans="3:3">
      <c r="C629" s="672"/>
    </row>
    <row r="630" spans="3:3">
      <c r="C630" s="672"/>
    </row>
    <row r="631" spans="3:3">
      <c r="C631" s="672"/>
    </row>
    <row r="632" spans="3:3">
      <c r="C632" s="672"/>
    </row>
    <row r="634" spans="3:3">
      <c r="C634" s="672"/>
    </row>
    <row r="635" spans="3:3">
      <c r="C635" s="672"/>
    </row>
    <row r="636" spans="3:3">
      <c r="C636" s="672"/>
    </row>
    <row r="637" spans="3:3">
      <c r="C637" s="672"/>
    </row>
    <row r="639" spans="3:3">
      <c r="C639" s="672"/>
    </row>
    <row r="640" spans="3:3">
      <c r="C640" s="672"/>
    </row>
    <row r="641" spans="3:3">
      <c r="C641" s="672"/>
    </row>
    <row r="642" spans="3:3">
      <c r="C642" s="672"/>
    </row>
    <row r="643" spans="3:3">
      <c r="C643" s="672"/>
    </row>
    <row r="644" spans="3:3">
      <c r="C644" s="672"/>
    </row>
    <row r="645" spans="3:3">
      <c r="C645" s="672"/>
    </row>
    <row r="646" spans="3:3">
      <c r="C646" s="672"/>
    </row>
    <row r="647" spans="3:3">
      <c r="C647" s="672"/>
    </row>
    <row r="648" spans="3:3">
      <c r="C648" s="672"/>
    </row>
    <row r="649" spans="3:3">
      <c r="C649" s="672"/>
    </row>
    <row r="651" spans="3:3">
      <c r="C651" s="672"/>
    </row>
    <row r="652" spans="3:3">
      <c r="C652" s="672"/>
    </row>
    <row r="653" spans="3:3">
      <c r="C653" s="672"/>
    </row>
    <row r="654" spans="3:3">
      <c r="C654" s="672"/>
    </row>
    <row r="655" spans="3:3">
      <c r="C655" s="672"/>
    </row>
    <row r="656" spans="3:3">
      <c r="C656" s="672"/>
    </row>
    <row r="657" spans="3:3">
      <c r="C657" s="672"/>
    </row>
    <row r="658" spans="3:3">
      <c r="C658" s="672"/>
    </row>
    <row r="660" spans="3:3">
      <c r="C660" s="672"/>
    </row>
    <row r="662" spans="3:3">
      <c r="C662" s="672"/>
    </row>
    <row r="663" spans="3:3">
      <c r="C663" s="672"/>
    </row>
    <row r="664" spans="3:3">
      <c r="C664" s="672"/>
    </row>
    <row r="665" spans="3:3">
      <c r="C665" s="672"/>
    </row>
    <row r="666" spans="3:3">
      <c r="C666" s="672"/>
    </row>
    <row r="667" spans="3:3">
      <c r="C667" s="672"/>
    </row>
    <row r="668" spans="3:3">
      <c r="C668" s="672"/>
    </row>
  </sheetData>
  <mergeCells count="1">
    <mergeCell ref="B1:L1"/>
  </mergeCells>
  <pageMargins left="0.19685039370078741" right="0.19685039370078741" top="0.31496062992125984" bottom="0.39370078740157483" header="0.51181102362204722" footer="0.51181102362204722"/>
  <pageSetup paperSize="9" scale="75"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Аркуш7">
    <tabColor theme="4" tint="-0.249977111117893"/>
  </sheetPr>
  <dimension ref="A1:AK105"/>
  <sheetViews>
    <sheetView zoomScale="70" zoomScaleNormal="70" workbookViewId="0">
      <pane xSplit="2" ySplit="1" topLeftCell="C65" activePane="bottomRight" state="frozen"/>
      <selection pane="topRight" activeCell="C1" sqref="C1"/>
      <selection pane="bottomLeft" activeCell="A2" sqref="A2"/>
      <selection pane="bottomRight" activeCell="H59" sqref="H59"/>
    </sheetView>
  </sheetViews>
  <sheetFormatPr defaultColWidth="8.69921875" defaultRowHeight="18"/>
  <cols>
    <col min="2" max="2" width="9.69921875" customWidth="1"/>
    <col min="3" max="3" width="32.3984375" customWidth="1"/>
    <col min="4" max="4" width="14" customWidth="1"/>
    <col min="5" max="8" width="11.19921875" customWidth="1"/>
    <col min="9" max="9" width="13.69921875" customWidth="1"/>
    <col min="20" max="20" width="13.69921875" customWidth="1"/>
    <col min="25" max="25" width="12.59765625" customWidth="1"/>
    <col min="26" max="26" width="12.09765625" customWidth="1"/>
    <col min="27" max="27" width="17.69921875" customWidth="1"/>
    <col min="28" max="28" width="13.59765625" customWidth="1"/>
    <col min="29" max="29" width="20" customWidth="1"/>
    <col min="30" max="30" width="13.69921875" customWidth="1"/>
    <col min="31" max="31" width="14.59765625" customWidth="1"/>
    <col min="32" max="32" width="8.69921875" customWidth="1"/>
    <col min="33" max="33" width="8.3984375" customWidth="1"/>
    <col min="34" max="34" width="9" customWidth="1"/>
    <col min="35" max="35" width="12.59765625" customWidth="1"/>
  </cols>
  <sheetData>
    <row r="1" spans="1:37" s="86" customFormat="1" ht="54" customHeight="1">
      <c r="B1" s="87"/>
      <c r="C1" s="128" t="s">
        <v>181</v>
      </c>
      <c r="D1" s="6" t="s">
        <v>257</v>
      </c>
      <c r="E1" s="6" t="s">
        <v>256</v>
      </c>
      <c r="F1" s="6" t="s">
        <v>138</v>
      </c>
      <c r="G1" s="6" t="s">
        <v>284</v>
      </c>
      <c r="H1" s="284" t="s">
        <v>285</v>
      </c>
      <c r="I1" s="25" t="s">
        <v>0</v>
      </c>
      <c r="J1" s="88" t="s">
        <v>140</v>
      </c>
      <c r="K1" s="88" t="s">
        <v>141</v>
      </c>
      <c r="L1" s="25" t="s">
        <v>10</v>
      </c>
      <c r="M1" s="89" t="s">
        <v>140</v>
      </c>
      <c r="N1" s="89" t="s">
        <v>141</v>
      </c>
      <c r="O1" s="26" t="s">
        <v>138</v>
      </c>
      <c r="P1" s="89" t="s">
        <v>140</v>
      </c>
      <c r="Q1" s="89" t="s">
        <v>141</v>
      </c>
      <c r="S1" s="91" t="s">
        <v>171</v>
      </c>
      <c r="T1" s="91" t="s">
        <v>172</v>
      </c>
      <c r="U1" s="92" t="s">
        <v>166</v>
      </c>
      <c r="V1" s="90" t="s">
        <v>169</v>
      </c>
      <c r="W1" s="90" t="s">
        <v>170</v>
      </c>
      <c r="X1" s="86" t="s">
        <v>11</v>
      </c>
      <c r="Y1" s="86" t="s">
        <v>5</v>
      </c>
      <c r="Z1" s="86" t="s">
        <v>12</v>
      </c>
      <c r="AA1" s="86" t="s">
        <v>13</v>
      </c>
      <c r="AB1" s="86" t="s">
        <v>14</v>
      </c>
      <c r="AC1" s="86" t="s">
        <v>139</v>
      </c>
      <c r="AD1" s="86" t="s">
        <v>153</v>
      </c>
      <c r="AE1" s="86" t="s">
        <v>15</v>
      </c>
      <c r="AF1" s="86" t="s">
        <v>16</v>
      </c>
      <c r="AG1" s="86" t="s">
        <v>17</v>
      </c>
      <c r="AH1" s="86" t="s">
        <v>4</v>
      </c>
      <c r="AI1" s="86" t="s">
        <v>0</v>
      </c>
      <c r="AJ1" s="86" t="s">
        <v>10</v>
      </c>
      <c r="AK1" s="86" t="s">
        <v>168</v>
      </c>
    </row>
    <row r="2" spans="1:37" ht="21.75">
      <c r="A2">
        <v>2010</v>
      </c>
      <c r="B2">
        <v>1</v>
      </c>
      <c r="C2" t="s">
        <v>26</v>
      </c>
      <c r="E2" s="74"/>
      <c r="F2" s="74"/>
      <c r="G2" s="74"/>
      <c r="H2" s="74"/>
      <c r="I2" s="74"/>
      <c r="J2" s="74"/>
      <c r="K2" s="74"/>
      <c r="L2" s="74"/>
      <c r="M2" s="74"/>
      <c r="N2" s="74"/>
      <c r="O2" s="74"/>
      <c r="P2" s="74"/>
      <c r="Q2" s="74"/>
      <c r="R2" s="74"/>
      <c r="S2" s="74"/>
      <c r="T2" s="74"/>
      <c r="U2" s="96">
        <v>0.1</v>
      </c>
      <c r="V2" s="33"/>
      <c r="X2">
        <v>94.730805196105507</v>
      </c>
      <c r="Y2">
        <v>7.9881105606758842</v>
      </c>
      <c r="Z2">
        <f>X2*Y2</f>
        <v>756.72014540834027</v>
      </c>
      <c r="AA2">
        <v>1993.3333333333333</v>
      </c>
      <c r="AB2">
        <v>191991.79905780833</v>
      </c>
      <c r="AC2">
        <v>4.4999999999999998E-2</v>
      </c>
      <c r="AI2" s="83">
        <v>0.11199999999999999</v>
      </c>
      <c r="AJ2" s="83">
        <v>0.17100000000000001</v>
      </c>
    </row>
    <row r="3" spans="1:37" ht="21.75">
      <c r="A3">
        <v>2010</v>
      </c>
      <c r="B3">
        <v>2</v>
      </c>
      <c r="C3" t="s">
        <v>27</v>
      </c>
      <c r="E3" s="74"/>
      <c r="F3" s="74"/>
      <c r="G3" s="74"/>
      <c r="H3" s="74"/>
      <c r="I3" s="74"/>
      <c r="J3" s="74"/>
      <c r="K3" s="74"/>
      <c r="L3" s="74"/>
      <c r="M3" s="74"/>
      <c r="N3" s="74"/>
      <c r="O3" s="74"/>
      <c r="P3" s="74"/>
      <c r="Q3" s="74"/>
      <c r="R3" s="74"/>
      <c r="S3" s="74"/>
      <c r="T3" s="74"/>
      <c r="U3" s="96">
        <v>0.13800000000000001</v>
      </c>
      <c r="V3" s="33"/>
      <c r="X3">
        <v>99.016440801199792</v>
      </c>
      <c r="Y3">
        <v>7.9223897491039432</v>
      </c>
      <c r="Z3">
        <f>X3*Y3</f>
        <v>784.44683559618272</v>
      </c>
      <c r="AA3">
        <v>2227</v>
      </c>
      <c r="AB3">
        <v>203817.58147434832</v>
      </c>
      <c r="AC3">
        <v>5.4000000000000006E-2</v>
      </c>
      <c r="AI3" s="83">
        <v>8.3666666666666709E-2</v>
      </c>
      <c r="AJ3" s="83">
        <v>0.25033333333333335</v>
      </c>
    </row>
    <row r="4" spans="1:37" ht="21.75">
      <c r="A4">
        <v>2010</v>
      </c>
      <c r="B4">
        <v>3</v>
      </c>
      <c r="C4" t="s">
        <v>28</v>
      </c>
      <c r="E4" s="74"/>
      <c r="F4" s="74"/>
      <c r="G4" s="74"/>
      <c r="H4" s="74"/>
      <c r="I4" s="74"/>
      <c r="J4" s="74"/>
      <c r="K4" s="74"/>
      <c r="L4" s="74"/>
      <c r="M4" s="74"/>
      <c r="N4" s="74"/>
      <c r="O4" s="74"/>
      <c r="P4" s="74"/>
      <c r="Q4" s="74"/>
      <c r="R4" s="74"/>
      <c r="S4" s="74"/>
      <c r="T4" s="74"/>
      <c r="U4" s="96">
        <v>0.16500000000000001</v>
      </c>
      <c r="V4" s="33"/>
      <c r="X4">
        <v>96.641156213138927</v>
      </c>
      <c r="Y4">
        <v>7.9007316487455173</v>
      </c>
      <c r="Z4">
        <f>X4*Y4</f>
        <v>763.53584146450623</v>
      </c>
      <c r="AA4">
        <v>2332</v>
      </c>
      <c r="AB4">
        <v>220776.74951861499</v>
      </c>
      <c r="AC4">
        <v>3.3000000000000002E-2</v>
      </c>
      <c r="AE4" s="48"/>
      <c r="AI4" s="83">
        <v>8.5333333333333317E-2</v>
      </c>
      <c r="AJ4" s="83">
        <v>0.223</v>
      </c>
    </row>
    <row r="5" spans="1:37" ht="21.75">
      <c r="A5">
        <v>2010</v>
      </c>
      <c r="B5">
        <v>4</v>
      </c>
      <c r="C5" t="s">
        <v>29</v>
      </c>
      <c r="E5" s="74"/>
      <c r="F5" s="74"/>
      <c r="G5" s="74"/>
      <c r="H5" s="74"/>
      <c r="I5" s="74"/>
      <c r="J5" s="74"/>
      <c r="K5" s="74"/>
      <c r="L5" s="74"/>
      <c r="M5" s="74"/>
      <c r="N5" s="74"/>
      <c r="O5" s="74"/>
      <c r="P5" s="74"/>
      <c r="Q5" s="74"/>
      <c r="R5" s="74"/>
      <c r="S5" s="74"/>
      <c r="T5" s="74"/>
      <c r="U5" s="96">
        <v>0.14000000000000001</v>
      </c>
      <c r="V5" s="33"/>
      <c r="X5">
        <v>109.6115977895558</v>
      </c>
      <c r="Y5">
        <v>7.9313300358422945</v>
      </c>
      <c r="Z5">
        <f>X5*Y5</f>
        <v>869.3657578249688</v>
      </c>
      <c r="AA5">
        <v>2434.6666666666665</v>
      </c>
      <c r="AB5">
        <v>219501.2628322267</v>
      </c>
      <c r="AC5">
        <v>3.7000000000000005E-2</v>
      </c>
      <c r="AE5" s="48"/>
      <c r="AI5" s="83">
        <v>9.4666666666666635E-2</v>
      </c>
      <c r="AJ5" s="83">
        <v>0.19133333333333336</v>
      </c>
    </row>
    <row r="6" spans="1:37">
      <c r="A6">
        <v>2011</v>
      </c>
      <c r="B6">
        <v>1</v>
      </c>
      <c r="C6" s="21">
        <v>12.9</v>
      </c>
      <c r="D6" s="21"/>
      <c r="E6" s="21"/>
      <c r="F6" s="21"/>
      <c r="G6" s="21"/>
      <c r="H6" s="21"/>
      <c r="I6" s="21"/>
      <c r="J6" s="21"/>
      <c r="K6" s="21"/>
      <c r="L6" s="21"/>
      <c r="M6" s="21"/>
      <c r="N6" s="21"/>
      <c r="O6" s="21"/>
      <c r="P6" s="21"/>
      <c r="Q6" s="21"/>
      <c r="R6" s="21"/>
      <c r="S6" s="95">
        <f>0.4177065*AJ6+0.360601*AI6+0.0432334</f>
        <v>0.15412327049999999</v>
      </c>
      <c r="T6" s="93">
        <f>0.383829*AI6+0.3291765*AJ6+0.0710852*AE6+0.0471218</f>
        <v>0.16440339584947294</v>
      </c>
      <c r="U6" s="96">
        <v>0.129</v>
      </c>
      <c r="V6" s="94">
        <f>U6-T6</f>
        <v>-3.5403395849472941E-2</v>
      </c>
      <c r="W6" s="95">
        <f t="shared" ref="W6:W41" si="0">U6-S6</f>
        <v>-2.5123270499999989E-2</v>
      </c>
      <c r="X6">
        <v>125.02103590955046</v>
      </c>
      <c r="Y6">
        <v>7.9448180491551481</v>
      </c>
      <c r="Z6">
        <v>993.26453776567303</v>
      </c>
      <c r="AA6">
        <v>2388.6666666666665</v>
      </c>
      <c r="AB6">
        <v>221268.12831914166</v>
      </c>
      <c r="AC6" s="5">
        <v>5.0999999999999997E-2</v>
      </c>
      <c r="AD6" s="81">
        <f>X6/X2-1</f>
        <v>0.31975058853073302</v>
      </c>
      <c r="AE6" s="81">
        <f t="shared" ref="AE6:AG45" si="1">Z6/Z2-1</f>
        <v>0.31259164143131013</v>
      </c>
      <c r="AF6" s="81">
        <f t="shared" si="1"/>
        <v>0.19832775919732448</v>
      </c>
      <c r="AG6" s="81">
        <f t="shared" si="1"/>
        <v>0.15248739480022411</v>
      </c>
      <c r="AH6" s="81">
        <f>(AG6+1)/(AC6+1)-1</f>
        <v>9.6562697240936357E-2</v>
      </c>
      <c r="AI6" s="83">
        <v>7.7000000000000027E-2</v>
      </c>
      <c r="AJ6" s="83">
        <v>0.19899999999999998</v>
      </c>
      <c r="AK6">
        <f>Y6/Y2-1</f>
        <v>-5.4196184682092641E-3</v>
      </c>
    </row>
    <row r="7" spans="1:37">
      <c r="A7">
        <v>2011</v>
      </c>
      <c r="B7">
        <v>2</v>
      </c>
      <c r="C7" s="21">
        <v>16.3</v>
      </c>
      <c r="D7" s="21"/>
      <c r="E7" s="21"/>
      <c r="F7" s="21"/>
      <c r="G7" s="21"/>
      <c r="H7" s="21"/>
      <c r="I7" s="21"/>
      <c r="J7" s="21"/>
      <c r="K7" s="21"/>
      <c r="L7" s="21"/>
      <c r="M7" s="21"/>
      <c r="N7" s="21"/>
      <c r="O7" s="21"/>
      <c r="P7" s="21"/>
      <c r="Q7" s="21"/>
      <c r="R7" s="21"/>
      <c r="S7" s="95">
        <f t="shared" ref="S7:S40" si="2">0.4177065*AJ7+0.360601*AI7+0.0432334</f>
        <v>0.16504246566666667</v>
      </c>
      <c r="T7" s="93">
        <f t="shared" ref="T7:T40" si="3">0.383829*AI7+0.3291765*AJ7+0.0710852*AE7+0.0471218</f>
        <v>0.17670850490871201</v>
      </c>
      <c r="U7" s="96">
        <v>0.16600000000000001</v>
      </c>
      <c r="V7" s="94">
        <f t="shared" ref="V7:V41" si="4">U7-T7</f>
        <v>-1.0708504908712002E-2</v>
      </c>
      <c r="W7" s="95">
        <f t="shared" si="0"/>
        <v>9.5753433333334304E-4</v>
      </c>
      <c r="X7">
        <v>130.06922027303122</v>
      </c>
      <c r="Y7">
        <v>7.970932258064515</v>
      </c>
      <c r="Z7">
        <v>1036.7659626477844</v>
      </c>
      <c r="AA7">
        <v>2604.6666666666665</v>
      </c>
      <c r="AB7">
        <v>227767.02637276668</v>
      </c>
      <c r="AC7" s="5">
        <v>3.9E-2</v>
      </c>
      <c r="AD7" s="81">
        <f t="shared" ref="AD7:AD40" si="5">X7/X3-1</f>
        <v>0.31361235791314312</v>
      </c>
      <c r="AE7" s="81">
        <f t="shared" si="1"/>
        <v>0.32165229764721803</v>
      </c>
      <c r="AF7" s="81">
        <f t="shared" si="1"/>
        <v>0.16958539140847173</v>
      </c>
      <c r="AG7" s="81">
        <f t="shared" si="1"/>
        <v>0.11750431304883557</v>
      </c>
      <c r="AH7" s="81">
        <f>(AG7+1)/(AC7+1)-1</f>
        <v>7.5557567900708111E-2</v>
      </c>
      <c r="AI7">
        <v>0.1076666666666667</v>
      </c>
      <c r="AJ7">
        <v>0.19866666666666663</v>
      </c>
      <c r="AK7">
        <f t="shared" ref="AK7:AK40" si="6">Y7/Y3-1</f>
        <v>6.127255853079161E-3</v>
      </c>
    </row>
    <row r="8" spans="1:37">
      <c r="A8">
        <v>2011</v>
      </c>
      <c r="B8">
        <v>3</v>
      </c>
      <c r="C8" s="21">
        <v>14.9</v>
      </c>
      <c r="D8" s="21"/>
      <c r="E8" s="21"/>
      <c r="F8" s="21"/>
      <c r="G8" s="21"/>
      <c r="H8" s="21"/>
      <c r="J8" s="21"/>
      <c r="K8" s="21"/>
      <c r="L8" s="21"/>
      <c r="M8" s="21"/>
      <c r="N8" s="21"/>
      <c r="O8" s="21"/>
      <c r="P8" s="21"/>
      <c r="Q8" s="21"/>
      <c r="R8" s="21"/>
      <c r="S8" s="95">
        <f t="shared" si="2"/>
        <v>0.15939411716666665</v>
      </c>
      <c r="T8" s="93">
        <f t="shared" si="3"/>
        <v>0.17346564927786925</v>
      </c>
      <c r="U8" s="96">
        <v>0.152</v>
      </c>
      <c r="V8" s="94">
        <f t="shared" si="4"/>
        <v>-2.1465649277869259E-2</v>
      </c>
      <c r="W8" s="95">
        <f t="shared" si="0"/>
        <v>-7.3941171666666583E-3</v>
      </c>
      <c r="X8">
        <v>131.30514166327899</v>
      </c>
      <c r="Y8">
        <v>7.9717186021505384</v>
      </c>
      <c r="Z8">
        <v>1046.7274622702992</v>
      </c>
      <c r="AA8">
        <v>2726.6666666666665</v>
      </c>
      <c r="AB8">
        <v>235648.5684417733</v>
      </c>
      <c r="AC8" s="5">
        <v>6.5000000000000002E-2</v>
      </c>
      <c r="AD8" s="81">
        <f t="shared" si="5"/>
        <v>0.35868761103902536</v>
      </c>
      <c r="AE8" s="81">
        <f t="shared" si="1"/>
        <v>0.37089499330197118</v>
      </c>
      <c r="AF8" s="81">
        <f t="shared" si="1"/>
        <v>0.1692395654659804</v>
      </c>
      <c r="AG8" s="81">
        <f t="shared" si="1"/>
        <v>6.7361345592708677E-2</v>
      </c>
      <c r="AH8" s="81">
        <f t="shared" ref="AH8:AH41" si="7">(AG8+1)/(AC8+1)-1</f>
        <v>2.2172259086465917E-3</v>
      </c>
      <c r="AI8">
        <v>8.4666666666666682E-2</v>
      </c>
      <c r="AJ8">
        <v>0.20499999999999999</v>
      </c>
      <c r="AK8">
        <f t="shared" si="6"/>
        <v>8.9848581828864127E-3</v>
      </c>
    </row>
    <row r="9" spans="1:37">
      <c r="A9">
        <v>2011</v>
      </c>
      <c r="B9">
        <v>4</v>
      </c>
      <c r="C9" s="21">
        <v>12.7</v>
      </c>
      <c r="D9" s="21"/>
      <c r="E9" s="21"/>
      <c r="F9" s="21"/>
      <c r="G9" s="21"/>
      <c r="H9" s="21"/>
      <c r="I9" s="21"/>
      <c r="J9" s="21"/>
      <c r="K9" s="21"/>
      <c r="L9" s="21"/>
      <c r="M9" s="21"/>
      <c r="N9" s="21"/>
      <c r="O9" s="21"/>
      <c r="P9" s="21"/>
      <c r="Q9" s="21"/>
      <c r="R9" s="21"/>
      <c r="S9" s="95">
        <f t="shared" si="2"/>
        <v>0.12805841966666667</v>
      </c>
      <c r="T9" s="93">
        <f t="shared" si="3"/>
        <v>0.12634437770707602</v>
      </c>
      <c r="U9" s="96">
        <v>0.126</v>
      </c>
      <c r="V9" s="94">
        <f t="shared" si="4"/>
        <v>-3.4437770707601567E-4</v>
      </c>
      <c r="W9" s="95">
        <f t="shared" si="0"/>
        <v>-2.0584196666666721E-3</v>
      </c>
      <c r="X9">
        <v>120.13139723510209</v>
      </c>
      <c r="Y9">
        <v>7.9827819354838709</v>
      </c>
      <c r="Z9">
        <v>958.96763149003436</v>
      </c>
      <c r="AA9">
        <v>2836.6666666666665</v>
      </c>
      <c r="AB9">
        <v>234117.85235303667</v>
      </c>
      <c r="AC9" s="5">
        <v>5.000000000000001E-2</v>
      </c>
      <c r="AD9" s="81">
        <f t="shared" si="5"/>
        <v>9.5973415748790813E-2</v>
      </c>
      <c r="AE9" s="81">
        <f t="shared" si="1"/>
        <v>0.10306579579259822</v>
      </c>
      <c r="AF9" s="81">
        <f t="shared" si="1"/>
        <v>0.16511500547645119</v>
      </c>
      <c r="AG9" s="81">
        <f t="shared" si="1"/>
        <v>6.6590001953574118E-2</v>
      </c>
      <c r="AH9" s="81">
        <f t="shared" si="7"/>
        <v>1.5800001860546642E-2</v>
      </c>
      <c r="AI9">
        <v>5.0666666666666672E-2</v>
      </c>
      <c r="AJ9">
        <v>0.15933333333333333</v>
      </c>
      <c r="AK9">
        <f t="shared" si="6"/>
        <v>6.4871716860932516E-3</v>
      </c>
    </row>
    <row r="10" spans="1:37">
      <c r="A10">
        <v>2012</v>
      </c>
      <c r="B10">
        <v>1</v>
      </c>
      <c r="C10" s="21">
        <v>10.4</v>
      </c>
      <c r="D10" s="21"/>
      <c r="E10" s="21"/>
      <c r="F10" s="21"/>
      <c r="G10" s="21"/>
      <c r="H10" s="21"/>
      <c r="I10" s="21"/>
      <c r="J10" s="21"/>
      <c r="K10" s="21"/>
      <c r="L10" s="21"/>
      <c r="M10" s="21"/>
      <c r="N10" s="21"/>
      <c r="O10" s="21"/>
      <c r="P10" s="21"/>
      <c r="Q10" s="21"/>
      <c r="R10" s="21"/>
      <c r="S10" s="95">
        <f t="shared" si="2"/>
        <v>8.9493387666666674E-2</v>
      </c>
      <c r="T10" s="93">
        <f t="shared" si="3"/>
        <v>8.5816472923620962E-2</v>
      </c>
      <c r="U10" s="96">
        <v>0.109</v>
      </c>
      <c r="V10" s="94">
        <f t="shared" si="4"/>
        <v>2.3183527076379037E-2</v>
      </c>
      <c r="W10" s="95">
        <f t="shared" si="0"/>
        <v>1.9506612333333326E-2</v>
      </c>
      <c r="X10">
        <v>123.26224103838098</v>
      </c>
      <c r="Y10">
        <v>7.9881612532443489</v>
      </c>
      <c r="Z10">
        <v>984.63483386884457</v>
      </c>
      <c r="AA10">
        <v>2814.6666666666665</v>
      </c>
      <c r="AB10">
        <v>231642.60637568333</v>
      </c>
      <c r="AC10" s="5">
        <v>2.5000000000000005E-2</v>
      </c>
      <c r="AD10" s="81">
        <f t="shared" si="5"/>
        <v>-1.4067991505380961E-2</v>
      </c>
      <c r="AE10" s="81">
        <f t="shared" si="1"/>
        <v>-8.6882230953707618E-3</v>
      </c>
      <c r="AF10" s="81">
        <f t="shared" si="1"/>
        <v>0.17834217136477815</v>
      </c>
      <c r="AG10" s="81">
        <f t="shared" si="1"/>
        <v>4.6886454616628104E-2</v>
      </c>
      <c r="AH10" s="81">
        <f t="shared" si="7"/>
        <v>2.1352638650369071E-2</v>
      </c>
      <c r="AI10">
        <v>2.8666666666666698E-2</v>
      </c>
      <c r="AJ10">
        <v>8.5999999999999979E-2</v>
      </c>
      <c r="AK10">
        <f t="shared" si="6"/>
        <v>5.4555313691306839E-3</v>
      </c>
    </row>
    <row r="11" spans="1:37">
      <c r="A11">
        <v>2012</v>
      </c>
      <c r="B11">
        <v>2</v>
      </c>
      <c r="C11" s="21">
        <v>8.1999999999999993</v>
      </c>
      <c r="D11" s="21"/>
      <c r="E11" s="21"/>
      <c r="F11" s="21"/>
      <c r="G11" s="21"/>
      <c r="H11" s="21"/>
      <c r="I11" s="21"/>
      <c r="J11" s="21"/>
      <c r="K11" s="21"/>
      <c r="L11" s="21"/>
      <c r="M11" s="21"/>
      <c r="N11" s="21"/>
      <c r="O11" s="21"/>
      <c r="P11" s="21"/>
      <c r="Q11" s="21"/>
      <c r="R11" s="21"/>
      <c r="S11" s="95">
        <f t="shared" si="2"/>
        <v>6.3771169833333322E-2</v>
      </c>
      <c r="T11" s="93">
        <f t="shared" si="3"/>
        <v>5.8604941443242228E-2</v>
      </c>
      <c r="U11" s="96">
        <v>8.5000000000000006E-2</v>
      </c>
      <c r="V11" s="94">
        <f t="shared" si="4"/>
        <v>2.6395058556757778E-2</v>
      </c>
      <c r="W11" s="95">
        <f t="shared" si="0"/>
        <v>2.1228830166666685E-2</v>
      </c>
      <c r="X11">
        <v>121.8435434408123</v>
      </c>
      <c r="Y11">
        <v>7.989999139784949</v>
      </c>
      <c r="Z11">
        <v>973.5204407269797</v>
      </c>
      <c r="AA11">
        <v>3022</v>
      </c>
      <c r="AB11">
        <v>237339.25178580833</v>
      </c>
      <c r="AC11" s="5">
        <v>3.1E-2</v>
      </c>
      <c r="AD11" s="81">
        <f t="shared" si="5"/>
        <v>-6.3240763763726893E-2</v>
      </c>
      <c r="AE11" s="81">
        <f t="shared" si="1"/>
        <v>-6.1002698969092939E-2</v>
      </c>
      <c r="AF11" s="81">
        <f t="shared" si="1"/>
        <v>0.16022523675454314</v>
      </c>
      <c r="AG11" s="81">
        <f t="shared" si="1"/>
        <v>4.2026387952115662E-2</v>
      </c>
      <c r="AH11" s="81">
        <f t="shared" si="7"/>
        <v>1.0694847674215024E-2</v>
      </c>
      <c r="AI11">
        <v>-3.6666666666666952E-3</v>
      </c>
      <c r="AJ11">
        <v>5.2333333333333343E-2</v>
      </c>
      <c r="AK11">
        <f t="shared" si="6"/>
        <v>2.3920516575890449E-3</v>
      </c>
    </row>
    <row r="12" spans="1:37">
      <c r="A12">
        <v>2012</v>
      </c>
      <c r="B12">
        <v>3</v>
      </c>
      <c r="C12" s="21">
        <v>6.4</v>
      </c>
      <c r="D12" s="21"/>
      <c r="E12" s="21"/>
      <c r="F12" s="21"/>
      <c r="G12" s="21"/>
      <c r="H12" s="21"/>
      <c r="I12" s="21"/>
      <c r="J12" s="21"/>
      <c r="K12" s="21"/>
      <c r="L12" s="21"/>
      <c r="M12" s="21"/>
      <c r="N12" s="21"/>
      <c r="O12" s="21"/>
      <c r="P12" s="21"/>
      <c r="Q12" s="21"/>
      <c r="R12" s="21"/>
      <c r="S12" s="95">
        <f t="shared" si="2"/>
        <v>4.7429500166666687E-2</v>
      </c>
      <c r="T12" s="93">
        <f t="shared" si="3"/>
        <v>4.3462071895892788E-2</v>
      </c>
      <c r="U12" s="96">
        <v>6.6000000000000003E-2</v>
      </c>
      <c r="V12" s="94">
        <f t="shared" si="4"/>
        <v>2.2537928104107215E-2</v>
      </c>
      <c r="W12" s="95">
        <f t="shared" si="0"/>
        <v>1.8570499833333316E-2</v>
      </c>
      <c r="X12">
        <v>118.18345119254793</v>
      </c>
      <c r="Y12">
        <v>7.9929569892473085</v>
      </c>
      <c r="Z12">
        <v>944.63518457666203</v>
      </c>
      <c r="AA12">
        <v>3096</v>
      </c>
      <c r="AB12">
        <v>246793.90251091166</v>
      </c>
      <c r="AC12" s="5">
        <v>-1.3000000000000003E-2</v>
      </c>
      <c r="AD12" s="81">
        <f t="shared" si="5"/>
        <v>-9.9932800075571482E-2</v>
      </c>
      <c r="AE12" s="81">
        <f t="shared" si="1"/>
        <v>-9.7534727399053889E-2</v>
      </c>
      <c r="AF12" s="81">
        <f t="shared" si="1"/>
        <v>0.13545232273838637</v>
      </c>
      <c r="AG12" s="81">
        <f t="shared" si="1"/>
        <v>4.7296421713218573E-2</v>
      </c>
      <c r="AH12" s="81">
        <f t="shared" si="7"/>
        <v>6.1090599506807175E-2</v>
      </c>
      <c r="AI12">
        <v>-3.333333333333144E-4</v>
      </c>
      <c r="AJ12">
        <v>1.0333333333333363E-2</v>
      </c>
      <c r="AK12">
        <f t="shared" si="6"/>
        <v>2.6642168592152515E-3</v>
      </c>
    </row>
    <row r="13" spans="1:37">
      <c r="A13">
        <v>2012</v>
      </c>
      <c r="B13">
        <v>4</v>
      </c>
      <c r="C13" s="21">
        <v>7.2</v>
      </c>
      <c r="D13" s="21"/>
      <c r="E13" s="21"/>
      <c r="F13" s="21"/>
      <c r="G13" s="21"/>
      <c r="H13" s="21"/>
      <c r="I13" s="21"/>
      <c r="J13" s="21"/>
      <c r="K13" s="21"/>
      <c r="L13" s="21"/>
      <c r="M13" s="21"/>
      <c r="N13" s="21"/>
      <c r="O13" s="21"/>
      <c r="P13" s="21"/>
      <c r="Q13" s="21"/>
      <c r="R13" s="21"/>
      <c r="S13" s="95">
        <f t="shared" si="2"/>
        <v>4.4005718166666645E-2</v>
      </c>
      <c r="T13" s="93">
        <f t="shared" si="3"/>
        <v>4.7881246191728948E-2</v>
      </c>
      <c r="U13" s="96">
        <v>7.2999999999999995E-2</v>
      </c>
      <c r="V13" s="94">
        <f t="shared" si="4"/>
        <v>2.5118753808271048E-2</v>
      </c>
      <c r="W13" s="95">
        <f t="shared" si="0"/>
        <v>2.899428183333335E-2</v>
      </c>
      <c r="X13">
        <v>120.45473599599109</v>
      </c>
      <c r="Y13">
        <v>7.9929999999999977</v>
      </c>
      <c r="Z13">
        <v>962.79470481595638</v>
      </c>
      <c r="AA13">
        <v>3195</v>
      </c>
      <c r="AB13">
        <v>245288.56352256332</v>
      </c>
      <c r="AC13" s="5">
        <v>-2.3000000000000003E-2</v>
      </c>
      <c r="AD13" s="81">
        <f t="shared" si="5"/>
        <v>2.6915424970561652E-3</v>
      </c>
      <c r="AE13" s="81">
        <f t="shared" si="1"/>
        <v>3.9908263848025261E-3</v>
      </c>
      <c r="AF13" s="81">
        <f t="shared" si="1"/>
        <v>0.12632197414806123</v>
      </c>
      <c r="AG13" s="81">
        <f t="shared" si="1"/>
        <v>4.7714051095436583E-2</v>
      </c>
      <c r="AH13" s="81">
        <f t="shared" si="7"/>
        <v>7.237876263606613E-2</v>
      </c>
      <c r="AI13">
        <v>-1.3333333333333522E-3</v>
      </c>
      <c r="AJ13">
        <v>2.9999999999999714E-3</v>
      </c>
      <c r="AK13">
        <f t="shared" si="6"/>
        <v>1.2800129827807982E-3</v>
      </c>
    </row>
    <row r="14" spans="1:37">
      <c r="A14">
        <v>2013</v>
      </c>
      <c r="B14">
        <v>1</v>
      </c>
      <c r="C14" s="21">
        <v>5.3</v>
      </c>
      <c r="D14" s="21"/>
      <c r="E14" s="21"/>
      <c r="F14" s="21"/>
      <c r="G14" s="21"/>
      <c r="H14" s="21"/>
      <c r="I14" s="21"/>
      <c r="J14" s="21"/>
      <c r="K14" s="21"/>
      <c r="L14" s="21"/>
      <c r="M14" s="21"/>
      <c r="N14" s="21"/>
      <c r="O14" s="21"/>
      <c r="P14" s="21"/>
      <c r="Q14" s="21"/>
      <c r="R14" s="21"/>
      <c r="S14" s="95">
        <f t="shared" si="2"/>
        <v>4.2544278999999997E-2</v>
      </c>
      <c r="T14" s="93">
        <f t="shared" si="3"/>
        <v>4.7300142829951895E-2</v>
      </c>
      <c r="U14" s="96">
        <v>4.5999999999999999E-2</v>
      </c>
      <c r="V14" s="94">
        <f t="shared" si="4"/>
        <v>-1.3001428299518961E-3</v>
      </c>
      <c r="W14" s="95">
        <f t="shared" si="0"/>
        <v>3.4557210000000019E-3</v>
      </c>
      <c r="X14">
        <v>125.30079485998897</v>
      </c>
      <c r="Y14">
        <v>7.9929999999999977</v>
      </c>
      <c r="Z14">
        <v>1001.5292533158913</v>
      </c>
      <c r="AA14">
        <v>3085.3333333333335</v>
      </c>
      <c r="AB14">
        <v>254148.84342702167</v>
      </c>
      <c r="AC14" s="5">
        <v>-1.2000000000000002E-2</v>
      </c>
      <c r="AD14" s="81">
        <f t="shared" si="5"/>
        <v>1.6538347870644676E-2</v>
      </c>
      <c r="AE14" s="81">
        <f t="shared" si="1"/>
        <v>1.7158055825289953E-2</v>
      </c>
      <c r="AF14" s="81">
        <f t="shared" si="1"/>
        <v>9.6162955945049866E-2</v>
      </c>
      <c r="AG14" s="81">
        <f t="shared" si="1"/>
        <v>9.7159315393115619E-2</v>
      </c>
      <c r="AH14" s="81">
        <f t="shared" si="7"/>
        <v>0.11048513703756635</v>
      </c>
      <c r="AI14">
        <v>-5.0000000000000001E-3</v>
      </c>
      <c r="AJ14">
        <v>2.666666666666657E-3</v>
      </c>
      <c r="AK14">
        <f t="shared" si="6"/>
        <v>6.0573974438526967E-4</v>
      </c>
    </row>
    <row r="15" spans="1:37">
      <c r="A15">
        <v>2013</v>
      </c>
      <c r="B15">
        <v>2</v>
      </c>
      <c r="C15" s="21">
        <v>3.8</v>
      </c>
      <c r="D15" s="21"/>
      <c r="E15" s="21"/>
      <c r="F15" s="21"/>
      <c r="G15" s="21"/>
      <c r="H15" s="21"/>
      <c r="I15" s="21"/>
      <c r="J15" s="21"/>
      <c r="K15" s="21"/>
      <c r="L15" s="21"/>
      <c r="M15" s="21"/>
      <c r="N15" s="21"/>
      <c r="O15" s="21"/>
      <c r="P15" s="21"/>
      <c r="Q15" s="21"/>
      <c r="R15" s="21"/>
      <c r="S15" s="95">
        <f t="shared" si="2"/>
        <v>4.0696147166666682E-2</v>
      </c>
      <c r="T15" s="93">
        <f t="shared" si="3"/>
        <v>4.1892391685980732E-2</v>
      </c>
      <c r="U15" s="96">
        <v>2.7999999999999997E-2</v>
      </c>
      <c r="V15" s="94">
        <f t="shared" si="4"/>
        <v>-1.3892391685980734E-2</v>
      </c>
      <c r="W15" s="95">
        <f t="shared" si="0"/>
        <v>-1.2696147166666685E-2</v>
      </c>
      <c r="X15">
        <v>117.00244230725855</v>
      </c>
      <c r="Y15">
        <v>7.9929999999999977</v>
      </c>
      <c r="Z15">
        <v>935.20052136191714</v>
      </c>
      <c r="AA15">
        <v>3288.6666666666665</v>
      </c>
      <c r="AB15">
        <v>267968.54753835336</v>
      </c>
      <c r="AC15" s="5">
        <v>-1.3000000000000003E-2</v>
      </c>
      <c r="AD15" s="81">
        <f t="shared" si="5"/>
        <v>-3.9732110515198538E-2</v>
      </c>
      <c r="AE15" s="81">
        <f t="shared" si="1"/>
        <v>-3.9362213428664194E-2</v>
      </c>
      <c r="AF15" s="81">
        <f t="shared" si="1"/>
        <v>8.8241782484006048E-2</v>
      </c>
      <c r="AG15" s="81">
        <f t="shared" si="1"/>
        <v>0.12905280320082535</v>
      </c>
      <c r="AH15" s="81">
        <f t="shared" si="7"/>
        <v>0.14392381276679367</v>
      </c>
      <c r="AI15">
        <v>-4.3333333333333236E-3</v>
      </c>
      <c r="AJ15">
        <v>-2.3333333333332954E-3</v>
      </c>
      <c r="AK15">
        <f t="shared" si="6"/>
        <v>3.7557703856383462E-4</v>
      </c>
    </row>
    <row r="16" spans="1:37">
      <c r="A16">
        <v>2013</v>
      </c>
      <c r="B16">
        <v>3</v>
      </c>
      <c r="C16" s="21">
        <v>4</v>
      </c>
      <c r="D16" s="21"/>
      <c r="E16" s="21"/>
      <c r="F16" s="21"/>
      <c r="G16" s="21"/>
      <c r="H16" s="21"/>
      <c r="I16" s="21"/>
      <c r="J16" s="21"/>
      <c r="K16" s="21"/>
      <c r="L16" s="21"/>
      <c r="M16" s="21"/>
      <c r="N16" s="21"/>
      <c r="O16" s="21"/>
      <c r="P16" s="21"/>
      <c r="Q16" s="21"/>
      <c r="R16" s="21"/>
      <c r="S16" s="95">
        <f t="shared" si="2"/>
        <v>3.7417589999999987E-2</v>
      </c>
      <c r="T16" s="93">
        <f t="shared" si="3"/>
        <v>3.9381087277471125E-2</v>
      </c>
      <c r="U16" s="96">
        <v>2.6000000000000002E-2</v>
      </c>
      <c r="V16" s="94">
        <f t="shared" si="4"/>
        <v>-1.3381087277471122E-2</v>
      </c>
      <c r="W16" s="95">
        <f t="shared" si="0"/>
        <v>-1.1417589999999984E-2</v>
      </c>
      <c r="X16">
        <v>113.43030685102111</v>
      </c>
      <c r="Y16">
        <v>7.9929999999999977</v>
      </c>
      <c r="Z16">
        <v>906.64844266021146</v>
      </c>
      <c r="AA16">
        <v>3331.3333333333335</v>
      </c>
      <c r="AB16">
        <v>280905.95566775999</v>
      </c>
      <c r="AC16" s="5">
        <v>-1.2000000000000002E-2</v>
      </c>
      <c r="AD16" s="81">
        <f t="shared" si="5"/>
        <v>-4.0218357930526638E-2</v>
      </c>
      <c r="AE16" s="81">
        <f t="shared" si="1"/>
        <v>-4.0213134696517105E-2</v>
      </c>
      <c r="AF16" s="81">
        <f t="shared" si="1"/>
        <v>7.6012058570198215E-2</v>
      </c>
      <c r="AG16" s="81">
        <f t="shared" si="1"/>
        <v>0.13822081019744847</v>
      </c>
      <c r="AH16" s="81">
        <f t="shared" si="7"/>
        <v>0.15204535445085887</v>
      </c>
      <c r="AI16">
        <v>-3.0000000000000187E-3</v>
      </c>
      <c r="AJ16">
        <v>-1.1333333333333353E-2</v>
      </c>
      <c r="AK16">
        <f t="shared" si="6"/>
        <v>5.3810814630850246E-6</v>
      </c>
    </row>
    <row r="17" spans="1:37">
      <c r="A17">
        <v>2013</v>
      </c>
      <c r="B17">
        <v>4</v>
      </c>
      <c r="C17" s="21">
        <v>4.3</v>
      </c>
      <c r="D17" s="21"/>
      <c r="E17" s="21"/>
      <c r="F17" s="21"/>
      <c r="G17" s="21"/>
      <c r="H17" s="21"/>
      <c r="I17" s="21"/>
      <c r="J17" s="21"/>
      <c r="K17" s="21"/>
      <c r="L17" s="21"/>
      <c r="M17" s="21"/>
      <c r="N17" s="21"/>
      <c r="O17" s="21"/>
      <c r="P17" s="21"/>
      <c r="Q17" s="21"/>
      <c r="R17" s="21"/>
      <c r="S17" s="95">
        <f t="shared" si="2"/>
        <v>4.6739312000000005E-2</v>
      </c>
      <c r="T17" s="93">
        <f t="shared" si="3"/>
        <v>4.516738710204949E-2</v>
      </c>
      <c r="U17" s="96">
        <v>2.7000000000000003E-2</v>
      </c>
      <c r="V17" s="94">
        <f t="shared" si="4"/>
        <v>-1.8167387102049487E-2</v>
      </c>
      <c r="W17" s="95">
        <f t="shared" si="0"/>
        <v>-1.9739312000000002E-2</v>
      </c>
      <c r="X17">
        <v>112.12352986496012</v>
      </c>
      <c r="Y17">
        <v>7.9929999999999977</v>
      </c>
      <c r="Z17">
        <v>896.20337421062595</v>
      </c>
      <c r="AA17">
        <v>3390</v>
      </c>
      <c r="AB17">
        <v>290859.34285346669</v>
      </c>
      <c r="AC17" s="5">
        <v>3.3000000000000002E-2</v>
      </c>
      <c r="AD17" s="81">
        <f t="shared" si="5"/>
        <v>-6.916462073610985E-2</v>
      </c>
      <c r="AE17" s="81">
        <f t="shared" si="1"/>
        <v>-6.916462073610985E-2</v>
      </c>
      <c r="AF17" s="81">
        <f t="shared" si="1"/>
        <v>6.1032863849765251E-2</v>
      </c>
      <c r="AG17" s="81">
        <f t="shared" si="1"/>
        <v>0.18578436220778571</v>
      </c>
      <c r="AH17" s="81">
        <f t="shared" si="7"/>
        <v>0.14790354521566873</v>
      </c>
      <c r="AI17">
        <v>2.0000000000000282E-3</v>
      </c>
      <c r="AJ17">
        <v>6.6666666666666671E-3</v>
      </c>
      <c r="AK17">
        <f t="shared" si="6"/>
        <v>0</v>
      </c>
    </row>
    <row r="18" spans="1:37">
      <c r="A18">
        <v>2014</v>
      </c>
      <c r="B18">
        <v>1</v>
      </c>
      <c r="C18" s="21">
        <v>5.3</v>
      </c>
      <c r="D18" s="27">
        <f>AVERAGEIFS('ІСЦ (Стрим Інфл)'!$J:$J,'ІСЦ (Стрим Інфл)'!$A:$A,'Дефлятор модель (CPI-PPI) Інфл'!$A18,'ІСЦ (Стрим Інфл)'!$B:$B,'Дефлятор модель (CPI-PPI) Інфл'!$B18)</f>
        <v>1.7000000000000029E-2</v>
      </c>
      <c r="E18" s="27">
        <f>AVERAGEIFS('ІЦВ (Стрим Інфл)+'!$J:$J,'ІЦВ (Стрим Інфл)+'!$A:$A,'Дефлятор модель (CPI-PPI) Інфл'!$A18,'ІЦВ (Стрим Інфл)+'!$B:$B,'Дефлятор модель (CPI-PPI) Інфл'!$B18)</f>
        <v>3.0666666666666675E-2</v>
      </c>
      <c r="F18" s="27"/>
      <c r="G18" s="287">
        <f t="shared" ref="G18:G48" si="8">41.77065*E18+36.90601*D18+4.322334</f>
        <v>6.2307027700000006</v>
      </c>
      <c r="H18" s="288">
        <f t="shared" ref="H18:H45" si="9">C18/G18</f>
        <v>0.85062635719341162</v>
      </c>
      <c r="I18" s="21"/>
      <c r="J18" s="28">
        <f>D18</f>
        <v>1.7000000000000029E-2</v>
      </c>
      <c r="K18" s="21"/>
      <c r="L18" s="21"/>
      <c r="M18" s="28">
        <f>E18</f>
        <v>3.0666666666666675E-2</v>
      </c>
      <c r="N18" s="21"/>
      <c r="O18" s="21"/>
      <c r="P18" s="27">
        <f t="shared" ref="P18:P40" si="10">C18/100</f>
        <v>5.2999999999999999E-2</v>
      </c>
      <c r="Q18" s="21"/>
      <c r="R18" s="21"/>
      <c r="S18" s="95">
        <f t="shared" si="2"/>
        <v>6.217328300000001E-2</v>
      </c>
      <c r="T18" s="93">
        <f t="shared" si="3"/>
        <v>5.8716652132005553E-2</v>
      </c>
      <c r="U18" s="96">
        <v>5.2999999999999999E-2</v>
      </c>
      <c r="V18" s="94">
        <f t="shared" si="4"/>
        <v>-5.7166521320055549E-3</v>
      </c>
      <c r="W18" s="95">
        <f t="shared" si="0"/>
        <v>-9.1732830000000112E-3</v>
      </c>
      <c r="X18">
        <v>105.18761551084394</v>
      </c>
      <c r="Y18">
        <v>8.8559703917050658</v>
      </c>
      <c r="Z18">
        <v>930.73151558954817</v>
      </c>
      <c r="AA18">
        <v>3263.6666666666665</v>
      </c>
      <c r="AB18">
        <v>306994.74808900664</v>
      </c>
      <c r="AC18" s="5">
        <v>-0.01</v>
      </c>
      <c r="AD18" s="81">
        <f t="shared" si="5"/>
        <v>-0.16051916806768451</v>
      </c>
      <c r="AE18" s="81">
        <f t="shared" si="1"/>
        <v>-7.0689635367058967E-2</v>
      </c>
      <c r="AF18" s="81">
        <f t="shared" si="1"/>
        <v>5.7800345721694013E-2</v>
      </c>
      <c r="AG18" s="81">
        <f t="shared" si="1"/>
        <v>0.20793289455656949</v>
      </c>
      <c r="AH18" s="81">
        <f t="shared" si="7"/>
        <v>0.22013423692582768</v>
      </c>
      <c r="AI18">
        <v>1.7000000000000029E-2</v>
      </c>
      <c r="AJ18">
        <v>3.0666666666666675E-2</v>
      </c>
      <c r="AK18">
        <f t="shared" si="6"/>
        <v>0.10796576901101829</v>
      </c>
    </row>
    <row r="19" spans="1:37">
      <c r="A19">
        <v>2014</v>
      </c>
      <c r="B19">
        <v>2</v>
      </c>
      <c r="C19" s="21">
        <v>12.6</v>
      </c>
      <c r="D19" s="27">
        <f>AVERAGEIFS('ІСЦ (Стрим Інфл)'!$J:$J,'ІСЦ (Стрим Інфл)'!$A:$A,'Дефлятор модель (CPI-PPI) Інфл'!$A19,'ІСЦ (Стрим Інфл)'!$B:$B,'Дефлятор модель (CPI-PPI) Інфл'!$B19)</f>
        <v>9.9333333333333371E-2</v>
      </c>
      <c r="E19" s="27">
        <f>AVERAGEIFS('ІЦВ (Стрим Інфл)+'!$J:$J,'ІЦВ (Стрим Інфл)+'!$A:$A,'Дефлятор модель (CPI-PPI) Інфл'!$A19,'ІЦВ (Стрим Інфл)+'!$B:$B,'Дефлятор модель (CPI-PPI) Інфл'!$B19)</f>
        <v>0.10733333333333335</v>
      </c>
      <c r="F19" s="27"/>
      <c r="G19" s="287">
        <f t="shared" si="8"/>
        <v>12.471714093333336</v>
      </c>
      <c r="H19" s="288">
        <f t="shared" si="9"/>
        <v>1.0102861487768739</v>
      </c>
      <c r="I19" s="21"/>
      <c r="J19" s="28">
        <f t="shared" ref="J19:J38" si="11">D19</f>
        <v>9.9333333333333371E-2</v>
      </c>
      <c r="K19" s="21"/>
      <c r="L19" s="21"/>
      <c r="M19" s="28">
        <f t="shared" ref="M19:M40" si="12">E19</f>
        <v>0.10733333333333335</v>
      </c>
      <c r="N19" s="21"/>
      <c r="O19" s="21"/>
      <c r="P19" s="27">
        <f t="shared" si="10"/>
        <v>0.126</v>
      </c>
      <c r="Q19" s="21"/>
      <c r="R19" s="21"/>
      <c r="S19" s="95">
        <f t="shared" si="2"/>
        <v>0.12388693033333337</v>
      </c>
      <c r="T19" s="93">
        <f t="shared" si="3"/>
        <v>0.14056317174266117</v>
      </c>
      <c r="U19" s="96">
        <v>0.126</v>
      </c>
      <c r="V19" s="94">
        <f t="shared" si="4"/>
        <v>-1.4563171742661168E-2</v>
      </c>
      <c r="W19" s="95">
        <f t="shared" si="0"/>
        <v>2.1130696666666338E-3</v>
      </c>
      <c r="X19">
        <v>99.140916209858133</v>
      </c>
      <c r="Y19">
        <v>12.070866002867383</v>
      </c>
      <c r="Z19">
        <v>1198.0945579824777</v>
      </c>
      <c r="AA19">
        <v>3487.6666666666665</v>
      </c>
      <c r="AB19">
        <v>340610.60670551832</v>
      </c>
      <c r="AC19" s="5">
        <v>-4.3000000000000003E-2</v>
      </c>
      <c r="AD19" s="81">
        <f t="shared" si="5"/>
        <v>-0.15265942953989375</v>
      </c>
      <c r="AE19" s="81">
        <f t="shared" si="1"/>
        <v>0.28110980545403486</v>
      </c>
      <c r="AF19" s="81">
        <f t="shared" si="1"/>
        <v>6.0510845327387042E-2</v>
      </c>
      <c r="AG19" s="81">
        <f t="shared" si="1"/>
        <v>0.27108427401080704</v>
      </c>
      <c r="AH19" s="81">
        <f t="shared" si="7"/>
        <v>0.32819673355361245</v>
      </c>
      <c r="AI19">
        <v>9.9333333333333371E-2</v>
      </c>
      <c r="AJ19">
        <v>0.10733333333333335</v>
      </c>
      <c r="AK19">
        <f t="shared" si="6"/>
        <v>0.51017965755878736</v>
      </c>
    </row>
    <row r="20" spans="1:37">
      <c r="A20">
        <v>2014</v>
      </c>
      <c r="B20">
        <v>3</v>
      </c>
      <c r="C20" s="21">
        <v>16.8</v>
      </c>
      <c r="D20" s="27">
        <f>AVERAGEIFS('ІСЦ (Стрим Інфл)'!$J:$J,'ІСЦ (Стрим Інфл)'!$A:$A,'Дефлятор модель (CPI-PPI) Інфл'!$A20,'ІСЦ (Стрим Інфл)'!$B:$B,'Дефлятор модель (CPI-PPI) Інфл'!$B20)</f>
        <v>0.14766666666666664</v>
      </c>
      <c r="E20" s="27">
        <f>AVERAGEIFS('ІЦВ (Стрим Інфл)+'!$J:$J,'ІЦВ (Стрим Інфл)+'!$A:$A,'Дефлятор модель (CPI-PPI) Інфл'!$A20,'ІЦВ (Стрим Інфл)+'!$B:$B,'Дефлятор модель (CPI-PPI) Інфл'!$B20)</f>
        <v>0.24533333333333338</v>
      </c>
      <c r="F20" s="27"/>
      <c r="G20" s="287">
        <f t="shared" si="8"/>
        <v>20.019854276666671</v>
      </c>
      <c r="H20" s="288">
        <f t="shared" si="9"/>
        <v>0.83916694736287667</v>
      </c>
      <c r="I20" s="21"/>
      <c r="J20" s="28">
        <f t="shared" si="11"/>
        <v>0.14766666666666664</v>
      </c>
      <c r="K20" s="21"/>
      <c r="L20" s="21"/>
      <c r="M20" s="28">
        <f t="shared" si="12"/>
        <v>0.24533333333333338</v>
      </c>
      <c r="N20" s="21"/>
      <c r="O20" s="21"/>
      <c r="P20" s="27">
        <f t="shared" si="10"/>
        <v>0.16800000000000001</v>
      </c>
      <c r="Q20" s="21"/>
      <c r="R20" s="21"/>
      <c r="S20" s="95">
        <f t="shared" si="2"/>
        <v>0.19895947566666666</v>
      </c>
      <c r="T20" s="93">
        <f t="shared" si="3"/>
        <v>0.19988092141245636</v>
      </c>
      <c r="U20" s="96">
        <v>0.16800000000000001</v>
      </c>
      <c r="V20" s="94">
        <f t="shared" si="4"/>
        <v>-3.1880921412456353E-2</v>
      </c>
      <c r="W20" s="95">
        <f t="shared" si="0"/>
        <v>-3.0959475666666653E-2</v>
      </c>
      <c r="X20">
        <v>87.719134292217973</v>
      </c>
      <c r="Y20">
        <v>12.581832520430106</v>
      </c>
      <c r="Z20">
        <v>1102.0763812235625</v>
      </c>
      <c r="AA20">
        <v>3462.6666666666665</v>
      </c>
      <c r="AB20">
        <v>347131.83157775662</v>
      </c>
      <c r="AC20" s="5">
        <v>-5.2999999999999999E-2</v>
      </c>
      <c r="AD20" s="81">
        <f t="shared" si="5"/>
        <v>-0.22666933796249078</v>
      </c>
      <c r="AE20" s="81">
        <f t="shared" si="1"/>
        <v>0.21554985302786478</v>
      </c>
      <c r="AF20" s="81">
        <f t="shared" si="1"/>
        <v>3.9423654192515478E-2</v>
      </c>
      <c r="AG20" s="81">
        <f t="shared" si="1"/>
        <v>0.23575817662023835</v>
      </c>
      <c r="AH20" s="81">
        <f t="shared" si="7"/>
        <v>0.30491887710690424</v>
      </c>
      <c r="AI20">
        <v>0.14766666666666664</v>
      </c>
      <c r="AJ20">
        <v>0.24533333333333338</v>
      </c>
      <c r="AK20">
        <f t="shared" si="6"/>
        <v>0.57410640816090464</v>
      </c>
    </row>
    <row r="21" spans="1:37">
      <c r="A21">
        <v>2014</v>
      </c>
      <c r="B21">
        <v>4</v>
      </c>
      <c r="C21" s="21">
        <v>27.8</v>
      </c>
      <c r="D21" s="27">
        <f>AVERAGEIFS('ІСЦ (Стрим Інфл)'!$J:$J,'ІСЦ (Стрим Інфл)'!$A:$A,'Дефлятор модель (CPI-PPI) Інфл'!$A21,'ІСЦ (Стрим Інфл)'!$B:$B,'Дефлятор модель (CPI-PPI) Інфл'!$B21)</f>
        <v>0.22166666666666668</v>
      </c>
      <c r="E21" s="27">
        <f>AVERAGEIFS('ІЦВ (Стрим Інфл)+'!$J:$J,'ІЦВ (Стрим Інфл)+'!$A:$A,'Дефлятор модель (CPI-PPI) Інфл'!$A21,'ІЦВ (Стрим Інфл)+'!$B:$B,'Дефлятор модель (CPI-PPI) Інфл'!$B21)</f>
        <v>0.30166666666666675</v>
      </c>
      <c r="F21" s="27"/>
      <c r="G21" s="287">
        <f t="shared" si="8"/>
        <v>25.103978966666674</v>
      </c>
      <c r="H21" s="288">
        <f t="shared" si="9"/>
        <v>1.107394171932391</v>
      </c>
      <c r="I21" s="21"/>
      <c r="J21" s="28">
        <f t="shared" si="11"/>
        <v>0.22166666666666668</v>
      </c>
      <c r="K21" s="21"/>
      <c r="L21" s="21"/>
      <c r="M21" s="28">
        <f t="shared" si="12"/>
        <v>0.30166666666666675</v>
      </c>
      <c r="N21" s="21"/>
      <c r="O21" s="21"/>
      <c r="P21" s="27">
        <f t="shared" si="10"/>
        <v>0.27800000000000002</v>
      </c>
      <c r="Q21" s="21"/>
      <c r="R21" s="21"/>
      <c r="S21" s="95">
        <f t="shared" si="2"/>
        <v>0.24917474916666674</v>
      </c>
      <c r="T21" s="93">
        <f t="shared" si="3"/>
        <v>0.25055709299044243</v>
      </c>
      <c r="U21" s="96">
        <v>0.27800000000000002</v>
      </c>
      <c r="V21" s="94">
        <f t="shared" si="4"/>
        <v>2.7442907009557593E-2</v>
      </c>
      <c r="W21" s="95">
        <f t="shared" si="0"/>
        <v>2.8825250833333288E-2</v>
      </c>
      <c r="X21">
        <v>78.897313453793686</v>
      </c>
      <c r="Y21">
        <v>14.436797887096775</v>
      </c>
      <c r="Z21">
        <v>1136.395799183965</v>
      </c>
      <c r="AA21">
        <v>3685</v>
      </c>
      <c r="AB21">
        <v>334404.86917568499</v>
      </c>
      <c r="AC21" s="5">
        <v>-0.14400000000000002</v>
      </c>
      <c r="AD21" s="81">
        <f t="shared" si="5"/>
        <v>-0.29633580436848161</v>
      </c>
      <c r="AE21" s="81">
        <f t="shared" si="1"/>
        <v>0.26801106968036126</v>
      </c>
      <c r="AF21" s="81">
        <f t="shared" si="1"/>
        <v>8.7020648967551573E-2</v>
      </c>
      <c r="AG21" s="81">
        <f t="shared" si="1"/>
        <v>0.14971334905393197</v>
      </c>
      <c r="AH21" s="81">
        <f t="shared" si="7"/>
        <v>0.34312307132468689</v>
      </c>
      <c r="AI21">
        <v>0.22166666666666668</v>
      </c>
      <c r="AJ21">
        <v>0.30166666666666675</v>
      </c>
      <c r="AK21">
        <f t="shared" si="6"/>
        <v>0.80618014351267098</v>
      </c>
    </row>
    <row r="22" spans="1:37">
      <c r="A22">
        <v>2015</v>
      </c>
      <c r="B22">
        <v>1</v>
      </c>
      <c r="C22" s="21">
        <v>41.2</v>
      </c>
      <c r="D22" s="27">
        <f>AVERAGEIFS('ІСЦ (Стрим Інфл)'!$J:$J,'ІСЦ (Стрим Інфл)'!$A:$A,'Дефлятор модель (CPI-PPI) Інфл'!$A22,'ІСЦ (Стрим Інфл)'!$B:$B,'Дефлятор модель (CPI-PPI) Інфл'!$B22)</f>
        <v>0.36266666666666669</v>
      </c>
      <c r="E22" s="27">
        <f>AVERAGEIFS('ІЦВ (Стрим Інфл)+'!$J:$J,'ІЦВ (Стрим Інфл)+'!$A:$A,'Дефлятор модель (CPI-PPI) Інфл'!$A22,'ІЦВ (Стрим Інфл)+'!$B:$B,'Дефлятор модель (CPI-PPI) Інфл'!$B22)</f>
        <v>0.42266666666666658</v>
      </c>
      <c r="F22" s="27"/>
      <c r="G22" s="287">
        <f t="shared" si="8"/>
        <v>35.361975026666663</v>
      </c>
      <c r="H22" s="288">
        <f t="shared" si="9"/>
        <v>1.1650932949568245</v>
      </c>
      <c r="I22" s="21"/>
      <c r="J22" s="28">
        <f>D22</f>
        <v>0.36266666666666669</v>
      </c>
      <c r="K22" s="21"/>
      <c r="L22" s="21"/>
      <c r="M22" s="28">
        <f t="shared" si="12"/>
        <v>0.42266666666666658</v>
      </c>
      <c r="N22" s="21"/>
      <c r="O22" s="21"/>
      <c r="P22" s="27">
        <f t="shared" si="10"/>
        <v>0.41200000000000003</v>
      </c>
      <c r="Q22" s="21"/>
      <c r="R22" s="21"/>
      <c r="S22" s="95">
        <f t="shared" si="2"/>
        <v>0.35056197666666666</v>
      </c>
      <c r="T22" s="93">
        <f t="shared" si="3"/>
        <v>0.37275166366559576</v>
      </c>
      <c r="U22" s="96">
        <v>0.41200000000000003</v>
      </c>
      <c r="V22" s="94">
        <f t="shared" si="4"/>
        <v>3.9248336334404277E-2</v>
      </c>
      <c r="W22" s="95">
        <f t="shared" si="0"/>
        <v>6.1438023333333369E-2</v>
      </c>
      <c r="X22">
        <v>73.209676589962925</v>
      </c>
      <c r="Y22">
        <v>21.2308742265745</v>
      </c>
      <c r="Z22">
        <v>1549.9859763012144</v>
      </c>
      <c r="AA22">
        <v>3650.3333333333335</v>
      </c>
      <c r="AB22">
        <v>330310.82714344998</v>
      </c>
      <c r="AC22" s="5">
        <v>-0.16</v>
      </c>
      <c r="AD22" s="81">
        <f t="shared" si="5"/>
        <v>-0.30400859231935307</v>
      </c>
      <c r="AE22" s="81">
        <f t="shared" si="1"/>
        <v>0.66534166979337228</v>
      </c>
      <c r="AF22" s="81">
        <f t="shared" si="1"/>
        <v>0.11847615156776636</v>
      </c>
      <c r="AG22" s="81">
        <f t="shared" si="1"/>
        <v>7.5949439524884976E-2</v>
      </c>
      <c r="AH22" s="81">
        <f t="shared" si="7"/>
        <v>0.28089218991057741</v>
      </c>
      <c r="AI22">
        <v>0.36266666666666669</v>
      </c>
      <c r="AJ22">
        <v>0.42266666666666658</v>
      </c>
      <c r="AK22">
        <f t="shared" si="6"/>
        <v>1.3973515365928022</v>
      </c>
    </row>
    <row r="23" spans="1:37">
      <c r="A23">
        <v>2015</v>
      </c>
      <c r="B23">
        <v>2</v>
      </c>
      <c r="C23" s="21">
        <v>39.700000000000003</v>
      </c>
      <c r="D23" s="27">
        <f>AVERAGEIFS('ІСЦ (Стрим Інфл)'!$J:$J,'ІСЦ (Стрим Інфл)'!$A:$A,'Дефлятор модель (CPI-PPI) Інфл'!$A23,'ІСЦ (Стрим Інфл)'!$B:$B,'Дефлятор модель (CPI-PPI) Інфл'!$B23)</f>
        <v>0.58933333333333338</v>
      </c>
      <c r="E23" s="27">
        <f>AVERAGEIFS('ІЦВ (Стрим Інфл)+'!$J:$J,'ІЦВ (Стрим Інфл)+'!$A:$A,'Дефлятор модель (CPI-PPI) Інфл'!$A23,'ІЦВ (Стрим Інфл)+'!$B:$B,'Дефлятор модель (CPI-PPI) Інфл'!$B23)</f>
        <v>0.42833333333333329</v>
      </c>
      <c r="F23" s="27"/>
      <c r="G23" s="287">
        <f t="shared" si="8"/>
        <v>43.964037643333334</v>
      </c>
      <c r="H23" s="288">
        <f t="shared" si="9"/>
        <v>0.90301078172286742</v>
      </c>
      <c r="I23" s="21"/>
      <c r="J23" s="28">
        <f t="shared" si="11"/>
        <v>0.58933333333333338</v>
      </c>
      <c r="K23" s="21"/>
      <c r="L23" s="21"/>
      <c r="M23" s="28">
        <f t="shared" si="12"/>
        <v>0.42833333333333329</v>
      </c>
      <c r="N23" s="21"/>
      <c r="O23" s="21"/>
      <c r="P23" s="27">
        <f t="shared" si="10"/>
        <v>0.39700000000000002</v>
      </c>
      <c r="Q23" s="21"/>
      <c r="R23" s="21"/>
      <c r="S23" s="95">
        <f t="shared" si="2"/>
        <v>0.43466520683333332</v>
      </c>
      <c r="T23" s="93">
        <f t="shared" si="3"/>
        <v>0.4319397995895477</v>
      </c>
      <c r="U23" s="96">
        <v>0.39700000000000002</v>
      </c>
      <c r="V23" s="94">
        <f t="shared" si="4"/>
        <v>-3.4939799589547682E-2</v>
      </c>
      <c r="W23" s="95">
        <f t="shared" si="0"/>
        <v>-3.7665206833333298E-2</v>
      </c>
      <c r="X23">
        <v>69.190544535974638</v>
      </c>
      <c r="Y23">
        <v>21.619186881362008</v>
      </c>
      <c r="Z23">
        <v>1495.0261354036484</v>
      </c>
      <c r="AA23">
        <v>4113</v>
      </c>
      <c r="AB23">
        <v>330388.03023854335</v>
      </c>
      <c r="AC23" s="5">
        <v>-0.14499999999999999</v>
      </c>
      <c r="AD23" s="81">
        <f t="shared" si="5"/>
        <v>-0.30209900028042469</v>
      </c>
      <c r="AE23" s="81">
        <f t="shared" si="1"/>
        <v>0.24783651293866682</v>
      </c>
      <c r="AF23" s="81">
        <f t="shared" si="1"/>
        <v>0.17929848035936158</v>
      </c>
      <c r="AG23" s="81">
        <f t="shared" si="1"/>
        <v>-3.0012501859089546E-2</v>
      </c>
      <c r="AH23" s="81">
        <f t="shared" si="7"/>
        <v>0.13448830191919359</v>
      </c>
      <c r="AI23">
        <v>0.58933333333333338</v>
      </c>
      <c r="AJ23">
        <v>0.42833333333333329</v>
      </c>
      <c r="AK23">
        <f t="shared" si="6"/>
        <v>0.79102202577896752</v>
      </c>
    </row>
    <row r="24" spans="1:37">
      <c r="A24">
        <v>2015</v>
      </c>
      <c r="B24">
        <v>3</v>
      </c>
      <c r="C24" s="21">
        <v>38.4</v>
      </c>
      <c r="D24" s="27">
        <f>AVERAGEIFS('ІСЦ (Стрим Інфл)'!$J:$J,'ІСЦ (Стрим Інфл)'!$A:$A,'Дефлятор модель (CPI-PPI) Інфл'!$A24,'ІСЦ (Стрим Інфл)'!$B:$B,'Дефлятор модель (CPI-PPI) Інфл'!$B24)</f>
        <v>0.53333333333333355</v>
      </c>
      <c r="E24" s="27">
        <f>AVERAGEIFS('ІЦВ (Стрим Інфл)+'!$J:$J,'ІЦВ (Стрим Інфл)+'!$A:$A,'Дефлятор модель (CPI-PPI) Інфл'!$A24,'ІЦВ (Стрим Інфл)+'!$B:$B,'Дефлятор модель (CPI-PPI) Інфл'!$B24)</f>
        <v>0.34166666666666662</v>
      </c>
      <c r="F24" s="27"/>
      <c r="G24" s="287">
        <f t="shared" si="8"/>
        <v>38.277178083333339</v>
      </c>
      <c r="H24" s="288">
        <f t="shared" si="9"/>
        <v>1.0032087505614773</v>
      </c>
      <c r="I24" s="21"/>
      <c r="J24" s="28">
        <f t="shared" si="11"/>
        <v>0.53333333333333355</v>
      </c>
      <c r="K24" s="21"/>
      <c r="L24" s="21"/>
      <c r="M24" s="28">
        <f t="shared" si="12"/>
        <v>0.34166666666666662</v>
      </c>
      <c r="N24" s="21"/>
      <c r="O24" s="21"/>
      <c r="P24" s="27">
        <f t="shared" si="10"/>
        <v>0.38400000000000001</v>
      </c>
      <c r="Q24" s="21"/>
      <c r="R24" s="21"/>
      <c r="S24" s="95">
        <f t="shared" si="2"/>
        <v>0.37827032083333334</v>
      </c>
      <c r="T24" s="93">
        <f t="shared" si="3"/>
        <v>0.38498419577657644</v>
      </c>
      <c r="U24" s="96">
        <v>0.38400000000000001</v>
      </c>
      <c r="V24" s="94">
        <f t="shared" si="4"/>
        <v>-9.8419577657643531E-4</v>
      </c>
      <c r="W24" s="95">
        <f t="shared" si="0"/>
        <v>5.729679166666668E-3</v>
      </c>
      <c r="X24">
        <v>65.494986104012767</v>
      </c>
      <c r="Y24">
        <v>21.722553238709679</v>
      </c>
      <c r="Z24">
        <v>1422.7676638423036</v>
      </c>
      <c r="AA24">
        <v>4312.666666666667</v>
      </c>
      <c r="AB24">
        <v>328965.17657010001</v>
      </c>
      <c r="AC24" s="5">
        <v>-7.0000000000000007E-2</v>
      </c>
      <c r="AD24" s="81">
        <f t="shared" si="5"/>
        <v>-0.2533557628848695</v>
      </c>
      <c r="AE24" s="81">
        <f t="shared" si="1"/>
        <v>0.2909882546096294</v>
      </c>
      <c r="AF24" s="81">
        <f t="shared" si="1"/>
        <v>0.24547554871005017</v>
      </c>
      <c r="AG24" s="81">
        <f t="shared" si="1"/>
        <v>-5.2333590166845023E-2</v>
      </c>
      <c r="AH24" s="81">
        <f t="shared" si="7"/>
        <v>1.8996139605543139E-2</v>
      </c>
      <c r="AI24">
        <v>0.53333333333333355</v>
      </c>
      <c r="AJ24">
        <v>0.34166666666666662</v>
      </c>
      <c r="AK24">
        <f t="shared" si="6"/>
        <v>0.72650154128479039</v>
      </c>
    </row>
    <row r="25" spans="1:37">
      <c r="A25">
        <v>2015</v>
      </c>
      <c r="B25">
        <v>4</v>
      </c>
      <c r="C25" s="21">
        <v>35</v>
      </c>
      <c r="D25" s="27">
        <f>AVERAGEIFS('ІСЦ (Стрим Інфл)'!$J:$J,'ІСЦ (Стрим Інфл)'!$A:$A,'Дефлятор модель (CPI-PPI) Інфл'!$A25,'ІСЦ (Стрим Інфл)'!$B:$B,'Дефлятор модель (CPI-PPI) Інфл'!$B25)</f>
        <v>0.45433333333333342</v>
      </c>
      <c r="E25" s="27">
        <f>AVERAGEIFS('ІЦВ (Стрим Інфл)+'!$J:$J,'ІЦВ (Стрим Інфл)+'!$A:$A,'Дефлятор модель (CPI-PPI) Інфл'!$A25,'ІЦВ (Стрим Інфл)+'!$B:$B,'Дефлятор модель (CPI-PPI) Інфл'!$B25)</f>
        <v>0.26899999999999996</v>
      </c>
      <c r="F25" s="27"/>
      <c r="G25" s="287">
        <f t="shared" si="8"/>
        <v>32.326269393333334</v>
      </c>
      <c r="H25" s="288">
        <f t="shared" si="9"/>
        <v>1.0827107691931217</v>
      </c>
      <c r="I25" s="21"/>
      <c r="J25" s="28">
        <f t="shared" si="11"/>
        <v>0.45433333333333342</v>
      </c>
      <c r="K25" s="21"/>
      <c r="L25" s="21"/>
      <c r="M25" s="28">
        <f t="shared" si="12"/>
        <v>0.26899999999999996</v>
      </c>
      <c r="N25" s="21"/>
      <c r="O25" s="21"/>
      <c r="P25" s="27">
        <f t="shared" si="10"/>
        <v>0.35</v>
      </c>
      <c r="Q25" s="21"/>
      <c r="R25" s="21"/>
      <c r="S25" s="95">
        <f t="shared" si="2"/>
        <v>0.31942950283333332</v>
      </c>
      <c r="T25" s="93">
        <f t="shared" si="3"/>
        <v>0.32580146655946085</v>
      </c>
      <c r="U25" s="96">
        <v>0.35</v>
      </c>
      <c r="V25" s="94">
        <f t="shared" si="4"/>
        <v>2.4198533440539127E-2</v>
      </c>
      <c r="W25" s="95">
        <f t="shared" si="0"/>
        <v>3.0570497166666655E-2</v>
      </c>
      <c r="X25">
        <v>60.815863631141575</v>
      </c>
      <c r="Y25">
        <v>22.854106237634408</v>
      </c>
      <c r="Z25">
        <v>1388.0995915603096</v>
      </c>
      <c r="AA25">
        <v>4753.333333333333</v>
      </c>
      <c r="AB25">
        <v>322729.83036133501</v>
      </c>
      <c r="AC25" s="5">
        <v>-2.4000000000000004E-2</v>
      </c>
      <c r="AD25" s="81">
        <f t="shared" si="5"/>
        <v>-0.22917700275360497</v>
      </c>
      <c r="AE25" s="81">
        <f t="shared" si="1"/>
        <v>0.22149306831043436</v>
      </c>
      <c r="AF25" s="81">
        <f t="shared" si="1"/>
        <v>0.28991406603346892</v>
      </c>
      <c r="AG25" s="81">
        <f t="shared" si="1"/>
        <v>-3.4912885219432366E-2</v>
      </c>
      <c r="AH25" s="81">
        <f t="shared" si="7"/>
        <v>-1.1181234855975775E-2</v>
      </c>
      <c r="AI25">
        <v>0.45433333333333342</v>
      </c>
      <c r="AJ25">
        <v>0.26899999999999996</v>
      </c>
      <c r="AK25">
        <f t="shared" si="6"/>
        <v>0.58304538280339835</v>
      </c>
    </row>
    <row r="26" spans="1:37">
      <c r="A26">
        <v>2016</v>
      </c>
      <c r="B26">
        <v>1</v>
      </c>
      <c r="C26" s="21">
        <v>20.9</v>
      </c>
      <c r="D26" s="27">
        <f>AVERAGEIFS('ІСЦ (Стрим Інфл)'!$J:$J,'ІСЦ (Стрим Інфл)'!$A:$A,'Дефлятор модель (CPI-PPI) Інфл'!$A26,'ІСЦ (Стрим Інфл)'!$B:$B,'Дефлятор модель (CPI-PPI) Інфл'!$B26)</f>
        <v>0.313</v>
      </c>
      <c r="E26" s="27">
        <f>AVERAGEIFS('ІЦВ (Стрим Інфл)+'!$J:$J,'ІЦВ (Стрим Інфл)+'!$A:$A,'Дефлятор модель (CPI-PPI) Інфл'!$A26,'ІЦВ (Стрим Інфл)+'!$B:$B,'Дефлятор модель (CPI-PPI) Інфл'!$B26)</f>
        <v>0.16366666666666668</v>
      </c>
      <c r="F26" s="27"/>
      <c r="G26" s="287">
        <f t="shared" si="8"/>
        <v>22.710378179999999</v>
      </c>
      <c r="H26" s="288">
        <f t="shared" si="9"/>
        <v>0.92028410246403036</v>
      </c>
      <c r="I26" s="21"/>
      <c r="J26" s="28">
        <f t="shared" si="11"/>
        <v>0.313</v>
      </c>
      <c r="K26" s="21"/>
      <c r="L26" s="21"/>
      <c r="M26" s="28">
        <f t="shared" si="12"/>
        <v>0.16366666666666668</v>
      </c>
      <c r="N26" s="21"/>
      <c r="O26" s="21"/>
      <c r="P26" s="27">
        <f t="shared" si="10"/>
        <v>0.20899999999999999</v>
      </c>
      <c r="Q26" s="21"/>
      <c r="R26" s="21"/>
      <c r="S26" s="95">
        <f t="shared" si="2"/>
        <v>0.22446614350000002</v>
      </c>
      <c r="T26" s="93">
        <f t="shared" si="3"/>
        <v>0.21805111116268411</v>
      </c>
      <c r="U26" s="96">
        <v>0.20899999999999999</v>
      </c>
      <c r="V26" s="94">
        <f t="shared" si="4"/>
        <v>-9.0511111626841168E-3</v>
      </c>
      <c r="W26" s="95">
        <f t="shared" si="0"/>
        <v>-1.5466143500000029E-2</v>
      </c>
      <c r="X26">
        <v>57.727197592771404</v>
      </c>
      <c r="Y26">
        <v>25.669635638857994</v>
      </c>
      <c r="Z26">
        <v>1482.7320954886866</v>
      </c>
      <c r="AA26">
        <v>4622.333333333333</v>
      </c>
      <c r="AB26">
        <v>331732.91779812664</v>
      </c>
      <c r="AC26" s="5">
        <v>1E-3</v>
      </c>
      <c r="AD26" s="81">
        <f t="shared" si="5"/>
        <v>-0.2114813193876911</v>
      </c>
      <c r="AE26" s="81">
        <f t="shared" si="1"/>
        <v>-4.3389993097239565E-2</v>
      </c>
      <c r="AF26" s="81">
        <f t="shared" si="1"/>
        <v>0.26627705232398857</v>
      </c>
      <c r="AG26" s="81">
        <f t="shared" si="1"/>
        <v>4.305310446451216E-3</v>
      </c>
      <c r="AH26" s="81">
        <f t="shared" si="7"/>
        <v>3.3020084380133152E-3</v>
      </c>
      <c r="AI26">
        <v>0.313</v>
      </c>
      <c r="AJ26">
        <v>0.16366666666666668</v>
      </c>
      <c r="AK26">
        <f t="shared" si="6"/>
        <v>0.20907106155466426</v>
      </c>
    </row>
    <row r="27" spans="1:37">
      <c r="A27">
        <v>2016</v>
      </c>
      <c r="B27">
        <v>2</v>
      </c>
      <c r="C27" s="21">
        <v>15.3</v>
      </c>
      <c r="D27" s="27">
        <f>AVERAGEIFS('ІСЦ (Стрим Інфл)'!$J:$J,'ІСЦ (Стрим Інфл)'!$A:$A,'Дефлятор модель (CPI-PPI) Інфл'!$A27,'ІСЦ (Стрим Інфл)'!$B:$B,'Дефлятор модель (CPI-PPI) Інфл'!$B27)</f>
        <v>8.0666666666666678E-2</v>
      </c>
      <c r="E27" s="27">
        <f>AVERAGEIFS('ІЦВ (Стрим Інфл)+'!$J:$J,'ІЦВ (Стрим Інфл)+'!$A:$A,'Дефлятор модель (CPI-PPI) Інфл'!$A27,'ІЦВ (Стрим Інфл)+'!$B:$B,'Дефлятор модель (CPI-PPI) Інфл'!$B27)</f>
        <v>0.14066666666666669</v>
      </c>
      <c r="F27" s="27"/>
      <c r="G27" s="287">
        <f t="shared" si="8"/>
        <v>13.175156906666668</v>
      </c>
      <c r="H27" s="288">
        <f t="shared" si="9"/>
        <v>1.1612764924460335</v>
      </c>
      <c r="I27" s="21"/>
      <c r="J27" s="28">
        <f t="shared" si="11"/>
        <v>8.0666666666666678E-2</v>
      </c>
      <c r="K27" s="21"/>
      <c r="L27" s="21"/>
      <c r="M27" s="28">
        <f t="shared" si="12"/>
        <v>0.14066666666666669</v>
      </c>
      <c r="N27" s="21"/>
      <c r="O27" s="21"/>
      <c r="P27" s="27">
        <f t="shared" si="10"/>
        <v>0.153</v>
      </c>
      <c r="Q27" s="21"/>
      <c r="R27" s="21"/>
      <c r="S27" s="95">
        <f t="shared" si="2"/>
        <v>0.13107926166666667</v>
      </c>
      <c r="T27" s="93">
        <f t="shared" si="3"/>
        <v>0.12900815931946363</v>
      </c>
      <c r="U27" s="96">
        <v>0.153</v>
      </c>
      <c r="V27" s="94">
        <f t="shared" si="4"/>
        <v>2.3991840680536364E-2</v>
      </c>
      <c r="W27" s="95">
        <f t="shared" si="0"/>
        <v>2.1920738333333328E-2</v>
      </c>
      <c r="X27">
        <v>63.032488909992544</v>
      </c>
      <c r="Y27">
        <v>25.262438794623659</v>
      </c>
      <c r="Z27">
        <v>1592.1913577419446</v>
      </c>
      <c r="AA27">
        <v>5072</v>
      </c>
      <c r="AB27">
        <v>337735.73980871501</v>
      </c>
      <c r="AC27" s="5">
        <v>1.7000000000000001E-2</v>
      </c>
      <c r="AD27" s="81">
        <f t="shared" si="5"/>
        <v>-8.9001404271074946E-2</v>
      </c>
      <c r="AE27" s="81">
        <f t="shared" si="1"/>
        <v>6.4992323570358224E-2</v>
      </c>
      <c r="AF27" s="81">
        <f t="shared" si="1"/>
        <v>0.23316314125942128</v>
      </c>
      <c r="AG27" s="81">
        <f t="shared" si="1"/>
        <v>2.2239636117769024E-2</v>
      </c>
      <c r="AH27" s="81">
        <f t="shared" si="7"/>
        <v>5.1520512465772494E-3</v>
      </c>
      <c r="AI27">
        <v>8.0666666666666678E-2</v>
      </c>
      <c r="AJ27">
        <v>0.14066666666666669</v>
      </c>
      <c r="AK27">
        <f t="shared" si="6"/>
        <v>0.16851937740556355</v>
      </c>
    </row>
    <row r="28" spans="1:37">
      <c r="A28">
        <v>2016</v>
      </c>
      <c r="B28">
        <v>3</v>
      </c>
      <c r="C28" s="21">
        <v>15.3</v>
      </c>
      <c r="D28" s="27">
        <f>AVERAGEIFS('ІСЦ (Стрим Інфл)'!$J:$J,'ІСЦ (Стрим Інфл)'!$A:$A,'Дефлятор модель (CPI-PPI) Інфл'!$A28,'ІСЦ (Стрим Інфл)'!$B:$B,'Дефлятор модель (CPI-PPI) Інфл'!$B28)</f>
        <v>8.066666666666672E-2</v>
      </c>
      <c r="E28" s="27">
        <f>AVERAGEIFS('ІЦВ (Стрим Інфл)+'!$J:$J,'ІЦВ (Стрим Інфл)+'!$A:$A,'Дефлятор модель (CPI-PPI) Інфл'!$A28,'ІЦВ (Стрим Інфл)+'!$B:$B,'Дефлятор модель (CPI-PPI) Інфл'!$B28)</f>
        <v>0.18933333333333333</v>
      </c>
      <c r="F28" s="27"/>
      <c r="G28" s="287">
        <f t="shared" si="8"/>
        <v>15.207995206666668</v>
      </c>
      <c r="H28" s="288">
        <f t="shared" si="9"/>
        <v>1.0060497647509121</v>
      </c>
      <c r="I28" s="21"/>
      <c r="J28" s="28">
        <f t="shared" si="11"/>
        <v>8.066666666666672E-2</v>
      </c>
      <c r="K28" s="21"/>
      <c r="L28" s="21"/>
      <c r="M28" s="28">
        <f t="shared" si="12"/>
        <v>0.18933333333333333</v>
      </c>
      <c r="N28" s="21"/>
      <c r="O28" s="21"/>
      <c r="P28" s="27">
        <f t="shared" si="10"/>
        <v>0.153</v>
      </c>
      <c r="Q28" s="21"/>
      <c r="R28" s="21"/>
      <c r="S28" s="95">
        <f t="shared" si="2"/>
        <v>0.15140764466666667</v>
      </c>
      <c r="T28" s="93">
        <f t="shared" si="3"/>
        <v>0.14650947124911254</v>
      </c>
      <c r="U28" s="96">
        <v>0.153</v>
      </c>
      <c r="V28" s="94">
        <f t="shared" si="4"/>
        <v>6.4905287508874587E-3</v>
      </c>
      <c r="W28" s="95">
        <f t="shared" si="0"/>
        <v>1.5923553333333229E-3</v>
      </c>
      <c r="X28">
        <v>60.875215760700605</v>
      </c>
      <c r="Y28">
        <v>25.385684131182796</v>
      </c>
      <c r="Z28">
        <v>1544.886585165041</v>
      </c>
      <c r="AA28">
        <v>5311.333333333333</v>
      </c>
      <c r="AB28">
        <v>355410.64953295002</v>
      </c>
      <c r="AC28" s="5">
        <v>2.7000000000000007E-2</v>
      </c>
      <c r="AD28" s="81">
        <f t="shared" si="5"/>
        <v>-7.0536244346635857E-2</v>
      </c>
      <c r="AE28" s="81">
        <f t="shared" si="1"/>
        <v>8.5831948832000515E-2</v>
      </c>
      <c r="AF28" s="81">
        <f t="shared" si="1"/>
        <v>0.23156592981913726</v>
      </c>
      <c r="AG28" s="81">
        <f t="shared" si="1"/>
        <v>8.0389885758058943E-2</v>
      </c>
      <c r="AH28" s="81">
        <f t="shared" si="7"/>
        <v>5.1986256823816079E-2</v>
      </c>
      <c r="AI28">
        <v>8.066666666666672E-2</v>
      </c>
      <c r="AJ28">
        <v>0.18933333333333333</v>
      </c>
      <c r="AK28">
        <f t="shared" si="6"/>
        <v>0.16863261202395874</v>
      </c>
    </row>
    <row r="29" spans="1:37">
      <c r="A29">
        <v>2016</v>
      </c>
      <c r="B29">
        <v>4</v>
      </c>
      <c r="C29" s="21">
        <v>17.399999999999999</v>
      </c>
      <c r="D29" s="27">
        <f>AVERAGEIFS('ІСЦ (Стрим Інфл)'!$J:$J,'ІСЦ (Стрим Інфл)'!$A:$A,'Дефлятор модель (CPI-PPI) Інфл'!$A29,'ІСЦ (Стрим Інфл)'!$B:$B,'Дефлятор модель (CPI-PPI) Інфл'!$B29)</f>
        <v>0.12300000000000001</v>
      </c>
      <c r="E29" s="27">
        <f>AVERAGEIFS('ІЦВ (Стрим Інфл)+'!$J:$J,'ІЦВ (Стрим Інфл)+'!$A:$A,'Дефлятор модель (CPI-PPI) Інфл'!$A29,'ІЦВ (Стрим Інфл)+'!$B:$B,'Дефлятор модель (CPI-PPI) Інфл'!$B29)</f>
        <v>0.3229999999999999</v>
      </c>
      <c r="F29" s="27"/>
      <c r="G29" s="287">
        <f t="shared" si="8"/>
        <v>22.353693179999993</v>
      </c>
      <c r="H29" s="288">
        <f t="shared" si="9"/>
        <v>0.7783948656666676</v>
      </c>
      <c r="I29" s="21"/>
      <c r="J29" s="28">
        <f t="shared" si="11"/>
        <v>0.12300000000000001</v>
      </c>
      <c r="K29" s="21"/>
      <c r="L29" s="21"/>
      <c r="M29" s="28">
        <f t="shared" si="12"/>
        <v>0.3229999999999999</v>
      </c>
      <c r="N29" s="21"/>
      <c r="O29" s="21"/>
      <c r="P29" s="27">
        <f t="shared" si="10"/>
        <v>0.17399999999999999</v>
      </c>
      <c r="Q29" s="21"/>
      <c r="R29" s="21"/>
      <c r="S29" s="95">
        <f t="shared" si="2"/>
        <v>0.22250652249999994</v>
      </c>
      <c r="T29" s="93">
        <f t="shared" si="3"/>
        <v>0.21739648557649094</v>
      </c>
      <c r="U29" s="96">
        <v>0.17399999999999999</v>
      </c>
      <c r="V29" s="94">
        <f t="shared" si="4"/>
        <v>-4.3396485576490951E-2</v>
      </c>
      <c r="W29" s="95">
        <f t="shared" si="0"/>
        <v>-4.8506522499999954E-2</v>
      </c>
      <c r="X29">
        <v>66.234315955768537</v>
      </c>
      <c r="Y29">
        <v>25.887578374193549</v>
      </c>
      <c r="Z29">
        <v>1714.9803393378436</v>
      </c>
      <c r="AA29">
        <v>5743.666666666667</v>
      </c>
      <c r="AB29">
        <v>360205.31619122002</v>
      </c>
      <c r="AC29" s="5">
        <v>4.6000000000000006E-2</v>
      </c>
      <c r="AD29" s="81">
        <f t="shared" si="5"/>
        <v>8.9096035164291765E-2</v>
      </c>
      <c r="AE29" s="81">
        <f t="shared" si="1"/>
        <v>0.23548796481533429</v>
      </c>
      <c r="AF29" s="81">
        <f t="shared" si="1"/>
        <v>0.20834502103786834</v>
      </c>
      <c r="AG29" s="81">
        <f t="shared" si="1"/>
        <v>0.11612030343748114</v>
      </c>
      <c r="AH29" s="81">
        <f t="shared" si="7"/>
        <v>6.7036618965087058E-2</v>
      </c>
      <c r="AI29">
        <v>0.12300000000000001</v>
      </c>
      <c r="AJ29">
        <v>0.3229999999999999</v>
      </c>
      <c r="AK29">
        <f t="shared" si="6"/>
        <v>0.13273203970513836</v>
      </c>
    </row>
    <row r="30" spans="1:37">
      <c r="A30">
        <v>2017</v>
      </c>
      <c r="B30">
        <v>1</v>
      </c>
      <c r="C30" s="21">
        <v>26.6</v>
      </c>
      <c r="D30" s="27">
        <f>AVERAGEIFS('ІСЦ (Стрим Інфл)'!$J:$J,'ІСЦ (Стрим Інфл)'!$A:$A,'Дефлятор модель (CPI-PPI) Інфл'!$A30,'ІСЦ (Стрим Інфл)'!$B:$B,'Дефлятор модель (CPI-PPI) Інфл'!$B30)</f>
        <v>0.13966666666666663</v>
      </c>
      <c r="E30" s="27">
        <f>AVERAGEIFS('ІЦВ (Стрим Інфл)+'!$J:$J,'ІЦВ (Стрим Інфл)+'!$A:$A,'Дефлятор модель (CPI-PPI) Інфл'!$A30,'ІЦВ (Стрим Інфл)+'!$B:$B,'Дефлятор модель (CPI-PPI) Інфл'!$B30)</f>
        <v>0.38000000000000006</v>
      </c>
      <c r="F30" s="27"/>
      <c r="G30" s="287">
        <f t="shared" si="8"/>
        <v>25.349720396666669</v>
      </c>
      <c r="H30" s="288">
        <f t="shared" si="9"/>
        <v>1.0493212384108874</v>
      </c>
      <c r="I30" s="21"/>
      <c r="J30" s="28">
        <f t="shared" si="11"/>
        <v>0.13966666666666663</v>
      </c>
      <c r="K30" s="21"/>
      <c r="L30" s="21"/>
      <c r="M30" s="28">
        <f t="shared" si="12"/>
        <v>0.38000000000000006</v>
      </c>
      <c r="N30" s="21"/>
      <c r="O30" s="21"/>
      <c r="P30" s="27">
        <f t="shared" si="10"/>
        <v>0.26600000000000001</v>
      </c>
      <c r="Q30" s="21"/>
      <c r="R30" s="21"/>
      <c r="S30" s="95">
        <f t="shared" si="2"/>
        <v>0.25232580966666668</v>
      </c>
      <c r="T30" s="93">
        <f t="shared" si="3"/>
        <v>0.24802548195963992</v>
      </c>
      <c r="U30" s="96">
        <v>0.26200000000000001</v>
      </c>
      <c r="V30" s="94">
        <f t="shared" si="4"/>
        <v>1.3974518040360095E-2</v>
      </c>
      <c r="W30" s="95">
        <f t="shared" si="0"/>
        <v>9.6741903333333323E-3</v>
      </c>
      <c r="X30">
        <v>71.913105870063021</v>
      </c>
      <c r="Y30">
        <v>27.059981798003069</v>
      </c>
      <c r="Z30">
        <v>1945.9684410171067</v>
      </c>
      <c r="AA30">
        <v>6323</v>
      </c>
      <c r="AB30">
        <v>364243.22864574502</v>
      </c>
      <c r="AC30" s="5">
        <v>2.7999999999999997E-2</v>
      </c>
      <c r="AD30" s="81">
        <f t="shared" si="5"/>
        <v>0.24574046322782128</v>
      </c>
      <c r="AE30" s="81">
        <f t="shared" si="1"/>
        <v>0.31242079869846218</v>
      </c>
      <c r="AF30" s="81">
        <f t="shared" si="1"/>
        <v>0.36792384798442357</v>
      </c>
      <c r="AG30" s="81">
        <f t="shared" si="1"/>
        <v>9.8001461728324024E-2</v>
      </c>
      <c r="AH30" s="81">
        <f t="shared" si="7"/>
        <v>6.8094807128719737E-2</v>
      </c>
      <c r="AI30">
        <v>0.13966666666666663</v>
      </c>
      <c r="AJ30">
        <v>0.38000000000000006</v>
      </c>
      <c r="AK30">
        <f t="shared" si="6"/>
        <v>5.4163065604266203E-2</v>
      </c>
    </row>
    <row r="31" spans="1:37">
      <c r="A31">
        <v>2017</v>
      </c>
      <c r="B31">
        <v>2</v>
      </c>
      <c r="C31" s="21">
        <v>20.9</v>
      </c>
      <c r="D31" s="27">
        <f>AVERAGEIFS('ІСЦ (Стрим Інфл)'!$J:$J,'ІСЦ (Стрим Інфл)'!$A:$A,'Дефлятор модель (CPI-PPI) Інфл'!$A31,'ІСЦ (Стрим Інфл)'!$B:$B,'Дефлятор модель (CPI-PPI) Інфл'!$B31)</f>
        <v>0.13766666666666663</v>
      </c>
      <c r="E31" s="27">
        <f>AVERAGEIFS('ІЦВ (Стрим Інфл)+'!$J:$J,'ІЦВ (Стрим Інфл)+'!$A:$A,'Дефлятор модель (CPI-PPI) Інфл'!$A31,'ІЦВ (Стрим Інфл)+'!$B:$B,'Дефлятор модель (CPI-PPI) Інфл'!$B31)</f>
        <v>0.29666666666666663</v>
      </c>
      <c r="F31" s="27"/>
      <c r="G31" s="287">
        <f t="shared" si="8"/>
        <v>21.795020876666662</v>
      </c>
      <c r="H31" s="288">
        <f t="shared" si="9"/>
        <v>0.95893461714345707</v>
      </c>
      <c r="I31" s="21"/>
      <c r="J31" s="28">
        <f>D31</f>
        <v>0.13766666666666663</v>
      </c>
      <c r="K31" s="21"/>
      <c r="L31" s="21"/>
      <c r="M31" s="28">
        <f>E31</f>
        <v>0.29666666666666663</v>
      </c>
      <c r="N31" s="21"/>
      <c r="O31" s="21"/>
      <c r="P31" s="27">
        <f t="shared" si="10"/>
        <v>0.20899999999999999</v>
      </c>
      <c r="Q31" s="21"/>
      <c r="R31" s="21"/>
      <c r="S31" s="95">
        <f t="shared" si="2"/>
        <v>0.21679573266666663</v>
      </c>
      <c r="T31" s="93">
        <f t="shared" si="3"/>
        <v>0.20240933163986569</v>
      </c>
      <c r="U31" s="96">
        <v>0.20899999999999999</v>
      </c>
      <c r="V31" s="94">
        <f t="shared" si="4"/>
        <v>6.5906683601343052E-3</v>
      </c>
      <c r="W31" s="95">
        <f t="shared" si="0"/>
        <v>-7.7957326666666382E-3</v>
      </c>
      <c r="X31">
        <v>64.204964156478169</v>
      </c>
      <c r="Y31">
        <v>26.463126088888888</v>
      </c>
      <c r="Z31">
        <v>1699.5103224472871</v>
      </c>
      <c r="AA31">
        <v>6953</v>
      </c>
      <c r="AB31">
        <v>368648.816115305</v>
      </c>
      <c r="AC31" s="5">
        <v>2.6000000000000006E-2</v>
      </c>
      <c r="AD31" s="81">
        <f t="shared" si="5"/>
        <v>1.8601125653785688E-2</v>
      </c>
      <c r="AE31" s="81">
        <f t="shared" si="1"/>
        <v>6.7403308141015694E-2</v>
      </c>
      <c r="AF31" s="81">
        <f t="shared" si="1"/>
        <v>0.37085962145110418</v>
      </c>
      <c r="AG31" s="81">
        <f t="shared" si="1"/>
        <v>9.153036727501318E-2</v>
      </c>
      <c r="AH31" s="81">
        <f t="shared" si="7"/>
        <v>6.3869753679349994E-2</v>
      </c>
      <c r="AI31">
        <v>0.13766666666666663</v>
      </c>
      <c r="AJ31">
        <v>0.29666666666666663</v>
      </c>
      <c r="AK31">
        <f t="shared" si="6"/>
        <v>4.7528558268917331E-2</v>
      </c>
    </row>
    <row r="32" spans="1:37">
      <c r="A32">
        <v>2017</v>
      </c>
      <c r="B32">
        <v>3</v>
      </c>
      <c r="C32" s="21">
        <v>21.5</v>
      </c>
      <c r="D32" s="27">
        <f>AVERAGEIFS('ІСЦ (Стрим Інфл)'!$J:$J,'ІСЦ (Стрим Інфл)'!$A:$A,'Дефлятор модель (CPI-PPI) Інфл'!$A32,'ІСЦ (Стрим Інфл)'!$B:$B,'Дефлятор модель (CPI-PPI) Інфл'!$B32)</f>
        <v>0.16166666666666671</v>
      </c>
      <c r="E32" s="27">
        <f>AVERAGEIFS('ІЦВ (Стрим Інфл)+'!$J:$J,'ІЦВ (Стрим Інфл)+'!$A:$A,'Дефлятор модель (CPI-PPI) Інфл'!$A32,'ІЦВ (Стрим Інфл)+'!$B:$B,'Дефлятор модель (CPI-PPI) Інфл'!$B32)</f>
        <v>0.23099999999999998</v>
      </c>
      <c r="F32" s="27"/>
      <c r="G32" s="287">
        <f t="shared" si="8"/>
        <v>19.93782576666667</v>
      </c>
      <c r="H32" s="288">
        <f t="shared" si="9"/>
        <v>1.0783522863333008</v>
      </c>
      <c r="I32" s="21"/>
      <c r="J32" s="28">
        <f t="shared" si="11"/>
        <v>0.16166666666666671</v>
      </c>
      <c r="K32" s="21"/>
      <c r="L32" s="21"/>
      <c r="M32" s="28">
        <f t="shared" si="12"/>
        <v>0.23099999999999998</v>
      </c>
      <c r="N32" s="21"/>
      <c r="O32" s="21"/>
      <c r="P32" s="27">
        <f t="shared" si="10"/>
        <v>0.215</v>
      </c>
      <c r="Q32" s="21"/>
      <c r="R32" s="21"/>
      <c r="S32" s="95">
        <f t="shared" si="2"/>
        <v>0.19802076316666667</v>
      </c>
      <c r="T32" s="93">
        <f t="shared" si="3"/>
        <v>0.19502786046971879</v>
      </c>
      <c r="U32" s="96">
        <v>0.21100000000000002</v>
      </c>
      <c r="V32" s="94">
        <f t="shared" si="4"/>
        <v>1.5972139530281232E-2</v>
      </c>
      <c r="W32" s="95">
        <f t="shared" si="0"/>
        <v>1.2979236833333352E-2</v>
      </c>
      <c r="X32">
        <v>67.870345644271211</v>
      </c>
      <c r="Y32">
        <v>25.904397915053753</v>
      </c>
      <c r="Z32">
        <v>1758.1716984869993</v>
      </c>
      <c r="AA32">
        <v>7268</v>
      </c>
      <c r="AB32">
        <v>378713.75901810831</v>
      </c>
      <c r="AC32" s="5">
        <v>2.4000000000000004E-2</v>
      </c>
      <c r="AD32" s="81">
        <f t="shared" si="5"/>
        <v>0.11490932387111918</v>
      </c>
      <c r="AE32" s="81">
        <f t="shared" si="1"/>
        <v>0.13805875160678727</v>
      </c>
      <c r="AF32" s="81">
        <f t="shared" si="1"/>
        <v>0.36839462783983934</v>
      </c>
      <c r="AG32" s="81">
        <f t="shared" si="1"/>
        <v>6.5566717023761711E-2</v>
      </c>
      <c r="AH32" s="81">
        <f t="shared" si="7"/>
        <v>4.0592497093517199E-2</v>
      </c>
      <c r="AI32">
        <v>0.16166666666666671</v>
      </c>
      <c r="AJ32">
        <v>0.23099999999999998</v>
      </c>
      <c r="AK32">
        <f t="shared" si="6"/>
        <v>2.0433319078204004E-2</v>
      </c>
    </row>
    <row r="33" spans="1:37">
      <c r="A33">
        <v>2017</v>
      </c>
      <c r="B33">
        <v>4</v>
      </c>
      <c r="C33" s="21">
        <v>20.8</v>
      </c>
      <c r="D33" s="27">
        <f>AVERAGEIFS('ІСЦ (Стрим Інфл)'!$J:$J,'ІСЦ (Стрим Інфл)'!$A:$A,'Дефлятор модель (CPI-PPI) Інфл'!$A33,'ІСЦ (Стрим Інфл)'!$B:$B,'Дефлятор модель (CPI-PPI) Інфл'!$B33)</f>
        <v>0.13966666666666663</v>
      </c>
      <c r="E33" s="27">
        <f>AVERAGEIFS('ІЦВ (Стрим Інфл)+'!$J:$J,'ІЦВ (Стрим Інфл)+'!$A:$A,'Дефлятор модель (CPI-PPI) Інфл'!$A33,'ІЦВ (Стрим Інфл)+'!$B:$B,'Дефлятор модель (CPI-PPI) Інфл'!$B33)</f>
        <v>0.17900000000000002</v>
      </c>
      <c r="F33" s="27"/>
      <c r="G33" s="287">
        <f t="shared" si="8"/>
        <v>16.953819746666667</v>
      </c>
      <c r="H33" s="288">
        <f t="shared" si="9"/>
        <v>1.2268621650344926</v>
      </c>
      <c r="I33" s="21"/>
      <c r="J33" s="28">
        <f t="shared" si="11"/>
        <v>0.13966666666666663</v>
      </c>
      <c r="K33" s="21"/>
      <c r="L33" s="21"/>
      <c r="M33" s="28">
        <f t="shared" si="12"/>
        <v>0.17900000000000002</v>
      </c>
      <c r="N33" s="21"/>
      <c r="O33" s="21"/>
      <c r="P33" s="27">
        <f t="shared" si="10"/>
        <v>0.20800000000000002</v>
      </c>
      <c r="Q33" s="21"/>
      <c r="R33" s="21"/>
      <c r="S33" s="95">
        <f t="shared" si="2"/>
        <v>0.16836680316666666</v>
      </c>
      <c r="T33" s="93">
        <f t="shared" si="3"/>
        <v>0.16690924834786974</v>
      </c>
      <c r="U33" s="96">
        <v>0.20899999999999999</v>
      </c>
      <c r="V33" s="94">
        <f t="shared" si="4"/>
        <v>4.2090751652130248E-2</v>
      </c>
      <c r="W33" s="95">
        <f t="shared" si="0"/>
        <v>4.0633196833333329E-2</v>
      </c>
      <c r="X33">
        <v>70.082109609092825</v>
      </c>
      <c r="Y33">
        <v>26.958919888530474</v>
      </c>
      <c r="Z33">
        <v>1890.0542328744086</v>
      </c>
      <c r="AA33">
        <v>7877.666666666667</v>
      </c>
      <c r="AB33">
        <v>380530.58714297833</v>
      </c>
      <c r="AC33" s="5">
        <v>2.2000000000000002E-2</v>
      </c>
      <c r="AD33" s="81">
        <f t="shared" si="5"/>
        <v>5.8093657310416713E-2</v>
      </c>
      <c r="AE33" s="81">
        <f t="shared" si="1"/>
        <v>0.102085073234228</v>
      </c>
      <c r="AF33" s="81">
        <f t="shared" si="1"/>
        <v>0.37153966687946149</v>
      </c>
      <c r="AG33" s="81">
        <f t="shared" si="1"/>
        <v>5.642690442960685E-2</v>
      </c>
      <c r="AH33" s="81">
        <f t="shared" si="7"/>
        <v>3.3685816467325713E-2</v>
      </c>
      <c r="AI33">
        <v>0.13966666666666663</v>
      </c>
      <c r="AJ33">
        <v>0.17900000000000002</v>
      </c>
      <c r="AK33">
        <f t="shared" si="6"/>
        <v>4.1384385161530091E-2</v>
      </c>
    </row>
    <row r="34" spans="1:37">
      <c r="A34">
        <v>2018</v>
      </c>
      <c r="B34">
        <v>1</v>
      </c>
      <c r="C34" s="24">
        <v>15.1</v>
      </c>
      <c r="D34" s="27">
        <f>AVERAGEIFS('ІСЦ (Стрим Інфл)'!$J:$J,'ІСЦ (Стрим Інфл)'!$A:$A,'Дефлятор модель (CPI-PPI) Інфл'!$A34,'ІСЦ (Стрим Інфл)'!$B:$B,'Дефлятор модель (CPI-PPI) Інфл'!$B34)</f>
        <v>0.13766666666666663</v>
      </c>
      <c r="E34" s="27">
        <f>AVERAGEIFS('ІЦВ (Стрим Інфл)+'!$J:$J,'ІЦВ (Стрим Інфл)+'!$A:$A,'Дефлятор модель (CPI-PPI) Інфл'!$A34,'ІЦВ (Стрим Інфл)+'!$B:$B,'Дефлятор модель (CPI-PPI) Інфл'!$B34)</f>
        <v>0.19166666666666665</v>
      </c>
      <c r="F34" s="27"/>
      <c r="G34" s="287">
        <f t="shared" si="8"/>
        <v>17.409102626666666</v>
      </c>
      <c r="H34" s="288">
        <f t="shared" si="9"/>
        <v>0.8673623404844738</v>
      </c>
      <c r="I34" s="24"/>
      <c r="J34" s="28">
        <f>D34</f>
        <v>0.13766666666666663</v>
      </c>
      <c r="K34" s="24"/>
      <c r="L34" s="24"/>
      <c r="M34" s="28">
        <f t="shared" si="12"/>
        <v>0.19166666666666665</v>
      </c>
      <c r="N34" s="24"/>
      <c r="O34" s="24"/>
      <c r="P34" s="27">
        <f t="shared" si="10"/>
        <v>0.151</v>
      </c>
      <c r="Q34" s="24"/>
      <c r="R34" s="24"/>
      <c r="S34" s="95">
        <f t="shared" si="2"/>
        <v>0.17293655016666665</v>
      </c>
      <c r="T34" s="93">
        <f t="shared" si="3"/>
        <v>0.16658986358800598</v>
      </c>
      <c r="U34" s="96">
        <v>0.14899999999999999</v>
      </c>
      <c r="V34" s="94">
        <f t="shared" si="4"/>
        <v>-1.7589863588005988E-2</v>
      </c>
      <c r="W34" s="95">
        <f t="shared" si="0"/>
        <v>-2.3936550166666654E-2</v>
      </c>
      <c r="X34">
        <v>74.787652596821502</v>
      </c>
      <c r="Y34">
        <v>27.315527582565281</v>
      </c>
      <c r="Z34">
        <v>2042.7517197910754</v>
      </c>
      <c r="AA34">
        <v>7973.8566666666666</v>
      </c>
      <c r="AB34">
        <v>397765.58172843495</v>
      </c>
      <c r="AC34" s="5">
        <v>3.1E-2</v>
      </c>
      <c r="AD34" s="81">
        <f t="shared" si="5"/>
        <v>3.9972501423487294E-2</v>
      </c>
      <c r="AE34" s="81">
        <f t="shared" si="1"/>
        <v>4.9735276654015337E-2</v>
      </c>
      <c r="AF34" s="81">
        <f t="shared" si="1"/>
        <v>0.26108756392008003</v>
      </c>
      <c r="AG34" s="81">
        <f t="shared" si="1"/>
        <v>9.2032879258526989E-2</v>
      </c>
      <c r="AH34" s="81">
        <f t="shared" si="7"/>
        <v>5.9197749038338632E-2</v>
      </c>
      <c r="AI34">
        <v>0.13766666666666663</v>
      </c>
      <c r="AJ34">
        <v>0.19166666666666665</v>
      </c>
      <c r="AK34">
        <f t="shared" si="6"/>
        <v>9.4436791003706944E-3</v>
      </c>
    </row>
    <row r="35" spans="1:37">
      <c r="A35">
        <v>2018</v>
      </c>
      <c r="B35">
        <v>2</v>
      </c>
      <c r="C35" s="24">
        <v>17.399999999999999</v>
      </c>
      <c r="D35" s="27">
        <f>AVERAGEIFS('ІСЦ (Стрим Інфл)'!$J:$J,'ІСЦ (Стрим Інфл)'!$A:$A,'Дефлятор модель (CPI-PPI) Інфл'!$A35,'ІСЦ (Стрим Інфл)'!$B:$B,'Дефлятор модель (CPI-PPI) Інфл'!$B35)</f>
        <v>0.1156666666666667</v>
      </c>
      <c r="E35" s="27">
        <f>AVERAGEIFS('ІЦВ (Стрим Інфл)+'!$J:$J,'ІЦВ (Стрим Інфл)+'!$A:$A,'Дефлятор модель (CPI-PPI) Інфл'!$A35,'ІЦВ (Стрим Інфл)+'!$B:$B,'Дефлятор модель (CPI-PPI) Інфл'!$B35)</f>
        <v>0.16333333333333333</v>
      </c>
      <c r="F35" s="27"/>
      <c r="G35" s="287">
        <f t="shared" si="8"/>
        <v>15.413668656666667</v>
      </c>
      <c r="H35" s="288">
        <f t="shared" si="9"/>
        <v>1.1288681745779068</v>
      </c>
      <c r="I35" s="24"/>
      <c r="J35" s="28">
        <f t="shared" si="11"/>
        <v>0.1156666666666667</v>
      </c>
      <c r="K35" s="24"/>
      <c r="L35" s="24"/>
      <c r="M35" s="28">
        <f t="shared" si="12"/>
        <v>0.16333333333333333</v>
      </c>
      <c r="N35" s="24"/>
      <c r="O35" s="24"/>
      <c r="P35" s="27">
        <f t="shared" si="10"/>
        <v>0.17399999999999999</v>
      </c>
      <c r="Q35" s="24"/>
      <c r="R35" s="24"/>
      <c r="S35" s="95">
        <f t="shared" si="2"/>
        <v>0.15316831066666667</v>
      </c>
      <c r="T35" s="93">
        <f t="shared" si="3"/>
        <v>0.15822315131559567</v>
      </c>
      <c r="U35" s="96">
        <v>0.17</v>
      </c>
      <c r="V35" s="94">
        <f t="shared" si="4"/>
        <v>1.1776848684404345E-2</v>
      </c>
      <c r="W35" s="95">
        <f t="shared" si="0"/>
        <v>1.6831689333333344E-2</v>
      </c>
      <c r="X35">
        <v>76.737400498457831</v>
      </c>
      <c r="Y35">
        <v>26.178381204659498</v>
      </c>
      <c r="Z35">
        <v>2008.8720994073053</v>
      </c>
      <c r="AA35">
        <v>8782.0533333333315</v>
      </c>
      <c r="AB35">
        <v>408689.05783451506</v>
      </c>
      <c r="AC35" s="5">
        <v>3.7999999999999999E-2</v>
      </c>
      <c r="AD35" s="81">
        <f t="shared" si="5"/>
        <v>0.19519419575464658</v>
      </c>
      <c r="AE35" s="81">
        <f t="shared" si="1"/>
        <v>0.18202994878815359</v>
      </c>
      <c r="AF35" s="81">
        <f t="shared" si="1"/>
        <v>0.26305959058439976</v>
      </c>
      <c r="AG35" s="81">
        <f t="shared" si="1"/>
        <v>0.10861350957569971</v>
      </c>
      <c r="AH35" s="81">
        <f t="shared" si="7"/>
        <v>6.8028429263679913E-2</v>
      </c>
      <c r="AI35">
        <v>0.1156666666666667</v>
      </c>
      <c r="AJ35">
        <v>0.16333333333333333</v>
      </c>
      <c r="AK35">
        <f t="shared" si="6"/>
        <v>-1.0760062256928382E-2</v>
      </c>
    </row>
    <row r="36" spans="1:37">
      <c r="A36">
        <v>2018</v>
      </c>
      <c r="B36">
        <v>3</v>
      </c>
      <c r="C36" s="24">
        <v>16</v>
      </c>
      <c r="D36" s="27">
        <f>AVERAGEIFS('ІСЦ (Стрим Інфл)'!$J:$J,'ІСЦ (Стрим Інфл)'!$A:$A,'Дефлятор модель (CPI-PPI) Інфл'!$A36,'ІСЦ (Стрим Інфл)'!$B:$B,'Дефлятор модель (CPI-PPI) Інфл'!$B36)</f>
        <v>8.9333333333333376E-2</v>
      </c>
      <c r="E36" s="27">
        <f>AVERAGEIFS('ІЦВ (Стрим Інфл)+'!$J:$J,'ІЦВ (Стрим Інфл)+'!$A:$A,'Дефлятор модель (CPI-PPI) Інфл'!$A36,'ІЦВ (Стрим Інфл)+'!$B:$B,'Дефлятор модель (CPI-PPI) Інфл'!$B36)</f>
        <v>0.18766666666666665</v>
      </c>
      <c r="F36" s="27"/>
      <c r="G36" s="287">
        <f t="shared" si="8"/>
        <v>15.458229543333333</v>
      </c>
      <c r="H36" s="288">
        <f t="shared" si="9"/>
        <v>1.0350473807590932</v>
      </c>
      <c r="I36" s="24"/>
      <c r="J36" s="28">
        <f t="shared" si="11"/>
        <v>8.9333333333333376E-2</v>
      </c>
      <c r="K36" s="24"/>
      <c r="L36" s="24"/>
      <c r="M36" s="28">
        <f t="shared" si="12"/>
        <v>0.18766666666666665</v>
      </c>
      <c r="N36" s="24"/>
      <c r="O36" s="24"/>
      <c r="P36" s="27">
        <f t="shared" si="10"/>
        <v>0.16</v>
      </c>
      <c r="Q36" s="24"/>
      <c r="R36" s="24"/>
      <c r="S36" s="95">
        <f t="shared" si="2"/>
        <v>0.15383667583333333</v>
      </c>
      <c r="T36" s="93">
        <f t="shared" si="3"/>
        <v>0.15743973229038696</v>
      </c>
      <c r="U36" s="96">
        <v>0.161</v>
      </c>
      <c r="V36" s="94">
        <f t="shared" si="4"/>
        <v>3.5602677096130408E-3</v>
      </c>
      <c r="W36" s="95">
        <f t="shared" si="0"/>
        <v>7.1633241666666791E-3</v>
      </c>
      <c r="X36">
        <v>77.123936702931786</v>
      </c>
      <c r="Y36">
        <v>27.358054294982086</v>
      </c>
      <c r="Z36">
        <v>2110.7140419722359</v>
      </c>
      <c r="AA36">
        <v>9063.1866666666665</v>
      </c>
      <c r="AB36">
        <v>421546.78408538835</v>
      </c>
      <c r="AC36" s="5">
        <v>2.8000000000000001E-2</v>
      </c>
      <c r="AD36" s="81">
        <f t="shared" si="5"/>
        <v>0.13634218259564213</v>
      </c>
      <c r="AE36" s="81">
        <f t="shared" si="1"/>
        <v>0.20051644773295929</v>
      </c>
      <c r="AF36" s="81">
        <f t="shared" si="1"/>
        <v>0.24699871583195732</v>
      </c>
      <c r="AG36" s="81">
        <f t="shared" si="1"/>
        <v>0.11310131741274287</v>
      </c>
      <c r="AH36" s="81">
        <f t="shared" si="7"/>
        <v>8.2783382697220631E-2</v>
      </c>
      <c r="AI36">
        <v>8.9333333333333376E-2</v>
      </c>
      <c r="AJ36">
        <v>0.18766666666666665</v>
      </c>
      <c r="AK36">
        <f t="shared" si="6"/>
        <v>5.6116200218016887E-2</v>
      </c>
    </row>
    <row r="37" spans="1:37">
      <c r="A37">
        <v>2018</v>
      </c>
      <c r="B37">
        <v>4</v>
      </c>
      <c r="C37" s="24">
        <v>13.5</v>
      </c>
      <c r="D37" s="27">
        <f>AVERAGEIFS('ІСЦ (Стрим Інфл)'!$J:$J,'ІСЦ (Стрим Інфл)'!$A:$A,'Дефлятор модель (CPI-PPI) Інфл'!$A37,'ІСЦ (Стрим Інфл)'!$B:$B,'Дефлятор модель (CPI-PPI) Інфл'!$B37)</f>
        <v>9.7666666666666679E-2</v>
      </c>
      <c r="E37" s="27">
        <f>AVERAGEIFS('ІЦВ (Стрим Інфл)+'!$J:$J,'ІЦВ (Стрим Інфл)+'!$A:$A,'Дефлятор модель (CPI-PPI) Інфл'!$A37,'ІЦВ (Стрим Інфл)+'!$B:$B,'Дефлятор модель (CPI-PPI) Інфл'!$B37)</f>
        <v>0.15766666666666665</v>
      </c>
      <c r="F37" s="27"/>
      <c r="G37" s="287">
        <f t="shared" si="8"/>
        <v>14.512660126666667</v>
      </c>
      <c r="H37" s="288">
        <f t="shared" si="9"/>
        <v>0.93022229433968984</v>
      </c>
      <c r="I37" s="24"/>
      <c r="J37" s="28">
        <f t="shared" si="11"/>
        <v>9.7666666666666679E-2</v>
      </c>
      <c r="K37" s="24"/>
      <c r="L37" s="24"/>
      <c r="M37" s="28">
        <f t="shared" si="12"/>
        <v>0.15766666666666665</v>
      </c>
      <c r="N37" s="24"/>
      <c r="O37" s="24"/>
      <c r="P37" s="27">
        <f t="shared" si="10"/>
        <v>0.13500000000000001</v>
      </c>
      <c r="Q37" s="24"/>
      <c r="R37" s="24"/>
      <c r="S37" s="95">
        <f t="shared" si="2"/>
        <v>0.14431048916666667</v>
      </c>
      <c r="T37" s="93">
        <f t="shared" si="3"/>
        <v>0.14576187268316251</v>
      </c>
      <c r="U37" s="96">
        <v>0.13500000000000001</v>
      </c>
      <c r="V37" s="94">
        <f t="shared" si="4"/>
        <v>-1.0761872683162504E-2</v>
      </c>
      <c r="W37" s="95">
        <f t="shared" si="0"/>
        <v>-9.3104891666666578E-3</v>
      </c>
      <c r="X37">
        <v>76.412271631495784</v>
      </c>
      <c r="Y37">
        <v>27.950006420788537</v>
      </c>
      <c r="Z37">
        <v>2136.0680138292578</v>
      </c>
      <c r="AA37">
        <v>9650.6666666666661</v>
      </c>
      <c r="AB37">
        <v>429207.60610917833</v>
      </c>
      <c r="AC37" s="5">
        <v>3.3000000000000002E-2</v>
      </c>
      <c r="AD37" s="81">
        <f t="shared" si="5"/>
        <v>9.0324935389525685E-2</v>
      </c>
      <c r="AE37" s="81">
        <f t="shared" si="1"/>
        <v>0.13016228670894248</v>
      </c>
      <c r="AF37" s="81">
        <f t="shared" si="1"/>
        <v>0.22506664409935251</v>
      </c>
      <c r="AG37" s="81">
        <f t="shared" si="1"/>
        <v>0.12791880760930896</v>
      </c>
      <c r="AH37" s="81">
        <f t="shared" si="7"/>
        <v>9.1886551412690309E-2</v>
      </c>
      <c r="AI37">
        <v>9.7666666666666679E-2</v>
      </c>
      <c r="AJ37">
        <v>0.15766666666666665</v>
      </c>
      <c r="AK37">
        <f t="shared" si="6"/>
        <v>3.6762842738358836E-2</v>
      </c>
    </row>
    <row r="38" spans="1:37">
      <c r="A38">
        <v>2019</v>
      </c>
      <c r="B38">
        <v>1</v>
      </c>
      <c r="C38" s="6">
        <v>11.700000000000001</v>
      </c>
      <c r="D38" s="27">
        <f>AVERAGEIFS('ІСЦ (Стрим Інфл)'!$J:$J,'ІСЦ (Стрим Інфл)'!$A:$A,'Дефлятор модель (CPI-PPI) Інфл'!$A38,'ІСЦ (Стрим Інфл)'!$B:$B,'Дефлятор модель (CPI-PPI) Інфл'!$B38)</f>
        <v>8.8666666666666671E-2</v>
      </c>
      <c r="E38" s="27">
        <f>AVERAGEIFS('ІЦВ (Стрим Інфл)+'!$J:$J,'ІЦВ (Стрим Інфл)+'!$A:$A,'Дефлятор модель (CPI-PPI) Інфл'!$A38,'ІЦВ (Стрим Інфл)+'!$B:$B,'Дефлятор модель (CPI-PPI) Інфл'!$B38)</f>
        <v>9.8333333333333328E-2</v>
      </c>
      <c r="F38" s="27"/>
      <c r="G38" s="287">
        <f t="shared" si="8"/>
        <v>11.702114136666667</v>
      </c>
      <c r="H38" s="288">
        <f t="shared" si="9"/>
        <v>0.99981933720334837</v>
      </c>
      <c r="I38" s="24"/>
      <c r="J38" s="28">
        <f t="shared" si="11"/>
        <v>8.8666666666666671E-2</v>
      </c>
      <c r="K38" s="24"/>
      <c r="L38" s="24"/>
      <c r="M38" s="28">
        <f t="shared" si="12"/>
        <v>9.8333333333333328E-2</v>
      </c>
      <c r="N38" s="24"/>
      <c r="O38" s="24"/>
      <c r="P38" s="27">
        <f t="shared" si="10"/>
        <v>0.11700000000000001</v>
      </c>
      <c r="Q38" s="24"/>
      <c r="R38" s="24"/>
      <c r="S38" s="95">
        <f t="shared" si="2"/>
        <v>0.11628116116666667</v>
      </c>
      <c r="T38" s="102">
        <f>0.383829*AI38+0.3291765*AJ38+0.0710852*AE38+0.0471218</f>
        <v>0.11530173384809253</v>
      </c>
      <c r="U38" s="96">
        <v>0.11700000000000001</v>
      </c>
      <c r="V38" s="94">
        <f t="shared" si="4"/>
        <v>1.6982661519074765E-3</v>
      </c>
      <c r="W38" s="95">
        <f t="shared" si="0"/>
        <v>7.1883883333333232E-4</v>
      </c>
      <c r="X38">
        <v>76.268103371401381</v>
      </c>
      <c r="Y38">
        <v>27.622351348310289</v>
      </c>
      <c r="Z38">
        <v>2093.8476214658363</v>
      </c>
      <c r="AA38">
        <v>9629.6666666666661</v>
      </c>
      <c r="AB38">
        <v>427303.32920686173</v>
      </c>
      <c r="AC38" s="5">
        <v>2.5000000000000005E-2</v>
      </c>
      <c r="AD38" s="81">
        <f t="shared" si="5"/>
        <v>1.9795390324134798E-2</v>
      </c>
      <c r="AE38" s="81">
        <f t="shared" si="1"/>
        <v>2.5013270668051035E-2</v>
      </c>
      <c r="AF38" s="81">
        <f t="shared" si="1"/>
        <v>0.20765484874111517</v>
      </c>
      <c r="AG38" s="81">
        <f t="shared" si="1"/>
        <v>7.4259183889351599E-2</v>
      </c>
      <c r="AH38" s="81">
        <f t="shared" si="7"/>
        <v>4.8057740379855218E-2</v>
      </c>
      <c r="AI38">
        <v>8.8666666666666671E-2</v>
      </c>
      <c r="AJ38">
        <v>9.8333333333333328E-2</v>
      </c>
      <c r="AK38">
        <f t="shared" si="6"/>
        <v>1.1232576958932539E-2</v>
      </c>
    </row>
    <row r="39" spans="1:37">
      <c r="A39">
        <v>2019</v>
      </c>
      <c r="B39">
        <v>2</v>
      </c>
      <c r="C39" s="6">
        <v>9.4</v>
      </c>
      <c r="D39" s="27">
        <f>AVERAGEIFS('ІСЦ (Стрим Інфл)'!$J:$J,'ІСЦ (Стрим Інфл)'!$A:$A,'Дефлятор модель (CPI-PPI) Інфл'!$A39,'ІСЦ (Стрим Інфл)'!$B:$B,'Дефлятор модель (CPI-PPI) Інфл'!$B39)</f>
        <v>9.1333333333333336E-2</v>
      </c>
      <c r="E39" s="27">
        <f>AVERAGEIFS('ІЦВ (Стрим Інфл)+'!$J:$J,'ІЦВ (Стрим Інфл)+'!$A:$A,'Дефлятор модель (CPI-PPI) Інфл'!$A39,'ІЦВ (Стрим Інфл)+'!$B:$B,'Дефлятор модель (CPI-PPI) Інфл'!$B39)</f>
        <v>6.7666666666666667E-2</v>
      </c>
      <c r="F39" s="27"/>
      <c r="G39" s="287">
        <f t="shared" si="8"/>
        <v>10.519563563333334</v>
      </c>
      <c r="H39" s="288">
        <f t="shared" si="9"/>
        <v>0.89357319278571123</v>
      </c>
      <c r="I39" s="24"/>
      <c r="J39" s="28">
        <f>D39</f>
        <v>9.1333333333333336E-2</v>
      </c>
      <c r="K39" s="29"/>
      <c r="L39" s="24"/>
      <c r="M39" s="28">
        <f t="shared" si="12"/>
        <v>6.7666666666666667E-2</v>
      </c>
      <c r="N39" s="24"/>
      <c r="O39" s="24"/>
      <c r="P39" s="27">
        <f t="shared" si="10"/>
        <v>9.4E-2</v>
      </c>
      <c r="Q39" s="24"/>
      <c r="R39" s="24"/>
      <c r="S39" s="95">
        <f t="shared" si="2"/>
        <v>0.10443309783333332</v>
      </c>
      <c r="T39" s="102">
        <f t="shared" si="3"/>
        <v>0.1076914246554225</v>
      </c>
      <c r="U39" s="96">
        <v>9.4E-2</v>
      </c>
      <c r="V39" s="94">
        <f t="shared" si="4"/>
        <v>-1.3691424655422502E-2</v>
      </c>
      <c r="W39" s="95">
        <f t="shared" si="0"/>
        <v>-1.0433097833333321E-2</v>
      </c>
      <c r="X39">
        <v>79.250279257575428</v>
      </c>
      <c r="Y39">
        <v>26.563484547670253</v>
      </c>
      <c r="Z39">
        <v>2100.4054810472649</v>
      </c>
      <c r="AA39">
        <v>10430.333333333334</v>
      </c>
      <c r="AB39">
        <v>433363.98631208338</v>
      </c>
      <c r="AC39" s="5">
        <v>4.6000000000000006E-2</v>
      </c>
      <c r="AD39" s="81">
        <f t="shared" si="5"/>
        <v>3.2746467078567543E-2</v>
      </c>
      <c r="AE39" s="81">
        <f t="shared" si="1"/>
        <v>4.5564564148690812E-2</v>
      </c>
      <c r="AF39" s="81">
        <f t="shared" si="1"/>
        <v>0.18768731382486137</v>
      </c>
      <c r="AG39" s="81">
        <f t="shared" si="1"/>
        <v>6.0375799167002864E-2</v>
      </c>
      <c r="AH39" s="81">
        <f t="shared" si="7"/>
        <v>1.3743593849907088E-2</v>
      </c>
      <c r="AI39">
        <v>9.1333333333333336E-2</v>
      </c>
      <c r="AJ39">
        <v>6.7666666666666667E-2</v>
      </c>
      <c r="AK39">
        <f t="shared" si="6"/>
        <v>1.4710739369255155E-2</v>
      </c>
    </row>
    <row r="40" spans="1:37">
      <c r="A40">
        <v>2019</v>
      </c>
      <c r="B40">
        <v>3</v>
      </c>
      <c r="C40" s="6">
        <v>6.8000000000000007</v>
      </c>
      <c r="D40" s="27">
        <f>AVERAGEIFS('ІСЦ (Стрим Інфл)'!$J:$J,'ІСЦ (Стрим Інфл)'!$A:$A,'Дефлятор модель (CPI-PPI) Інфл'!$A40,'ІСЦ (Стрим Інфл)'!$B:$B,'Дефлятор модель (CPI-PPI) Інфл'!$B40)</f>
        <v>8.4666666666666668E-2</v>
      </c>
      <c r="E40" s="27">
        <f>AVERAGEIFS('ІЦВ (Стрим Інфл)+'!$J:$J,'ІЦВ (Стрим Інфл)+'!$A:$A,'Дефлятор модель (CPI-PPI) Інфл'!$A40,'ІЦВ (Стрим Інфл)+'!$B:$B,'Дефлятор модель (CPI-PPI) Інфл'!$B40)</f>
        <v>4.3000000000000003E-2</v>
      </c>
      <c r="F40" s="27"/>
      <c r="G40" s="287">
        <f t="shared" si="8"/>
        <v>9.2431807966666675</v>
      </c>
      <c r="H40" s="288">
        <f t="shared" si="9"/>
        <v>0.73567748479530537</v>
      </c>
      <c r="J40" s="28">
        <f>D40</f>
        <v>8.4666666666666668E-2</v>
      </c>
      <c r="K40" s="29">
        <f t="shared" ref="K40:K45" si="13">D40</f>
        <v>8.4666666666666668E-2</v>
      </c>
      <c r="M40" s="28">
        <f t="shared" si="12"/>
        <v>4.3000000000000003E-2</v>
      </c>
      <c r="N40" s="29">
        <f t="shared" ref="N40:N45" si="14">E40</f>
        <v>4.3000000000000003E-2</v>
      </c>
      <c r="P40" s="27">
        <f t="shared" si="10"/>
        <v>6.8000000000000005E-2</v>
      </c>
      <c r="Q40" s="29">
        <f>P40</f>
        <v>6.8000000000000005E-2</v>
      </c>
      <c r="S40" s="95">
        <f t="shared" si="2"/>
        <v>9.1725664166666665E-2</v>
      </c>
      <c r="T40" s="102">
        <f t="shared" si="3"/>
        <v>8.8158246473903967E-2</v>
      </c>
      <c r="U40" s="96">
        <v>6.8000000000000005E-2</v>
      </c>
      <c r="V40" s="94">
        <f t="shared" si="4"/>
        <v>-2.0158246473903962E-2</v>
      </c>
      <c r="W40" s="95">
        <f t="shared" si="0"/>
        <v>-2.372566416666666E-2</v>
      </c>
      <c r="X40">
        <v>76.970534172677233</v>
      </c>
      <c r="Y40">
        <v>25.256023055555556</v>
      </c>
      <c r="Z40">
        <f t="shared" ref="Z40:Z45" si="15">X40*Y40</f>
        <v>1943.9695856635631</v>
      </c>
      <c r="AA40">
        <v>10731.686666666666</v>
      </c>
      <c r="AB40">
        <v>441708.19055919669</v>
      </c>
      <c r="AC40" s="5">
        <v>4.1000000000000002E-2</v>
      </c>
      <c r="AD40" s="81">
        <f t="shared" si="5"/>
        <v>-1.9890391597284784E-3</v>
      </c>
      <c r="AE40" s="81">
        <f t="shared" si="1"/>
        <v>-7.899907471732559E-2</v>
      </c>
      <c r="AF40" s="81">
        <f t="shared" si="1"/>
        <v>0.18409639582251414</v>
      </c>
      <c r="AG40" s="81">
        <f t="shared" si="1"/>
        <v>4.7827209778273261E-2</v>
      </c>
      <c r="AH40" s="81">
        <f t="shared" si="7"/>
        <v>6.5583187111175612E-3</v>
      </c>
      <c r="AI40">
        <v>8.4666666666666668E-2</v>
      </c>
      <c r="AJ40">
        <v>4.3000000000000003E-2</v>
      </c>
      <c r="AK40">
        <f t="shared" si="6"/>
        <v>-7.6834091224538437E-2</v>
      </c>
    </row>
    <row r="41" spans="1:37">
      <c r="A41">
        <v>2019</v>
      </c>
      <c r="B41">
        <v>4</v>
      </c>
      <c r="C41" s="6">
        <v>4.8</v>
      </c>
      <c r="D41" s="27">
        <f>AVERAGEIFS('ІСЦ (Стрим Інфл)'!$J:$J,'ІСЦ (Стрим Інфл)'!$A:$A,'Дефлятор модель (CPI-PPI) Інфл'!$A41,'ІСЦ (Стрим Інфл)'!$B:$B,'Дефлятор модель (CPI-PPI) Інфл'!$B41)</f>
        <v>5.2333333333333322E-2</v>
      </c>
      <c r="E41" s="27">
        <f>AVERAGEIFS('ІЦВ (Стрим Інфл)+'!$J:$J,'ІЦВ (Стрим Інфл)+'!$A:$A,'Дефлятор модель (CPI-PPI) Інфл'!$A41,'ІЦВ (Стрим Інфл)+'!$B:$B,'Дефлятор модель (CPI-PPI) Інфл'!$B41)</f>
        <v>-3.9E-2</v>
      </c>
      <c r="F41" s="27"/>
      <c r="G41" s="287">
        <f t="shared" si="8"/>
        <v>4.6246931733333323</v>
      </c>
      <c r="H41" s="288">
        <f t="shared" si="9"/>
        <v>1.0379066935029362</v>
      </c>
      <c r="K41" s="29">
        <f t="shared" si="13"/>
        <v>5.2333333333333322E-2</v>
      </c>
      <c r="N41" s="29">
        <f t="shared" si="14"/>
        <v>-3.9E-2</v>
      </c>
      <c r="Q41" s="29">
        <f>C41/100</f>
        <v>4.8000000000000001E-2</v>
      </c>
      <c r="S41" s="110">
        <f>0.4177065*AJ41+0.360601*AI41+0.0432334</f>
        <v>4.5814298833333329E-2</v>
      </c>
      <c r="T41" s="111">
        <f>0.383829*AI41+0.3291765*AJ41+0.0710852*AE41+0.0471218</f>
        <v>4.4875014288454154E-2</v>
      </c>
      <c r="U41" s="96">
        <v>4.8000000000000001E-2</v>
      </c>
      <c r="V41" s="94">
        <f t="shared" si="4"/>
        <v>3.1249857115458468E-3</v>
      </c>
      <c r="W41" s="95">
        <f t="shared" si="0"/>
        <v>2.1857011666666717E-3</v>
      </c>
      <c r="X41">
        <v>76.281494313574967</v>
      </c>
      <c r="Y41">
        <v>24.261720092831535</v>
      </c>
      <c r="Z41">
        <f t="shared" si="15"/>
        <v>1850.7202632988763</v>
      </c>
      <c r="AA41">
        <v>11223.3633333333</v>
      </c>
      <c r="AB41">
        <v>449271.20099622826</v>
      </c>
      <c r="AC41" s="5">
        <v>1.4999999999999999E-2</v>
      </c>
      <c r="AD41" s="81">
        <f>X41/X37-1</f>
        <v>-1.7114700967340024E-3</v>
      </c>
      <c r="AE41" s="81">
        <f t="shared" si="1"/>
        <v>-0.13358551726021506</v>
      </c>
      <c r="AF41" s="81">
        <f t="shared" si="1"/>
        <v>0.16296248963801818</v>
      </c>
      <c r="AG41" s="81">
        <f t="shared" si="1"/>
        <v>4.6745664805265097E-2</v>
      </c>
      <c r="AH41" s="81">
        <f t="shared" si="7"/>
        <v>3.127651704952239E-2</v>
      </c>
      <c r="AI41">
        <v>5.2333333333333322E-2</v>
      </c>
      <c r="AJ41">
        <v>-3.9E-2</v>
      </c>
      <c r="AK41">
        <f>Y41/Y37-1</f>
        <v>-0.1319601245319838</v>
      </c>
    </row>
    <row r="42" spans="1:37">
      <c r="A42">
        <v>2020</v>
      </c>
      <c r="B42">
        <v>1</v>
      </c>
      <c r="C42" s="6">
        <v>5.3</v>
      </c>
      <c r="D42" s="97">
        <f>AVERAGEIFS('ІСЦ (Стрим Інфл)'!$J:$J,'ІСЦ (Стрим Інфл)'!$A:$A,'Дефлятор модель (CPI-PPI) Інфл'!$A42,'ІСЦ (Стрим Інфл)'!$B:$B,'Дефлятор модель (CPI-PPI) Інфл'!$B42)</f>
        <v>2.6333333333333334E-2</v>
      </c>
      <c r="E42" s="97">
        <f>AVERAGEIFS('ІЦВ (Стрим Інфл)+'!$J:$J,'ІЦВ (Стрим Інфл)+'!$A:$A,'Дефлятор модель (CPI-PPI) Інфл'!$A42,'ІЦВ (Стрим Інфл)+'!$B:$B,'Дефлятор модель (CPI-PPI) Інфл'!$B42)</f>
        <v>-5.6333333333333339E-2</v>
      </c>
      <c r="F42" s="97">
        <f>C42/100</f>
        <v>5.2999999999999999E-2</v>
      </c>
      <c r="G42" s="287">
        <f t="shared" si="8"/>
        <v>2.9411123133333326</v>
      </c>
      <c r="H42" s="288">
        <f t="shared" si="9"/>
        <v>1.8020393087243933</v>
      </c>
      <c r="K42" s="29">
        <f t="shared" si="13"/>
        <v>2.6333333333333334E-2</v>
      </c>
      <c r="N42" s="29">
        <f t="shared" si="14"/>
        <v>-5.6333333333333339E-2</v>
      </c>
      <c r="Q42" s="29">
        <f>C42/100</f>
        <v>5.2999999999999999E-2</v>
      </c>
      <c r="S42" s="95">
        <f>0.4177065*AJ42+0.360601*AI42+0.0432334</f>
        <v>3.8824455151381429E-2</v>
      </c>
      <c r="T42" s="102">
        <f>0.383829*AI42+0.3291765*AJ42+0.0710852*AE42+0.0471218</f>
        <v>4.127109616067344E-2</v>
      </c>
      <c r="U42" s="126">
        <v>5.0999999999999997E-2</v>
      </c>
      <c r="V42" s="94">
        <f>U42-T42</f>
        <v>9.7289038393265567E-3</v>
      </c>
      <c r="W42" s="127">
        <f>U42-S42</f>
        <v>1.2175544848618568E-2</v>
      </c>
      <c r="X42" s="36">
        <f>AVERAGEIFS('ІЦВ (Стрим Інфл)+'!AF:AF,'ІЦВ (Стрим Інфл)+'!$B:$B,'Дефлятор модель (CPI-PPI) Інфл'!$B42,'ІЦВ (Стрим Інфл)+'!$A:$A,'Дефлятор модель (CPI-PPI) Інфл'!$A42)</f>
        <v>74.600465911743228</v>
      </c>
      <c r="Y42" s="36">
        <f>AVERAGEIFS('ІЦВ (Стрим Інфл)+'!$AH:$AH,'ІЦВ (Стрим Інфл)+'!$B:$B,'Дефлятор модель (CPI-PPI) Інфл'!$B42,'ІЦВ (Стрим Інфл)+'!$A:$A,'Дефлятор модель (CPI-PPI) Інфл'!$A42)</f>
        <v>25.042723099740456</v>
      </c>
      <c r="Z42">
        <f t="shared" si="15"/>
        <v>1868.1988109394126</v>
      </c>
      <c r="AA42" s="36">
        <f>AA41*$AA$46</f>
        <v>11412.678374819001</v>
      </c>
      <c r="AB42" s="36">
        <f>AVERAGEIFS('ІЦВ (Стрим Інфл)+'!$AK:$AK,'ІЦВ (Стрим Інфл)+'!$B:$B,'Дефлятор модель (CPI-PPI) Інфл'!$B42,'ІЦВ (Стрим Інфл)+'!$A:$A,'Дефлятор модель (CPI-PPI) Інфл'!$A42)</f>
        <v>471654.81047587999</v>
      </c>
      <c r="AC42" s="109">
        <f>AVERAGEIFS('ІЦВ (Стрим Інфл)+'!AO:AO,'ІЦВ (Стрим Інфл)+'!$B:$B,'Дефлятор модель (CPI-PPI) Інфл'!$B42,'ІЦВ (Стрим Інфл)+'!$A:$A,'Дефлятор модель (CPI-PPI) Інфл'!$A42)</f>
        <v>-1.4000000000000004E-2</v>
      </c>
      <c r="AD42" s="81">
        <f>X42/X38-1</f>
        <v>-2.1865463882552394E-2</v>
      </c>
      <c r="AE42" s="81">
        <f t="shared" si="1"/>
        <v>-0.10776754154079948</v>
      </c>
      <c r="AF42" s="81">
        <f t="shared" si="1"/>
        <v>0.18515819600737315</v>
      </c>
      <c r="AG42" s="81">
        <f t="shared" si="1"/>
        <v>0.10379390526009047</v>
      </c>
      <c r="AH42" s="81">
        <f>(AG42+1)/(AC42+1)-1</f>
        <v>0.11946643535506141</v>
      </c>
      <c r="AI42" s="36">
        <f>AVERAGEIFS('ІСЦ (Стрим Інфл)'!$K:$K,'ІСЦ (Стрим Інфл)'!$B:$B,'Дефлятор модель (CPI-PPI) Інфл'!$B42,'ІСЦ (Стрим Інфл)'!$A:$A,'Дефлятор модель (CPI-PPI) Інфл'!$A42)</f>
        <v>5.3027736061135256E-2</v>
      </c>
      <c r="AJ42" s="36">
        <f>AVERAGEIFS('ІЦВ (Стрим Інфл)+'!$J:$J,'ІЦВ (Стрим Інфл)+'!$B:$B,'Дефлятор модель (CPI-PPI) Інфл'!$B42,'ІЦВ (Стрим Інфл)+'!$A:$A,'Дефлятор модель (CPI-PPI) Інфл'!$A42)</f>
        <v>-5.6333333333333339E-2</v>
      </c>
      <c r="AK42">
        <f>Y42/Y38-1</f>
        <v>-9.3389162133282078E-2</v>
      </c>
    </row>
    <row r="43" spans="1:37">
      <c r="A43">
        <v>2020</v>
      </c>
      <c r="B43">
        <v>2</v>
      </c>
      <c r="C43" s="6">
        <v>5.6</v>
      </c>
      <c r="D43" s="97">
        <f>AVERAGEIFS('ІСЦ (Стрим Інфл)'!$J:$J,'ІСЦ (Стрим Інфл)'!$A:$A,'Дефлятор модель (CPI-PPI) Інфл'!$A43,'ІСЦ (Стрим Інфл)'!$B:$B,'Дефлятор модель (CPI-PPI) Інфл'!$B43)</f>
        <v>2.066666666666667E-2</v>
      </c>
      <c r="E43" s="97">
        <f>AVERAGEIFS('ІЦВ (Стрим Інфл)+'!$J:$J,'ІЦВ (Стрим Інфл)+'!$A:$A,'Дефлятор модель (CPI-PPI) Інфл'!$A43,'ІЦВ (Стрим Інфл)+'!$B:$B,'Дефлятор модель (CPI-PPI) Інфл'!$B43)</f>
        <v>-4.099999999999996E-2</v>
      </c>
      <c r="F43" s="97">
        <f t="shared" ref="F43:F49" si="16">C43/100</f>
        <v>5.5999999999999994E-2</v>
      </c>
      <c r="G43" s="287">
        <f t="shared" si="8"/>
        <v>3.3724615566666678</v>
      </c>
      <c r="H43" s="288">
        <f t="shared" si="9"/>
        <v>1.6605081795313406</v>
      </c>
      <c r="K43" s="29">
        <f t="shared" si="13"/>
        <v>2.066666666666667E-2</v>
      </c>
      <c r="N43" s="29">
        <f t="shared" si="14"/>
        <v>-4.099999999999996E-2</v>
      </c>
      <c r="Q43" s="29">
        <f>C43/100</f>
        <v>5.5999999999999994E-2</v>
      </c>
      <c r="S43" s="95">
        <f>0.4177065*AJ43+0.360601*AI43+0.0432334</f>
        <v>2.6971621528851027E-2</v>
      </c>
      <c r="T43" s="102">
        <f>0.383829*AI43+0.3291765*AJ43+0.0710852*AE43+0.0471218</f>
        <v>1.9335194728161555E-2</v>
      </c>
      <c r="X43" s="36">
        <f>AVERAGEIFS('ІЦВ (Стрим Інфл)+'!AF:AF,'ІЦВ (Стрим Інфл)+'!$B:$B,'Дефлятор модель (CPI-PPI) Інфл'!$B43,'ІЦВ (Стрим Інфл)+'!$A:$A,'Дефлятор модель (CPI-PPI) Інфл'!$A43)</f>
        <v>61.339438279764686</v>
      </c>
      <c r="Y43" s="36">
        <f>AVERAGEIFS('ІЦВ (Стрим Інфл)+'!$AH:$AH,'ІЦВ (Стрим Інфл)+'!$B:$B,'Дефлятор модель (CPI-PPI) Інфл'!$B43,'ІЦВ (Стрим Інфл)+'!$A:$A,'Дефлятор модель (CPI-PPI) Інфл'!$A43)</f>
        <v>26.915441899641568</v>
      </c>
      <c r="Z43">
        <f t="shared" si="15"/>
        <v>1650.9780871756564</v>
      </c>
      <c r="AA43" s="36">
        <f>AA42*$AA$46</f>
        <v>11605.186771439727</v>
      </c>
      <c r="AB43" s="36">
        <f>AVERAGEIFS('ІЦВ (Стрим Інфл)+'!$AK:$AK,'ІЦВ (Стрим Інфл)+'!$B:$B,'Дефлятор модель (CPI-PPI) Інфл'!$B43,'ІЦВ (Стрим Інфл)+'!$A:$A,'Дефлятор модель (CPI-PPI) Інфл'!$A43)</f>
        <v>521439.22556072334</v>
      </c>
      <c r="AC43" s="109">
        <f>AVERAGEIFS('ІЦВ (Стрим Інфл)+'!AO:AO,'ІЦВ (Стрим Інфл)+'!$B:$B,'Дефлятор модель (CPI-PPI) Інфл'!$B43,'ІЦВ (Стрим Інфл)+'!$A:$A,'Дефлятор модель (CPI-PPI) Інфл'!$A43)</f>
        <v>-0.11375586206871902</v>
      </c>
      <c r="AD43" s="81">
        <f>X43/X39-1</f>
        <v>-0.22600350617816489</v>
      </c>
      <c r="AE43" s="81">
        <f t="shared" si="1"/>
        <v>-0.21397172970979084</v>
      </c>
      <c r="AF43" s="81">
        <f t="shared" si="1"/>
        <v>0.11263814880697898</v>
      </c>
      <c r="AG43" s="81">
        <f t="shared" si="1"/>
        <v>0.20323617566415253</v>
      </c>
      <c r="AH43" s="81">
        <f>(AG43+1)/(AC43+1)-1</f>
        <v>0.35768026457451274</v>
      </c>
      <c r="AI43" s="36">
        <f>AVERAGEIFS('ІСЦ (Стрим Інфл)'!$K:$K,'ІСЦ (Стрим Інфл)'!$B:$B,'Дефлятор модель (CPI-PPI) Інфл'!$B43,'ІСЦ (Стрим Інфл)'!$A:$A,'Дефлятор модель (CPI-PPI) Інфл'!$A43)</f>
        <v>2.3965214429549804E-3</v>
      </c>
      <c r="AJ43" s="36">
        <f>AVERAGEIFS('ІЦВ (Стрим Інфл)+'!$J:$J,'ІЦВ (Стрим Інфл)+'!$B:$B,'Дефлятор модель (CPI-PPI) Інфл'!$B43,'ІЦВ (Стрим Інфл)+'!$A:$A,'Дефлятор модель (CPI-PPI) Інфл'!$A43)</f>
        <v>-4.099999999999996E-2</v>
      </c>
      <c r="AK43">
        <f>Y43/Y39-1</f>
        <v>1.3249668029798656E-2</v>
      </c>
    </row>
    <row r="44" spans="1:37">
      <c r="A44">
        <v>2020</v>
      </c>
      <c r="B44">
        <v>3</v>
      </c>
      <c r="C44" s="6">
        <v>8.4</v>
      </c>
      <c r="D44" s="97">
        <f>AVERAGEIFS('ІСЦ (Стрим Інфл)'!$J:$J,'ІСЦ (Стрим Інфл)'!$A:$A,'Дефлятор модель (CPI-PPI) Інфл'!$A44,'ІСЦ (Стрим Інфл)'!$B:$B,'Дефлятор модель (CPI-PPI) Інфл'!$B44)</f>
        <v>2.4000000000000004E-2</v>
      </c>
      <c r="E44" s="97">
        <f>AVERAGEIFS('ІЦВ (Стрим Інфл)+'!$J:$J,'ІЦВ (Стрим Інфл)+'!$A:$A,'Дефлятор модель (CPI-PPI) Інфл'!$A44,'ІЦВ (Стрим Інфл)+'!$B:$B,'Дефлятор модель (CPI-PPI) Інфл'!$B44)</f>
        <v>-4.6333333333333337E-2</v>
      </c>
      <c r="F44" s="97">
        <f t="shared" si="16"/>
        <v>8.4000000000000005E-2</v>
      </c>
      <c r="G44" s="287">
        <f t="shared" si="8"/>
        <v>3.2727047899999997</v>
      </c>
      <c r="H44" s="288">
        <f t="shared" si="9"/>
        <v>2.5666842990748338</v>
      </c>
      <c r="K44" s="29">
        <f t="shared" si="13"/>
        <v>2.4000000000000004E-2</v>
      </c>
      <c r="N44" s="29">
        <f t="shared" si="14"/>
        <v>-4.6333333333333337E-2</v>
      </c>
      <c r="Q44" s="29">
        <f>C44/100</f>
        <v>8.4000000000000005E-2</v>
      </c>
      <c r="S44" s="95">
        <f>0.4177065*AJ44+0.360601*AI44+0.0432334</f>
        <v>3.5316815342288338E-2</v>
      </c>
      <c r="T44" s="102">
        <f>0.383829*AI44+0.3291765*AJ44+0.0710852*AE44+0.0471218</f>
        <v>3.3940185041992817E-2</v>
      </c>
      <c r="X44" s="36">
        <f>AVERAGEIFS('ІЦВ (Стрим Інфл)+'!AF:AF,'ІЦВ (Стрим Інфл)+'!$B:$B,'Дефлятор модель (CPI-PPI) Інфл'!$B44,'ІЦВ (Стрим Інфл)+'!$A:$A,'Дефлятор модель (CPI-PPI) Інфл'!$A44)</f>
        <v>60.414635475680598</v>
      </c>
      <c r="Y44" s="36">
        <f>AVERAGEIFS('ІЦВ (Стрим Інфл)+'!$AH:$AH,'ІЦВ (Стрим Інфл)+'!$B:$B,'Дефлятор модель (CPI-PPI) Інфл'!$B44,'ІЦВ (Стрим Інфл)+'!$A:$A,'Дефлятор модель (CPI-PPI) Інфл'!$A44)</f>
        <v>27.603658243727597</v>
      </c>
      <c r="Z44">
        <f t="shared" si="15"/>
        <v>1667.6649505900684</v>
      </c>
      <c r="AA44" s="36">
        <f>AA43*$AA$46</f>
        <v>11800.942388524603</v>
      </c>
      <c r="AB44" s="36">
        <f>AVERAGEIFS('ІЦВ (Стрим Інфл)+'!$AK:$AK,'ІЦВ (Стрим Інфл)+'!$B:$B,'Дефлятор модель (CPI-PPI) Інфл'!$B44,'ІЦВ (Стрим Інфл)+'!$A:$A,'Дефлятор модель (CPI-PPI) Інфл'!$A44)</f>
        <v>559703.06099776679</v>
      </c>
      <c r="AC44" s="109">
        <f>AVERAGEIFS('ІЦВ (Стрим Інфл)+'!AO:AO,'ІЦВ (Стрим Інфл)+'!$B:$B,'Дефлятор модель (CPI-PPI) Інфл'!$B44,'ІЦВ (Стрим Інфл)+'!$A:$A,'Дефлятор модель (CPI-PPI) Інфл'!$A44)</f>
        <v>-3.2587451065569893E-2</v>
      </c>
      <c r="AD44" s="81">
        <f>X44/X40-1</f>
        <v>-0.21509398206662822</v>
      </c>
      <c r="AE44" s="81">
        <f t="shared" si="1"/>
        <v>-0.14213423765021493</v>
      </c>
      <c r="AF44" s="81">
        <f t="shared" si="1"/>
        <v>9.9635383986667936E-2</v>
      </c>
      <c r="AG44" s="81">
        <f t="shared" si="1"/>
        <v>0.26713308233924793</v>
      </c>
      <c r="AH44" s="81">
        <f>(AG44+1)/(AC44+1)-1</f>
        <v>0.30981666894330573</v>
      </c>
      <c r="AI44" s="36">
        <f>AVERAGEIFS('ІСЦ (Стрим Інфл)'!$K:$K,'ІСЦ (Стрим Інфл)'!$B:$B,'Дефлятор модель (CPI-PPI) Інфл'!$B44,'ІСЦ (Стрим Інфл)'!$A:$A,'Дефлятор модель (CPI-PPI) Інфл'!$A44)</f>
        <v>3.1716911052072347E-2</v>
      </c>
      <c r="AJ44" s="36">
        <f>AVERAGEIFS('ІЦВ (Стрим Інфл)+'!$J:$J,'ІЦВ (Стрим Інфл)+'!$B:$B,'Дефлятор модель (CPI-PPI) Інфл'!$B44,'ІЦВ (Стрим Інфл)+'!$A:$A,'Дефлятор модель (CPI-PPI) Інфл'!$A44)</f>
        <v>-4.6333333333333337E-2</v>
      </c>
      <c r="AK44">
        <f>Y44/Y40-1</f>
        <v>9.2953478186488914E-2</v>
      </c>
    </row>
    <row r="45" spans="1:37">
      <c r="A45">
        <v>2020</v>
      </c>
      <c r="B45">
        <v>4</v>
      </c>
      <c r="C45" s="6">
        <v>17.5</v>
      </c>
      <c r="D45" s="97">
        <f>AVERAGEIFS('ІСЦ (Стрим Інфл)'!$J:$J,'ІСЦ (Стрим Інфл)'!$A:$A,'Дефлятор модель (CPI-PPI) Інфл'!$A45,'ІСЦ (Стрим Інфл)'!$B:$B,'Дефлятор модель (CPI-PPI) Інфл'!$B45)</f>
        <v>3.7999999999999999E-2</v>
      </c>
      <c r="E45" s="97">
        <f>AVERAGEIFS('ІЦВ (Стрим Інфл)+'!$J:$J,'ІЦВ (Стрим Інфл)+'!$A:$A,'Дефлятор модель (CPI-PPI) Інфл'!$A45,'ІЦВ (Стрим Інфл)+'!$B:$B,'Дефлятор модель (CPI-PPI) Інфл'!$B45)</f>
        <v>8.7666666666666671E-2</v>
      </c>
      <c r="F45" s="97">
        <f>C45/100</f>
        <v>0.17499999999999999</v>
      </c>
      <c r="G45" s="287">
        <f t="shared" si="8"/>
        <v>9.386656030000001</v>
      </c>
      <c r="H45" s="288">
        <f t="shared" si="9"/>
        <v>1.8643487035286621</v>
      </c>
      <c r="K45" s="29">
        <f t="shared" si="13"/>
        <v>3.7999999999999999E-2</v>
      </c>
      <c r="N45" s="29">
        <f t="shared" si="14"/>
        <v>8.7666666666666671E-2</v>
      </c>
      <c r="Q45" s="29">
        <f>C45/100</f>
        <v>0.17499999999999999</v>
      </c>
      <c r="S45" s="95">
        <f>0.4177065*AJ45+0.360601*AI45+0.0432334</f>
        <v>9.7969180147238238E-2</v>
      </c>
      <c r="T45" s="102">
        <f>0.383829*AI45+0.3291765*AJ45+0.0710852*AE45+0.0471218</f>
        <v>9.0484079465397133E-2</v>
      </c>
      <c r="X45" s="36">
        <f>AVERAGEIFS('ІЦВ (Стрим Інфл)+'!AF:AF,'ІЦВ (Стрим Інфл)+'!$B:$B,'Дефлятор модель (CPI-PPI) Інфл'!$B45,'ІЦВ (Стрим Інфл)+'!$A:$A,'Дефлятор модель (CPI-PPI) Інфл'!$A45)</f>
        <v>61.068050783983814</v>
      </c>
      <c r="Y45" s="36">
        <f>AVERAGEIFS('ІЦВ (Стрим Інфл)+'!$AH:$AH,'ІЦВ (Стрим Інфл)+'!$B:$B,'Дефлятор модель (CPI-PPI) Інфл'!$B45,'ІЦВ (Стрим Інфл)+'!$A:$A,'Дефлятор модель (CPI-PPI) Інфл'!$A45)</f>
        <v>28.26827476702509</v>
      </c>
      <c r="Z45">
        <f t="shared" si="15"/>
        <v>1726.2884390482964</v>
      </c>
      <c r="AA45" s="36">
        <v>12000</v>
      </c>
      <c r="AB45" s="36">
        <f>AVERAGEIFS('ІЦВ (Стрим Інфл)+'!$AK:$AK,'ІЦВ (Стрим Інфл)+'!$B:$B,'Дефлятор модель (CPI-PPI) Інфл'!$B45,'ІЦВ (Стрим Інфл)+'!$A:$A,'Дефлятор модель (CPI-PPI) Інфл'!$A45)</f>
        <v>587995.05625159002</v>
      </c>
      <c r="AC45" s="109">
        <f>AVERAGEIFS('ІЦВ (Стрим Інфл)+'!AO:AO,'ІЦВ (Стрим Інфл)+'!$B:$B,'Дефлятор модель (CPI-PPI) Інфл'!$B45,'ІЦВ (Стрим Інфл)+'!$A:$A,'Дефлятор модель (CPI-PPI) Інфл'!$A45)</f>
        <v>-1.2162599149813998E-2</v>
      </c>
      <c r="AD45" s="81">
        <f>X45/X41-1</f>
        <v>-0.19943819489235914</v>
      </c>
      <c r="AE45" s="81">
        <f t="shared" si="1"/>
        <v>-6.7234269121137946E-2</v>
      </c>
      <c r="AF45" s="81">
        <f t="shared" si="1"/>
        <v>6.9198211231395801E-2</v>
      </c>
      <c r="AG45" s="81">
        <f t="shared" si="1"/>
        <v>0.30877531198917496</v>
      </c>
      <c r="AH45" s="81">
        <f>(AG45+1)/(AC45+1)-1</f>
        <v>0.32488941081069878</v>
      </c>
      <c r="AI45" s="36">
        <f>AVERAGEIFS('ІСЦ (Стрим Інфл)'!$K:$K,'ІСЦ (Стрим Інфл)'!$B:$B,'Дефлятор модель (CPI-PPI) Інфл'!$B45,'ІСЦ (Стрим Інфл)'!$A:$A,'Дефлятор модель (CPI-PPI) Інфл'!$A45)</f>
        <v>5.0240691643224054E-2</v>
      </c>
      <c r="AJ45" s="36">
        <f>AVERAGEIFS('ІЦВ (Стрим Інфл)+'!$J:$J,'ІЦВ (Стрим Інфл)+'!$B:$B,'Дефлятор модель (CPI-PPI) Інфл'!$B45,'ІЦВ (Стрим Інфл)+'!$A:$A,'Дефлятор модель (CPI-PPI) Інфл'!$A45)</f>
        <v>8.7666666666666671E-2</v>
      </c>
      <c r="AK45">
        <f>Y45/Y41-1</f>
        <v>0.16513893734094087</v>
      </c>
    </row>
    <row r="46" spans="1:37" ht="18.75">
      <c r="A46">
        <v>2021</v>
      </c>
      <c r="B46">
        <v>1</v>
      </c>
      <c r="C46" s="149">
        <f>G46*H46</f>
        <v>20.273977541585108</v>
      </c>
      <c r="D46" s="148">
        <f>AVERAGEIFS('ІСЦ (Стрим Інфл)'!J:J,'ІСЦ (Стрим Інфл)'!A:A,'Дефлятор модель (CPI-PPI) Інфл'!A46,'ІСЦ (Стрим Інфл)'!B:B,'Дефлятор модель (CPI-PPI) Інфл'!B46)</f>
        <v>7.3666666666666672E-2</v>
      </c>
      <c r="E46" s="148">
        <f>AVERAGEIFS('ІЦВ (Стрим Інфл)+'!J:J,'ІЦВ (Стрим Інфл)+'!A:A,'Дефлятор модель (CPI-PPI) Інфл'!A46,'ІЦВ (Стрим Інфл)+'!B:B,'Дефлятор модель (CPI-PPI) Інфл'!B46)</f>
        <v>0.23500000000000001</v>
      </c>
      <c r="F46" s="148">
        <f>C46/100</f>
        <v>0.20273977541585109</v>
      </c>
      <c r="G46" s="287">
        <f>41.77065*E46+36.90601*D46+4.322334</f>
        <v>16.857179486666666</v>
      </c>
      <c r="H46" s="286">
        <v>1.2026909696026544</v>
      </c>
      <c r="K46" s="29">
        <v>7.6000000000000068E-2</v>
      </c>
      <c r="AA46">
        <f>(AA45/AA41)^(1/4)</f>
        <v>1.0168679419763091</v>
      </c>
    </row>
    <row r="47" spans="1:37">
      <c r="A47">
        <v>2021</v>
      </c>
      <c r="B47">
        <v>2</v>
      </c>
      <c r="C47" s="149">
        <f>G47*H47</f>
        <v>24.446916038149219</v>
      </c>
      <c r="D47" s="148">
        <f>AVERAGEIFS('ІСЦ (Стрим Інфл)'!J:J,'ІСЦ (Стрим Інфл)'!A:A,'Дефлятор модель (CPI-PPI) Інфл'!A47,'ІСЦ (Стрим Інфл)'!B:B,'Дефлятор модель (CPI-PPI) Інфл'!B47)</f>
        <v>9.1333333333333336E-2</v>
      </c>
      <c r="E47" s="148">
        <f>AVERAGEIFS('ІЦВ (Стрим Інфл)+'!J:J,'ІЦВ (Стрим Інфл)+'!A:A,'Дефлятор модель (CPI-PPI) Інфл'!A47,'ІЦВ (Стрим Інфл)+'!B:B,'Дефлятор модель (CPI-PPI) Інфл'!B47)</f>
        <v>0.33333333333333331</v>
      </c>
      <c r="F47" s="148">
        <f t="shared" si="16"/>
        <v>0.24446916038149219</v>
      </c>
      <c r="G47" s="287">
        <f>41.77065*E47+36.90601*D47+4.322334</f>
        <v>21.616632913333333</v>
      </c>
      <c r="H47" s="285">
        <f>H46*$H$50</f>
        <v>1.1309308038936139</v>
      </c>
      <c r="K47" s="29">
        <v>8.4000000000000075E-2</v>
      </c>
    </row>
    <row r="48" spans="1:37">
      <c r="A48">
        <v>2021</v>
      </c>
      <c r="B48">
        <v>3</v>
      </c>
      <c r="C48" s="149">
        <f>G48*H48</f>
        <v>28.516338429342373</v>
      </c>
      <c r="D48" s="148">
        <f>AVERAGEIFS('ІСЦ (Стрим Інфл)'!J:J,'ІСЦ (Стрим Інфл)'!A:A,'Дефлятор модель (CPI-PPI) Інфл'!A48,'ІСЦ (Стрим Інфл)'!B:B,'Дефлятор модель (CPI-PPI) Інфл'!B48)</f>
        <v>0.10466666666666667</v>
      </c>
      <c r="E48" s="148">
        <f>AVERAGEIFS('ІЦВ (Стрим Інфл)+'!J:J,'ІЦВ (Стрим Інфл)+'!A:A,'Дефлятор модель (CPI-PPI) Інфл'!A48,'ІЦВ (Стрим Інфл)+'!B:B,'Дефлятор модель (CPI-PPI) Інфл'!B48)</f>
        <v>0.44599999999999995</v>
      </c>
      <c r="F48" s="148">
        <f t="shared" si="16"/>
        <v>0.28516338429342375</v>
      </c>
      <c r="G48" s="287">
        <f t="shared" si="8"/>
        <v>26.814872946666668</v>
      </c>
      <c r="H48" s="285">
        <f>H47*$H$50</f>
        <v>1.0634523044752002</v>
      </c>
      <c r="K48" s="29">
        <v>8.2999999999999963E-2</v>
      </c>
    </row>
    <row r="49" spans="1:19" ht="18.75">
      <c r="A49">
        <v>2021</v>
      </c>
      <c r="B49">
        <v>4</v>
      </c>
      <c r="C49" s="149">
        <f>G49*$H$49</f>
        <v>33.236872589999997</v>
      </c>
      <c r="D49" s="148">
        <f>AVERAGEIFS('ІСЦ (Стрим Інфл)'!J:J,'ІСЦ (Стрим Інфл)'!A:A,'Дефлятор модель (CPI-PPI) Інфл'!A49,'ІСЦ (Стрим Інфл)'!B:B,'Дефлятор модель (CPI-PPI) Інфл'!B49)</f>
        <v>0.104</v>
      </c>
      <c r="E49" s="148">
        <f>AVERAGEIFS('ІЦВ (Стрим Інфл)+'!J:J,'ІЦВ (Стрим Інфл)+'!A:A,'Дефлятор модель (CPI-PPI) Інфл'!A49,'ІЦВ (Стрим Інфл)+'!B:B,'Дефлятор модель (CPI-PPI) Інфл'!B49)</f>
        <v>0.60033333333333327</v>
      </c>
      <c r="F49" s="148">
        <f t="shared" si="16"/>
        <v>0.33236872589999999</v>
      </c>
      <c r="G49" s="287">
        <f>41.77065*E49+36.90601*D49+4.322334</f>
        <v>33.236872589999997</v>
      </c>
      <c r="H49" s="286">
        <v>1</v>
      </c>
      <c r="K49" s="29">
        <v>7.0000000000000062E-2</v>
      </c>
    </row>
    <row r="50" spans="1:19">
      <c r="A50">
        <v>2022</v>
      </c>
      <c r="B50">
        <v>1</v>
      </c>
      <c r="C50" s="149">
        <f>G50*$H$49</f>
        <v>22.065074058055004</v>
      </c>
      <c r="D50" s="370">
        <f>AVERAGEIFS('ІСЦ (Стрим Інфл)'!J:J,'ІСЦ (Стрим Інфл)'!A:A,'Дефлятор модель (CPI-PPI) Інфл'!A50,'ІСЦ (Стрим Інфл)'!B:B,'Дефлятор модель (CPI-PPI) Інфл'!B50)</f>
        <v>9.1729857612828744E-2</v>
      </c>
      <c r="E50" s="370">
        <f>AVERAGEIFS('ІЦВ (Стрим Інфл)+'!J:J,'ІЦВ (Стрим Інфл)+'!A:A,'Дефлятор модель (CPI-PPI) Інфл'!A50,'ІЦВ (Стрим Інфл)+'!B:B,'Дефлятор модель (CPI-PPI) Інфл'!B50)</f>
        <v>0.34371878377993564</v>
      </c>
      <c r="F50" s="370">
        <f t="array" ref="F50:F53">TRANSPOSE(P62:S62)</f>
        <v>0.22065074058055004</v>
      </c>
      <c r="G50" s="287">
        <f>41.77065*E50+36.90601*D50+4.322334</f>
        <v>22.065074058055004</v>
      </c>
      <c r="H50">
        <f>(H49/H46)^(1/3)</f>
        <v>0.9403336621603231</v>
      </c>
    </row>
    <row r="51" spans="1:19">
      <c r="A51">
        <v>2022</v>
      </c>
      <c r="B51">
        <v>2</v>
      </c>
      <c r="C51" s="149">
        <f>G51*$H$49</f>
        <v>18.245649154517821</v>
      </c>
      <c r="D51" s="370">
        <f>AVERAGEIFS('ІСЦ (Стрим Інфл)'!J:J,'ІСЦ (Стрим Інфл)'!A:A,'Дефлятор модель (CPI-PPI) Інфл'!A51,'ІСЦ (Стрим Інфл)'!B:B,'Дефлятор модель (CPI-PPI) Інфл'!B51)</f>
        <v>7.5568902490743245E-2</v>
      </c>
      <c r="E51" s="370">
        <f>AVERAGEIFS('ІЦВ (Стрим Інфл)+'!J:J,'ІЦВ (Стрим Інфл)+'!A:A,'Дефлятор модель (CPI-PPI) Інфл'!A51,'ІЦВ (Стрим Інфл)+'!B:B,'Дефлятор модель (CPI-PPI) Інфл'!B51)</f>
        <v>0.26655961742288964</v>
      </c>
      <c r="F51" s="370">
        <v>0.18245649154517821</v>
      </c>
      <c r="G51" s="287">
        <f>41.77065*E51+36.90601*D51+4.322334</f>
        <v>18.245649154517821</v>
      </c>
    </row>
    <row r="52" spans="1:19">
      <c r="A52">
        <v>2022</v>
      </c>
      <c r="B52">
        <v>3</v>
      </c>
      <c r="C52" s="149">
        <f>G52*$H$49</f>
        <v>22.956573084119377</v>
      </c>
      <c r="D52" s="370">
        <f>AVERAGEIFS('ІСЦ (Стрим Інфл)'!J:J,'ІСЦ (Стрим Інфл)'!A:A,'Дефлятор модель (CPI-PPI) Інфл'!A52,'ІСЦ (Стрим Інфл)'!B:B,'Дефлятор модель (CPI-PPI) Інфл'!B52)</f>
        <v>9.0358432422636678E-2</v>
      </c>
      <c r="E52" s="370">
        <f>AVERAGEIFS('ІЦВ (Стрим Інфл)+'!J:J,'ІЦВ (Стрим Інфл)+'!A:A,'Дефлятор модель (CPI-PPI) Інфл'!A52,'ІЦВ (Стрим Інфл)+'!B:B,'Дефлятор модель (CPI-PPI) Інфл'!B52)</f>
        <v>0.3662732055533065</v>
      </c>
      <c r="F52" s="370">
        <v>0.22956573084119378</v>
      </c>
      <c r="G52" s="287">
        <f>41.77065*E52+36.90601*D52+4.322334</f>
        <v>22.956573084119377</v>
      </c>
    </row>
    <row r="53" spans="1:19">
      <c r="A53">
        <v>2022</v>
      </c>
      <c r="B53">
        <v>4</v>
      </c>
      <c r="C53" s="149">
        <f>G53*$H$49</f>
        <v>15.449696641969933</v>
      </c>
      <c r="D53" s="370">
        <f>AVERAGEIFS('ІСЦ (Стрим Інфл)'!J:J,'ІСЦ (Стрим Інфл)'!A:A,'Дефлятор модель (CPI-PPI) Інфл'!A53,'ІСЦ (Стрим Інфл)'!B:B,'Дефлятор модель (CPI-PPI) Інфл'!B53)</f>
        <v>8.0479752041023186E-2</v>
      </c>
      <c r="E53" s="370">
        <f>AVERAGEIFS('ІЦВ (Стрим Інфл)+'!J:J,'ІЦВ (Стрим Інфл)+'!A:A,'Дефлятор модель (CPI-PPI) Інфл'!A53,'ІЦВ (Стрим Інфл)+'!B:B,'Дефлятор модель (CPI-PPI) Інфл'!B53)</f>
        <v>0.19528487366958402</v>
      </c>
      <c r="F53" s="370">
        <v>0.15449696641969932</v>
      </c>
      <c r="G53" s="287">
        <f>41.77065*E53+36.90601*D53+4.322334</f>
        <v>15.449696641969933</v>
      </c>
    </row>
    <row r="54" spans="1:19">
      <c r="I54">
        <v>0.15302878001608874</v>
      </c>
      <c r="J54">
        <v>0.12374240653505765</v>
      </c>
      <c r="K54">
        <v>8.7083847265946271E-2</v>
      </c>
      <c r="L54">
        <v>7.8192901168906509E-2</v>
      </c>
    </row>
    <row r="55" spans="1:19" ht="21.75">
      <c r="A55" s="153">
        <v>2020</v>
      </c>
      <c r="C55" s="155">
        <f>SUMPRODUCT(C42:C45,D70:D73)</f>
        <v>9.8749137465167713</v>
      </c>
    </row>
    <row r="56" spans="1:19" ht="21.75">
      <c r="A56" s="153">
        <v>2021</v>
      </c>
      <c r="C56" s="155">
        <f>SUMPRODUCT(C46:C49,D70:D73)</f>
        <v>27.400734930458789</v>
      </c>
      <c r="E56" s="29"/>
      <c r="F56" s="29"/>
      <c r="G56" s="29"/>
      <c r="H56" s="29"/>
    </row>
    <row r="57" spans="1:19" ht="21.75">
      <c r="A57" s="153">
        <v>2022</v>
      </c>
      <c r="C57" s="323">
        <f>SUMPRODUCT(C60:C63,D70:D73)</f>
        <v>0.19459007775745893</v>
      </c>
      <c r="L57" s="253">
        <v>2021</v>
      </c>
      <c r="M57" s="253">
        <v>2021</v>
      </c>
      <c r="N57" s="253">
        <v>2021</v>
      </c>
      <c r="O57" s="253">
        <v>2021</v>
      </c>
      <c r="P57" s="373">
        <v>2022</v>
      </c>
      <c r="Q57" s="373">
        <v>2022</v>
      </c>
      <c r="R57" s="373">
        <v>2022</v>
      </c>
      <c r="S57" s="373">
        <v>2022</v>
      </c>
    </row>
    <row r="58" spans="1:19">
      <c r="C58" s="156"/>
      <c r="D58" s="29">
        <f t="shared" ref="D58:E63" si="17">(D38+1)</f>
        <v>1.0886666666666667</v>
      </c>
      <c r="E58" s="29">
        <f t="shared" si="17"/>
        <v>1.0983333333333334</v>
      </c>
      <c r="F58" s="29"/>
      <c r="G58" s="29"/>
      <c r="H58" s="29"/>
      <c r="L58" s="253">
        <v>1</v>
      </c>
      <c r="M58" s="253">
        <v>2</v>
      </c>
      <c r="N58" s="253">
        <v>3</v>
      </c>
      <c r="O58" s="253">
        <v>4</v>
      </c>
      <c r="P58" s="373">
        <v>1</v>
      </c>
      <c r="Q58" s="373">
        <v>2</v>
      </c>
      <c r="R58" s="373">
        <v>3</v>
      </c>
      <c r="S58" s="373">
        <v>4</v>
      </c>
    </row>
    <row r="59" spans="1:19">
      <c r="D59" s="29">
        <f t="shared" si="17"/>
        <v>1.0913333333333333</v>
      </c>
      <c r="E59" s="29">
        <f t="shared" si="17"/>
        <v>1.0676666666666668</v>
      </c>
      <c r="F59" s="29"/>
      <c r="G59" s="29"/>
      <c r="H59" s="29"/>
      <c r="K59" s="6" t="s">
        <v>256</v>
      </c>
      <c r="L59" s="401">
        <f t="array" ref="L59:S59">TRANSPOSE(E46:E53)</f>
        <v>0.23500000000000001</v>
      </c>
      <c r="M59" s="401">
        <v>0.33333333333333331</v>
      </c>
      <c r="N59" s="401">
        <v>0.44599999999999995</v>
      </c>
      <c r="O59" s="401">
        <v>0.60033333333333327</v>
      </c>
      <c r="P59" s="374">
        <v>0.34371878377993564</v>
      </c>
      <c r="Q59" s="374">
        <v>0.26655961742288964</v>
      </c>
      <c r="R59" s="374">
        <v>0.3662732055533065</v>
      </c>
      <c r="S59" s="374">
        <v>0.19528487366958402</v>
      </c>
    </row>
    <row r="60" spans="1:19">
      <c r="C60" s="33">
        <f>C50/100</f>
        <v>0.22065074058055004</v>
      </c>
      <c r="D60" s="29">
        <f t="shared" si="17"/>
        <v>1.0846666666666667</v>
      </c>
      <c r="E60" s="29">
        <f t="shared" si="17"/>
        <v>1.0429999999999999</v>
      </c>
      <c r="F60" s="29"/>
      <c r="G60" s="29"/>
      <c r="H60" s="29"/>
      <c r="K60" s="6" t="s">
        <v>257</v>
      </c>
      <c r="L60" s="401">
        <f t="array" ref="L60:S60">TRANSPOSE(D46:D53)</f>
        <v>7.3666666666666672E-2</v>
      </c>
      <c r="M60" s="401">
        <v>9.1333333333333336E-2</v>
      </c>
      <c r="N60" s="401">
        <v>0.10466666666666667</v>
      </c>
      <c r="O60" s="401">
        <v>0.104</v>
      </c>
      <c r="P60" s="374">
        <v>9.1729857612828744E-2</v>
      </c>
      <c r="Q60" s="374">
        <v>7.5568902490743245E-2</v>
      </c>
      <c r="R60" s="374">
        <v>9.0358432422636678E-2</v>
      </c>
      <c r="S60" s="374">
        <v>8.0479752041023186E-2</v>
      </c>
    </row>
    <row r="61" spans="1:19">
      <c r="C61" s="33">
        <f>C51/100</f>
        <v>0.18245649154517821</v>
      </c>
      <c r="D61" s="29">
        <f t="shared" si="17"/>
        <v>1.0523333333333333</v>
      </c>
      <c r="E61" s="29">
        <f t="shared" si="17"/>
        <v>0.96099999999999997</v>
      </c>
      <c r="F61" s="29"/>
      <c r="G61" s="29"/>
      <c r="H61" s="29"/>
      <c r="K61" t="s">
        <v>255</v>
      </c>
      <c r="L61" s="289">
        <f t="array" ref="L61:S61">TRANSPOSE(C46:C53)</f>
        <v>20.273977541585108</v>
      </c>
      <c r="M61" s="289">
        <v>24.446916038149219</v>
      </c>
      <c r="N61" s="289">
        <v>28.516338429342373</v>
      </c>
      <c r="O61" s="289">
        <v>33.236872589999997</v>
      </c>
      <c r="P61" s="400">
        <v>22.065074058055004</v>
      </c>
      <c r="Q61" s="400">
        <v>18.245649154517821</v>
      </c>
      <c r="R61" s="400">
        <v>22.956573084119377</v>
      </c>
      <c r="S61" s="400">
        <v>15.449696641969933</v>
      </c>
    </row>
    <row r="62" spans="1:19">
      <c r="C62" s="33">
        <f>C52/100</f>
        <v>0.22956573084119378</v>
      </c>
      <c r="D62" s="29">
        <f t="shared" si="17"/>
        <v>1.0263333333333333</v>
      </c>
      <c r="E62" s="29">
        <f t="shared" si="17"/>
        <v>0.94366666666666665</v>
      </c>
      <c r="F62" s="29"/>
      <c r="G62" s="29"/>
      <c r="H62" s="29"/>
      <c r="L62" s="33">
        <f>L61/100</f>
        <v>0.20273977541585109</v>
      </c>
      <c r="M62" s="33">
        <f t="shared" ref="M62:S62" si="18">M61/100</f>
        <v>0.24446916038149219</v>
      </c>
      <c r="N62" s="33">
        <f t="shared" si="18"/>
        <v>0.28516338429342375</v>
      </c>
      <c r="O62" s="33">
        <f t="shared" si="18"/>
        <v>0.33236872589999999</v>
      </c>
      <c r="P62" s="33">
        <f t="shared" si="18"/>
        <v>0.22065074058055004</v>
      </c>
      <c r="Q62" s="33">
        <f t="shared" si="18"/>
        <v>0.18245649154517821</v>
      </c>
      <c r="R62" s="33">
        <f t="shared" si="18"/>
        <v>0.22956573084119378</v>
      </c>
      <c r="S62" s="33">
        <f t="shared" si="18"/>
        <v>0.15449696641969932</v>
      </c>
    </row>
    <row r="63" spans="1:19">
      <c r="C63" s="33">
        <f>C53/100</f>
        <v>0.15449696641969932</v>
      </c>
      <c r="D63" s="29">
        <f t="shared" si="17"/>
        <v>1.0206666666666666</v>
      </c>
      <c r="E63" s="29">
        <f t="shared" si="17"/>
        <v>0.95900000000000007</v>
      </c>
      <c r="F63" s="29"/>
      <c r="G63" s="29"/>
      <c r="H63" s="29"/>
    </row>
    <row r="64" spans="1:19">
      <c r="H64" s="99">
        <f>PRODUCT(D58:D63)</f>
        <v>1.4206082515187477</v>
      </c>
      <c r="I64" s="99">
        <f>PRODUCT(E58:E63)</f>
        <v>1.0636892400263858</v>
      </c>
    </row>
    <row r="67" spans="1:9" ht="18.75">
      <c r="D67" s="369">
        <f>SUMPRODUCT($D70:$D73,D46:D49)</f>
        <v>9.5425239510018037E-2</v>
      </c>
      <c r="E67" s="369">
        <f>SUMPRODUCT($D70:$D73,E46:E49)</f>
        <v>0.42548468001426604</v>
      </c>
      <c r="F67" s="369">
        <f>SUMPRODUCT($D70:$D73,F46:F49)</f>
        <v>0.27400734930458792</v>
      </c>
    </row>
    <row r="69" spans="1:9" ht="36">
      <c r="C69" s="150" t="s">
        <v>201</v>
      </c>
      <c r="D69" s="131" t="s">
        <v>202</v>
      </c>
      <c r="E69" s="151" t="s">
        <v>203</v>
      </c>
      <c r="F69" s="151"/>
      <c r="G69" s="151"/>
      <c r="H69" s="151"/>
      <c r="I69" s="151" t="s">
        <v>204</v>
      </c>
    </row>
    <row r="70" spans="1:9" ht="18.75">
      <c r="A70">
        <v>2021</v>
      </c>
      <c r="B70">
        <v>1</v>
      </c>
      <c r="C70" s="29">
        <f>E$70*D46+I$70*E46</f>
        <v>0.19456608788689517</v>
      </c>
      <c r="D70" s="33">
        <v>0.19266532411555995</v>
      </c>
      <c r="E70" s="152">
        <v>0.2506234221886664</v>
      </c>
      <c r="F70" s="152"/>
      <c r="I70" s="152">
        <v>0.74937657781133349</v>
      </c>
    </row>
    <row r="71" spans="1:9">
      <c r="A71">
        <v>2021</v>
      </c>
      <c r="B71">
        <v>2</v>
      </c>
      <c r="C71" s="29">
        <f>E$70*D47+I$70*E47</f>
        <v>0.272682465163676</v>
      </c>
      <c r="D71" s="33">
        <v>0.23023253537597185</v>
      </c>
    </row>
    <row r="72" spans="1:9">
      <c r="A72">
        <v>2021</v>
      </c>
      <c r="B72">
        <v>3</v>
      </c>
      <c r="C72" s="29">
        <f>E$70*D48+I$70*E48</f>
        <v>0.36045387189293515</v>
      </c>
      <c r="D72" s="33">
        <v>0.27854968442849809</v>
      </c>
    </row>
    <row r="73" spans="1:9">
      <c r="A73">
        <v>2021</v>
      </c>
      <c r="B73">
        <v>4</v>
      </c>
      <c r="C73" s="29">
        <f>E$70*D49+I$70*E49</f>
        <v>0.47594057478702517</v>
      </c>
      <c r="D73" s="33">
        <v>0.29855245607997011</v>
      </c>
    </row>
    <row r="75" spans="1:9" ht="21.75">
      <c r="A75" s="153">
        <v>2021</v>
      </c>
      <c r="C75" s="154">
        <f>SUMPRODUCT(C70:C73,D70:D73)</f>
        <v>0.34276405350941486</v>
      </c>
    </row>
    <row r="77" spans="1:9">
      <c r="C77" s="123"/>
    </row>
    <row r="78" spans="1:9">
      <c r="A78">
        <v>2020</v>
      </c>
      <c r="B78" t="s">
        <v>230</v>
      </c>
    </row>
    <row r="79" spans="1:9">
      <c r="B79" t="s">
        <v>231</v>
      </c>
    </row>
    <row r="80" spans="1:9">
      <c r="B80" t="s">
        <v>232</v>
      </c>
    </row>
    <row r="81" spans="1:2">
      <c r="B81" t="s">
        <v>233</v>
      </c>
    </row>
    <row r="82" spans="1:2">
      <c r="A82">
        <v>2021</v>
      </c>
      <c r="B82" t="s">
        <v>230</v>
      </c>
    </row>
    <row r="83" spans="1:2">
      <c r="B83" t="s">
        <v>231</v>
      </c>
    </row>
    <row r="84" spans="1:2">
      <c r="B84" t="s">
        <v>232</v>
      </c>
    </row>
    <row r="85" spans="1:2">
      <c r="B85" t="s">
        <v>233</v>
      </c>
    </row>
    <row r="86" spans="1:2">
      <c r="A86">
        <v>2022</v>
      </c>
      <c r="B86" t="s">
        <v>230</v>
      </c>
    </row>
    <row r="87" spans="1:2">
      <c r="B87" t="s">
        <v>231</v>
      </c>
    </row>
    <row r="88" spans="1:2">
      <c r="B88" t="s">
        <v>232</v>
      </c>
    </row>
    <row r="89" spans="1:2">
      <c r="B89" t="s">
        <v>233</v>
      </c>
    </row>
    <row r="94" spans="1:2">
      <c r="A94">
        <v>2021</v>
      </c>
      <c r="B94">
        <v>1</v>
      </c>
    </row>
    <row r="95" spans="1:2">
      <c r="B95">
        <v>2</v>
      </c>
    </row>
    <row r="96" spans="1:2">
      <c r="B96">
        <v>3</v>
      </c>
    </row>
    <row r="97" spans="2:2">
      <c r="B97">
        <v>4</v>
      </c>
    </row>
    <row r="98" spans="2:2">
      <c r="B98">
        <v>5</v>
      </c>
    </row>
    <row r="99" spans="2:2">
      <c r="B99">
        <v>6</v>
      </c>
    </row>
    <row r="100" spans="2:2">
      <c r="B100">
        <v>7</v>
      </c>
    </row>
    <row r="101" spans="2:2">
      <c r="B101">
        <v>8</v>
      </c>
    </row>
    <row r="102" spans="2:2">
      <c r="B102">
        <v>9</v>
      </c>
    </row>
    <row r="103" spans="2:2">
      <c r="B103">
        <v>10</v>
      </c>
    </row>
    <row r="104" spans="2:2">
      <c r="B104">
        <v>11</v>
      </c>
    </row>
    <row r="105" spans="2:2">
      <c r="B105">
        <v>12</v>
      </c>
    </row>
  </sheetData>
  <conditionalFormatting sqref="V6:V42">
    <cfRule type="colorScale" priority="2">
      <colorScale>
        <cfvo type="min"/>
        <cfvo type="percentile" val="50"/>
        <cfvo type="max"/>
        <color rgb="FFF8696B"/>
        <color rgb="FFFCFCFF"/>
        <color rgb="FF63BE7B"/>
      </colorScale>
    </cfRule>
  </conditionalFormatting>
  <conditionalFormatting sqref="W6:W42">
    <cfRule type="colorScale" priority="1">
      <colorScale>
        <cfvo type="min"/>
        <cfvo type="percentile" val="50"/>
        <cfvo type="max"/>
        <color rgb="FFF8696B"/>
        <color rgb="FFFCFCFF"/>
        <color rgb="FF63BE7B"/>
      </colorScale>
    </cfRule>
  </conditionalFormatting>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Аркуш10"/>
  <dimension ref="A1:BJ59"/>
  <sheetViews>
    <sheetView zoomScale="70" zoomScaleNormal="70" workbookViewId="0">
      <pane xSplit="2" ySplit="4" topLeftCell="C23" activePane="bottomRight" state="frozen"/>
      <selection pane="topRight" activeCell="C1" sqref="C1"/>
      <selection pane="bottomLeft" activeCell="A5" sqref="A5"/>
      <selection pane="bottomRight" activeCell="L49" sqref="L49"/>
    </sheetView>
  </sheetViews>
  <sheetFormatPr defaultRowHeight="18"/>
  <cols>
    <col min="2" max="2" width="33.5" style="86" customWidth="1"/>
  </cols>
  <sheetData>
    <row r="1" spans="1:62">
      <c r="B1" s="324" t="s">
        <v>347</v>
      </c>
    </row>
    <row r="2" spans="1:62" ht="27.75">
      <c r="B2" s="311" t="s">
        <v>343</v>
      </c>
      <c r="O2">
        <v>2</v>
      </c>
      <c r="P2">
        <f>O2+2</f>
        <v>4</v>
      </c>
      <c r="Q2">
        <f t="shared" ref="Q2:AL2" si="0">P2+2</f>
        <v>6</v>
      </c>
      <c r="R2">
        <f t="shared" si="0"/>
        <v>8</v>
      </c>
      <c r="S2">
        <f t="shared" si="0"/>
        <v>10</v>
      </c>
      <c r="T2">
        <f t="shared" si="0"/>
        <v>12</v>
      </c>
      <c r="U2">
        <f t="shared" si="0"/>
        <v>14</v>
      </c>
      <c r="V2">
        <f t="shared" si="0"/>
        <v>16</v>
      </c>
      <c r="W2">
        <f t="shared" si="0"/>
        <v>18</v>
      </c>
      <c r="X2">
        <f t="shared" si="0"/>
        <v>20</v>
      </c>
      <c r="Y2">
        <f t="shared" si="0"/>
        <v>22</v>
      </c>
      <c r="Z2">
        <f t="shared" si="0"/>
        <v>24</v>
      </c>
      <c r="AA2">
        <v>2</v>
      </c>
      <c r="AB2">
        <f>AA2+2</f>
        <v>4</v>
      </c>
      <c r="AC2">
        <f t="shared" si="0"/>
        <v>6</v>
      </c>
      <c r="AD2">
        <f t="shared" si="0"/>
        <v>8</v>
      </c>
      <c r="AE2">
        <f t="shared" si="0"/>
        <v>10</v>
      </c>
      <c r="AF2">
        <f t="shared" si="0"/>
        <v>12</v>
      </c>
      <c r="AG2">
        <f t="shared" si="0"/>
        <v>14</v>
      </c>
      <c r="AH2">
        <f t="shared" si="0"/>
        <v>16</v>
      </c>
      <c r="AI2">
        <f t="shared" si="0"/>
        <v>18</v>
      </c>
      <c r="AJ2">
        <f t="shared" si="0"/>
        <v>20</v>
      </c>
      <c r="AK2">
        <f t="shared" si="0"/>
        <v>22</v>
      </c>
      <c r="AL2">
        <f t="shared" si="0"/>
        <v>24</v>
      </c>
      <c r="AM2">
        <v>2</v>
      </c>
      <c r="AN2">
        <f>AM2+2</f>
        <v>4</v>
      </c>
      <c r="AO2">
        <f t="shared" ref="AO2:AX2" si="1">AN2+2</f>
        <v>6</v>
      </c>
      <c r="AP2">
        <f t="shared" si="1"/>
        <v>8</v>
      </c>
      <c r="AQ2">
        <f t="shared" si="1"/>
        <v>10</v>
      </c>
      <c r="AR2">
        <f t="shared" si="1"/>
        <v>12</v>
      </c>
      <c r="AS2">
        <f t="shared" si="1"/>
        <v>14</v>
      </c>
      <c r="AT2">
        <f t="shared" si="1"/>
        <v>16</v>
      </c>
      <c r="AU2">
        <f t="shared" si="1"/>
        <v>18</v>
      </c>
      <c r="AV2">
        <f t="shared" si="1"/>
        <v>20</v>
      </c>
      <c r="AW2">
        <f t="shared" si="1"/>
        <v>22</v>
      </c>
      <c r="AX2">
        <f t="shared" si="1"/>
        <v>24</v>
      </c>
      <c r="AY2">
        <v>2</v>
      </c>
      <c r="AZ2">
        <f>AY2+2</f>
        <v>4</v>
      </c>
      <c r="BA2">
        <f t="shared" ref="BA2:BJ2" si="2">AZ2+2</f>
        <v>6</v>
      </c>
      <c r="BB2">
        <f t="shared" si="2"/>
        <v>8</v>
      </c>
      <c r="BC2">
        <f t="shared" si="2"/>
        <v>10</v>
      </c>
      <c r="BD2">
        <f t="shared" si="2"/>
        <v>12</v>
      </c>
      <c r="BE2">
        <f t="shared" si="2"/>
        <v>14</v>
      </c>
      <c r="BF2">
        <f t="shared" si="2"/>
        <v>16</v>
      </c>
      <c r="BG2">
        <f t="shared" si="2"/>
        <v>18</v>
      </c>
      <c r="BH2">
        <f t="shared" si="2"/>
        <v>20</v>
      </c>
      <c r="BI2">
        <f t="shared" si="2"/>
        <v>22</v>
      </c>
      <c r="BJ2">
        <f t="shared" si="2"/>
        <v>24</v>
      </c>
    </row>
    <row r="3" spans="1:62">
      <c r="B3" s="300" t="s">
        <v>290</v>
      </c>
      <c r="C3" s="299"/>
      <c r="D3" s="299"/>
      <c r="E3" s="299"/>
      <c r="F3" s="299"/>
      <c r="G3" s="299"/>
      <c r="H3" s="299"/>
      <c r="I3" s="299"/>
      <c r="J3" s="299"/>
      <c r="K3" s="299"/>
      <c r="L3" s="299"/>
      <c r="M3" s="299"/>
      <c r="N3">
        <v>2017</v>
      </c>
      <c r="O3" s="299"/>
      <c r="P3" s="299"/>
      <c r="Q3" s="299"/>
      <c r="R3" s="299"/>
      <c r="S3" s="299"/>
      <c r="T3" s="299"/>
      <c r="U3" s="299"/>
      <c r="V3" s="299"/>
      <c r="W3" s="299"/>
      <c r="X3" s="299"/>
      <c r="Y3" s="299"/>
      <c r="Z3">
        <v>2018</v>
      </c>
      <c r="AA3" s="299"/>
      <c r="AB3" s="299"/>
      <c r="AC3" s="299"/>
      <c r="AD3" s="299"/>
      <c r="AE3" s="299"/>
      <c r="AF3" s="299"/>
      <c r="AG3" s="299"/>
      <c r="AH3" s="299"/>
      <c r="AI3" s="299"/>
      <c r="AJ3" s="299"/>
      <c r="AK3" s="299"/>
      <c r="AL3">
        <v>2019</v>
      </c>
      <c r="AM3" s="299"/>
      <c r="AN3" s="299"/>
      <c r="AO3" s="299"/>
      <c r="AP3" s="299"/>
      <c r="AQ3" s="299"/>
      <c r="AR3" s="299"/>
      <c r="AS3" s="299"/>
      <c r="AT3" s="299"/>
      <c r="AU3" s="299"/>
      <c r="AV3" s="299"/>
      <c r="AW3" s="299"/>
      <c r="AX3">
        <v>2020</v>
      </c>
      <c r="AY3" s="299"/>
      <c r="AZ3" s="299"/>
      <c r="BA3" s="299"/>
      <c r="BB3" s="299"/>
      <c r="BC3" s="299"/>
      <c r="BD3" s="299"/>
      <c r="BE3" s="299"/>
      <c r="BF3" s="299"/>
      <c r="BG3" s="299"/>
      <c r="BH3" s="299"/>
      <c r="BI3" s="299"/>
      <c r="BJ3">
        <v>2021</v>
      </c>
    </row>
    <row r="4" spans="1:62">
      <c r="B4" s="301" t="s">
        <v>291</v>
      </c>
      <c r="C4" s="301" t="s">
        <v>292</v>
      </c>
      <c r="D4" s="302" t="s">
        <v>293</v>
      </c>
      <c r="E4" s="302" t="s">
        <v>294</v>
      </c>
      <c r="F4" s="302" t="s">
        <v>295</v>
      </c>
      <c r="G4" s="302" t="s">
        <v>296</v>
      </c>
      <c r="H4" s="302" t="s">
        <v>297</v>
      </c>
      <c r="I4" s="302" t="s">
        <v>298</v>
      </c>
      <c r="J4" s="302" t="s">
        <v>299</v>
      </c>
      <c r="K4" s="302" t="s">
        <v>300</v>
      </c>
      <c r="L4" s="302" t="s">
        <v>301</v>
      </c>
      <c r="M4" s="302" t="s">
        <v>302</v>
      </c>
      <c r="N4" s="302" t="s">
        <v>303</v>
      </c>
      <c r="O4" s="301" t="s">
        <v>292</v>
      </c>
      <c r="P4" s="302" t="s">
        <v>293</v>
      </c>
      <c r="Q4" s="302" t="s">
        <v>294</v>
      </c>
      <c r="R4" s="302" t="s">
        <v>295</v>
      </c>
      <c r="S4" s="302" t="s">
        <v>296</v>
      </c>
      <c r="T4" s="302" t="s">
        <v>297</v>
      </c>
      <c r="U4" s="302" t="s">
        <v>298</v>
      </c>
      <c r="V4" s="302" t="s">
        <v>299</v>
      </c>
      <c r="W4" s="302" t="s">
        <v>300</v>
      </c>
      <c r="X4" s="302" t="s">
        <v>301</v>
      </c>
      <c r="Y4" s="302" t="s">
        <v>302</v>
      </c>
      <c r="Z4" s="302" t="s">
        <v>303</v>
      </c>
      <c r="AA4" s="301" t="s">
        <v>292</v>
      </c>
      <c r="AB4" s="302" t="s">
        <v>293</v>
      </c>
      <c r="AC4" s="302" t="s">
        <v>294</v>
      </c>
      <c r="AD4" s="302" t="s">
        <v>295</v>
      </c>
      <c r="AE4" s="302" t="s">
        <v>296</v>
      </c>
      <c r="AF4" s="302" t="s">
        <v>297</v>
      </c>
      <c r="AG4" s="302" t="s">
        <v>298</v>
      </c>
      <c r="AH4" s="302" t="s">
        <v>299</v>
      </c>
      <c r="AI4" s="302" t="s">
        <v>331</v>
      </c>
      <c r="AJ4" s="302" t="s">
        <v>301</v>
      </c>
      <c r="AK4" s="302" t="s">
        <v>302</v>
      </c>
      <c r="AL4" s="302" t="s">
        <v>303</v>
      </c>
      <c r="AM4" s="301" t="s">
        <v>292</v>
      </c>
      <c r="AN4" s="302" t="s">
        <v>293</v>
      </c>
      <c r="AO4" s="302" t="s">
        <v>294</v>
      </c>
      <c r="AP4" s="302" t="s">
        <v>295</v>
      </c>
      <c r="AQ4" s="302" t="s">
        <v>296</v>
      </c>
      <c r="AR4" s="302" t="s">
        <v>297</v>
      </c>
      <c r="AS4" s="302" t="s">
        <v>298</v>
      </c>
      <c r="AT4" s="302" t="s">
        <v>299</v>
      </c>
      <c r="AU4" s="302" t="s">
        <v>331</v>
      </c>
      <c r="AV4" s="302" t="s">
        <v>301</v>
      </c>
      <c r="AW4" s="302" t="s">
        <v>302</v>
      </c>
      <c r="AX4" s="302" t="s">
        <v>303</v>
      </c>
      <c r="AY4" s="301" t="s">
        <v>292</v>
      </c>
      <c r="AZ4" s="302" t="s">
        <v>293</v>
      </c>
      <c r="BA4" s="302" t="s">
        <v>294</v>
      </c>
      <c r="BB4" s="302" t="s">
        <v>295</v>
      </c>
      <c r="BC4" s="302" t="s">
        <v>296</v>
      </c>
      <c r="BD4" s="302" t="s">
        <v>297</v>
      </c>
      <c r="BE4" s="302" t="s">
        <v>298</v>
      </c>
      <c r="BF4" s="302" t="s">
        <v>299</v>
      </c>
      <c r="BG4" s="302" t="s">
        <v>331</v>
      </c>
      <c r="BH4" s="302" t="s">
        <v>301</v>
      </c>
      <c r="BI4" s="302" t="s">
        <v>302</v>
      </c>
      <c r="BJ4" s="302" t="s">
        <v>303</v>
      </c>
    </row>
    <row r="5" spans="1:62">
      <c r="B5" s="303" t="s">
        <v>304</v>
      </c>
      <c r="C5" s="140">
        <v>7665</v>
      </c>
      <c r="D5" s="140">
        <v>7726.9</v>
      </c>
      <c r="E5" s="140">
        <v>7729.9</v>
      </c>
      <c r="F5" s="140">
        <v>7703.3</v>
      </c>
      <c r="G5" s="140">
        <v>7686.7</v>
      </c>
      <c r="H5" s="140">
        <v>7668.3</v>
      </c>
      <c r="I5" s="140">
        <v>7665.1</v>
      </c>
      <c r="J5" s="140">
        <v>7651.2</v>
      </c>
      <c r="K5" s="140">
        <v>7659.5</v>
      </c>
      <c r="L5" s="140">
        <v>7690.6</v>
      </c>
      <c r="M5" s="140">
        <v>7676.2</v>
      </c>
      <c r="N5" s="140">
        <v>7630.6</v>
      </c>
      <c r="O5" s="140">
        <v>7685.6</v>
      </c>
      <c r="P5" s="140">
        <v>7705.7</v>
      </c>
      <c r="Q5" s="140">
        <v>7703.9</v>
      </c>
      <c r="R5" s="140">
        <v>7712.5</v>
      </c>
      <c r="S5" s="140">
        <v>7693.6</v>
      </c>
      <c r="T5" s="140">
        <v>7656.2</v>
      </c>
      <c r="U5" s="140">
        <v>7640.8</v>
      </c>
      <c r="V5" s="140">
        <v>7611.8</v>
      </c>
      <c r="W5" s="140">
        <v>7610.5</v>
      </c>
      <c r="X5" s="140">
        <v>7659.7</v>
      </c>
      <c r="Y5" s="140">
        <v>7660.4</v>
      </c>
      <c r="Z5" s="140">
        <v>7597.2</v>
      </c>
      <c r="AA5" s="140">
        <v>7554.5</v>
      </c>
      <c r="AB5" s="140">
        <v>7541.9</v>
      </c>
      <c r="AC5" s="140">
        <v>7538.5</v>
      </c>
      <c r="AD5" s="140">
        <v>7517</v>
      </c>
      <c r="AE5" s="140">
        <v>7473</v>
      </c>
      <c r="AF5" s="140">
        <v>7445.1</v>
      </c>
      <c r="AG5" s="140">
        <v>7419</v>
      </c>
      <c r="AH5" s="140">
        <v>7396.8</v>
      </c>
      <c r="AI5" s="140">
        <v>7376.6</v>
      </c>
      <c r="AJ5" s="140">
        <v>7379.5</v>
      </c>
      <c r="AK5" s="140">
        <v>7374.1</v>
      </c>
      <c r="AL5" s="140">
        <v>7296.7</v>
      </c>
      <c r="AM5" s="140">
        <v>7476</v>
      </c>
      <c r="AN5" s="140">
        <v>7486.1</v>
      </c>
      <c r="AO5" s="140">
        <v>7446.4</v>
      </c>
      <c r="AP5" s="140">
        <v>7346.3</v>
      </c>
      <c r="AQ5" s="140">
        <v>7319.5</v>
      </c>
      <c r="AR5" s="140">
        <v>7299.7</v>
      </c>
      <c r="AS5" s="140">
        <v>7289.3</v>
      </c>
      <c r="AT5" s="140">
        <v>7276</v>
      </c>
      <c r="AU5" s="140">
        <v>7302.8</v>
      </c>
      <c r="AV5" s="140">
        <v>7317.8</v>
      </c>
      <c r="AW5" s="140">
        <v>7322.8</v>
      </c>
      <c r="AX5" s="140">
        <v>7259.3</v>
      </c>
      <c r="AY5" s="140">
        <v>7075</v>
      </c>
      <c r="AZ5" s="140">
        <v>7103.6</v>
      </c>
      <c r="BA5" s="140">
        <v>7145.9</v>
      </c>
      <c r="BB5" s="140">
        <v>7155.2</v>
      </c>
      <c r="BC5" s="140">
        <v>7134</v>
      </c>
      <c r="BD5" s="140">
        <v>0</v>
      </c>
      <c r="BE5" s="140">
        <v>0</v>
      </c>
      <c r="BF5" s="140">
        <v>0</v>
      </c>
      <c r="BG5" s="140">
        <v>0</v>
      </c>
      <c r="BH5" s="140">
        <v>0</v>
      </c>
      <c r="BI5" s="140">
        <v>0</v>
      </c>
      <c r="BJ5" s="140">
        <v>0</v>
      </c>
    </row>
    <row r="6" spans="1:62" ht="25.5">
      <c r="A6">
        <v>1</v>
      </c>
      <c r="B6" s="307" t="s">
        <v>305</v>
      </c>
      <c r="C6" s="140">
        <v>417.6</v>
      </c>
      <c r="D6" s="140">
        <v>414.8</v>
      </c>
      <c r="E6" s="140">
        <v>439.8</v>
      </c>
      <c r="F6" s="140">
        <v>471.4</v>
      </c>
      <c r="G6" s="140">
        <v>484.9</v>
      </c>
      <c r="H6" s="140">
        <v>492</v>
      </c>
      <c r="I6" s="140">
        <v>501.2</v>
      </c>
      <c r="J6" s="140">
        <v>499.4</v>
      </c>
      <c r="K6" s="140">
        <v>498.3</v>
      </c>
      <c r="L6" s="140">
        <v>492.8</v>
      </c>
      <c r="M6" s="140">
        <v>466.8</v>
      </c>
      <c r="N6" s="140">
        <v>430.5</v>
      </c>
      <c r="O6" s="140">
        <v>407.1</v>
      </c>
      <c r="P6" s="140">
        <v>408</v>
      </c>
      <c r="Q6" s="140">
        <v>413.1</v>
      </c>
      <c r="R6" s="140">
        <v>450.6</v>
      </c>
      <c r="S6" s="140">
        <v>470.1</v>
      </c>
      <c r="T6" s="140">
        <v>477.7</v>
      </c>
      <c r="U6" s="140">
        <v>483.7</v>
      </c>
      <c r="V6" s="140">
        <v>483.6</v>
      </c>
      <c r="W6" s="140">
        <v>484.1</v>
      </c>
      <c r="X6" s="140">
        <v>481.4</v>
      </c>
      <c r="Y6" s="140">
        <v>457.2</v>
      </c>
      <c r="Z6" s="140">
        <v>419.8</v>
      </c>
      <c r="AA6" s="140">
        <v>408</v>
      </c>
      <c r="AB6" s="140">
        <v>405.1</v>
      </c>
      <c r="AC6" s="140">
        <v>421.3</v>
      </c>
      <c r="AD6" s="140">
        <v>450.1</v>
      </c>
      <c r="AE6" s="140">
        <v>459.7</v>
      </c>
      <c r="AF6" s="140">
        <v>464.9</v>
      </c>
      <c r="AG6" s="140">
        <v>467.5</v>
      </c>
      <c r="AH6" s="140">
        <v>465.8</v>
      </c>
      <c r="AI6" s="140">
        <v>465.3</v>
      </c>
      <c r="AJ6" s="140">
        <v>457.4</v>
      </c>
      <c r="AK6" s="140">
        <v>429.5</v>
      </c>
      <c r="AL6" s="140">
        <v>391.5</v>
      </c>
      <c r="AM6" s="140">
        <v>376.5</v>
      </c>
      <c r="AN6" s="140">
        <v>377.4</v>
      </c>
      <c r="AO6" s="140">
        <v>395.5</v>
      </c>
      <c r="AP6" s="140">
        <v>410.1</v>
      </c>
      <c r="AQ6" s="140">
        <v>419.7</v>
      </c>
      <c r="AR6" s="140">
        <v>426.1</v>
      </c>
      <c r="AS6" s="140">
        <v>432</v>
      </c>
      <c r="AT6" s="140">
        <v>430.2</v>
      </c>
      <c r="AU6" s="140">
        <v>431.8</v>
      </c>
      <c r="AV6" s="140">
        <v>428.8</v>
      </c>
      <c r="AW6" s="140">
        <v>409.9</v>
      </c>
      <c r="AX6" s="140">
        <v>378.3</v>
      </c>
      <c r="AY6" s="140">
        <v>360.4</v>
      </c>
      <c r="AZ6" s="140">
        <v>358.2</v>
      </c>
      <c r="BA6" s="140">
        <v>370.5</v>
      </c>
      <c r="BB6" s="140">
        <v>401.1</v>
      </c>
      <c r="BC6" s="140">
        <v>411</v>
      </c>
      <c r="BD6" s="140">
        <v>0</v>
      </c>
      <c r="BE6" s="140">
        <v>0</v>
      </c>
      <c r="BF6" s="140">
        <v>0</v>
      </c>
      <c r="BG6" s="140">
        <v>0</v>
      </c>
      <c r="BH6" s="140">
        <v>0</v>
      </c>
      <c r="BI6" s="140">
        <v>0</v>
      </c>
      <c r="BJ6" s="140">
        <v>0</v>
      </c>
    </row>
    <row r="7" spans="1:62">
      <c r="B7" s="304" t="s">
        <v>306</v>
      </c>
      <c r="C7" s="140">
        <v>357.2</v>
      </c>
      <c r="D7" s="140">
        <v>354.2</v>
      </c>
      <c r="E7" s="140">
        <v>378.5</v>
      </c>
      <c r="F7" s="140">
        <v>409.1</v>
      </c>
      <c r="G7" s="140">
        <v>422.7</v>
      </c>
      <c r="H7" s="140">
        <v>429.2</v>
      </c>
      <c r="I7" s="140">
        <v>438.3</v>
      </c>
      <c r="J7" s="140">
        <v>436.5</v>
      </c>
      <c r="K7" s="140">
        <v>435.2</v>
      </c>
      <c r="L7" s="140">
        <v>430.1</v>
      </c>
      <c r="M7" s="140">
        <v>404.9</v>
      </c>
      <c r="N7" s="140">
        <v>369.1</v>
      </c>
      <c r="O7" s="140">
        <v>346</v>
      </c>
      <c r="P7" s="140">
        <v>346.7</v>
      </c>
      <c r="Q7" s="140">
        <v>351.8</v>
      </c>
      <c r="R7" s="140">
        <v>388.4</v>
      </c>
      <c r="S7" s="140">
        <v>407.8</v>
      </c>
      <c r="T7" s="140">
        <v>415.1</v>
      </c>
      <c r="U7" s="140">
        <v>420.8</v>
      </c>
      <c r="V7" s="140">
        <v>420.7</v>
      </c>
      <c r="W7" s="140">
        <v>421.2</v>
      </c>
      <c r="X7" s="140">
        <v>418.7</v>
      </c>
      <c r="Y7" s="140">
        <v>395.2</v>
      </c>
      <c r="Z7" s="140">
        <v>358.6</v>
      </c>
      <c r="AA7" s="140">
        <v>349.8</v>
      </c>
      <c r="AB7" s="140">
        <v>346.9</v>
      </c>
      <c r="AC7" s="140">
        <v>362.8</v>
      </c>
      <c r="AD7" s="140">
        <v>390.6</v>
      </c>
      <c r="AE7" s="140">
        <v>400.8</v>
      </c>
      <c r="AF7" s="140">
        <v>405.9</v>
      </c>
      <c r="AG7" s="140">
        <v>409.3</v>
      </c>
      <c r="AH7" s="140">
        <v>408</v>
      </c>
      <c r="AI7" s="140">
        <v>408</v>
      </c>
      <c r="AJ7" s="140">
        <v>401.1</v>
      </c>
      <c r="AK7" s="140">
        <v>374.2</v>
      </c>
      <c r="AL7" s="140">
        <v>337.2</v>
      </c>
      <c r="AM7" s="140">
        <v>324.5</v>
      </c>
      <c r="AN7" s="140">
        <v>325.7</v>
      </c>
      <c r="AO7" s="140">
        <v>343.7</v>
      </c>
      <c r="AP7" s="140">
        <v>358.2</v>
      </c>
      <c r="AQ7" s="140">
        <v>367.8</v>
      </c>
      <c r="AR7" s="140">
        <v>373.8</v>
      </c>
      <c r="AS7" s="140">
        <v>379.7</v>
      </c>
      <c r="AT7" s="140">
        <v>378</v>
      </c>
      <c r="AU7" s="140">
        <v>379.7</v>
      </c>
      <c r="AV7" s="140">
        <v>377.1</v>
      </c>
      <c r="AW7" s="140">
        <v>358.8</v>
      </c>
      <c r="AX7" s="140">
        <v>327.8</v>
      </c>
      <c r="AY7" s="140">
        <v>306.7</v>
      </c>
      <c r="AZ7" s="140">
        <v>304.7</v>
      </c>
      <c r="BA7" s="140">
        <v>317</v>
      </c>
      <c r="BB7" s="140">
        <v>347.1</v>
      </c>
      <c r="BC7" s="140">
        <v>357.6</v>
      </c>
      <c r="BD7" s="140">
        <v>0</v>
      </c>
      <c r="BE7" s="140">
        <v>0</v>
      </c>
      <c r="BF7" s="140">
        <v>0</v>
      </c>
      <c r="BG7" s="140">
        <v>0</v>
      </c>
      <c r="BH7" s="140">
        <v>0</v>
      </c>
      <c r="BI7" s="140">
        <v>0</v>
      </c>
      <c r="BJ7" s="140">
        <v>0</v>
      </c>
    </row>
    <row r="8" spans="1:62">
      <c r="A8">
        <v>2</v>
      </c>
      <c r="B8" s="304" t="s">
        <v>307</v>
      </c>
      <c r="C8" s="140">
        <v>1937.4</v>
      </c>
      <c r="D8" s="140">
        <v>1942.3</v>
      </c>
      <c r="E8" s="140">
        <v>1916.1</v>
      </c>
      <c r="F8" s="140">
        <v>1896.9</v>
      </c>
      <c r="G8" s="140">
        <v>1887.5</v>
      </c>
      <c r="H8" s="140">
        <v>1877.3</v>
      </c>
      <c r="I8" s="140">
        <v>1878</v>
      </c>
      <c r="J8" s="140">
        <v>1877.6</v>
      </c>
      <c r="K8" s="140">
        <v>1875.9</v>
      </c>
      <c r="L8" s="140">
        <v>1884.1</v>
      </c>
      <c r="M8" s="140">
        <v>1878.1</v>
      </c>
      <c r="N8" s="140">
        <v>1872.6</v>
      </c>
      <c r="O8" s="140">
        <v>1870.5</v>
      </c>
      <c r="P8" s="140">
        <v>1870.2</v>
      </c>
      <c r="Q8" s="140">
        <v>1870</v>
      </c>
      <c r="R8" s="140">
        <v>1860.9</v>
      </c>
      <c r="S8" s="140">
        <v>1851.6</v>
      </c>
      <c r="T8" s="140">
        <v>1839.6</v>
      </c>
      <c r="U8" s="140">
        <v>1838.2</v>
      </c>
      <c r="V8" s="140">
        <v>1831.3</v>
      </c>
      <c r="W8" s="140">
        <v>1832.7</v>
      </c>
      <c r="X8" s="140">
        <v>1844.1</v>
      </c>
      <c r="Y8" s="140">
        <v>1855.2</v>
      </c>
      <c r="Z8" s="140">
        <v>1846.2</v>
      </c>
      <c r="AA8" s="140">
        <v>1907</v>
      </c>
      <c r="AB8" s="140">
        <v>1904.1</v>
      </c>
      <c r="AC8" s="140">
        <v>1902.5</v>
      </c>
      <c r="AD8" s="140">
        <v>1886.8</v>
      </c>
      <c r="AE8" s="140">
        <v>1868.2</v>
      </c>
      <c r="AF8" s="140">
        <v>1859.7</v>
      </c>
      <c r="AG8" s="140">
        <v>1854.6</v>
      </c>
      <c r="AH8" s="140">
        <v>1851</v>
      </c>
      <c r="AI8" s="140">
        <v>1844.9</v>
      </c>
      <c r="AJ8" s="140">
        <v>1845.4</v>
      </c>
      <c r="AK8" s="140">
        <v>1848.8</v>
      </c>
      <c r="AL8" s="140">
        <v>1832.6</v>
      </c>
      <c r="AM8" s="140">
        <v>1847.7</v>
      </c>
      <c r="AN8" s="140">
        <v>1847.4</v>
      </c>
      <c r="AO8" s="140">
        <v>1836.8</v>
      </c>
      <c r="AP8" s="140">
        <v>1808.9</v>
      </c>
      <c r="AQ8" s="140">
        <v>1783.2</v>
      </c>
      <c r="AR8" s="140">
        <v>1781.4</v>
      </c>
      <c r="AS8" s="140">
        <v>1777</v>
      </c>
      <c r="AT8" s="140">
        <v>1772.7</v>
      </c>
      <c r="AU8" s="140">
        <v>1771.3</v>
      </c>
      <c r="AV8" s="140">
        <v>1775</v>
      </c>
      <c r="AW8" s="140">
        <v>1783.8</v>
      </c>
      <c r="AX8" s="140">
        <v>1772.3</v>
      </c>
      <c r="AY8" s="140">
        <v>1788.9</v>
      </c>
      <c r="AZ8" s="140">
        <v>1791.7</v>
      </c>
      <c r="BA8" s="140">
        <v>1789.7</v>
      </c>
      <c r="BB8" s="140">
        <v>1779.6</v>
      </c>
      <c r="BC8" s="140">
        <v>1768.6</v>
      </c>
      <c r="BD8" s="140">
        <v>0</v>
      </c>
      <c r="BE8" s="140">
        <v>0</v>
      </c>
      <c r="BF8" s="140">
        <v>0</v>
      </c>
      <c r="BG8" s="140">
        <v>0</v>
      </c>
      <c r="BH8" s="140">
        <v>0</v>
      </c>
      <c r="BI8" s="140">
        <v>0</v>
      </c>
      <c r="BJ8" s="140">
        <v>0</v>
      </c>
    </row>
    <row r="9" spans="1:62">
      <c r="A9">
        <v>3</v>
      </c>
      <c r="B9" s="304" t="s">
        <v>308</v>
      </c>
      <c r="C9" s="140">
        <v>162.4</v>
      </c>
      <c r="D9" s="140">
        <v>161.4</v>
      </c>
      <c r="E9" s="140">
        <v>163.30000000000001</v>
      </c>
      <c r="F9" s="140">
        <v>167.4</v>
      </c>
      <c r="G9" s="140">
        <v>168.4</v>
      </c>
      <c r="H9" s="140">
        <v>168.1</v>
      </c>
      <c r="I9" s="140">
        <v>168.9</v>
      </c>
      <c r="J9" s="140">
        <v>169.9</v>
      </c>
      <c r="K9" s="140">
        <v>169</v>
      </c>
      <c r="L9" s="140">
        <v>168.8</v>
      </c>
      <c r="M9" s="140">
        <v>168.4</v>
      </c>
      <c r="N9" s="140">
        <v>166.2</v>
      </c>
      <c r="O9" s="140">
        <v>175.3</v>
      </c>
      <c r="P9" s="140">
        <v>175.3</v>
      </c>
      <c r="Q9" s="140">
        <v>175.6</v>
      </c>
      <c r="R9" s="140">
        <v>176.5</v>
      </c>
      <c r="S9" s="140">
        <v>178.9</v>
      </c>
      <c r="T9" s="140">
        <v>178.7</v>
      </c>
      <c r="U9" s="140">
        <v>180.1</v>
      </c>
      <c r="V9" s="140">
        <v>180</v>
      </c>
      <c r="W9" s="140">
        <v>180.4</v>
      </c>
      <c r="X9" s="140">
        <v>182.1</v>
      </c>
      <c r="Y9" s="140">
        <v>182.4</v>
      </c>
      <c r="Z9" s="140">
        <v>179.2</v>
      </c>
      <c r="AA9" s="140">
        <v>191.8</v>
      </c>
      <c r="AB9" s="140">
        <v>190.9</v>
      </c>
      <c r="AC9" s="140">
        <v>192.9</v>
      </c>
      <c r="AD9" s="140">
        <v>194.1</v>
      </c>
      <c r="AE9" s="140">
        <v>196.4</v>
      </c>
      <c r="AF9" s="140">
        <v>196.2</v>
      </c>
      <c r="AG9" s="140">
        <v>197</v>
      </c>
      <c r="AH9" s="140">
        <v>196.3</v>
      </c>
      <c r="AI9" s="140">
        <v>194.9</v>
      </c>
      <c r="AJ9" s="140">
        <v>195</v>
      </c>
      <c r="AK9" s="140">
        <v>193.2</v>
      </c>
      <c r="AL9" s="140">
        <v>186.1</v>
      </c>
      <c r="AM9" s="140">
        <v>195.7</v>
      </c>
      <c r="AN9" s="140">
        <v>194.8</v>
      </c>
      <c r="AO9" s="140">
        <v>193.1</v>
      </c>
      <c r="AP9" s="140">
        <v>191.7</v>
      </c>
      <c r="AQ9" s="140">
        <v>193.1</v>
      </c>
      <c r="AR9" s="140">
        <v>195.5</v>
      </c>
      <c r="AS9" s="140">
        <v>195.6</v>
      </c>
      <c r="AT9" s="140">
        <v>197</v>
      </c>
      <c r="AU9" s="140">
        <v>198.8</v>
      </c>
      <c r="AV9" s="140">
        <v>199.7</v>
      </c>
      <c r="AW9" s="140">
        <v>199.1</v>
      </c>
      <c r="AX9" s="140">
        <v>195.7</v>
      </c>
      <c r="AY9" s="140">
        <v>206.9</v>
      </c>
      <c r="AZ9" s="140">
        <v>207.3</v>
      </c>
      <c r="BA9" s="140">
        <v>211.7</v>
      </c>
      <c r="BB9" s="140">
        <v>217</v>
      </c>
      <c r="BC9" s="140">
        <v>220.8</v>
      </c>
      <c r="BD9" s="140">
        <v>0</v>
      </c>
      <c r="BE9" s="140">
        <v>0</v>
      </c>
      <c r="BF9" s="140">
        <v>0</v>
      </c>
      <c r="BG9" s="140">
        <v>0</v>
      </c>
      <c r="BH9" s="140">
        <v>0</v>
      </c>
      <c r="BI9" s="140">
        <v>0</v>
      </c>
      <c r="BJ9" s="140">
        <v>0</v>
      </c>
    </row>
    <row r="10" spans="1:62" ht="25.5">
      <c r="A10">
        <v>4</v>
      </c>
      <c r="B10" s="304" t="s">
        <v>309</v>
      </c>
      <c r="C10" s="140">
        <v>666.3</v>
      </c>
      <c r="D10" s="140">
        <v>697.9</v>
      </c>
      <c r="E10" s="140">
        <v>703.8</v>
      </c>
      <c r="F10" s="140">
        <v>696</v>
      </c>
      <c r="G10" s="140">
        <v>698.4</v>
      </c>
      <c r="H10" s="140">
        <v>697.6</v>
      </c>
      <c r="I10" s="140">
        <v>699.8</v>
      </c>
      <c r="J10" s="140">
        <v>697.8</v>
      </c>
      <c r="K10" s="140">
        <v>695</v>
      </c>
      <c r="L10" s="140">
        <v>700.1</v>
      </c>
      <c r="M10" s="140">
        <v>703.2</v>
      </c>
      <c r="N10" s="140">
        <v>704.8</v>
      </c>
      <c r="O10" s="140">
        <v>769.3</v>
      </c>
      <c r="P10" s="140">
        <v>767.2</v>
      </c>
      <c r="Q10" s="140">
        <v>765.1</v>
      </c>
      <c r="R10" s="140">
        <v>763.5</v>
      </c>
      <c r="S10" s="140">
        <v>763.1</v>
      </c>
      <c r="T10" s="140">
        <v>758.4</v>
      </c>
      <c r="U10" s="140">
        <v>760.9</v>
      </c>
      <c r="V10" s="140">
        <v>759.6</v>
      </c>
      <c r="W10" s="140">
        <v>746.6</v>
      </c>
      <c r="X10" s="140">
        <v>755</v>
      </c>
      <c r="Y10" s="140">
        <v>760.3</v>
      </c>
      <c r="Z10" s="140">
        <v>761.6</v>
      </c>
      <c r="AA10" s="140">
        <v>786.5</v>
      </c>
      <c r="AB10" s="140">
        <v>782.5</v>
      </c>
      <c r="AC10" s="140">
        <v>777.2</v>
      </c>
      <c r="AD10" s="140">
        <v>767.7</v>
      </c>
      <c r="AE10" s="140">
        <v>764.9</v>
      </c>
      <c r="AF10" s="140">
        <v>759.2</v>
      </c>
      <c r="AG10" s="140">
        <v>760</v>
      </c>
      <c r="AH10" s="140">
        <v>758.6</v>
      </c>
      <c r="AI10" s="140">
        <v>756.8</v>
      </c>
      <c r="AJ10" s="140">
        <v>753.8</v>
      </c>
      <c r="AK10" s="140">
        <v>756.4</v>
      </c>
      <c r="AL10" s="140">
        <v>760.9</v>
      </c>
      <c r="AM10" s="140">
        <v>812.8</v>
      </c>
      <c r="AN10" s="140">
        <v>811</v>
      </c>
      <c r="AO10" s="140">
        <v>806.3</v>
      </c>
      <c r="AP10" s="140">
        <v>790.9</v>
      </c>
      <c r="AQ10" s="140">
        <v>786.5</v>
      </c>
      <c r="AR10" s="140">
        <v>778</v>
      </c>
      <c r="AS10" s="140">
        <v>779.7</v>
      </c>
      <c r="AT10" s="140">
        <v>780</v>
      </c>
      <c r="AU10" s="140">
        <v>786.6</v>
      </c>
      <c r="AV10" s="140">
        <v>787</v>
      </c>
      <c r="AW10" s="140">
        <v>790</v>
      </c>
      <c r="AX10" s="140">
        <v>787.8</v>
      </c>
      <c r="AY10" s="140">
        <v>809.3</v>
      </c>
      <c r="AZ10" s="140">
        <v>813.6</v>
      </c>
      <c r="BA10" s="140">
        <v>809.9</v>
      </c>
      <c r="BB10" s="140">
        <v>807.2</v>
      </c>
      <c r="BC10" s="140">
        <v>803.9</v>
      </c>
      <c r="BD10" s="140">
        <v>0</v>
      </c>
      <c r="BE10" s="140">
        <v>0</v>
      </c>
      <c r="BF10" s="140">
        <v>0</v>
      </c>
      <c r="BG10" s="140">
        <v>0</v>
      </c>
      <c r="BH10" s="140">
        <v>0</v>
      </c>
      <c r="BI10" s="140">
        <v>0</v>
      </c>
      <c r="BJ10" s="140">
        <v>0</v>
      </c>
    </row>
    <row r="11" spans="1:62" ht="25.5">
      <c r="A11">
        <v>5</v>
      </c>
      <c r="B11" s="304" t="s">
        <v>310</v>
      </c>
      <c r="C11" s="140">
        <v>666.6</v>
      </c>
      <c r="D11" s="140">
        <v>666</v>
      </c>
      <c r="E11" s="140">
        <v>666.2</v>
      </c>
      <c r="F11" s="140">
        <v>665.6</v>
      </c>
      <c r="G11" s="140">
        <v>663.1</v>
      </c>
      <c r="H11" s="140">
        <v>657.1</v>
      </c>
      <c r="I11" s="140">
        <v>655.29999999999995</v>
      </c>
      <c r="J11" s="140">
        <v>647.9</v>
      </c>
      <c r="K11" s="140">
        <v>644.9</v>
      </c>
      <c r="L11" s="140">
        <v>643</v>
      </c>
      <c r="M11" s="140">
        <v>643.20000000000005</v>
      </c>
      <c r="N11" s="140">
        <v>643.9</v>
      </c>
      <c r="O11" s="140">
        <v>654.6</v>
      </c>
      <c r="P11" s="140">
        <v>655.8</v>
      </c>
      <c r="Q11" s="140">
        <v>655.20000000000005</v>
      </c>
      <c r="R11" s="140">
        <v>653.5</v>
      </c>
      <c r="S11" s="140">
        <v>651.79999999999995</v>
      </c>
      <c r="T11" s="140">
        <v>649.1</v>
      </c>
      <c r="U11" s="140">
        <v>649.4</v>
      </c>
      <c r="V11" s="140">
        <v>647.1</v>
      </c>
      <c r="W11" s="140">
        <v>642.9</v>
      </c>
      <c r="X11" s="140">
        <v>643</v>
      </c>
      <c r="Y11" s="140">
        <v>640</v>
      </c>
      <c r="Z11" s="140">
        <v>638.20000000000005</v>
      </c>
      <c r="AA11" s="140">
        <v>651.70000000000005</v>
      </c>
      <c r="AB11" s="140">
        <v>652</v>
      </c>
      <c r="AC11" s="140">
        <v>650</v>
      </c>
      <c r="AD11" s="140">
        <v>647.5</v>
      </c>
      <c r="AE11" s="140">
        <v>645.20000000000005</v>
      </c>
      <c r="AF11" s="140">
        <v>642.4</v>
      </c>
      <c r="AG11" s="140">
        <v>632.20000000000005</v>
      </c>
      <c r="AH11" s="140">
        <v>627.70000000000005</v>
      </c>
      <c r="AI11" s="140">
        <v>620.1</v>
      </c>
      <c r="AJ11" s="140">
        <v>618.6</v>
      </c>
      <c r="AK11" s="140">
        <v>616.5</v>
      </c>
      <c r="AL11" s="140">
        <v>616.70000000000005</v>
      </c>
      <c r="AM11" s="140">
        <v>637.1</v>
      </c>
      <c r="AN11" s="140">
        <v>639.20000000000005</v>
      </c>
      <c r="AO11" s="140">
        <v>629</v>
      </c>
      <c r="AP11" s="140">
        <v>624.1</v>
      </c>
      <c r="AQ11" s="140">
        <v>624.4</v>
      </c>
      <c r="AR11" s="140">
        <v>625.79999999999995</v>
      </c>
      <c r="AS11" s="140">
        <v>627.4</v>
      </c>
      <c r="AT11" s="140">
        <v>622.4</v>
      </c>
      <c r="AU11" s="140">
        <v>620.20000000000005</v>
      </c>
      <c r="AV11" s="140">
        <v>621.20000000000005</v>
      </c>
      <c r="AW11" s="140">
        <v>620.5</v>
      </c>
      <c r="AX11" s="140">
        <v>617.79999999999995</v>
      </c>
      <c r="AY11" s="140">
        <v>624.4</v>
      </c>
      <c r="AZ11" s="140">
        <v>621.1</v>
      </c>
      <c r="BA11" s="140">
        <v>621.70000000000005</v>
      </c>
      <c r="BB11" s="140">
        <v>617.1</v>
      </c>
      <c r="BC11" s="140">
        <v>616.1</v>
      </c>
      <c r="BD11" s="140">
        <v>0</v>
      </c>
      <c r="BE11" s="140">
        <v>0</v>
      </c>
      <c r="BF11" s="140">
        <v>0</v>
      </c>
      <c r="BG11" s="140">
        <v>0</v>
      </c>
      <c r="BH11" s="140">
        <v>0</v>
      </c>
      <c r="BI11" s="140">
        <v>0</v>
      </c>
      <c r="BJ11" s="140">
        <v>0</v>
      </c>
    </row>
    <row r="12" spans="1:62">
      <c r="B12" s="305" t="s">
        <v>311</v>
      </c>
      <c r="C12" s="140">
        <v>276.5</v>
      </c>
      <c r="D12" s="140">
        <v>276</v>
      </c>
      <c r="E12" s="140">
        <v>275.60000000000002</v>
      </c>
      <c r="F12" s="140">
        <v>274.39999999999998</v>
      </c>
      <c r="G12" s="140">
        <v>282.3</v>
      </c>
      <c r="H12" s="140">
        <v>276.5</v>
      </c>
      <c r="I12" s="140">
        <v>274.7</v>
      </c>
      <c r="J12" s="140">
        <v>265.60000000000002</v>
      </c>
      <c r="K12" s="140">
        <v>264.39999999999998</v>
      </c>
      <c r="L12" s="140">
        <v>263.89999999999998</v>
      </c>
      <c r="M12" s="140">
        <v>265.5</v>
      </c>
      <c r="N12" s="140">
        <v>265.7</v>
      </c>
      <c r="O12" s="140">
        <v>257.60000000000002</v>
      </c>
      <c r="P12" s="140">
        <v>257.60000000000002</v>
      </c>
      <c r="Q12" s="140">
        <v>256.5</v>
      </c>
      <c r="R12" s="140">
        <v>255.5</v>
      </c>
      <c r="S12" s="140">
        <v>254.1</v>
      </c>
      <c r="T12" s="140">
        <v>253.2</v>
      </c>
      <c r="U12" s="140">
        <v>252.9</v>
      </c>
      <c r="V12" s="140">
        <v>252.3</v>
      </c>
      <c r="W12" s="140">
        <v>251.6</v>
      </c>
      <c r="X12" s="140">
        <v>251.7</v>
      </c>
      <c r="Y12" s="140">
        <v>251.4</v>
      </c>
      <c r="Z12" s="140">
        <v>250.2</v>
      </c>
      <c r="AA12" s="140">
        <v>251.7</v>
      </c>
      <c r="AB12" s="140">
        <v>251.9</v>
      </c>
      <c r="AC12" s="140">
        <v>251.3</v>
      </c>
      <c r="AD12" s="140">
        <v>250.3</v>
      </c>
      <c r="AE12" s="140">
        <v>250</v>
      </c>
      <c r="AF12" s="140">
        <v>249</v>
      </c>
      <c r="AG12" s="140">
        <v>239.5</v>
      </c>
      <c r="AH12" s="140">
        <v>237.8</v>
      </c>
      <c r="AI12" s="140">
        <v>236</v>
      </c>
      <c r="AJ12" s="140">
        <v>235.5</v>
      </c>
      <c r="AK12" s="140">
        <v>236.5</v>
      </c>
      <c r="AL12" s="140">
        <v>237.2</v>
      </c>
      <c r="AM12" s="140">
        <v>254.1</v>
      </c>
      <c r="AN12" s="140">
        <v>253.6</v>
      </c>
      <c r="AO12" s="140">
        <v>249.8</v>
      </c>
      <c r="AP12" s="140">
        <v>244.3</v>
      </c>
      <c r="AQ12" s="140">
        <v>244</v>
      </c>
      <c r="AR12" s="140">
        <v>247.1</v>
      </c>
      <c r="AS12" s="140">
        <v>249.4</v>
      </c>
      <c r="AT12" s="140">
        <v>246.1</v>
      </c>
      <c r="AU12" s="140">
        <v>248.3</v>
      </c>
      <c r="AV12" s="140">
        <v>250.7</v>
      </c>
      <c r="AW12" s="140">
        <v>249.5</v>
      </c>
      <c r="AX12" s="140">
        <v>248.4</v>
      </c>
      <c r="AY12" s="140">
        <v>257.3</v>
      </c>
      <c r="AZ12" s="140">
        <v>253.6</v>
      </c>
      <c r="BA12" s="140">
        <v>254.1</v>
      </c>
      <c r="BB12" s="140">
        <v>252</v>
      </c>
      <c r="BC12" s="140">
        <v>252.2</v>
      </c>
      <c r="BD12" s="140">
        <v>0</v>
      </c>
      <c r="BE12" s="140">
        <v>0</v>
      </c>
      <c r="BF12" s="140">
        <v>0</v>
      </c>
      <c r="BG12" s="140">
        <v>0</v>
      </c>
      <c r="BH12" s="140">
        <v>0</v>
      </c>
      <c r="BI12" s="140">
        <v>0</v>
      </c>
      <c r="BJ12" s="140">
        <v>0</v>
      </c>
    </row>
    <row r="13" spans="1:62">
      <c r="B13" s="305" t="s">
        <v>312</v>
      </c>
      <c r="C13" s="140">
        <v>2.2999999999999998</v>
      </c>
      <c r="D13" s="140">
        <v>2.2999999999999998</v>
      </c>
      <c r="E13" s="140">
        <v>2.2999999999999998</v>
      </c>
      <c r="F13" s="140">
        <v>2.2999999999999998</v>
      </c>
      <c r="G13" s="140">
        <v>2.4</v>
      </c>
      <c r="H13" s="140">
        <v>2.2999999999999998</v>
      </c>
      <c r="I13" s="140">
        <v>2.4</v>
      </c>
      <c r="J13" s="140">
        <v>2.4</v>
      </c>
      <c r="K13" s="140">
        <v>2.4</v>
      </c>
      <c r="L13" s="140">
        <v>2.4</v>
      </c>
      <c r="M13" s="140">
        <v>2.2999999999999998</v>
      </c>
      <c r="N13" s="140">
        <v>2.2999999999999998</v>
      </c>
      <c r="O13" s="140">
        <v>2.4</v>
      </c>
      <c r="P13" s="140">
        <v>2.4</v>
      </c>
      <c r="Q13" s="140">
        <v>2.4</v>
      </c>
      <c r="R13" s="140">
        <v>2.6</v>
      </c>
      <c r="S13" s="140">
        <v>2.7</v>
      </c>
      <c r="T13" s="140">
        <v>2.7</v>
      </c>
      <c r="U13" s="140">
        <v>2.7</v>
      </c>
      <c r="V13" s="140">
        <v>2.7</v>
      </c>
      <c r="W13" s="140">
        <v>2.7</v>
      </c>
      <c r="X13" s="140">
        <v>2.7</v>
      </c>
      <c r="Y13" s="140">
        <v>2.6</v>
      </c>
      <c r="Z13" s="140">
        <v>2.6</v>
      </c>
      <c r="AA13" s="140">
        <v>2.6</v>
      </c>
      <c r="AB13" s="140">
        <v>2.6</v>
      </c>
      <c r="AC13" s="140">
        <v>2.7</v>
      </c>
      <c r="AD13" s="140">
        <v>2.8</v>
      </c>
      <c r="AE13" s="140">
        <v>2.9</v>
      </c>
      <c r="AF13" s="140">
        <v>2.9</v>
      </c>
      <c r="AG13" s="140">
        <v>2.9</v>
      </c>
      <c r="AH13" s="140">
        <v>3</v>
      </c>
      <c r="AI13" s="140">
        <v>2.9</v>
      </c>
      <c r="AJ13" s="140">
        <v>2.9</v>
      </c>
      <c r="AK13" s="140">
        <v>2.8</v>
      </c>
      <c r="AL13" s="140">
        <v>2.8</v>
      </c>
      <c r="AM13" s="140">
        <v>2.5</v>
      </c>
      <c r="AN13" s="140">
        <v>2.4</v>
      </c>
      <c r="AO13" s="140">
        <v>2.4</v>
      </c>
      <c r="AP13" s="140">
        <v>2.4</v>
      </c>
      <c r="AQ13" s="140">
        <v>2.4</v>
      </c>
      <c r="AR13" s="140">
        <v>2.4</v>
      </c>
      <c r="AS13" s="140">
        <v>2.4</v>
      </c>
      <c r="AT13" s="140">
        <v>2.4</v>
      </c>
      <c r="AU13" s="140">
        <v>2.2999999999999998</v>
      </c>
      <c r="AV13" s="140">
        <v>2.2999999999999998</v>
      </c>
      <c r="AW13" s="140">
        <v>2.2999999999999998</v>
      </c>
      <c r="AX13" s="140">
        <v>2.2999999999999998</v>
      </c>
      <c r="AY13" s="140">
        <v>2.5</v>
      </c>
      <c r="AZ13" s="140">
        <v>2.4</v>
      </c>
      <c r="BA13" s="140">
        <v>2.2999999999999998</v>
      </c>
      <c r="BB13" s="140">
        <v>2.2000000000000002</v>
      </c>
      <c r="BC13" s="140">
        <v>2.5</v>
      </c>
      <c r="BD13" s="140">
        <v>0</v>
      </c>
      <c r="BE13" s="140">
        <v>0</v>
      </c>
      <c r="BF13" s="140">
        <v>0</v>
      </c>
      <c r="BG13" s="140">
        <v>0</v>
      </c>
      <c r="BH13" s="140">
        <v>0</v>
      </c>
      <c r="BI13" s="140">
        <v>0</v>
      </c>
      <c r="BJ13" s="140">
        <v>0</v>
      </c>
    </row>
    <row r="14" spans="1:62">
      <c r="B14" s="305" t="s">
        <v>313</v>
      </c>
      <c r="C14" s="140">
        <v>7.7</v>
      </c>
      <c r="D14" s="140">
        <v>7.7</v>
      </c>
      <c r="E14" s="140">
        <v>7.9</v>
      </c>
      <c r="F14" s="140">
        <v>8</v>
      </c>
      <c r="G14" s="140">
        <v>8.1</v>
      </c>
      <c r="H14" s="140">
        <v>8.1999999999999993</v>
      </c>
      <c r="I14" s="140">
        <v>8.5</v>
      </c>
      <c r="J14" s="140">
        <v>8.4</v>
      </c>
      <c r="K14" s="140">
        <v>8.5</v>
      </c>
      <c r="L14" s="140">
        <v>8.6</v>
      </c>
      <c r="M14" s="140">
        <v>8.5</v>
      </c>
      <c r="N14" s="140">
        <v>8.4</v>
      </c>
      <c r="O14" s="140">
        <v>7.9</v>
      </c>
      <c r="P14" s="140">
        <v>8</v>
      </c>
      <c r="Q14" s="140">
        <v>8.1</v>
      </c>
      <c r="R14" s="140">
        <v>8.1</v>
      </c>
      <c r="S14" s="140">
        <v>8.1</v>
      </c>
      <c r="T14" s="140">
        <v>8.1999999999999993</v>
      </c>
      <c r="U14" s="140">
        <v>8.1999999999999993</v>
      </c>
      <c r="V14" s="140">
        <v>8.3000000000000007</v>
      </c>
      <c r="W14" s="140">
        <v>8.3000000000000007</v>
      </c>
      <c r="X14" s="140">
        <v>8.3000000000000007</v>
      </c>
      <c r="Y14" s="140">
        <v>7.9</v>
      </c>
      <c r="Z14" s="140">
        <v>7.8</v>
      </c>
      <c r="AA14" s="140">
        <v>16.399999999999999</v>
      </c>
      <c r="AB14" s="140">
        <v>16.3</v>
      </c>
      <c r="AC14" s="140">
        <v>16.3</v>
      </c>
      <c r="AD14" s="140">
        <v>16.3</v>
      </c>
      <c r="AE14" s="140">
        <v>16.3</v>
      </c>
      <c r="AF14" s="140">
        <v>16.3</v>
      </c>
      <c r="AG14" s="140">
        <v>16.3</v>
      </c>
      <c r="AH14" s="140">
        <v>16.2</v>
      </c>
      <c r="AI14" s="140">
        <v>16.100000000000001</v>
      </c>
      <c r="AJ14" s="140">
        <v>16.100000000000001</v>
      </c>
      <c r="AK14" s="140">
        <v>16.100000000000001</v>
      </c>
      <c r="AL14" s="140">
        <v>16</v>
      </c>
      <c r="AM14" s="140">
        <v>16.600000000000001</v>
      </c>
      <c r="AN14" s="140">
        <v>16.5</v>
      </c>
      <c r="AO14" s="140">
        <v>16.399999999999999</v>
      </c>
      <c r="AP14" s="140">
        <v>16.2</v>
      </c>
      <c r="AQ14" s="140">
        <v>16.2</v>
      </c>
      <c r="AR14" s="140">
        <v>16.100000000000001</v>
      </c>
      <c r="AS14" s="140">
        <v>15.8</v>
      </c>
      <c r="AT14" s="140">
        <v>15.6</v>
      </c>
      <c r="AU14" s="140">
        <v>15.5</v>
      </c>
      <c r="AV14" s="140">
        <v>15.6</v>
      </c>
      <c r="AW14" s="140">
        <v>15.6</v>
      </c>
      <c r="AX14" s="140">
        <v>15.5</v>
      </c>
      <c r="AY14" s="140">
        <v>15.1</v>
      </c>
      <c r="AZ14" s="140">
        <v>15.1</v>
      </c>
      <c r="BA14" s="140">
        <v>15.1</v>
      </c>
      <c r="BB14" s="140">
        <v>15.2</v>
      </c>
      <c r="BC14" s="140">
        <v>15.2</v>
      </c>
      <c r="BD14" s="140">
        <v>0</v>
      </c>
      <c r="BE14" s="140">
        <v>0</v>
      </c>
      <c r="BF14" s="140">
        <v>0</v>
      </c>
      <c r="BG14" s="140">
        <v>0</v>
      </c>
      <c r="BH14" s="140">
        <v>0</v>
      </c>
      <c r="BI14" s="140">
        <v>0</v>
      </c>
      <c r="BJ14" s="140">
        <v>0</v>
      </c>
    </row>
    <row r="15" spans="1:62" ht="25.5">
      <c r="B15" s="305" t="s">
        <v>314</v>
      </c>
      <c r="C15" s="140">
        <v>304.60000000000002</v>
      </c>
      <c r="D15" s="140">
        <v>303.89999999999998</v>
      </c>
      <c r="E15" s="140">
        <v>303.60000000000002</v>
      </c>
      <c r="F15" s="140">
        <v>303.7</v>
      </c>
      <c r="G15" s="140">
        <v>293.39999999999998</v>
      </c>
      <c r="H15" s="140">
        <v>293.3</v>
      </c>
      <c r="I15" s="140">
        <v>293.2</v>
      </c>
      <c r="J15" s="140">
        <v>295.3</v>
      </c>
      <c r="K15" s="140">
        <v>294.10000000000002</v>
      </c>
      <c r="L15" s="140">
        <v>293.5</v>
      </c>
      <c r="M15" s="140">
        <v>291.8</v>
      </c>
      <c r="N15" s="140">
        <v>292.2</v>
      </c>
      <c r="O15" s="140">
        <v>311.5</v>
      </c>
      <c r="P15" s="140">
        <v>312.39999999999998</v>
      </c>
      <c r="Q15" s="140">
        <v>312.5</v>
      </c>
      <c r="R15" s="140">
        <v>311.89999999999998</v>
      </c>
      <c r="S15" s="140">
        <v>311.7</v>
      </c>
      <c r="T15" s="140">
        <v>309.39999999999998</v>
      </c>
      <c r="U15" s="140">
        <v>310.39999999999998</v>
      </c>
      <c r="V15" s="140">
        <v>309.10000000000002</v>
      </c>
      <c r="W15" s="140">
        <v>307.2</v>
      </c>
      <c r="X15" s="140">
        <v>307.5</v>
      </c>
      <c r="Y15" s="140">
        <v>306.89999999999998</v>
      </c>
      <c r="Z15" s="140">
        <v>307.3</v>
      </c>
      <c r="AA15" s="140">
        <v>311.3</v>
      </c>
      <c r="AB15" s="140">
        <v>311.39999999999998</v>
      </c>
      <c r="AC15" s="140">
        <v>310.10000000000002</v>
      </c>
      <c r="AD15" s="140">
        <v>308.89999999999998</v>
      </c>
      <c r="AE15" s="140">
        <v>307.10000000000002</v>
      </c>
      <c r="AF15" s="140">
        <v>305.39999999999998</v>
      </c>
      <c r="AG15" s="140">
        <v>304.89999999999998</v>
      </c>
      <c r="AH15" s="140">
        <v>302.2</v>
      </c>
      <c r="AI15" s="140">
        <v>297.10000000000002</v>
      </c>
      <c r="AJ15" s="140">
        <v>296.39999999999998</v>
      </c>
      <c r="AK15" s="140">
        <v>293.5</v>
      </c>
      <c r="AL15" s="140">
        <v>293.3</v>
      </c>
      <c r="AM15" s="140">
        <v>296.7</v>
      </c>
      <c r="AN15" s="140">
        <v>299.5</v>
      </c>
      <c r="AO15" s="140">
        <v>293.39999999999998</v>
      </c>
      <c r="AP15" s="140">
        <v>295</v>
      </c>
      <c r="AQ15" s="140">
        <v>295.3</v>
      </c>
      <c r="AR15" s="140">
        <v>293.8</v>
      </c>
      <c r="AS15" s="140">
        <v>293.2</v>
      </c>
      <c r="AT15" s="140">
        <v>292</v>
      </c>
      <c r="AU15" s="140">
        <v>287.8</v>
      </c>
      <c r="AV15" s="140">
        <v>286.7</v>
      </c>
      <c r="AW15" s="140">
        <v>287.3</v>
      </c>
      <c r="AX15" s="140">
        <v>285.89999999999998</v>
      </c>
      <c r="AY15" s="140">
        <v>283.5</v>
      </c>
      <c r="AZ15" s="140">
        <v>284.10000000000002</v>
      </c>
      <c r="BA15" s="140">
        <v>284.7</v>
      </c>
      <c r="BB15" s="140">
        <v>283.5</v>
      </c>
      <c r="BC15" s="140">
        <v>282.39999999999998</v>
      </c>
      <c r="BD15" s="140">
        <v>0</v>
      </c>
      <c r="BE15" s="140">
        <v>0</v>
      </c>
      <c r="BF15" s="140">
        <v>0</v>
      </c>
      <c r="BG15" s="140">
        <v>0</v>
      </c>
      <c r="BH15" s="140">
        <v>0</v>
      </c>
      <c r="BI15" s="140">
        <v>0</v>
      </c>
      <c r="BJ15" s="140">
        <v>0</v>
      </c>
    </row>
    <row r="16" spans="1:62">
      <c r="B16" s="305" t="s">
        <v>315</v>
      </c>
      <c r="C16" s="140">
        <v>75.5</v>
      </c>
      <c r="D16" s="140">
        <v>76.099999999999994</v>
      </c>
      <c r="E16" s="140">
        <v>76.8</v>
      </c>
      <c r="F16" s="140">
        <v>77</v>
      </c>
      <c r="G16" s="140">
        <v>76.900000000000006</v>
      </c>
      <c r="H16" s="140">
        <v>76.7</v>
      </c>
      <c r="I16" s="140">
        <v>76.599999999999994</v>
      </c>
      <c r="J16" s="140">
        <v>76.2</v>
      </c>
      <c r="K16" s="140">
        <v>75.5</v>
      </c>
      <c r="L16" s="140">
        <v>74.8</v>
      </c>
      <c r="M16" s="140">
        <v>75.099999999999994</v>
      </c>
      <c r="N16" s="140">
        <v>75.2</v>
      </c>
      <c r="O16" s="140">
        <v>75.2</v>
      </c>
      <c r="P16" s="140">
        <v>75.400000000000006</v>
      </c>
      <c r="Q16" s="140">
        <v>75.599999999999994</v>
      </c>
      <c r="R16" s="140">
        <v>75.5</v>
      </c>
      <c r="S16" s="140">
        <v>75.2</v>
      </c>
      <c r="T16" s="140">
        <v>75.599999999999994</v>
      </c>
      <c r="U16" s="140">
        <v>75.2</v>
      </c>
      <c r="V16" s="140">
        <v>74.599999999999994</v>
      </c>
      <c r="W16" s="140">
        <v>73.2</v>
      </c>
      <c r="X16" s="140">
        <v>72.900000000000006</v>
      </c>
      <c r="Y16" s="140">
        <v>71.2</v>
      </c>
      <c r="Z16" s="140">
        <v>70.3</v>
      </c>
      <c r="AA16" s="140">
        <v>69.7</v>
      </c>
      <c r="AB16" s="140">
        <v>69.8</v>
      </c>
      <c r="AC16" s="140">
        <v>69.7</v>
      </c>
      <c r="AD16" s="140">
        <v>69.3</v>
      </c>
      <c r="AE16" s="140">
        <v>68.900000000000006</v>
      </c>
      <c r="AF16" s="140">
        <v>68.7</v>
      </c>
      <c r="AG16" s="140">
        <v>68.5</v>
      </c>
      <c r="AH16" s="140">
        <v>68.5</v>
      </c>
      <c r="AI16" s="140">
        <v>68</v>
      </c>
      <c r="AJ16" s="140">
        <v>67.7</v>
      </c>
      <c r="AK16" s="140">
        <v>67.599999999999994</v>
      </c>
      <c r="AL16" s="140">
        <v>67.5</v>
      </c>
      <c r="AM16" s="140">
        <v>67.099999999999994</v>
      </c>
      <c r="AN16" s="140">
        <v>67.2</v>
      </c>
      <c r="AO16" s="140">
        <v>67</v>
      </c>
      <c r="AP16" s="140">
        <v>66.2</v>
      </c>
      <c r="AQ16" s="140">
        <v>66.5</v>
      </c>
      <c r="AR16" s="140">
        <v>66.400000000000006</v>
      </c>
      <c r="AS16" s="140">
        <v>66.599999999999994</v>
      </c>
      <c r="AT16" s="140">
        <v>66.400000000000006</v>
      </c>
      <c r="AU16" s="140">
        <v>66.2</v>
      </c>
      <c r="AV16" s="140">
        <v>65.8</v>
      </c>
      <c r="AW16" s="140">
        <v>65.8</v>
      </c>
      <c r="AX16" s="140">
        <v>65.599999999999994</v>
      </c>
      <c r="AY16" s="140">
        <v>66</v>
      </c>
      <c r="AZ16" s="140">
        <v>66</v>
      </c>
      <c r="BA16" s="140">
        <v>65.400000000000006</v>
      </c>
      <c r="BB16" s="140">
        <v>64.2</v>
      </c>
      <c r="BC16" s="140">
        <v>63.8</v>
      </c>
      <c r="BD16" s="140">
        <v>0</v>
      </c>
      <c r="BE16" s="140">
        <v>0</v>
      </c>
      <c r="BF16" s="140">
        <v>0</v>
      </c>
      <c r="BG16" s="140">
        <v>0</v>
      </c>
      <c r="BH16" s="140">
        <v>0</v>
      </c>
      <c r="BI16" s="140">
        <v>0</v>
      </c>
      <c r="BJ16" s="140">
        <v>0</v>
      </c>
    </row>
    <row r="17" spans="1:62" ht="25.5">
      <c r="A17">
        <v>9</v>
      </c>
      <c r="B17" s="304" t="s">
        <v>316</v>
      </c>
      <c r="C17" s="140">
        <v>68.8</v>
      </c>
      <c r="D17" s="140">
        <v>69.900000000000006</v>
      </c>
      <c r="E17" s="140">
        <v>70.5</v>
      </c>
      <c r="F17" s="140">
        <v>68.900000000000006</v>
      </c>
      <c r="G17" s="140">
        <v>69.400000000000006</v>
      </c>
      <c r="H17" s="140">
        <v>71.599999999999994</v>
      </c>
      <c r="I17" s="140">
        <v>70.5</v>
      </c>
      <c r="J17" s="140">
        <v>70.400000000000006</v>
      </c>
      <c r="K17" s="140">
        <v>70.8</v>
      </c>
      <c r="L17" s="140">
        <v>68.3</v>
      </c>
      <c r="M17" s="140">
        <v>67.7</v>
      </c>
      <c r="N17" s="140">
        <v>67.8</v>
      </c>
      <c r="O17" s="140">
        <v>70</v>
      </c>
      <c r="P17" s="140">
        <v>70.2</v>
      </c>
      <c r="Q17" s="140">
        <v>70.599999999999994</v>
      </c>
      <c r="R17" s="140">
        <v>70.900000000000006</v>
      </c>
      <c r="S17" s="140">
        <v>71.599999999999994</v>
      </c>
      <c r="T17" s="140">
        <v>71.099999999999994</v>
      </c>
      <c r="U17" s="140">
        <v>70.099999999999994</v>
      </c>
      <c r="V17" s="140">
        <v>69.3</v>
      </c>
      <c r="W17" s="140">
        <v>69</v>
      </c>
      <c r="X17" s="140">
        <v>69.900000000000006</v>
      </c>
      <c r="Y17" s="140">
        <v>69.900000000000006</v>
      </c>
      <c r="Z17" s="140">
        <v>70.400000000000006</v>
      </c>
      <c r="AA17" s="140">
        <v>77.2</v>
      </c>
      <c r="AB17" s="140">
        <v>76.400000000000006</v>
      </c>
      <c r="AC17" s="140">
        <v>76.5</v>
      </c>
      <c r="AD17" s="140">
        <v>77.8</v>
      </c>
      <c r="AE17" s="140">
        <v>76.7</v>
      </c>
      <c r="AF17" s="140">
        <v>77.099999999999994</v>
      </c>
      <c r="AG17" s="140">
        <v>76.400000000000006</v>
      </c>
      <c r="AH17" s="140">
        <v>75.099999999999994</v>
      </c>
      <c r="AI17" s="140">
        <v>75.099999999999994</v>
      </c>
      <c r="AJ17" s="140">
        <v>73.400000000000006</v>
      </c>
      <c r="AK17" s="140">
        <v>73.599999999999994</v>
      </c>
      <c r="AL17" s="140">
        <v>74.2</v>
      </c>
      <c r="AM17" s="140">
        <v>78.900000000000006</v>
      </c>
      <c r="AN17" s="140">
        <v>79.7</v>
      </c>
      <c r="AO17" s="140">
        <v>72.400000000000006</v>
      </c>
      <c r="AP17" s="140">
        <v>65.099999999999994</v>
      </c>
      <c r="AQ17" s="140">
        <v>65.400000000000006</v>
      </c>
      <c r="AR17" s="140">
        <v>64.2</v>
      </c>
      <c r="AS17" s="140">
        <v>61.4</v>
      </c>
      <c r="AT17" s="140">
        <v>64.7</v>
      </c>
      <c r="AU17" s="140">
        <v>67.599999999999994</v>
      </c>
      <c r="AV17" s="140">
        <v>66</v>
      </c>
      <c r="AW17" s="140">
        <v>64.400000000000006</v>
      </c>
      <c r="AX17" s="140">
        <v>62.9</v>
      </c>
      <c r="AY17" s="140">
        <v>62.1</v>
      </c>
      <c r="AZ17" s="140">
        <v>62.6</v>
      </c>
      <c r="BA17" s="140">
        <v>62.7</v>
      </c>
      <c r="BB17" s="140">
        <v>61.4</v>
      </c>
      <c r="BC17" s="140">
        <v>64</v>
      </c>
      <c r="BD17" s="140">
        <v>0</v>
      </c>
      <c r="BE17" s="140">
        <v>0</v>
      </c>
      <c r="BF17" s="140">
        <v>0</v>
      </c>
      <c r="BG17" s="140">
        <v>0</v>
      </c>
      <c r="BH17" s="140">
        <v>0</v>
      </c>
      <c r="BI17" s="140">
        <v>0</v>
      </c>
      <c r="BJ17" s="140">
        <v>0</v>
      </c>
    </row>
    <row r="18" spans="1:62">
      <c r="A18">
        <v>9</v>
      </c>
      <c r="B18" s="304" t="s">
        <v>317</v>
      </c>
      <c r="C18" s="140">
        <v>122.3</v>
      </c>
      <c r="D18" s="140">
        <v>120.8</v>
      </c>
      <c r="E18" s="140">
        <v>120.6</v>
      </c>
      <c r="F18" s="140">
        <v>120.3</v>
      </c>
      <c r="G18" s="140">
        <v>119.7</v>
      </c>
      <c r="H18" s="140">
        <v>119.2</v>
      </c>
      <c r="I18" s="140">
        <v>119</v>
      </c>
      <c r="J18" s="140">
        <v>118.1</v>
      </c>
      <c r="K18" s="140">
        <v>117.5</v>
      </c>
      <c r="L18" s="140">
        <v>117.2</v>
      </c>
      <c r="M18" s="140">
        <v>117</v>
      </c>
      <c r="N18" s="140">
        <v>116.2</v>
      </c>
      <c r="O18" s="140">
        <v>120.6</v>
      </c>
      <c r="P18" s="140">
        <v>121.9</v>
      </c>
      <c r="Q18" s="140">
        <v>121.2</v>
      </c>
      <c r="R18" s="140">
        <v>119.1</v>
      </c>
      <c r="S18" s="140">
        <v>118.4</v>
      </c>
      <c r="T18" s="140">
        <v>118.3</v>
      </c>
      <c r="U18" s="140">
        <v>117.9</v>
      </c>
      <c r="V18" s="140">
        <v>117.1</v>
      </c>
      <c r="W18" s="140">
        <v>115.9</v>
      </c>
      <c r="X18" s="140">
        <v>115.5</v>
      </c>
      <c r="Y18" s="140">
        <v>115.9</v>
      </c>
      <c r="Z18" s="140">
        <v>115.1</v>
      </c>
      <c r="AA18" s="140">
        <v>115.8</v>
      </c>
      <c r="AB18" s="140">
        <v>115</v>
      </c>
      <c r="AC18" s="140">
        <v>114.2</v>
      </c>
      <c r="AD18" s="140">
        <v>113</v>
      </c>
      <c r="AE18" s="140">
        <v>111.9</v>
      </c>
      <c r="AF18" s="140">
        <v>110.9</v>
      </c>
      <c r="AG18" s="140">
        <v>110.5</v>
      </c>
      <c r="AH18" s="140">
        <v>109.7</v>
      </c>
      <c r="AI18" s="140">
        <v>109.2</v>
      </c>
      <c r="AJ18" s="140">
        <v>109.3</v>
      </c>
      <c r="AK18" s="140">
        <v>109.7</v>
      </c>
      <c r="AL18" s="140">
        <v>109.2</v>
      </c>
      <c r="AM18" s="140">
        <v>113.2</v>
      </c>
      <c r="AN18" s="140">
        <v>112.9</v>
      </c>
      <c r="AO18" s="140">
        <v>110.4</v>
      </c>
      <c r="AP18" s="140">
        <v>108</v>
      </c>
      <c r="AQ18" s="140">
        <v>106.9</v>
      </c>
      <c r="AR18" s="140">
        <v>105.5</v>
      </c>
      <c r="AS18" s="140">
        <v>104.7</v>
      </c>
      <c r="AT18" s="140">
        <v>104.3</v>
      </c>
      <c r="AU18" s="140">
        <v>103.8</v>
      </c>
      <c r="AV18" s="140">
        <v>101.7</v>
      </c>
      <c r="AW18" s="140">
        <v>101.9</v>
      </c>
      <c r="AX18" s="140">
        <v>101.8</v>
      </c>
      <c r="AY18" s="140">
        <v>106.2</v>
      </c>
      <c r="AZ18" s="140">
        <v>105.6</v>
      </c>
      <c r="BA18" s="140">
        <v>105.6</v>
      </c>
      <c r="BB18" s="140">
        <v>104.2</v>
      </c>
      <c r="BC18" s="140">
        <v>103.7</v>
      </c>
      <c r="BD18" s="140">
        <v>0</v>
      </c>
      <c r="BE18" s="140">
        <v>0</v>
      </c>
      <c r="BF18" s="140">
        <v>0</v>
      </c>
      <c r="BG18" s="140">
        <v>0</v>
      </c>
      <c r="BH18" s="140">
        <v>0</v>
      </c>
      <c r="BI18" s="140">
        <v>0</v>
      </c>
      <c r="BJ18" s="140">
        <v>0</v>
      </c>
    </row>
    <row r="19" spans="1:62">
      <c r="A19">
        <v>9</v>
      </c>
      <c r="B19" s="304" t="s">
        <v>318</v>
      </c>
      <c r="C19" s="140">
        <v>171.1</v>
      </c>
      <c r="D19" s="140">
        <v>169.9</v>
      </c>
      <c r="E19" s="140">
        <v>169</v>
      </c>
      <c r="F19" s="140">
        <v>167.9</v>
      </c>
      <c r="G19" s="140">
        <v>167.6</v>
      </c>
      <c r="H19" s="140">
        <v>167</v>
      </c>
      <c r="I19" s="140">
        <v>165.9</v>
      </c>
      <c r="J19" s="140">
        <v>167</v>
      </c>
      <c r="K19" s="140">
        <v>166.2</v>
      </c>
      <c r="L19" s="140">
        <v>166.7</v>
      </c>
      <c r="M19" s="140">
        <v>167.1</v>
      </c>
      <c r="N19" s="140">
        <v>167.8</v>
      </c>
      <c r="O19" s="140">
        <v>169.8</v>
      </c>
      <c r="P19" s="140">
        <v>169.3</v>
      </c>
      <c r="Q19" s="140">
        <v>169.6</v>
      </c>
      <c r="R19" s="140">
        <v>169.6</v>
      </c>
      <c r="S19" s="140">
        <v>167.2</v>
      </c>
      <c r="T19" s="140">
        <v>166.9</v>
      </c>
      <c r="U19" s="140">
        <v>166.6</v>
      </c>
      <c r="V19" s="140">
        <v>166.6</v>
      </c>
      <c r="W19" s="140">
        <v>166.3</v>
      </c>
      <c r="X19" s="140">
        <v>167.3</v>
      </c>
      <c r="Y19" s="140">
        <v>167.6</v>
      </c>
      <c r="Z19" s="140">
        <v>167.8</v>
      </c>
      <c r="AA19" s="140">
        <v>168.2</v>
      </c>
      <c r="AB19" s="140">
        <v>167.9</v>
      </c>
      <c r="AC19" s="140">
        <v>168.2</v>
      </c>
      <c r="AD19" s="140">
        <v>168.1</v>
      </c>
      <c r="AE19" s="140">
        <v>166.6</v>
      </c>
      <c r="AF19" s="140">
        <v>165.4</v>
      </c>
      <c r="AG19" s="140">
        <v>165</v>
      </c>
      <c r="AH19" s="140">
        <v>165.4</v>
      </c>
      <c r="AI19" s="140">
        <v>165.8</v>
      </c>
      <c r="AJ19" s="140">
        <v>166.2</v>
      </c>
      <c r="AK19" s="140">
        <v>166.9</v>
      </c>
      <c r="AL19" s="140">
        <v>167.3</v>
      </c>
      <c r="AM19" s="140">
        <v>172.1</v>
      </c>
      <c r="AN19" s="140">
        <v>171.9</v>
      </c>
      <c r="AO19" s="140">
        <v>171.8</v>
      </c>
      <c r="AP19" s="140">
        <v>174.4</v>
      </c>
      <c r="AQ19" s="140">
        <v>173.2</v>
      </c>
      <c r="AR19" s="140">
        <v>172.2</v>
      </c>
      <c r="AS19" s="140">
        <v>171.8</v>
      </c>
      <c r="AT19" s="140">
        <v>171.4</v>
      </c>
      <c r="AU19" s="140">
        <v>171.4</v>
      </c>
      <c r="AV19" s="140">
        <v>170.5</v>
      </c>
      <c r="AW19" s="140">
        <v>171.3</v>
      </c>
      <c r="AX19" s="140">
        <v>172.2</v>
      </c>
      <c r="AY19" s="140">
        <v>174.2</v>
      </c>
      <c r="AZ19" s="140">
        <v>173.9</v>
      </c>
      <c r="BA19" s="140">
        <v>173.3</v>
      </c>
      <c r="BB19" s="140">
        <v>172.5</v>
      </c>
      <c r="BC19" s="140">
        <v>171.7</v>
      </c>
      <c r="BD19" s="140">
        <v>0</v>
      </c>
      <c r="BE19" s="140">
        <v>0</v>
      </c>
      <c r="BF19" s="140">
        <v>0</v>
      </c>
      <c r="BG19" s="140">
        <v>0</v>
      </c>
      <c r="BH19" s="140">
        <v>0</v>
      </c>
      <c r="BI19" s="140">
        <v>0</v>
      </c>
      <c r="BJ19" s="140">
        <v>0</v>
      </c>
    </row>
    <row r="20" spans="1:62">
      <c r="A20">
        <v>9</v>
      </c>
      <c r="B20" s="304" t="s">
        <v>319</v>
      </c>
      <c r="C20" s="140">
        <v>86.9</v>
      </c>
      <c r="D20" s="140">
        <v>86.9</v>
      </c>
      <c r="E20" s="140">
        <v>86.2</v>
      </c>
      <c r="F20" s="140">
        <v>85.4</v>
      </c>
      <c r="G20" s="140">
        <v>84.6</v>
      </c>
      <c r="H20" s="140">
        <v>84.9</v>
      </c>
      <c r="I20" s="140">
        <v>83.7</v>
      </c>
      <c r="J20" s="140">
        <v>83.2</v>
      </c>
      <c r="K20" s="140">
        <v>82.6</v>
      </c>
      <c r="L20" s="140">
        <v>82.3</v>
      </c>
      <c r="M20" s="140">
        <v>83</v>
      </c>
      <c r="N20" s="140">
        <v>83</v>
      </c>
      <c r="O20" s="140">
        <v>85.2</v>
      </c>
      <c r="P20" s="140">
        <v>85.6</v>
      </c>
      <c r="Q20" s="140">
        <v>84.9</v>
      </c>
      <c r="R20" s="140">
        <v>86.6</v>
      </c>
      <c r="S20" s="140">
        <v>86.6</v>
      </c>
      <c r="T20" s="140">
        <v>85.1</v>
      </c>
      <c r="U20" s="140">
        <v>85.4</v>
      </c>
      <c r="V20" s="140">
        <v>85.5</v>
      </c>
      <c r="W20" s="140">
        <v>85.1</v>
      </c>
      <c r="X20" s="140">
        <v>85.3</v>
      </c>
      <c r="Y20" s="140">
        <v>85.5</v>
      </c>
      <c r="Z20" s="140">
        <v>84.9</v>
      </c>
      <c r="AA20" s="140">
        <v>78.3</v>
      </c>
      <c r="AB20" s="140">
        <v>78.099999999999994</v>
      </c>
      <c r="AC20" s="140">
        <v>76.2</v>
      </c>
      <c r="AD20" s="140">
        <v>75.7</v>
      </c>
      <c r="AE20" s="140">
        <v>75.3</v>
      </c>
      <c r="AF20" s="140">
        <v>75</v>
      </c>
      <c r="AG20" s="140">
        <v>75.099999999999994</v>
      </c>
      <c r="AH20" s="140">
        <v>74.5</v>
      </c>
      <c r="AI20" s="140">
        <v>73.400000000000006</v>
      </c>
      <c r="AJ20" s="140">
        <v>73</v>
      </c>
      <c r="AK20" s="140">
        <v>73.099999999999994</v>
      </c>
      <c r="AL20" s="140">
        <v>72.400000000000006</v>
      </c>
      <c r="AM20" s="140">
        <v>76.3</v>
      </c>
      <c r="AN20" s="140">
        <v>76.400000000000006</v>
      </c>
      <c r="AO20" s="140">
        <v>75.2</v>
      </c>
      <c r="AP20" s="140">
        <v>74.099999999999994</v>
      </c>
      <c r="AQ20" s="140">
        <v>73.099999999999994</v>
      </c>
      <c r="AR20" s="140">
        <v>73.8</v>
      </c>
      <c r="AS20" s="140">
        <v>73.7</v>
      </c>
      <c r="AT20" s="140">
        <v>72.900000000000006</v>
      </c>
      <c r="AU20" s="140">
        <v>72.7</v>
      </c>
      <c r="AV20" s="140">
        <v>72</v>
      </c>
      <c r="AW20" s="140">
        <v>71.900000000000006</v>
      </c>
      <c r="AX20" s="140">
        <v>71.400000000000006</v>
      </c>
      <c r="AY20" s="140">
        <v>74</v>
      </c>
      <c r="AZ20" s="140">
        <v>73.3</v>
      </c>
      <c r="BA20" s="140">
        <v>72.900000000000006</v>
      </c>
      <c r="BB20" s="140">
        <v>74.2</v>
      </c>
      <c r="BC20" s="140">
        <v>73.400000000000006</v>
      </c>
      <c r="BD20" s="140">
        <v>0</v>
      </c>
      <c r="BE20" s="140">
        <v>0</v>
      </c>
      <c r="BF20" s="140">
        <v>0</v>
      </c>
      <c r="BG20" s="140">
        <v>0</v>
      </c>
      <c r="BH20" s="140">
        <v>0</v>
      </c>
      <c r="BI20" s="140">
        <v>0</v>
      </c>
      <c r="BJ20" s="140">
        <v>0</v>
      </c>
    </row>
    <row r="21" spans="1:62">
      <c r="A21">
        <v>9</v>
      </c>
      <c r="B21" s="304" t="s">
        <v>320</v>
      </c>
      <c r="C21" s="140">
        <v>219.7</v>
      </c>
      <c r="D21" s="140">
        <v>220.4</v>
      </c>
      <c r="E21" s="140">
        <v>219.2</v>
      </c>
      <c r="F21" s="140">
        <v>218.3</v>
      </c>
      <c r="G21" s="140">
        <v>218.6</v>
      </c>
      <c r="H21" s="140">
        <v>219.8</v>
      </c>
      <c r="I21" s="140">
        <v>219.7</v>
      </c>
      <c r="J21" s="140">
        <v>219.5</v>
      </c>
      <c r="K21" s="140">
        <v>218.9</v>
      </c>
      <c r="L21" s="140">
        <v>219</v>
      </c>
      <c r="M21" s="140">
        <v>218.9</v>
      </c>
      <c r="N21" s="140">
        <v>218.1</v>
      </c>
      <c r="O21" s="140">
        <v>240.6</v>
      </c>
      <c r="P21" s="140">
        <v>241.5</v>
      </c>
      <c r="Q21" s="140">
        <v>241.5</v>
      </c>
      <c r="R21" s="140">
        <v>241.2</v>
      </c>
      <c r="S21" s="140">
        <v>241.3</v>
      </c>
      <c r="T21" s="140">
        <v>240.4</v>
      </c>
      <c r="U21" s="140">
        <v>239.3</v>
      </c>
      <c r="V21" s="140">
        <v>239</v>
      </c>
      <c r="W21" s="140">
        <v>237.9</v>
      </c>
      <c r="X21" s="140">
        <v>238.4</v>
      </c>
      <c r="Y21" s="140">
        <v>237.6</v>
      </c>
      <c r="Z21" s="140">
        <v>235</v>
      </c>
      <c r="AA21" s="140">
        <v>200.4</v>
      </c>
      <c r="AB21" s="140">
        <v>200.2</v>
      </c>
      <c r="AC21" s="140">
        <v>200.1</v>
      </c>
      <c r="AD21" s="140">
        <v>199.9</v>
      </c>
      <c r="AE21" s="140">
        <v>199.1</v>
      </c>
      <c r="AF21" s="140">
        <v>198.7</v>
      </c>
      <c r="AG21" s="140">
        <v>198.2</v>
      </c>
      <c r="AH21" s="140">
        <v>197.5</v>
      </c>
      <c r="AI21" s="140">
        <v>195.4</v>
      </c>
      <c r="AJ21" s="140">
        <v>195.1</v>
      </c>
      <c r="AK21" s="140">
        <v>195</v>
      </c>
      <c r="AL21" s="140">
        <v>193.7</v>
      </c>
      <c r="AM21" s="140">
        <v>207</v>
      </c>
      <c r="AN21" s="140">
        <v>206.9</v>
      </c>
      <c r="AO21" s="140">
        <v>206.8</v>
      </c>
      <c r="AP21" s="140">
        <v>206</v>
      </c>
      <c r="AQ21" s="140">
        <v>204.5</v>
      </c>
      <c r="AR21" s="140">
        <v>203.4</v>
      </c>
      <c r="AS21" s="140">
        <v>203</v>
      </c>
      <c r="AT21" s="140">
        <v>202.1</v>
      </c>
      <c r="AU21" s="140">
        <v>201.5</v>
      </c>
      <c r="AV21" s="140">
        <v>200.2</v>
      </c>
      <c r="AW21" s="140">
        <v>199.9</v>
      </c>
      <c r="AX21" s="140">
        <v>198.2</v>
      </c>
      <c r="AY21" s="140">
        <v>202.4</v>
      </c>
      <c r="AZ21" s="140">
        <v>207.9</v>
      </c>
      <c r="BA21" s="140">
        <v>207.8</v>
      </c>
      <c r="BB21" s="140">
        <v>207</v>
      </c>
      <c r="BC21" s="140">
        <v>206.2</v>
      </c>
      <c r="BD21" s="140">
        <v>0</v>
      </c>
      <c r="BE21" s="140">
        <v>0</v>
      </c>
      <c r="BF21" s="140">
        <v>0</v>
      </c>
      <c r="BG21" s="140">
        <v>0</v>
      </c>
      <c r="BH21" s="140">
        <v>0</v>
      </c>
      <c r="BI21" s="140">
        <v>0</v>
      </c>
      <c r="BJ21" s="140">
        <v>0</v>
      </c>
    </row>
    <row r="22" spans="1:62">
      <c r="B22" s="305" t="s">
        <v>321</v>
      </c>
      <c r="C22" s="140">
        <v>86.7</v>
      </c>
      <c r="D22" s="140">
        <v>86.5</v>
      </c>
      <c r="E22" s="140">
        <v>86.1</v>
      </c>
      <c r="F22" s="140">
        <v>86.1</v>
      </c>
      <c r="G22" s="140">
        <v>86.4</v>
      </c>
      <c r="H22" s="140">
        <v>88.8</v>
      </c>
      <c r="I22" s="140">
        <v>88.4</v>
      </c>
      <c r="J22" s="140">
        <v>88.2</v>
      </c>
      <c r="K22" s="140">
        <v>87.7</v>
      </c>
      <c r="L22" s="140">
        <v>87.4</v>
      </c>
      <c r="M22" s="140">
        <v>87.4</v>
      </c>
      <c r="N22" s="140">
        <v>87.2</v>
      </c>
      <c r="O22" s="140">
        <v>93.2</v>
      </c>
      <c r="P22" s="140">
        <v>93.3</v>
      </c>
      <c r="Q22" s="140">
        <v>93.1</v>
      </c>
      <c r="R22" s="140">
        <v>93.1</v>
      </c>
      <c r="S22" s="140">
        <v>93</v>
      </c>
      <c r="T22" s="140">
        <v>92.8</v>
      </c>
      <c r="U22" s="140">
        <v>92.6</v>
      </c>
      <c r="V22" s="140">
        <v>92.6</v>
      </c>
      <c r="W22" s="140">
        <v>92.2</v>
      </c>
      <c r="X22" s="140">
        <v>92.4</v>
      </c>
      <c r="Y22" s="140">
        <v>92.2</v>
      </c>
      <c r="Z22" s="140">
        <v>91.5</v>
      </c>
      <c r="AA22" s="140">
        <v>80.099999999999994</v>
      </c>
      <c r="AB22" s="140">
        <v>80.099999999999994</v>
      </c>
      <c r="AC22" s="140">
        <v>79.8</v>
      </c>
      <c r="AD22" s="140">
        <v>79.900000000000006</v>
      </c>
      <c r="AE22" s="140">
        <v>79.599999999999994</v>
      </c>
      <c r="AF22" s="140">
        <v>79.400000000000006</v>
      </c>
      <c r="AG22" s="140">
        <v>79.2</v>
      </c>
      <c r="AH22" s="140">
        <v>79</v>
      </c>
      <c r="AI22" s="140">
        <v>78.5</v>
      </c>
      <c r="AJ22" s="140">
        <v>78.400000000000006</v>
      </c>
      <c r="AK22" s="140">
        <v>78.3</v>
      </c>
      <c r="AL22" s="140">
        <v>77.5</v>
      </c>
      <c r="AM22" s="140">
        <v>78.599999999999994</v>
      </c>
      <c r="AN22" s="140">
        <v>78.5</v>
      </c>
      <c r="AO22" s="140">
        <v>78.599999999999994</v>
      </c>
      <c r="AP22" s="140">
        <v>78.400000000000006</v>
      </c>
      <c r="AQ22" s="140">
        <v>78.3</v>
      </c>
      <c r="AR22" s="140">
        <v>78.2</v>
      </c>
      <c r="AS22" s="140">
        <v>78.2</v>
      </c>
      <c r="AT22" s="140">
        <v>78</v>
      </c>
      <c r="AU22" s="140">
        <v>77.5</v>
      </c>
      <c r="AV22" s="140">
        <v>77.3</v>
      </c>
      <c r="AW22" s="140">
        <v>77.3</v>
      </c>
      <c r="AX22" s="140">
        <v>76.400000000000006</v>
      </c>
      <c r="AY22" s="140">
        <v>72</v>
      </c>
      <c r="AZ22" s="140">
        <v>76.400000000000006</v>
      </c>
      <c r="BA22" s="140">
        <v>76.099999999999994</v>
      </c>
      <c r="BB22" s="140">
        <v>75.900000000000006</v>
      </c>
      <c r="BC22" s="140">
        <v>76.2</v>
      </c>
      <c r="BD22" s="140">
        <v>0</v>
      </c>
      <c r="BE22" s="140">
        <v>0</v>
      </c>
      <c r="BF22" s="140">
        <v>0</v>
      </c>
      <c r="BG22" s="140">
        <v>0</v>
      </c>
      <c r="BH22" s="140">
        <v>0</v>
      </c>
      <c r="BI22" s="140">
        <v>0</v>
      </c>
      <c r="BJ22" s="140">
        <v>0</v>
      </c>
    </row>
    <row r="23" spans="1:62" ht="25.5">
      <c r="A23">
        <v>8</v>
      </c>
      <c r="B23" s="304" t="s">
        <v>322</v>
      </c>
      <c r="C23" s="140">
        <v>184.1</v>
      </c>
      <c r="D23" s="140">
        <v>185.5</v>
      </c>
      <c r="E23" s="140">
        <v>183.6</v>
      </c>
      <c r="F23" s="140">
        <v>177.9</v>
      </c>
      <c r="G23" s="140">
        <v>176.3</v>
      </c>
      <c r="H23" s="140">
        <v>173.8</v>
      </c>
      <c r="I23" s="140">
        <v>172.3</v>
      </c>
      <c r="J23" s="140">
        <v>172.9</v>
      </c>
      <c r="K23" s="140">
        <v>171.2</v>
      </c>
      <c r="L23" s="140">
        <v>171</v>
      </c>
      <c r="M23" s="140">
        <v>170.7</v>
      </c>
      <c r="N23" s="140">
        <v>169.6</v>
      </c>
      <c r="O23" s="140">
        <v>179.3</v>
      </c>
      <c r="P23" s="140">
        <v>178.8</v>
      </c>
      <c r="Q23" s="140">
        <v>178</v>
      </c>
      <c r="R23" s="140">
        <v>179.4</v>
      </c>
      <c r="S23" s="140">
        <v>178</v>
      </c>
      <c r="T23" s="140">
        <v>176</v>
      </c>
      <c r="U23" s="140">
        <v>175</v>
      </c>
      <c r="V23" s="140">
        <v>173.9</v>
      </c>
      <c r="W23" s="140">
        <v>173</v>
      </c>
      <c r="X23" s="140">
        <v>173</v>
      </c>
      <c r="Y23" s="140">
        <v>172.3</v>
      </c>
      <c r="Z23" s="140">
        <v>171.2</v>
      </c>
      <c r="AA23" s="140">
        <v>186.5</v>
      </c>
      <c r="AB23" s="140">
        <v>186.5</v>
      </c>
      <c r="AC23" s="140">
        <v>183.2</v>
      </c>
      <c r="AD23" s="140">
        <v>181.9</v>
      </c>
      <c r="AE23" s="140">
        <v>180.1</v>
      </c>
      <c r="AF23" s="140">
        <v>179</v>
      </c>
      <c r="AG23" s="140">
        <v>177.9</v>
      </c>
      <c r="AH23" s="140">
        <v>177</v>
      </c>
      <c r="AI23" s="140">
        <v>176.1</v>
      </c>
      <c r="AJ23" s="140">
        <v>175.4</v>
      </c>
      <c r="AK23" s="140">
        <v>175.1</v>
      </c>
      <c r="AL23" s="140">
        <v>172.7</v>
      </c>
      <c r="AM23" s="140">
        <v>175</v>
      </c>
      <c r="AN23" s="140">
        <v>174.3</v>
      </c>
      <c r="AO23" s="140">
        <v>171</v>
      </c>
      <c r="AP23" s="140">
        <v>166.9</v>
      </c>
      <c r="AQ23" s="140">
        <v>165.3</v>
      </c>
      <c r="AR23" s="140">
        <v>164.2</v>
      </c>
      <c r="AS23" s="140">
        <v>164.7</v>
      </c>
      <c r="AT23" s="140">
        <v>164.7</v>
      </c>
      <c r="AU23" s="140">
        <v>165</v>
      </c>
      <c r="AV23" s="140">
        <v>166.2</v>
      </c>
      <c r="AW23" s="140">
        <v>163.9</v>
      </c>
      <c r="AX23" s="140">
        <v>163.4</v>
      </c>
      <c r="AY23" s="140">
        <v>184.7</v>
      </c>
      <c r="AZ23" s="140">
        <v>182.3</v>
      </c>
      <c r="BA23" s="140">
        <v>182.5</v>
      </c>
      <c r="BB23" s="140">
        <v>181.9</v>
      </c>
      <c r="BC23" s="140">
        <v>182.5</v>
      </c>
      <c r="BD23" s="140">
        <v>0</v>
      </c>
      <c r="BE23" s="140">
        <v>0</v>
      </c>
      <c r="BF23" s="140">
        <v>0</v>
      </c>
      <c r="BG23" s="140">
        <v>0</v>
      </c>
      <c r="BH23" s="140">
        <v>0</v>
      </c>
      <c r="BI23" s="140">
        <v>0</v>
      </c>
      <c r="BJ23" s="140">
        <v>0</v>
      </c>
    </row>
    <row r="24" spans="1:62" ht="25.5">
      <c r="A24">
        <v>8</v>
      </c>
      <c r="B24" s="304" t="s">
        <v>323</v>
      </c>
      <c r="C24" s="140">
        <v>453.8</v>
      </c>
      <c r="D24" s="140">
        <v>460.9</v>
      </c>
      <c r="E24" s="140">
        <v>458.8</v>
      </c>
      <c r="F24" s="140">
        <v>453.1</v>
      </c>
      <c r="G24" s="140">
        <v>452.1</v>
      </c>
      <c r="H24" s="140">
        <v>453</v>
      </c>
      <c r="I24" s="140">
        <v>452.1</v>
      </c>
      <c r="J24" s="140">
        <v>453.5</v>
      </c>
      <c r="K24" s="140">
        <v>455.2</v>
      </c>
      <c r="L24" s="140">
        <v>458.5</v>
      </c>
      <c r="M24" s="140">
        <v>461.2</v>
      </c>
      <c r="N24" s="140">
        <v>462.2</v>
      </c>
      <c r="O24" s="140">
        <v>454.9</v>
      </c>
      <c r="P24" s="140">
        <v>457.4</v>
      </c>
      <c r="Q24" s="140">
        <v>457.8</v>
      </c>
      <c r="R24" s="140">
        <v>457.5</v>
      </c>
      <c r="S24" s="140">
        <v>455.1</v>
      </c>
      <c r="T24" s="140">
        <v>451.5</v>
      </c>
      <c r="U24" s="140">
        <v>451.3</v>
      </c>
      <c r="V24" s="140">
        <v>451.5</v>
      </c>
      <c r="W24" s="140">
        <v>453.8</v>
      </c>
      <c r="X24" s="140">
        <v>456.3</v>
      </c>
      <c r="Y24" s="140">
        <v>457.7</v>
      </c>
      <c r="Z24" s="140">
        <v>457.4</v>
      </c>
      <c r="AA24" s="140">
        <v>394.4</v>
      </c>
      <c r="AB24" s="140">
        <v>396.4</v>
      </c>
      <c r="AC24" s="140">
        <v>396.7</v>
      </c>
      <c r="AD24" s="140">
        <v>392.8</v>
      </c>
      <c r="AE24" s="140">
        <v>392.6</v>
      </c>
      <c r="AF24" s="140">
        <v>393.6</v>
      </c>
      <c r="AG24" s="140">
        <v>392.8</v>
      </c>
      <c r="AH24" s="140">
        <v>392.3</v>
      </c>
      <c r="AI24" s="140">
        <v>381.9</v>
      </c>
      <c r="AJ24" s="140">
        <v>385.2</v>
      </c>
      <c r="AK24" s="140">
        <v>385.1</v>
      </c>
      <c r="AL24" s="140">
        <v>378.2</v>
      </c>
      <c r="AM24" s="140">
        <v>413.7</v>
      </c>
      <c r="AN24" s="140">
        <v>428.4</v>
      </c>
      <c r="AO24" s="140">
        <v>425.9</v>
      </c>
      <c r="AP24" s="140">
        <v>421.5</v>
      </c>
      <c r="AQ24" s="140">
        <v>427.6</v>
      </c>
      <c r="AR24" s="140">
        <v>425.2</v>
      </c>
      <c r="AS24" s="140">
        <v>423.9</v>
      </c>
      <c r="AT24" s="140">
        <v>423.2</v>
      </c>
      <c r="AU24" s="140">
        <v>423.4</v>
      </c>
      <c r="AV24" s="140">
        <v>425.2</v>
      </c>
      <c r="AW24" s="140">
        <v>427.3</v>
      </c>
      <c r="AX24" s="140">
        <v>422.7</v>
      </c>
      <c r="AY24" s="140">
        <v>402.3</v>
      </c>
      <c r="AZ24" s="140">
        <v>400.5</v>
      </c>
      <c r="BA24" s="140">
        <v>404.1</v>
      </c>
      <c r="BB24" s="140">
        <v>404.1</v>
      </c>
      <c r="BC24" s="140">
        <v>400.5</v>
      </c>
      <c r="BD24" s="140">
        <v>0</v>
      </c>
      <c r="BE24" s="140">
        <v>0</v>
      </c>
      <c r="BF24" s="140">
        <v>0</v>
      </c>
      <c r="BG24" s="140">
        <v>0</v>
      </c>
      <c r="BH24" s="140">
        <v>0</v>
      </c>
      <c r="BI24" s="140">
        <v>0</v>
      </c>
      <c r="BJ24" s="140">
        <v>0</v>
      </c>
    </row>
    <row r="25" spans="1:62">
      <c r="A25">
        <v>6</v>
      </c>
      <c r="B25" s="304" t="s">
        <v>324</v>
      </c>
      <c r="C25" s="140">
        <v>1380.2</v>
      </c>
      <c r="D25" s="140">
        <v>1395.7</v>
      </c>
      <c r="E25" s="140">
        <v>1398.5</v>
      </c>
      <c r="F25" s="140">
        <v>1384.2</v>
      </c>
      <c r="G25" s="140">
        <v>1369.7</v>
      </c>
      <c r="H25" s="140">
        <v>1359.6</v>
      </c>
      <c r="I25" s="140">
        <v>1352.3</v>
      </c>
      <c r="J25" s="140">
        <v>1345.8</v>
      </c>
      <c r="K25" s="140">
        <v>1367.9</v>
      </c>
      <c r="L25" s="140">
        <v>1389.3</v>
      </c>
      <c r="M25" s="140">
        <v>1402.5</v>
      </c>
      <c r="N25" s="140">
        <v>1401</v>
      </c>
      <c r="O25" s="140">
        <v>1382.1</v>
      </c>
      <c r="P25" s="140">
        <v>1393.4</v>
      </c>
      <c r="Q25" s="140">
        <v>1392.7</v>
      </c>
      <c r="R25" s="140">
        <v>1380.6</v>
      </c>
      <c r="S25" s="140">
        <v>1362</v>
      </c>
      <c r="T25" s="140">
        <v>1350.2</v>
      </c>
      <c r="U25" s="140">
        <v>1335.1</v>
      </c>
      <c r="V25" s="140">
        <v>1324.2</v>
      </c>
      <c r="W25" s="140">
        <v>1342</v>
      </c>
      <c r="X25" s="140">
        <v>1364.6</v>
      </c>
      <c r="Y25" s="140">
        <v>1377.2</v>
      </c>
      <c r="Z25" s="140">
        <v>1375.1</v>
      </c>
      <c r="AA25" s="140">
        <v>1339</v>
      </c>
      <c r="AB25" s="140">
        <v>1340.5</v>
      </c>
      <c r="AC25" s="140">
        <v>1337</v>
      </c>
      <c r="AD25" s="140">
        <v>1325.7</v>
      </c>
      <c r="AE25" s="140">
        <v>1307.2</v>
      </c>
      <c r="AF25" s="140">
        <v>1297.2</v>
      </c>
      <c r="AG25" s="140">
        <v>1289.0999999999999</v>
      </c>
      <c r="AH25" s="140">
        <v>1282.5999999999999</v>
      </c>
      <c r="AI25" s="140">
        <v>1298.5</v>
      </c>
      <c r="AJ25" s="140">
        <v>1312</v>
      </c>
      <c r="AK25" s="140">
        <v>1330.4</v>
      </c>
      <c r="AL25" s="140">
        <v>1325.3</v>
      </c>
      <c r="AM25" s="140">
        <v>1340.5</v>
      </c>
      <c r="AN25" s="140">
        <v>1343.2</v>
      </c>
      <c r="AO25" s="140">
        <v>1340</v>
      </c>
      <c r="AP25" s="140">
        <v>1318.2</v>
      </c>
      <c r="AQ25" s="140">
        <v>1310.5999999999999</v>
      </c>
      <c r="AR25" s="140">
        <v>1301.2</v>
      </c>
      <c r="AS25" s="140">
        <v>1293.3</v>
      </c>
      <c r="AT25" s="140">
        <v>1286.5</v>
      </c>
      <c r="AU25" s="140">
        <v>1307</v>
      </c>
      <c r="AV25" s="140">
        <v>1321.8</v>
      </c>
      <c r="AW25" s="140">
        <v>1335.4</v>
      </c>
      <c r="AX25" s="140">
        <v>1333.5</v>
      </c>
      <c r="AY25" s="140">
        <v>1123.3</v>
      </c>
      <c r="AZ25" s="140">
        <v>1147.3</v>
      </c>
      <c r="BA25" s="140">
        <v>1185.7</v>
      </c>
      <c r="BB25" s="140">
        <v>1175.8</v>
      </c>
      <c r="BC25" s="140">
        <v>1162.4000000000001</v>
      </c>
      <c r="BD25" s="140">
        <v>0</v>
      </c>
      <c r="BE25" s="140">
        <v>0</v>
      </c>
      <c r="BF25" s="140">
        <v>0</v>
      </c>
      <c r="BG25" s="140">
        <v>0</v>
      </c>
      <c r="BH25" s="140">
        <v>0</v>
      </c>
      <c r="BI25" s="140">
        <v>0</v>
      </c>
      <c r="BJ25" s="140">
        <v>0</v>
      </c>
    </row>
    <row r="26" spans="1:62" ht="25.5">
      <c r="A26">
        <v>7</v>
      </c>
      <c r="B26" s="304" t="s">
        <v>325</v>
      </c>
      <c r="C26" s="140">
        <v>949.6</v>
      </c>
      <c r="D26" s="140">
        <v>954.4</v>
      </c>
      <c r="E26" s="140">
        <v>955.2</v>
      </c>
      <c r="F26" s="140">
        <v>951.9</v>
      </c>
      <c r="G26" s="140">
        <v>949</v>
      </c>
      <c r="H26" s="140">
        <v>949.9</v>
      </c>
      <c r="I26" s="140">
        <v>950.5</v>
      </c>
      <c r="J26" s="140">
        <v>952.4</v>
      </c>
      <c r="K26" s="140">
        <v>950.2</v>
      </c>
      <c r="L26" s="140">
        <v>952.7</v>
      </c>
      <c r="M26" s="140">
        <v>951</v>
      </c>
      <c r="N26" s="140">
        <v>949.4</v>
      </c>
      <c r="O26" s="140">
        <v>937.8</v>
      </c>
      <c r="P26" s="140">
        <v>939.5</v>
      </c>
      <c r="Q26" s="140">
        <v>937.5</v>
      </c>
      <c r="R26" s="140">
        <v>932</v>
      </c>
      <c r="S26" s="140">
        <v>928.1</v>
      </c>
      <c r="T26" s="140">
        <v>925.4</v>
      </c>
      <c r="U26" s="140">
        <v>921</v>
      </c>
      <c r="V26" s="140">
        <v>917.8</v>
      </c>
      <c r="W26" s="140">
        <v>914.5</v>
      </c>
      <c r="X26" s="140">
        <v>915.8</v>
      </c>
      <c r="Y26" s="140">
        <v>912.8</v>
      </c>
      <c r="Z26" s="140">
        <v>907.1</v>
      </c>
      <c r="AA26" s="140">
        <v>889</v>
      </c>
      <c r="AB26" s="140">
        <v>885.6</v>
      </c>
      <c r="AC26" s="140">
        <v>882.1</v>
      </c>
      <c r="AD26" s="140">
        <v>876</v>
      </c>
      <c r="AE26" s="140">
        <v>870.3</v>
      </c>
      <c r="AF26" s="140">
        <v>868.7</v>
      </c>
      <c r="AG26" s="140">
        <v>866.8</v>
      </c>
      <c r="AH26" s="140">
        <v>868.3</v>
      </c>
      <c r="AI26" s="140">
        <v>863.9</v>
      </c>
      <c r="AJ26" s="140">
        <v>863.7</v>
      </c>
      <c r="AK26" s="140">
        <v>864</v>
      </c>
      <c r="AL26" s="140">
        <v>860.1</v>
      </c>
      <c r="AM26" s="140">
        <v>865.3</v>
      </c>
      <c r="AN26" s="140">
        <v>858.9</v>
      </c>
      <c r="AO26" s="140">
        <v>849.7</v>
      </c>
      <c r="AP26" s="140">
        <v>826.3</v>
      </c>
      <c r="AQ26" s="140">
        <v>826.1</v>
      </c>
      <c r="AR26" s="140">
        <v>823.3</v>
      </c>
      <c r="AS26" s="140">
        <v>822.3</v>
      </c>
      <c r="AT26" s="140">
        <v>824.8</v>
      </c>
      <c r="AU26" s="140">
        <v>821.9</v>
      </c>
      <c r="AV26" s="140">
        <v>821.6</v>
      </c>
      <c r="AW26" s="140">
        <v>822.1</v>
      </c>
      <c r="AX26" s="140">
        <v>820.9</v>
      </c>
      <c r="AY26" s="140">
        <v>814.6</v>
      </c>
      <c r="AZ26" s="140">
        <v>813.9</v>
      </c>
      <c r="BA26" s="140">
        <v>800.1</v>
      </c>
      <c r="BB26" s="140">
        <v>805.5</v>
      </c>
      <c r="BC26" s="140">
        <v>803.1</v>
      </c>
      <c r="BD26" s="140">
        <v>0</v>
      </c>
      <c r="BE26" s="140">
        <v>0</v>
      </c>
      <c r="BF26" s="140">
        <v>0</v>
      </c>
      <c r="BG26" s="140">
        <v>0</v>
      </c>
      <c r="BH26" s="140">
        <v>0</v>
      </c>
      <c r="BI26" s="140">
        <v>0</v>
      </c>
      <c r="BJ26" s="140">
        <v>0</v>
      </c>
    </row>
    <row r="27" spans="1:62">
      <c r="B27" s="304" t="s">
        <v>326</v>
      </c>
      <c r="C27" s="140">
        <v>848.3</v>
      </c>
      <c r="D27" s="140">
        <v>852.8</v>
      </c>
      <c r="E27" s="140">
        <v>853.4</v>
      </c>
      <c r="F27" s="140">
        <v>850.2</v>
      </c>
      <c r="G27" s="140">
        <v>848.2</v>
      </c>
      <c r="H27" s="140">
        <v>848.9</v>
      </c>
      <c r="I27" s="140">
        <v>849.5</v>
      </c>
      <c r="J27" s="140">
        <v>851.7</v>
      </c>
      <c r="K27" s="140">
        <v>849.5</v>
      </c>
      <c r="L27" s="140">
        <v>850.1</v>
      </c>
      <c r="M27" s="140">
        <v>849.6</v>
      </c>
      <c r="N27" s="140">
        <v>846.9</v>
      </c>
      <c r="O27" s="140">
        <v>838.9</v>
      </c>
      <c r="P27" s="140">
        <v>840.7</v>
      </c>
      <c r="Q27" s="140">
        <v>839.3</v>
      </c>
      <c r="R27" s="140">
        <v>834.5</v>
      </c>
      <c r="S27" s="140">
        <v>831.2</v>
      </c>
      <c r="T27" s="140">
        <v>828.7</v>
      </c>
      <c r="U27" s="140">
        <v>824.8</v>
      </c>
      <c r="V27" s="140">
        <v>822.1</v>
      </c>
      <c r="W27" s="140">
        <v>819.5</v>
      </c>
      <c r="X27" s="140">
        <v>820.6</v>
      </c>
      <c r="Y27" s="140">
        <v>817.4</v>
      </c>
      <c r="Z27" s="140">
        <v>811.9</v>
      </c>
      <c r="AA27" s="140">
        <v>802.1</v>
      </c>
      <c r="AB27" s="140">
        <v>798.8</v>
      </c>
      <c r="AC27" s="140">
        <v>795.2</v>
      </c>
      <c r="AD27" s="140">
        <v>789.2</v>
      </c>
      <c r="AE27" s="140">
        <v>784.6</v>
      </c>
      <c r="AF27" s="140">
        <v>783</v>
      </c>
      <c r="AG27" s="140">
        <v>781.1</v>
      </c>
      <c r="AH27" s="140">
        <v>782.9</v>
      </c>
      <c r="AI27" s="140">
        <v>778.7</v>
      </c>
      <c r="AJ27" s="140">
        <v>778.4</v>
      </c>
      <c r="AK27" s="140">
        <v>778.6</v>
      </c>
      <c r="AL27" s="140">
        <v>774.9</v>
      </c>
      <c r="AM27" s="140">
        <v>777.6</v>
      </c>
      <c r="AN27" s="140">
        <v>771.3</v>
      </c>
      <c r="AO27" s="140">
        <v>762</v>
      </c>
      <c r="AP27" s="140">
        <v>739.2</v>
      </c>
      <c r="AQ27" s="140">
        <v>739.3</v>
      </c>
      <c r="AR27" s="140">
        <v>736.8</v>
      </c>
      <c r="AS27" s="140">
        <v>735.8</v>
      </c>
      <c r="AT27" s="140">
        <v>738.3</v>
      </c>
      <c r="AU27" s="140">
        <v>735.5</v>
      </c>
      <c r="AV27" s="140">
        <v>735</v>
      </c>
      <c r="AW27" s="140">
        <v>735.5</v>
      </c>
      <c r="AX27" s="140">
        <v>734.9</v>
      </c>
      <c r="AY27" s="140">
        <v>737.5</v>
      </c>
      <c r="AZ27" s="140">
        <v>737.6</v>
      </c>
      <c r="BA27" s="140">
        <v>723.7</v>
      </c>
      <c r="BB27" s="140">
        <v>729.7</v>
      </c>
      <c r="BC27" s="140">
        <v>727.8</v>
      </c>
      <c r="BD27" s="140">
        <v>0</v>
      </c>
      <c r="BE27" s="140">
        <v>0</v>
      </c>
      <c r="BF27" s="140">
        <v>0</v>
      </c>
      <c r="BG27" s="140">
        <v>0</v>
      </c>
      <c r="BH27" s="140">
        <v>0</v>
      </c>
      <c r="BI27" s="140">
        <v>0</v>
      </c>
      <c r="BJ27" s="140">
        <v>0</v>
      </c>
    </row>
    <row r="28" spans="1:62">
      <c r="A28">
        <v>9</v>
      </c>
      <c r="B28" s="304" t="s">
        <v>327</v>
      </c>
      <c r="C28" s="140">
        <v>150.6</v>
      </c>
      <c r="D28" s="140">
        <v>152.69999999999999</v>
      </c>
      <c r="E28" s="140">
        <v>152</v>
      </c>
      <c r="F28" s="140">
        <v>151.19999999999999</v>
      </c>
      <c r="G28" s="140">
        <v>150.6</v>
      </c>
      <c r="H28" s="140">
        <v>149.69999999999999</v>
      </c>
      <c r="I28" s="140">
        <v>148.6</v>
      </c>
      <c r="J28" s="140">
        <v>148.69999999999999</v>
      </c>
      <c r="K28" s="140">
        <v>149.1</v>
      </c>
      <c r="L28" s="140">
        <v>149.9</v>
      </c>
      <c r="M28" s="140">
        <v>150.4</v>
      </c>
      <c r="N28" s="140">
        <v>150.5</v>
      </c>
      <c r="O28" s="140">
        <v>142.4</v>
      </c>
      <c r="P28" s="140">
        <v>145.1</v>
      </c>
      <c r="Q28" s="140">
        <v>144.5</v>
      </c>
      <c r="R28" s="140">
        <v>144.4</v>
      </c>
      <c r="S28" s="140">
        <v>143.19999999999999</v>
      </c>
      <c r="T28" s="140">
        <v>141.1</v>
      </c>
      <c r="U28" s="140">
        <v>140.4</v>
      </c>
      <c r="V28" s="140">
        <v>139</v>
      </c>
      <c r="W28" s="140">
        <v>140.4</v>
      </c>
      <c r="X28" s="140">
        <v>141.9</v>
      </c>
      <c r="Y28" s="140">
        <v>142.69999999999999</v>
      </c>
      <c r="Z28" s="140">
        <v>142</v>
      </c>
      <c r="AA28" s="140">
        <v>136.5</v>
      </c>
      <c r="AB28" s="140">
        <v>136.1</v>
      </c>
      <c r="AC28" s="140">
        <v>135.69999999999999</v>
      </c>
      <c r="AD28" s="140">
        <v>135.4</v>
      </c>
      <c r="AE28" s="140">
        <v>133.9</v>
      </c>
      <c r="AF28" s="140">
        <v>132.6</v>
      </c>
      <c r="AG28" s="140">
        <v>131.80000000000001</v>
      </c>
      <c r="AH28" s="140">
        <v>131.30000000000001</v>
      </c>
      <c r="AI28" s="140">
        <v>132.30000000000001</v>
      </c>
      <c r="AJ28" s="140">
        <v>133.30000000000001</v>
      </c>
      <c r="AK28" s="140">
        <v>134.30000000000001</v>
      </c>
      <c r="AL28" s="140">
        <v>133.6</v>
      </c>
      <c r="AM28" s="140">
        <v>138.80000000000001</v>
      </c>
      <c r="AN28" s="140">
        <v>138.6</v>
      </c>
      <c r="AO28" s="140">
        <v>137.9</v>
      </c>
      <c r="AP28" s="140">
        <v>136.30000000000001</v>
      </c>
      <c r="AQ28" s="140">
        <v>136</v>
      </c>
      <c r="AR28" s="140">
        <v>135.6</v>
      </c>
      <c r="AS28" s="140">
        <v>135.30000000000001</v>
      </c>
      <c r="AT28" s="140">
        <v>135.4</v>
      </c>
      <c r="AU28" s="140">
        <v>136.19999999999999</v>
      </c>
      <c r="AV28" s="140">
        <v>137.1</v>
      </c>
      <c r="AW28" s="140">
        <v>137.5</v>
      </c>
      <c r="AX28" s="140">
        <v>136.80000000000001</v>
      </c>
      <c r="AY28" s="140">
        <v>116.3</v>
      </c>
      <c r="AZ28" s="140">
        <v>119.2</v>
      </c>
      <c r="BA28" s="140">
        <v>122.5</v>
      </c>
      <c r="BB28" s="140">
        <v>121.5</v>
      </c>
      <c r="BC28" s="140">
        <v>120.8</v>
      </c>
      <c r="BD28" s="140">
        <v>0</v>
      </c>
      <c r="BE28" s="140">
        <v>0</v>
      </c>
      <c r="BF28" s="140">
        <v>0</v>
      </c>
      <c r="BG28" s="140">
        <v>0</v>
      </c>
      <c r="BH28" s="140">
        <v>0</v>
      </c>
      <c r="BI28" s="140">
        <v>0</v>
      </c>
      <c r="BJ28" s="140">
        <v>0</v>
      </c>
    </row>
    <row r="29" spans="1:62" ht="25.5">
      <c r="B29" s="305" t="s">
        <v>328</v>
      </c>
      <c r="C29" s="140">
        <v>82.4</v>
      </c>
      <c r="D29" s="140">
        <v>85.4</v>
      </c>
      <c r="E29" s="140">
        <v>85</v>
      </c>
      <c r="F29" s="140">
        <v>84.2</v>
      </c>
      <c r="G29" s="140">
        <v>83.9</v>
      </c>
      <c r="H29" s="140">
        <v>83.7</v>
      </c>
      <c r="I29" s="140">
        <v>82.6</v>
      </c>
      <c r="J29" s="140">
        <v>82.4</v>
      </c>
      <c r="K29" s="140">
        <v>82.7</v>
      </c>
      <c r="L29" s="140">
        <v>83.6</v>
      </c>
      <c r="M29" s="140">
        <v>84.1</v>
      </c>
      <c r="N29" s="140">
        <v>84.3</v>
      </c>
      <c r="O29" s="140">
        <v>79.3</v>
      </c>
      <c r="P29" s="140">
        <v>81.8</v>
      </c>
      <c r="Q29" s="140">
        <v>81.5</v>
      </c>
      <c r="R29" s="140">
        <v>81.2</v>
      </c>
      <c r="S29" s="140">
        <v>80.099999999999994</v>
      </c>
      <c r="T29" s="140">
        <v>78.900000000000006</v>
      </c>
      <c r="U29" s="140">
        <v>78.400000000000006</v>
      </c>
      <c r="V29" s="140">
        <v>77.7</v>
      </c>
      <c r="W29" s="140">
        <v>78.900000000000006</v>
      </c>
      <c r="X29" s="140">
        <v>80</v>
      </c>
      <c r="Y29" s="140">
        <v>80.599999999999994</v>
      </c>
      <c r="Z29" s="140">
        <v>80.400000000000006</v>
      </c>
      <c r="AA29" s="140">
        <v>75.3</v>
      </c>
      <c r="AB29" s="140">
        <v>75.2</v>
      </c>
      <c r="AC29" s="140">
        <v>74.900000000000006</v>
      </c>
      <c r="AD29" s="140">
        <v>74.599999999999994</v>
      </c>
      <c r="AE29" s="140">
        <v>73.400000000000006</v>
      </c>
      <c r="AF29" s="140">
        <v>72.7</v>
      </c>
      <c r="AG29" s="140">
        <v>72.3</v>
      </c>
      <c r="AH29" s="140">
        <v>72</v>
      </c>
      <c r="AI29" s="140">
        <v>72.900000000000006</v>
      </c>
      <c r="AJ29" s="140">
        <v>73.900000000000006</v>
      </c>
      <c r="AK29" s="140">
        <v>74.7</v>
      </c>
      <c r="AL29" s="140">
        <v>74.400000000000006</v>
      </c>
      <c r="AM29" s="140">
        <v>76.599999999999994</v>
      </c>
      <c r="AN29" s="140">
        <v>76.8</v>
      </c>
      <c r="AO29" s="140">
        <v>76.3</v>
      </c>
      <c r="AP29" s="140">
        <v>75.900000000000006</v>
      </c>
      <c r="AQ29" s="140">
        <v>75.2</v>
      </c>
      <c r="AR29" s="140">
        <v>74.599999999999994</v>
      </c>
      <c r="AS29" s="140">
        <v>73.900000000000006</v>
      </c>
      <c r="AT29" s="140">
        <v>74.2</v>
      </c>
      <c r="AU29" s="140">
        <v>74.7</v>
      </c>
      <c r="AV29" s="140">
        <v>75.5</v>
      </c>
      <c r="AW29" s="140">
        <v>76.3</v>
      </c>
      <c r="AX29" s="140">
        <v>76.099999999999994</v>
      </c>
      <c r="AY29" s="140">
        <v>62.8</v>
      </c>
      <c r="AZ29" s="140">
        <v>64.8</v>
      </c>
      <c r="BA29" s="140">
        <v>67.400000000000006</v>
      </c>
      <c r="BB29" s="140">
        <v>66.5</v>
      </c>
      <c r="BC29" s="140">
        <v>65.7</v>
      </c>
      <c r="BD29" s="140">
        <v>0</v>
      </c>
      <c r="BE29" s="140">
        <v>0</v>
      </c>
      <c r="BF29" s="140">
        <v>0</v>
      </c>
      <c r="BG29" s="140">
        <v>0</v>
      </c>
      <c r="BH29" s="140">
        <v>0</v>
      </c>
      <c r="BI29" s="140">
        <v>0</v>
      </c>
      <c r="BJ29" s="140">
        <v>0</v>
      </c>
    </row>
    <row r="30" spans="1:62" ht="25.5">
      <c r="B30" s="305" t="s">
        <v>329</v>
      </c>
      <c r="C30" s="140">
        <v>43.7</v>
      </c>
      <c r="D30" s="140">
        <v>44.1</v>
      </c>
      <c r="E30" s="140">
        <v>44</v>
      </c>
      <c r="F30" s="140">
        <v>43.8</v>
      </c>
      <c r="G30" s="140">
        <v>43.5</v>
      </c>
      <c r="H30" s="140">
        <v>43.4</v>
      </c>
      <c r="I30" s="140">
        <v>43.4</v>
      </c>
      <c r="J30" s="140">
        <v>43.6</v>
      </c>
      <c r="K30" s="140">
        <v>43.6</v>
      </c>
      <c r="L30" s="140">
        <v>43.6</v>
      </c>
      <c r="M30" s="140">
        <v>43.8</v>
      </c>
      <c r="N30" s="140">
        <v>43.7</v>
      </c>
      <c r="O30" s="140">
        <v>40.5</v>
      </c>
      <c r="P30" s="140">
        <v>41.1</v>
      </c>
      <c r="Q30" s="140">
        <v>40.9</v>
      </c>
      <c r="R30" s="140">
        <v>40.700000000000003</v>
      </c>
      <c r="S30" s="140">
        <v>40.4</v>
      </c>
      <c r="T30" s="140">
        <v>40.200000000000003</v>
      </c>
      <c r="U30" s="140">
        <v>40.200000000000003</v>
      </c>
      <c r="V30" s="140">
        <v>39.6</v>
      </c>
      <c r="W30" s="140">
        <v>39.700000000000003</v>
      </c>
      <c r="X30" s="140">
        <v>39.6</v>
      </c>
      <c r="Y30" s="140">
        <v>39.799999999999997</v>
      </c>
      <c r="Z30" s="140">
        <v>39.700000000000003</v>
      </c>
      <c r="AA30" s="140">
        <v>38.9</v>
      </c>
      <c r="AB30" s="140">
        <v>38.9</v>
      </c>
      <c r="AC30" s="140">
        <v>38.799999999999997</v>
      </c>
      <c r="AD30" s="140">
        <v>38.6</v>
      </c>
      <c r="AE30" s="140">
        <v>38.5</v>
      </c>
      <c r="AF30" s="140">
        <v>38.200000000000003</v>
      </c>
      <c r="AG30" s="140">
        <v>38.200000000000003</v>
      </c>
      <c r="AH30" s="140">
        <v>38</v>
      </c>
      <c r="AI30" s="140">
        <v>38.1</v>
      </c>
      <c r="AJ30" s="140">
        <v>38.200000000000003</v>
      </c>
      <c r="AK30" s="140">
        <v>38.299999999999997</v>
      </c>
      <c r="AL30" s="140">
        <v>38.1</v>
      </c>
      <c r="AM30" s="140">
        <v>38.6</v>
      </c>
      <c r="AN30" s="140">
        <v>38.1</v>
      </c>
      <c r="AO30" s="140">
        <v>38.200000000000003</v>
      </c>
      <c r="AP30" s="140">
        <v>37.5</v>
      </c>
      <c r="AQ30" s="140">
        <v>37.9</v>
      </c>
      <c r="AR30" s="140">
        <v>38.1</v>
      </c>
      <c r="AS30" s="140">
        <v>38.200000000000003</v>
      </c>
      <c r="AT30" s="140">
        <v>38.200000000000003</v>
      </c>
      <c r="AU30" s="140">
        <v>38.299999999999997</v>
      </c>
      <c r="AV30" s="140">
        <v>38.6</v>
      </c>
      <c r="AW30" s="140">
        <v>38.4</v>
      </c>
      <c r="AX30" s="140">
        <v>38.4</v>
      </c>
      <c r="AY30" s="140">
        <v>34</v>
      </c>
      <c r="AZ30" s="140">
        <v>34.6</v>
      </c>
      <c r="BA30" s="140">
        <v>35</v>
      </c>
      <c r="BB30" s="140">
        <v>34.9</v>
      </c>
      <c r="BC30" s="140">
        <v>34.799999999999997</v>
      </c>
      <c r="BD30" s="140">
        <v>0</v>
      </c>
      <c r="BE30" s="140">
        <v>0</v>
      </c>
      <c r="BF30" s="140">
        <v>0</v>
      </c>
      <c r="BG30" s="140">
        <v>0</v>
      </c>
      <c r="BH30" s="140">
        <v>0</v>
      </c>
      <c r="BI30" s="140">
        <v>0</v>
      </c>
      <c r="BJ30" s="140">
        <v>0</v>
      </c>
    </row>
    <row r="31" spans="1:62">
      <c r="A31">
        <v>9</v>
      </c>
      <c r="B31" s="304" t="s">
        <v>330</v>
      </c>
      <c r="C31" s="140">
        <v>27.6</v>
      </c>
      <c r="D31" s="140">
        <v>27.3</v>
      </c>
      <c r="E31" s="140">
        <v>27.2</v>
      </c>
      <c r="F31" s="140">
        <v>26.8</v>
      </c>
      <c r="G31" s="140">
        <v>27</v>
      </c>
      <c r="H31" s="140">
        <v>27.6</v>
      </c>
      <c r="I31" s="140">
        <v>27.3</v>
      </c>
      <c r="J31" s="140">
        <v>27.2</v>
      </c>
      <c r="K31" s="140">
        <v>26.9</v>
      </c>
      <c r="L31" s="140">
        <v>26.9</v>
      </c>
      <c r="M31" s="140">
        <v>27.1</v>
      </c>
      <c r="N31" s="140">
        <v>27</v>
      </c>
      <c r="O31" s="140">
        <v>26.3</v>
      </c>
      <c r="P31" s="140">
        <v>26.4</v>
      </c>
      <c r="Q31" s="140">
        <v>26.5</v>
      </c>
      <c r="R31" s="140">
        <v>26.5</v>
      </c>
      <c r="S31" s="140">
        <v>26.5</v>
      </c>
      <c r="T31" s="140">
        <v>26.6</v>
      </c>
      <c r="U31" s="140">
        <v>26.4</v>
      </c>
      <c r="V31" s="140">
        <v>26.2</v>
      </c>
      <c r="W31" s="140">
        <v>25.9</v>
      </c>
      <c r="X31" s="140">
        <v>26</v>
      </c>
      <c r="Y31" s="140">
        <v>26</v>
      </c>
      <c r="Z31" s="140">
        <v>26.1</v>
      </c>
      <c r="AA31" s="140">
        <v>24.2</v>
      </c>
      <c r="AB31" s="140">
        <v>24.4</v>
      </c>
      <c r="AC31" s="140">
        <v>24.6</v>
      </c>
      <c r="AD31" s="140">
        <v>24.7</v>
      </c>
      <c r="AE31" s="140">
        <v>24.8</v>
      </c>
      <c r="AF31" s="140">
        <v>24.6</v>
      </c>
      <c r="AG31" s="140">
        <v>24.1</v>
      </c>
      <c r="AH31" s="140">
        <v>23.4</v>
      </c>
      <c r="AI31" s="140">
        <v>23</v>
      </c>
      <c r="AJ31" s="140">
        <v>22.9</v>
      </c>
      <c r="AK31" s="140">
        <v>22.4</v>
      </c>
      <c r="AL31" s="140">
        <v>22.1</v>
      </c>
      <c r="AM31" s="140">
        <v>25.6</v>
      </c>
      <c r="AN31" s="140">
        <v>25.3</v>
      </c>
      <c r="AO31" s="140">
        <v>24.6</v>
      </c>
      <c r="AP31" s="140">
        <v>23.8</v>
      </c>
      <c r="AQ31" s="140">
        <v>23.8</v>
      </c>
      <c r="AR31" s="140">
        <v>24.1</v>
      </c>
      <c r="AS31" s="140">
        <v>23.6</v>
      </c>
      <c r="AT31" s="140">
        <v>23.6</v>
      </c>
      <c r="AU31" s="140">
        <v>23.7</v>
      </c>
      <c r="AV31" s="140">
        <v>23.8</v>
      </c>
      <c r="AW31" s="140">
        <v>24</v>
      </c>
      <c r="AX31" s="140">
        <v>23.7</v>
      </c>
      <c r="AY31" s="140">
        <v>25</v>
      </c>
      <c r="AZ31" s="140">
        <v>25.2</v>
      </c>
      <c r="BA31" s="140">
        <v>25.2</v>
      </c>
      <c r="BB31" s="140">
        <v>25.1</v>
      </c>
      <c r="BC31" s="140">
        <v>25.2</v>
      </c>
      <c r="BD31" s="140">
        <v>0</v>
      </c>
      <c r="BE31" s="140">
        <v>0</v>
      </c>
      <c r="BF31" s="140">
        <v>0</v>
      </c>
      <c r="BG31" s="140">
        <v>0</v>
      </c>
      <c r="BH31" s="140">
        <v>0</v>
      </c>
      <c r="BI31" s="140">
        <v>0</v>
      </c>
      <c r="BJ31" s="140">
        <v>0</v>
      </c>
    </row>
    <row r="35" spans="1:55">
      <c r="A35">
        <v>1</v>
      </c>
      <c r="B35" s="86" t="s">
        <v>332</v>
      </c>
      <c r="C35" s="158">
        <f t="shared" ref="C35:D43" si="3">SUMIF($A$5:$A$31,$A35,C$5:C$31)</f>
        <v>417.6</v>
      </c>
      <c r="D35" s="158">
        <f t="shared" si="3"/>
        <v>414.8</v>
      </c>
      <c r="E35" s="158">
        <f t="shared" ref="E35:BB40" si="4">SUMIF($A$5:$A$31,$A35,E$5:E$31)</f>
        <v>439.8</v>
      </c>
      <c r="F35" s="158">
        <f t="shared" si="4"/>
        <v>471.4</v>
      </c>
      <c r="G35" s="158">
        <f t="shared" si="4"/>
        <v>484.9</v>
      </c>
      <c r="H35" s="158">
        <f t="shared" si="4"/>
        <v>492</v>
      </c>
      <c r="I35" s="158">
        <f t="shared" si="4"/>
        <v>501.2</v>
      </c>
      <c r="J35" s="158">
        <f t="shared" si="4"/>
        <v>499.4</v>
      </c>
      <c r="K35" s="158">
        <f t="shared" si="4"/>
        <v>498.3</v>
      </c>
      <c r="L35" s="158">
        <f t="shared" si="4"/>
        <v>492.8</v>
      </c>
      <c r="M35" s="158">
        <f t="shared" si="4"/>
        <v>466.8</v>
      </c>
      <c r="N35" s="158">
        <f t="shared" si="4"/>
        <v>430.5</v>
      </c>
      <c r="O35" s="158">
        <f t="shared" si="4"/>
        <v>407.1</v>
      </c>
      <c r="P35" s="158">
        <f t="shared" si="4"/>
        <v>408</v>
      </c>
      <c r="Q35" s="158">
        <f t="shared" si="4"/>
        <v>413.1</v>
      </c>
      <c r="R35" s="158">
        <f t="shared" si="4"/>
        <v>450.6</v>
      </c>
      <c r="S35" s="158">
        <f t="shared" si="4"/>
        <v>470.1</v>
      </c>
      <c r="T35" s="158">
        <f t="shared" si="4"/>
        <v>477.7</v>
      </c>
      <c r="U35" s="158">
        <f t="shared" si="4"/>
        <v>483.7</v>
      </c>
      <c r="V35" s="158">
        <f t="shared" si="4"/>
        <v>483.6</v>
      </c>
      <c r="W35" s="158">
        <f t="shared" si="4"/>
        <v>484.1</v>
      </c>
      <c r="X35" s="158">
        <f t="shared" si="4"/>
        <v>481.4</v>
      </c>
      <c r="Y35" s="158">
        <f t="shared" si="4"/>
        <v>457.2</v>
      </c>
      <c r="Z35" s="158">
        <f t="shared" si="4"/>
        <v>419.8</v>
      </c>
      <c r="AA35" s="158">
        <f t="shared" si="4"/>
        <v>408</v>
      </c>
      <c r="AB35" s="158">
        <f t="shared" si="4"/>
        <v>405.1</v>
      </c>
      <c r="AC35" s="158">
        <f t="shared" si="4"/>
        <v>421.3</v>
      </c>
      <c r="AD35" s="158">
        <f t="shared" si="4"/>
        <v>450.1</v>
      </c>
      <c r="AE35" s="158">
        <f t="shared" si="4"/>
        <v>459.7</v>
      </c>
      <c r="AF35" s="158">
        <f t="shared" si="4"/>
        <v>464.9</v>
      </c>
      <c r="AG35" s="158">
        <f t="shared" si="4"/>
        <v>467.5</v>
      </c>
      <c r="AH35" s="158">
        <f t="shared" si="4"/>
        <v>465.8</v>
      </c>
      <c r="AI35" s="158">
        <f t="shared" si="4"/>
        <v>465.3</v>
      </c>
      <c r="AJ35" s="158">
        <f t="shared" si="4"/>
        <v>457.4</v>
      </c>
      <c r="AK35" s="158">
        <f t="shared" si="4"/>
        <v>429.5</v>
      </c>
      <c r="AL35" s="158">
        <f t="shared" si="4"/>
        <v>391.5</v>
      </c>
      <c r="AM35" s="158">
        <f t="shared" si="4"/>
        <v>376.5</v>
      </c>
      <c r="AN35" s="158">
        <f t="shared" si="4"/>
        <v>377.4</v>
      </c>
      <c r="AO35" s="158">
        <f t="shared" si="4"/>
        <v>395.5</v>
      </c>
      <c r="AP35" s="158">
        <f t="shared" si="4"/>
        <v>410.1</v>
      </c>
      <c r="AQ35" s="158">
        <f t="shared" si="4"/>
        <v>419.7</v>
      </c>
      <c r="AR35" s="158">
        <f t="shared" si="4"/>
        <v>426.1</v>
      </c>
      <c r="AS35" s="158">
        <f t="shared" si="4"/>
        <v>432</v>
      </c>
      <c r="AT35" s="158">
        <f t="shared" si="4"/>
        <v>430.2</v>
      </c>
      <c r="AU35" s="158">
        <f t="shared" si="4"/>
        <v>431.8</v>
      </c>
      <c r="AV35" s="158">
        <f t="shared" si="4"/>
        <v>428.8</v>
      </c>
      <c r="AW35" s="158">
        <f t="shared" si="4"/>
        <v>409.9</v>
      </c>
      <c r="AX35" s="158">
        <f t="shared" si="4"/>
        <v>378.3</v>
      </c>
      <c r="AY35" s="158">
        <f t="shared" si="4"/>
        <v>360.4</v>
      </c>
      <c r="AZ35" s="158">
        <f t="shared" si="4"/>
        <v>358.2</v>
      </c>
      <c r="BA35" s="158">
        <f t="shared" si="4"/>
        <v>370.5</v>
      </c>
      <c r="BB35" s="158">
        <f t="shared" si="4"/>
        <v>401.1</v>
      </c>
      <c r="BC35" s="158">
        <f>SUMIF($A$5:$A$31,$A35,BC$5:BC$31)</f>
        <v>411</v>
      </c>
    </row>
    <row r="36" spans="1:55">
      <c r="A36">
        <v>2</v>
      </c>
      <c r="B36" s="86" t="s">
        <v>333</v>
      </c>
      <c r="C36" s="158">
        <f t="shared" si="3"/>
        <v>1937.4</v>
      </c>
      <c r="D36" s="158">
        <f t="shared" si="3"/>
        <v>1942.3</v>
      </c>
      <c r="E36" s="158">
        <f t="shared" ref="E36:R36" si="5">SUMIF($A$5:$A$31,$A36,E$5:E$31)</f>
        <v>1916.1</v>
      </c>
      <c r="F36" s="158">
        <f t="shared" si="5"/>
        <v>1896.9</v>
      </c>
      <c r="G36" s="158">
        <f t="shared" si="5"/>
        <v>1887.5</v>
      </c>
      <c r="H36" s="158">
        <f t="shared" si="5"/>
        <v>1877.3</v>
      </c>
      <c r="I36" s="158">
        <f t="shared" si="5"/>
        <v>1878</v>
      </c>
      <c r="J36" s="158">
        <f t="shared" si="5"/>
        <v>1877.6</v>
      </c>
      <c r="K36" s="158">
        <f t="shared" si="5"/>
        <v>1875.9</v>
      </c>
      <c r="L36" s="158">
        <f t="shared" si="5"/>
        <v>1884.1</v>
      </c>
      <c r="M36" s="158">
        <f t="shared" si="5"/>
        <v>1878.1</v>
      </c>
      <c r="N36" s="158">
        <f t="shared" si="5"/>
        <v>1872.6</v>
      </c>
      <c r="O36" s="158">
        <f t="shared" si="5"/>
        <v>1870.5</v>
      </c>
      <c r="P36" s="158">
        <f t="shared" si="5"/>
        <v>1870.2</v>
      </c>
      <c r="Q36" s="158">
        <f t="shared" si="5"/>
        <v>1870</v>
      </c>
      <c r="R36" s="158">
        <f t="shared" si="5"/>
        <v>1860.9</v>
      </c>
      <c r="S36" s="158">
        <f t="shared" si="4"/>
        <v>1851.6</v>
      </c>
      <c r="T36" s="158">
        <f t="shared" si="4"/>
        <v>1839.6</v>
      </c>
      <c r="U36" s="158">
        <f t="shared" si="4"/>
        <v>1838.2</v>
      </c>
      <c r="V36" s="158">
        <f t="shared" si="4"/>
        <v>1831.3</v>
      </c>
      <c r="W36" s="158">
        <f t="shared" si="4"/>
        <v>1832.7</v>
      </c>
      <c r="X36" s="158">
        <f t="shared" si="4"/>
        <v>1844.1</v>
      </c>
      <c r="Y36" s="158">
        <f t="shared" si="4"/>
        <v>1855.2</v>
      </c>
      <c r="Z36" s="158">
        <f t="shared" si="4"/>
        <v>1846.2</v>
      </c>
      <c r="AA36" s="158">
        <f t="shared" si="4"/>
        <v>1907</v>
      </c>
      <c r="AB36" s="158">
        <f t="shared" si="4"/>
        <v>1904.1</v>
      </c>
      <c r="AC36" s="158">
        <f t="shared" si="4"/>
        <v>1902.5</v>
      </c>
      <c r="AD36" s="158">
        <f t="shared" si="4"/>
        <v>1886.8</v>
      </c>
      <c r="AE36" s="158">
        <f t="shared" si="4"/>
        <v>1868.2</v>
      </c>
      <c r="AF36" s="158">
        <f t="shared" si="4"/>
        <v>1859.7</v>
      </c>
      <c r="AG36" s="158">
        <f t="shared" si="4"/>
        <v>1854.6</v>
      </c>
      <c r="AH36" s="158">
        <f t="shared" si="4"/>
        <v>1851</v>
      </c>
      <c r="AI36" s="158">
        <f t="shared" si="4"/>
        <v>1844.9</v>
      </c>
      <c r="AJ36" s="158">
        <f t="shared" si="4"/>
        <v>1845.4</v>
      </c>
      <c r="AK36" s="158">
        <f t="shared" si="4"/>
        <v>1848.8</v>
      </c>
      <c r="AL36" s="158">
        <f t="shared" si="4"/>
        <v>1832.6</v>
      </c>
      <c r="AM36" s="158">
        <f t="shared" si="4"/>
        <v>1847.7</v>
      </c>
      <c r="AN36" s="158">
        <f t="shared" si="4"/>
        <v>1847.4</v>
      </c>
      <c r="AO36" s="158">
        <f t="shared" si="4"/>
        <v>1836.8</v>
      </c>
      <c r="AP36" s="158">
        <f t="shared" si="4"/>
        <v>1808.9</v>
      </c>
      <c r="AQ36" s="158">
        <f t="shared" si="4"/>
        <v>1783.2</v>
      </c>
      <c r="AR36" s="158">
        <f t="shared" si="4"/>
        <v>1781.4</v>
      </c>
      <c r="AS36" s="158">
        <f t="shared" si="4"/>
        <v>1777</v>
      </c>
      <c r="AT36" s="158">
        <f t="shared" si="4"/>
        <v>1772.7</v>
      </c>
      <c r="AU36" s="158">
        <f t="shared" si="4"/>
        <v>1771.3</v>
      </c>
      <c r="AV36" s="158">
        <f t="shared" si="4"/>
        <v>1775</v>
      </c>
      <c r="AW36" s="158">
        <f t="shared" si="4"/>
        <v>1783.8</v>
      </c>
      <c r="AX36" s="158">
        <f t="shared" si="4"/>
        <v>1772.3</v>
      </c>
      <c r="AY36" s="158">
        <f t="shared" si="4"/>
        <v>1788.9</v>
      </c>
      <c r="AZ36" s="158">
        <f t="shared" si="4"/>
        <v>1791.7</v>
      </c>
      <c r="BA36" s="158">
        <f t="shared" si="4"/>
        <v>1789.7</v>
      </c>
      <c r="BB36" s="158">
        <f t="shared" si="4"/>
        <v>1779.6</v>
      </c>
      <c r="BC36" s="158">
        <f>SUMIF($A$5:$A$31,$A36,BC$5:BC$31)</f>
        <v>1768.6</v>
      </c>
    </row>
    <row r="37" spans="1:55">
      <c r="A37">
        <v>3</v>
      </c>
      <c r="B37" s="86" t="s">
        <v>334</v>
      </c>
      <c r="C37" s="158">
        <f t="shared" si="3"/>
        <v>162.4</v>
      </c>
      <c r="D37" s="158">
        <f t="shared" si="3"/>
        <v>161.4</v>
      </c>
      <c r="E37" s="158">
        <f t="shared" si="4"/>
        <v>163.30000000000001</v>
      </c>
      <c r="F37" s="158">
        <f t="shared" si="4"/>
        <v>167.4</v>
      </c>
      <c r="G37" s="158">
        <f t="shared" si="4"/>
        <v>168.4</v>
      </c>
      <c r="H37" s="158">
        <f t="shared" si="4"/>
        <v>168.1</v>
      </c>
      <c r="I37" s="158">
        <f t="shared" si="4"/>
        <v>168.9</v>
      </c>
      <c r="J37" s="158">
        <f t="shared" si="4"/>
        <v>169.9</v>
      </c>
      <c r="K37" s="158">
        <f t="shared" si="4"/>
        <v>169</v>
      </c>
      <c r="L37" s="158">
        <f t="shared" si="4"/>
        <v>168.8</v>
      </c>
      <c r="M37" s="158">
        <f t="shared" si="4"/>
        <v>168.4</v>
      </c>
      <c r="N37" s="158">
        <f t="shared" si="4"/>
        <v>166.2</v>
      </c>
      <c r="O37" s="158">
        <f t="shared" si="4"/>
        <v>175.3</v>
      </c>
      <c r="P37" s="158">
        <f t="shared" si="4"/>
        <v>175.3</v>
      </c>
      <c r="Q37" s="158">
        <f t="shared" si="4"/>
        <v>175.6</v>
      </c>
      <c r="R37" s="158">
        <f t="shared" si="4"/>
        <v>176.5</v>
      </c>
      <c r="S37" s="158">
        <f t="shared" si="4"/>
        <v>178.9</v>
      </c>
      <c r="T37" s="158">
        <f t="shared" si="4"/>
        <v>178.7</v>
      </c>
      <c r="U37" s="158">
        <f t="shared" si="4"/>
        <v>180.1</v>
      </c>
      <c r="V37" s="158">
        <f t="shared" si="4"/>
        <v>180</v>
      </c>
      <c r="W37" s="158">
        <f t="shared" si="4"/>
        <v>180.4</v>
      </c>
      <c r="X37" s="158">
        <f t="shared" si="4"/>
        <v>182.1</v>
      </c>
      <c r="Y37" s="158">
        <f t="shared" si="4"/>
        <v>182.4</v>
      </c>
      <c r="Z37" s="158">
        <f t="shared" si="4"/>
        <v>179.2</v>
      </c>
      <c r="AA37" s="158">
        <f t="shared" si="4"/>
        <v>191.8</v>
      </c>
      <c r="AB37" s="158">
        <f t="shared" si="4"/>
        <v>190.9</v>
      </c>
      <c r="AC37" s="158">
        <f t="shared" si="4"/>
        <v>192.9</v>
      </c>
      <c r="AD37" s="158">
        <f t="shared" si="4"/>
        <v>194.1</v>
      </c>
      <c r="AE37" s="158">
        <f t="shared" si="4"/>
        <v>196.4</v>
      </c>
      <c r="AF37" s="158">
        <f t="shared" si="4"/>
        <v>196.2</v>
      </c>
      <c r="AG37" s="158">
        <f t="shared" si="4"/>
        <v>197</v>
      </c>
      <c r="AH37" s="158">
        <f t="shared" si="4"/>
        <v>196.3</v>
      </c>
      <c r="AI37" s="158">
        <f t="shared" si="4"/>
        <v>194.9</v>
      </c>
      <c r="AJ37" s="158">
        <f t="shared" si="4"/>
        <v>195</v>
      </c>
      <c r="AK37" s="158">
        <f t="shared" si="4"/>
        <v>193.2</v>
      </c>
      <c r="AL37" s="158">
        <f t="shared" si="4"/>
        <v>186.1</v>
      </c>
      <c r="AM37" s="158">
        <f t="shared" si="4"/>
        <v>195.7</v>
      </c>
      <c r="AN37" s="158">
        <f t="shared" si="4"/>
        <v>194.8</v>
      </c>
      <c r="AO37" s="158">
        <f t="shared" si="4"/>
        <v>193.1</v>
      </c>
      <c r="AP37" s="158">
        <f t="shared" si="4"/>
        <v>191.7</v>
      </c>
      <c r="AQ37" s="158">
        <f t="shared" si="4"/>
        <v>193.1</v>
      </c>
      <c r="AR37" s="158">
        <f t="shared" si="4"/>
        <v>195.5</v>
      </c>
      <c r="AS37" s="158">
        <f t="shared" si="4"/>
        <v>195.6</v>
      </c>
      <c r="AT37" s="158">
        <f t="shared" si="4"/>
        <v>197</v>
      </c>
      <c r="AU37" s="158">
        <f t="shared" si="4"/>
        <v>198.8</v>
      </c>
      <c r="AV37" s="158">
        <f t="shared" si="4"/>
        <v>199.7</v>
      </c>
      <c r="AW37" s="158">
        <f t="shared" si="4"/>
        <v>199.1</v>
      </c>
      <c r="AX37" s="158">
        <f t="shared" si="4"/>
        <v>195.7</v>
      </c>
      <c r="AY37" s="158">
        <f t="shared" si="4"/>
        <v>206.9</v>
      </c>
      <c r="AZ37" s="158">
        <f t="shared" si="4"/>
        <v>207.3</v>
      </c>
      <c r="BA37" s="158">
        <f t="shared" si="4"/>
        <v>211.7</v>
      </c>
      <c r="BB37" s="158">
        <f t="shared" si="4"/>
        <v>217</v>
      </c>
      <c r="BC37" s="158">
        <f>SUMIF($A$5:$A$31,$A37,BC$5:BC$31)</f>
        <v>220.8</v>
      </c>
    </row>
    <row r="38" spans="1:55">
      <c r="A38">
        <v>4</v>
      </c>
      <c r="B38" s="86" t="s">
        <v>335</v>
      </c>
      <c r="C38" s="158">
        <f t="shared" si="3"/>
        <v>666.3</v>
      </c>
      <c r="D38" s="158">
        <f t="shared" si="3"/>
        <v>697.9</v>
      </c>
      <c r="E38" s="158">
        <f t="shared" si="4"/>
        <v>703.8</v>
      </c>
      <c r="F38" s="158">
        <f t="shared" si="4"/>
        <v>696</v>
      </c>
      <c r="G38" s="158">
        <f t="shared" si="4"/>
        <v>698.4</v>
      </c>
      <c r="H38" s="158">
        <f t="shared" si="4"/>
        <v>697.6</v>
      </c>
      <c r="I38" s="158">
        <f t="shared" si="4"/>
        <v>699.8</v>
      </c>
      <c r="J38" s="158">
        <f t="shared" si="4"/>
        <v>697.8</v>
      </c>
      <c r="K38" s="158">
        <f t="shared" si="4"/>
        <v>695</v>
      </c>
      <c r="L38" s="158">
        <f t="shared" si="4"/>
        <v>700.1</v>
      </c>
      <c r="M38" s="158">
        <f t="shared" si="4"/>
        <v>703.2</v>
      </c>
      <c r="N38" s="158">
        <f t="shared" si="4"/>
        <v>704.8</v>
      </c>
      <c r="O38" s="158">
        <f t="shared" si="4"/>
        <v>769.3</v>
      </c>
      <c r="P38" s="158">
        <f t="shared" si="4"/>
        <v>767.2</v>
      </c>
      <c r="Q38" s="158">
        <f t="shared" si="4"/>
        <v>765.1</v>
      </c>
      <c r="R38" s="158">
        <f t="shared" si="4"/>
        <v>763.5</v>
      </c>
      <c r="S38" s="158">
        <f t="shared" si="4"/>
        <v>763.1</v>
      </c>
      <c r="T38" s="158">
        <f t="shared" si="4"/>
        <v>758.4</v>
      </c>
      <c r="U38" s="158">
        <f t="shared" si="4"/>
        <v>760.9</v>
      </c>
      <c r="V38" s="158">
        <f t="shared" si="4"/>
        <v>759.6</v>
      </c>
      <c r="W38" s="158">
        <f t="shared" si="4"/>
        <v>746.6</v>
      </c>
      <c r="X38" s="158">
        <f t="shared" si="4"/>
        <v>755</v>
      </c>
      <c r="Y38" s="158">
        <f t="shared" si="4"/>
        <v>760.3</v>
      </c>
      <c r="Z38" s="158">
        <f t="shared" si="4"/>
        <v>761.6</v>
      </c>
      <c r="AA38" s="158">
        <f t="shared" si="4"/>
        <v>786.5</v>
      </c>
      <c r="AB38" s="158">
        <f t="shared" si="4"/>
        <v>782.5</v>
      </c>
      <c r="AC38" s="158">
        <f t="shared" si="4"/>
        <v>777.2</v>
      </c>
      <c r="AD38" s="158">
        <f t="shared" si="4"/>
        <v>767.7</v>
      </c>
      <c r="AE38" s="158">
        <f t="shared" si="4"/>
        <v>764.9</v>
      </c>
      <c r="AF38" s="158">
        <f t="shared" si="4"/>
        <v>759.2</v>
      </c>
      <c r="AG38" s="158">
        <f t="shared" si="4"/>
        <v>760</v>
      </c>
      <c r="AH38" s="158">
        <f t="shared" si="4"/>
        <v>758.6</v>
      </c>
      <c r="AI38" s="158">
        <f t="shared" si="4"/>
        <v>756.8</v>
      </c>
      <c r="AJ38" s="158">
        <f t="shared" si="4"/>
        <v>753.8</v>
      </c>
      <c r="AK38" s="158">
        <f t="shared" si="4"/>
        <v>756.4</v>
      </c>
      <c r="AL38" s="158">
        <f t="shared" si="4"/>
        <v>760.9</v>
      </c>
      <c r="AM38" s="158">
        <f t="shared" si="4"/>
        <v>812.8</v>
      </c>
      <c r="AN38" s="158">
        <f t="shared" si="4"/>
        <v>811</v>
      </c>
      <c r="AO38" s="158">
        <f t="shared" si="4"/>
        <v>806.3</v>
      </c>
      <c r="AP38" s="158">
        <f t="shared" si="4"/>
        <v>790.9</v>
      </c>
      <c r="AQ38" s="158">
        <f t="shared" si="4"/>
        <v>786.5</v>
      </c>
      <c r="AR38" s="158">
        <f t="shared" si="4"/>
        <v>778</v>
      </c>
      <c r="AS38" s="158">
        <f t="shared" si="4"/>
        <v>779.7</v>
      </c>
      <c r="AT38" s="158">
        <f t="shared" si="4"/>
        <v>780</v>
      </c>
      <c r="AU38" s="158">
        <f t="shared" si="4"/>
        <v>786.6</v>
      </c>
      <c r="AV38" s="158">
        <f t="shared" si="4"/>
        <v>787</v>
      </c>
      <c r="AW38" s="158">
        <f t="shared" si="4"/>
        <v>790</v>
      </c>
      <c r="AX38" s="158">
        <f t="shared" si="4"/>
        <v>787.8</v>
      </c>
      <c r="AY38" s="158">
        <f t="shared" si="4"/>
        <v>809.3</v>
      </c>
      <c r="AZ38" s="158">
        <f t="shared" si="4"/>
        <v>813.6</v>
      </c>
      <c r="BA38" s="158">
        <f t="shared" si="4"/>
        <v>809.9</v>
      </c>
      <c r="BB38" s="158">
        <f t="shared" si="4"/>
        <v>807.2</v>
      </c>
      <c r="BC38" s="158">
        <f>SUMIF($A$5:$A$31,$A38,BC$5:BC$31)</f>
        <v>803.9</v>
      </c>
    </row>
    <row r="39" spans="1:55">
      <c r="A39">
        <v>5</v>
      </c>
      <c r="B39" s="86" t="s">
        <v>336</v>
      </c>
      <c r="C39" s="158">
        <f t="shared" si="3"/>
        <v>666.6</v>
      </c>
      <c r="D39" s="158">
        <f t="shared" si="3"/>
        <v>666</v>
      </c>
      <c r="E39" s="158">
        <f t="shared" si="4"/>
        <v>666.2</v>
      </c>
      <c r="F39" s="158">
        <f t="shared" si="4"/>
        <v>665.6</v>
      </c>
      <c r="G39" s="158">
        <f t="shared" si="4"/>
        <v>663.1</v>
      </c>
      <c r="H39" s="158">
        <f t="shared" si="4"/>
        <v>657.1</v>
      </c>
      <c r="I39" s="158">
        <f t="shared" si="4"/>
        <v>655.29999999999995</v>
      </c>
      <c r="J39" s="158">
        <f t="shared" si="4"/>
        <v>647.9</v>
      </c>
      <c r="K39" s="158">
        <f t="shared" si="4"/>
        <v>644.9</v>
      </c>
      <c r="L39" s="158">
        <f t="shared" si="4"/>
        <v>643</v>
      </c>
      <c r="M39" s="158">
        <f t="shared" si="4"/>
        <v>643.20000000000005</v>
      </c>
      <c r="N39" s="158">
        <f t="shared" si="4"/>
        <v>643.9</v>
      </c>
      <c r="O39" s="158">
        <f t="shared" si="4"/>
        <v>654.6</v>
      </c>
      <c r="P39" s="158">
        <f t="shared" si="4"/>
        <v>655.8</v>
      </c>
      <c r="Q39" s="158">
        <f t="shared" si="4"/>
        <v>655.20000000000005</v>
      </c>
      <c r="R39" s="158">
        <f t="shared" si="4"/>
        <v>653.5</v>
      </c>
      <c r="S39" s="158">
        <f t="shared" si="4"/>
        <v>651.79999999999995</v>
      </c>
      <c r="T39" s="158">
        <f t="shared" si="4"/>
        <v>649.1</v>
      </c>
      <c r="U39" s="158">
        <f t="shared" si="4"/>
        <v>649.4</v>
      </c>
      <c r="V39" s="158">
        <f t="shared" si="4"/>
        <v>647.1</v>
      </c>
      <c r="W39" s="158">
        <f t="shared" si="4"/>
        <v>642.9</v>
      </c>
      <c r="X39" s="158">
        <f t="shared" si="4"/>
        <v>643</v>
      </c>
      <c r="Y39" s="158">
        <f t="shared" si="4"/>
        <v>640</v>
      </c>
      <c r="Z39" s="158">
        <f t="shared" si="4"/>
        <v>638.20000000000005</v>
      </c>
      <c r="AA39" s="158">
        <f t="shared" si="4"/>
        <v>651.70000000000005</v>
      </c>
      <c r="AB39" s="158">
        <f t="shared" si="4"/>
        <v>652</v>
      </c>
      <c r="AC39" s="158">
        <f t="shared" si="4"/>
        <v>650</v>
      </c>
      <c r="AD39" s="158">
        <f t="shared" si="4"/>
        <v>647.5</v>
      </c>
      <c r="AE39" s="158">
        <f t="shared" si="4"/>
        <v>645.20000000000005</v>
      </c>
      <c r="AF39" s="158">
        <f t="shared" si="4"/>
        <v>642.4</v>
      </c>
      <c r="AG39" s="158">
        <f t="shared" si="4"/>
        <v>632.20000000000005</v>
      </c>
      <c r="AH39" s="158">
        <f t="shared" si="4"/>
        <v>627.70000000000005</v>
      </c>
      <c r="AI39" s="158">
        <f t="shared" si="4"/>
        <v>620.1</v>
      </c>
      <c r="AJ39" s="158">
        <f t="shared" si="4"/>
        <v>618.6</v>
      </c>
      <c r="AK39" s="158">
        <f t="shared" si="4"/>
        <v>616.5</v>
      </c>
      <c r="AL39" s="158">
        <f t="shared" si="4"/>
        <v>616.70000000000005</v>
      </c>
      <c r="AM39" s="158">
        <f t="shared" si="4"/>
        <v>637.1</v>
      </c>
      <c r="AN39" s="158">
        <f t="shared" si="4"/>
        <v>639.20000000000005</v>
      </c>
      <c r="AO39" s="158">
        <f t="shared" si="4"/>
        <v>629</v>
      </c>
      <c r="AP39" s="158">
        <f t="shared" si="4"/>
        <v>624.1</v>
      </c>
      <c r="AQ39" s="158">
        <f t="shared" si="4"/>
        <v>624.4</v>
      </c>
      <c r="AR39" s="158">
        <f t="shared" si="4"/>
        <v>625.79999999999995</v>
      </c>
      <c r="AS39" s="158">
        <f t="shared" si="4"/>
        <v>627.4</v>
      </c>
      <c r="AT39" s="158">
        <f t="shared" si="4"/>
        <v>622.4</v>
      </c>
      <c r="AU39" s="158">
        <f t="shared" si="4"/>
        <v>620.20000000000005</v>
      </c>
      <c r="AV39" s="158">
        <f t="shared" si="4"/>
        <v>621.20000000000005</v>
      </c>
      <c r="AW39" s="158">
        <f t="shared" si="4"/>
        <v>620.5</v>
      </c>
      <c r="AX39" s="158">
        <f t="shared" si="4"/>
        <v>617.79999999999995</v>
      </c>
      <c r="AY39" s="158">
        <f t="shared" si="4"/>
        <v>624.4</v>
      </c>
      <c r="AZ39" s="158">
        <f t="shared" si="4"/>
        <v>621.1</v>
      </c>
      <c r="BA39" s="158">
        <f t="shared" si="4"/>
        <v>621.70000000000005</v>
      </c>
      <c r="BB39" s="158">
        <f t="shared" si="4"/>
        <v>617.1</v>
      </c>
      <c r="BC39" s="158">
        <f>SUMIF($A$5:$A$31,$A39,BC$5:BC$31)</f>
        <v>616.1</v>
      </c>
    </row>
    <row r="40" spans="1:55">
      <c r="A40">
        <v>6</v>
      </c>
      <c r="B40" s="86" t="s">
        <v>337</v>
      </c>
      <c r="C40" s="158">
        <f t="shared" si="3"/>
        <v>1380.2</v>
      </c>
      <c r="D40" s="158">
        <f t="shared" si="3"/>
        <v>1395.7</v>
      </c>
      <c r="E40" s="158">
        <f t="shared" si="4"/>
        <v>1398.5</v>
      </c>
      <c r="F40" s="158">
        <f t="shared" si="4"/>
        <v>1384.2</v>
      </c>
      <c r="G40" s="158">
        <f t="shared" si="4"/>
        <v>1369.7</v>
      </c>
      <c r="H40" s="158">
        <f t="shared" si="4"/>
        <v>1359.6</v>
      </c>
      <c r="I40" s="158">
        <f t="shared" si="4"/>
        <v>1352.3</v>
      </c>
      <c r="J40" s="158">
        <f t="shared" si="4"/>
        <v>1345.8</v>
      </c>
      <c r="K40" s="158">
        <f t="shared" si="4"/>
        <v>1367.9</v>
      </c>
      <c r="L40" s="158">
        <f t="shared" si="4"/>
        <v>1389.3</v>
      </c>
      <c r="M40" s="158">
        <f t="shared" si="4"/>
        <v>1402.5</v>
      </c>
      <c r="N40" s="158">
        <f t="shared" si="4"/>
        <v>1401</v>
      </c>
      <c r="O40" s="158">
        <f t="shared" si="4"/>
        <v>1382.1</v>
      </c>
      <c r="P40" s="158">
        <f t="shared" si="4"/>
        <v>1393.4</v>
      </c>
      <c r="Q40" s="158">
        <f t="shared" si="4"/>
        <v>1392.7</v>
      </c>
      <c r="R40" s="158">
        <f t="shared" si="4"/>
        <v>1380.6</v>
      </c>
      <c r="S40" s="158">
        <f t="shared" si="4"/>
        <v>1362</v>
      </c>
      <c r="T40" s="158">
        <f t="shared" si="4"/>
        <v>1350.2</v>
      </c>
      <c r="U40" s="158">
        <f t="shared" si="4"/>
        <v>1335.1</v>
      </c>
      <c r="V40" s="158">
        <f t="shared" si="4"/>
        <v>1324.2</v>
      </c>
      <c r="W40" s="158">
        <f t="shared" si="4"/>
        <v>1342</v>
      </c>
      <c r="X40" s="158">
        <f t="shared" ref="E40:BC43" si="6">SUMIF($A$5:$A$31,$A40,X$5:X$31)</f>
        <v>1364.6</v>
      </c>
      <c r="Y40" s="158">
        <f t="shared" si="6"/>
        <v>1377.2</v>
      </c>
      <c r="Z40" s="158">
        <f t="shared" si="6"/>
        <v>1375.1</v>
      </c>
      <c r="AA40" s="158">
        <f t="shared" si="6"/>
        <v>1339</v>
      </c>
      <c r="AB40" s="158">
        <f t="shared" si="6"/>
        <v>1340.5</v>
      </c>
      <c r="AC40" s="158">
        <f t="shared" si="6"/>
        <v>1337</v>
      </c>
      <c r="AD40" s="158">
        <f t="shared" si="6"/>
        <v>1325.7</v>
      </c>
      <c r="AE40" s="158">
        <f t="shared" si="6"/>
        <v>1307.2</v>
      </c>
      <c r="AF40" s="158">
        <f t="shared" si="6"/>
        <v>1297.2</v>
      </c>
      <c r="AG40" s="158">
        <f t="shared" si="6"/>
        <v>1289.0999999999999</v>
      </c>
      <c r="AH40" s="158">
        <f t="shared" si="6"/>
        <v>1282.5999999999999</v>
      </c>
      <c r="AI40" s="158">
        <f t="shared" si="6"/>
        <v>1298.5</v>
      </c>
      <c r="AJ40" s="158">
        <f t="shared" si="6"/>
        <v>1312</v>
      </c>
      <c r="AK40" s="158">
        <f t="shared" si="6"/>
        <v>1330.4</v>
      </c>
      <c r="AL40" s="158">
        <f t="shared" si="6"/>
        <v>1325.3</v>
      </c>
      <c r="AM40" s="158">
        <f t="shared" si="6"/>
        <v>1340.5</v>
      </c>
      <c r="AN40" s="158">
        <f t="shared" si="6"/>
        <v>1343.2</v>
      </c>
      <c r="AO40" s="158">
        <f t="shared" si="6"/>
        <v>1340</v>
      </c>
      <c r="AP40" s="158">
        <f t="shared" si="6"/>
        <v>1318.2</v>
      </c>
      <c r="AQ40" s="158">
        <f t="shared" si="6"/>
        <v>1310.5999999999999</v>
      </c>
      <c r="AR40" s="158">
        <f t="shared" si="6"/>
        <v>1301.2</v>
      </c>
      <c r="AS40" s="158">
        <f t="shared" si="6"/>
        <v>1293.3</v>
      </c>
      <c r="AT40" s="158">
        <f t="shared" si="6"/>
        <v>1286.5</v>
      </c>
      <c r="AU40" s="158">
        <f t="shared" si="6"/>
        <v>1307</v>
      </c>
      <c r="AV40" s="158">
        <f t="shared" si="6"/>
        <v>1321.8</v>
      </c>
      <c r="AW40" s="158">
        <f t="shared" si="6"/>
        <v>1335.4</v>
      </c>
      <c r="AX40" s="158">
        <f t="shared" si="6"/>
        <v>1333.5</v>
      </c>
      <c r="AY40" s="158">
        <f t="shared" si="6"/>
        <v>1123.3</v>
      </c>
      <c r="AZ40" s="158">
        <f t="shared" si="6"/>
        <v>1147.3</v>
      </c>
      <c r="BA40" s="158">
        <f t="shared" si="6"/>
        <v>1185.7</v>
      </c>
      <c r="BB40" s="158">
        <f t="shared" si="6"/>
        <v>1175.8</v>
      </c>
      <c r="BC40" s="158">
        <f t="shared" si="6"/>
        <v>1162.4000000000001</v>
      </c>
    </row>
    <row r="41" spans="1:55">
      <c r="A41">
        <v>7</v>
      </c>
      <c r="B41" s="86" t="s">
        <v>338</v>
      </c>
      <c r="C41" s="158">
        <f t="shared" si="3"/>
        <v>949.6</v>
      </c>
      <c r="D41" s="158">
        <f t="shared" si="3"/>
        <v>954.4</v>
      </c>
      <c r="E41" s="158">
        <f t="shared" si="6"/>
        <v>955.2</v>
      </c>
      <c r="F41" s="158">
        <f t="shared" si="6"/>
        <v>951.9</v>
      </c>
      <c r="G41" s="158">
        <f t="shared" si="6"/>
        <v>949</v>
      </c>
      <c r="H41" s="158">
        <f t="shared" si="6"/>
        <v>949.9</v>
      </c>
      <c r="I41" s="158">
        <f t="shared" si="6"/>
        <v>950.5</v>
      </c>
      <c r="J41" s="158">
        <f t="shared" si="6"/>
        <v>952.4</v>
      </c>
      <c r="K41" s="158">
        <f t="shared" si="6"/>
        <v>950.2</v>
      </c>
      <c r="L41" s="158">
        <f t="shared" si="6"/>
        <v>952.7</v>
      </c>
      <c r="M41" s="158">
        <f t="shared" si="6"/>
        <v>951</v>
      </c>
      <c r="N41" s="158">
        <f t="shared" si="6"/>
        <v>949.4</v>
      </c>
      <c r="O41" s="158">
        <f t="shared" si="6"/>
        <v>937.8</v>
      </c>
      <c r="P41" s="158">
        <f t="shared" si="6"/>
        <v>939.5</v>
      </c>
      <c r="Q41" s="158">
        <f t="shared" si="6"/>
        <v>937.5</v>
      </c>
      <c r="R41" s="158">
        <f t="shared" si="6"/>
        <v>932</v>
      </c>
      <c r="S41" s="158">
        <f t="shared" si="6"/>
        <v>928.1</v>
      </c>
      <c r="T41" s="158">
        <f t="shared" si="6"/>
        <v>925.4</v>
      </c>
      <c r="U41" s="158">
        <f t="shared" si="6"/>
        <v>921</v>
      </c>
      <c r="V41" s="158">
        <f t="shared" si="6"/>
        <v>917.8</v>
      </c>
      <c r="W41" s="158">
        <f t="shared" si="6"/>
        <v>914.5</v>
      </c>
      <c r="X41" s="158">
        <f t="shared" si="6"/>
        <v>915.8</v>
      </c>
      <c r="Y41" s="158">
        <f t="shared" si="6"/>
        <v>912.8</v>
      </c>
      <c r="Z41" s="158">
        <f t="shared" si="6"/>
        <v>907.1</v>
      </c>
      <c r="AA41" s="158">
        <f t="shared" si="6"/>
        <v>889</v>
      </c>
      <c r="AB41" s="158">
        <f t="shared" si="6"/>
        <v>885.6</v>
      </c>
      <c r="AC41" s="158">
        <f t="shared" si="6"/>
        <v>882.1</v>
      </c>
      <c r="AD41" s="158">
        <f t="shared" si="6"/>
        <v>876</v>
      </c>
      <c r="AE41" s="158">
        <f t="shared" si="6"/>
        <v>870.3</v>
      </c>
      <c r="AF41" s="158">
        <f t="shared" si="6"/>
        <v>868.7</v>
      </c>
      <c r="AG41" s="158">
        <f t="shared" si="6"/>
        <v>866.8</v>
      </c>
      <c r="AH41" s="158">
        <f t="shared" si="6"/>
        <v>868.3</v>
      </c>
      <c r="AI41" s="158">
        <f t="shared" si="6"/>
        <v>863.9</v>
      </c>
      <c r="AJ41" s="158">
        <f t="shared" si="6"/>
        <v>863.7</v>
      </c>
      <c r="AK41" s="158">
        <f t="shared" si="6"/>
        <v>864</v>
      </c>
      <c r="AL41" s="158">
        <f t="shared" si="6"/>
        <v>860.1</v>
      </c>
      <c r="AM41" s="158">
        <f t="shared" si="6"/>
        <v>865.3</v>
      </c>
      <c r="AN41" s="158">
        <f t="shared" si="6"/>
        <v>858.9</v>
      </c>
      <c r="AO41" s="158">
        <f t="shared" si="6"/>
        <v>849.7</v>
      </c>
      <c r="AP41" s="158">
        <f t="shared" si="6"/>
        <v>826.3</v>
      </c>
      <c r="AQ41" s="158">
        <f t="shared" si="6"/>
        <v>826.1</v>
      </c>
      <c r="AR41" s="158">
        <f t="shared" si="6"/>
        <v>823.3</v>
      </c>
      <c r="AS41" s="158">
        <f t="shared" si="6"/>
        <v>822.3</v>
      </c>
      <c r="AT41" s="158">
        <f t="shared" si="6"/>
        <v>824.8</v>
      </c>
      <c r="AU41" s="158">
        <f t="shared" si="6"/>
        <v>821.9</v>
      </c>
      <c r="AV41" s="158">
        <f t="shared" si="6"/>
        <v>821.6</v>
      </c>
      <c r="AW41" s="158">
        <f t="shared" si="6"/>
        <v>822.1</v>
      </c>
      <c r="AX41" s="158">
        <f t="shared" si="6"/>
        <v>820.9</v>
      </c>
      <c r="AY41" s="158">
        <f t="shared" si="6"/>
        <v>814.6</v>
      </c>
      <c r="AZ41" s="158">
        <f t="shared" si="6"/>
        <v>813.9</v>
      </c>
      <c r="BA41" s="158">
        <f t="shared" si="6"/>
        <v>800.1</v>
      </c>
      <c r="BB41" s="158">
        <f t="shared" si="6"/>
        <v>805.5</v>
      </c>
      <c r="BC41" s="158">
        <f t="shared" si="6"/>
        <v>803.1</v>
      </c>
    </row>
    <row r="42" spans="1:55">
      <c r="A42">
        <v>8</v>
      </c>
      <c r="B42" s="86" t="s">
        <v>339</v>
      </c>
      <c r="C42" s="158">
        <f t="shared" si="3"/>
        <v>637.9</v>
      </c>
      <c r="D42" s="158">
        <f t="shared" si="3"/>
        <v>646.4</v>
      </c>
      <c r="E42" s="158">
        <f t="shared" si="6"/>
        <v>642.4</v>
      </c>
      <c r="F42" s="158">
        <f t="shared" si="6"/>
        <v>631</v>
      </c>
      <c r="G42" s="158">
        <f t="shared" si="6"/>
        <v>628.40000000000009</v>
      </c>
      <c r="H42" s="158">
        <f t="shared" si="6"/>
        <v>626.79999999999995</v>
      </c>
      <c r="I42" s="158">
        <f t="shared" si="6"/>
        <v>624.40000000000009</v>
      </c>
      <c r="J42" s="158">
        <f t="shared" si="6"/>
        <v>626.4</v>
      </c>
      <c r="K42" s="158">
        <f t="shared" si="6"/>
        <v>626.4</v>
      </c>
      <c r="L42" s="158">
        <f t="shared" si="6"/>
        <v>629.5</v>
      </c>
      <c r="M42" s="158">
        <f t="shared" si="6"/>
        <v>631.9</v>
      </c>
      <c r="N42" s="158">
        <f t="shared" si="6"/>
        <v>631.79999999999995</v>
      </c>
      <c r="O42" s="158">
        <f t="shared" si="6"/>
        <v>634.20000000000005</v>
      </c>
      <c r="P42" s="158">
        <f t="shared" si="6"/>
        <v>636.20000000000005</v>
      </c>
      <c r="Q42" s="158">
        <f t="shared" si="6"/>
        <v>635.79999999999995</v>
      </c>
      <c r="R42" s="158">
        <f t="shared" si="6"/>
        <v>636.9</v>
      </c>
      <c r="S42" s="158">
        <f t="shared" si="6"/>
        <v>633.1</v>
      </c>
      <c r="T42" s="158">
        <f t="shared" si="6"/>
        <v>627.5</v>
      </c>
      <c r="U42" s="158">
        <f t="shared" si="6"/>
        <v>626.29999999999995</v>
      </c>
      <c r="V42" s="158">
        <f t="shared" si="6"/>
        <v>625.4</v>
      </c>
      <c r="W42" s="158">
        <f t="shared" si="6"/>
        <v>626.79999999999995</v>
      </c>
      <c r="X42" s="158">
        <f t="shared" si="6"/>
        <v>629.29999999999995</v>
      </c>
      <c r="Y42" s="158">
        <f t="shared" si="6"/>
        <v>630</v>
      </c>
      <c r="Z42" s="158">
        <f t="shared" si="6"/>
        <v>628.59999999999991</v>
      </c>
      <c r="AA42" s="158">
        <f t="shared" si="6"/>
        <v>580.9</v>
      </c>
      <c r="AB42" s="158">
        <f t="shared" si="6"/>
        <v>582.9</v>
      </c>
      <c r="AC42" s="158">
        <f t="shared" si="6"/>
        <v>579.9</v>
      </c>
      <c r="AD42" s="158">
        <f t="shared" si="6"/>
        <v>574.70000000000005</v>
      </c>
      <c r="AE42" s="158">
        <f t="shared" si="6"/>
        <v>572.70000000000005</v>
      </c>
      <c r="AF42" s="158">
        <f t="shared" si="6"/>
        <v>572.6</v>
      </c>
      <c r="AG42" s="158">
        <f t="shared" si="6"/>
        <v>570.70000000000005</v>
      </c>
      <c r="AH42" s="158">
        <f t="shared" si="6"/>
        <v>569.29999999999995</v>
      </c>
      <c r="AI42" s="158">
        <f t="shared" si="6"/>
        <v>558</v>
      </c>
      <c r="AJ42" s="158">
        <f t="shared" si="6"/>
        <v>560.6</v>
      </c>
      <c r="AK42" s="158">
        <f t="shared" si="6"/>
        <v>560.20000000000005</v>
      </c>
      <c r="AL42" s="158">
        <f t="shared" si="6"/>
        <v>550.9</v>
      </c>
      <c r="AM42" s="158">
        <f t="shared" si="6"/>
        <v>588.70000000000005</v>
      </c>
      <c r="AN42" s="158">
        <f t="shared" si="6"/>
        <v>602.70000000000005</v>
      </c>
      <c r="AO42" s="158">
        <f t="shared" si="6"/>
        <v>596.9</v>
      </c>
      <c r="AP42" s="158">
        <f t="shared" si="6"/>
        <v>588.4</v>
      </c>
      <c r="AQ42" s="158">
        <f t="shared" si="6"/>
        <v>592.90000000000009</v>
      </c>
      <c r="AR42" s="158">
        <f t="shared" si="6"/>
        <v>589.4</v>
      </c>
      <c r="AS42" s="158">
        <f t="shared" si="6"/>
        <v>588.59999999999991</v>
      </c>
      <c r="AT42" s="158">
        <f t="shared" si="6"/>
        <v>587.9</v>
      </c>
      <c r="AU42" s="158">
        <f t="shared" si="6"/>
        <v>588.4</v>
      </c>
      <c r="AV42" s="158">
        <f t="shared" si="6"/>
        <v>591.4</v>
      </c>
      <c r="AW42" s="158">
        <f t="shared" si="6"/>
        <v>591.20000000000005</v>
      </c>
      <c r="AX42" s="158">
        <f t="shared" si="6"/>
        <v>586.1</v>
      </c>
      <c r="AY42" s="158">
        <f t="shared" si="6"/>
        <v>587</v>
      </c>
      <c r="AZ42" s="158">
        <f t="shared" si="6"/>
        <v>582.79999999999995</v>
      </c>
      <c r="BA42" s="158">
        <f t="shared" si="6"/>
        <v>586.6</v>
      </c>
      <c r="BB42" s="158">
        <f t="shared" si="6"/>
        <v>586</v>
      </c>
      <c r="BC42" s="158">
        <f t="shared" si="6"/>
        <v>583</v>
      </c>
    </row>
    <row r="43" spans="1:55">
      <c r="A43">
        <v>9</v>
      </c>
      <c r="B43" s="86" t="s">
        <v>340</v>
      </c>
      <c r="C43" s="158">
        <f t="shared" si="3"/>
        <v>847</v>
      </c>
      <c r="D43" s="158">
        <f t="shared" si="3"/>
        <v>847.89999999999986</v>
      </c>
      <c r="E43" s="158">
        <f t="shared" si="6"/>
        <v>844.7</v>
      </c>
      <c r="F43" s="158">
        <f t="shared" si="6"/>
        <v>838.8</v>
      </c>
      <c r="G43" s="158">
        <f t="shared" si="6"/>
        <v>837.50000000000011</v>
      </c>
      <c r="H43" s="158">
        <f t="shared" si="6"/>
        <v>839.80000000000007</v>
      </c>
      <c r="I43" s="158">
        <f t="shared" si="6"/>
        <v>834.69999999999993</v>
      </c>
      <c r="J43" s="158">
        <f t="shared" si="6"/>
        <v>834.10000000000014</v>
      </c>
      <c r="K43" s="158">
        <f t="shared" si="6"/>
        <v>832</v>
      </c>
      <c r="L43" s="158">
        <f t="shared" si="6"/>
        <v>830.3</v>
      </c>
      <c r="M43" s="158">
        <f t="shared" si="6"/>
        <v>831.19999999999993</v>
      </c>
      <c r="N43" s="158">
        <f t="shared" si="6"/>
        <v>830.4</v>
      </c>
      <c r="O43" s="158">
        <f t="shared" si="6"/>
        <v>854.89999999999986</v>
      </c>
      <c r="P43" s="158">
        <f t="shared" si="6"/>
        <v>860</v>
      </c>
      <c r="Q43" s="158">
        <f t="shared" si="6"/>
        <v>858.8</v>
      </c>
      <c r="R43" s="158">
        <f t="shared" si="6"/>
        <v>858.30000000000007</v>
      </c>
      <c r="S43" s="158">
        <f t="shared" si="6"/>
        <v>854.8</v>
      </c>
      <c r="T43" s="158">
        <f t="shared" si="6"/>
        <v>849.5</v>
      </c>
      <c r="U43" s="158">
        <f t="shared" si="6"/>
        <v>846.09999999999991</v>
      </c>
      <c r="V43" s="158">
        <f t="shared" si="6"/>
        <v>842.7</v>
      </c>
      <c r="W43" s="158">
        <f t="shared" si="6"/>
        <v>840.5</v>
      </c>
      <c r="X43" s="158">
        <f t="shared" si="6"/>
        <v>844.30000000000007</v>
      </c>
      <c r="Y43" s="158">
        <f t="shared" si="6"/>
        <v>845.2</v>
      </c>
      <c r="Z43" s="158">
        <f t="shared" si="6"/>
        <v>841.30000000000007</v>
      </c>
      <c r="AA43" s="158">
        <f t="shared" si="6"/>
        <v>800.6</v>
      </c>
      <c r="AB43" s="158">
        <f t="shared" si="6"/>
        <v>798.09999999999991</v>
      </c>
      <c r="AC43" s="158">
        <f t="shared" si="6"/>
        <v>795.49999999999989</v>
      </c>
      <c r="AD43" s="158">
        <f t="shared" si="6"/>
        <v>794.6</v>
      </c>
      <c r="AE43" s="158">
        <f t="shared" si="6"/>
        <v>788.3</v>
      </c>
      <c r="AF43" s="158">
        <f t="shared" si="6"/>
        <v>784.3</v>
      </c>
      <c r="AG43" s="158">
        <f t="shared" si="6"/>
        <v>781.1</v>
      </c>
      <c r="AH43" s="158">
        <f t="shared" si="6"/>
        <v>776.9</v>
      </c>
      <c r="AI43" s="158">
        <f t="shared" si="6"/>
        <v>774.2</v>
      </c>
      <c r="AJ43" s="158">
        <f t="shared" si="6"/>
        <v>773.19999999999993</v>
      </c>
      <c r="AK43" s="158">
        <f t="shared" si="6"/>
        <v>775.00000000000011</v>
      </c>
      <c r="AL43" s="158">
        <f t="shared" si="6"/>
        <v>772.5</v>
      </c>
      <c r="AM43" s="158">
        <f t="shared" si="6"/>
        <v>811.9</v>
      </c>
      <c r="AN43" s="158">
        <f t="shared" si="6"/>
        <v>811.69999999999993</v>
      </c>
      <c r="AO43" s="158">
        <f t="shared" si="6"/>
        <v>799.1</v>
      </c>
      <c r="AP43" s="158">
        <f t="shared" si="6"/>
        <v>787.7</v>
      </c>
      <c r="AQ43" s="158">
        <f t="shared" si="6"/>
        <v>782.9</v>
      </c>
      <c r="AR43" s="158">
        <f t="shared" si="6"/>
        <v>778.80000000000007</v>
      </c>
      <c r="AS43" s="158">
        <f t="shared" si="6"/>
        <v>773.49999999999989</v>
      </c>
      <c r="AT43" s="158">
        <f t="shared" si="6"/>
        <v>774.4</v>
      </c>
      <c r="AU43" s="158">
        <f t="shared" si="6"/>
        <v>776.90000000000009</v>
      </c>
      <c r="AV43" s="158">
        <f t="shared" si="6"/>
        <v>771.3</v>
      </c>
      <c r="AW43" s="158">
        <f t="shared" si="6"/>
        <v>770.9</v>
      </c>
      <c r="AX43" s="158">
        <f t="shared" si="6"/>
        <v>767</v>
      </c>
      <c r="AY43" s="158">
        <f t="shared" si="6"/>
        <v>760.19999999999993</v>
      </c>
      <c r="AZ43" s="158">
        <f t="shared" si="6"/>
        <v>767.70000000000016</v>
      </c>
      <c r="BA43" s="158">
        <f t="shared" si="6"/>
        <v>770</v>
      </c>
      <c r="BB43" s="158">
        <f t="shared" si="6"/>
        <v>765.9</v>
      </c>
      <c r="BC43" s="158">
        <f t="shared" si="6"/>
        <v>765</v>
      </c>
    </row>
    <row r="45" spans="1:55">
      <c r="B45" s="308" t="s">
        <v>341</v>
      </c>
      <c r="C45" s="158">
        <f>SUM(C35:C43)</f>
        <v>7665</v>
      </c>
      <c r="D45" s="158">
        <f>SUM(D35:D43)</f>
        <v>7726.7999999999993</v>
      </c>
      <c r="E45" s="158">
        <f t="shared" ref="E45:BB45" si="7">SUM(E35:E43)</f>
        <v>7729.9999999999991</v>
      </c>
      <c r="F45" s="158">
        <f t="shared" si="7"/>
        <v>7703.2</v>
      </c>
      <c r="G45" s="158">
        <f t="shared" si="7"/>
        <v>7686.9</v>
      </c>
      <c r="H45" s="158">
        <f t="shared" si="7"/>
        <v>7668.2</v>
      </c>
      <c r="I45" s="158">
        <f t="shared" si="7"/>
        <v>7665.0999999999995</v>
      </c>
      <c r="J45" s="158">
        <f t="shared" si="7"/>
        <v>7651.2999999999993</v>
      </c>
      <c r="K45" s="158">
        <f t="shared" si="7"/>
        <v>7659.5999999999995</v>
      </c>
      <c r="L45" s="158">
        <f t="shared" si="7"/>
        <v>7690.6</v>
      </c>
      <c r="M45" s="158">
        <f t="shared" si="7"/>
        <v>7676.2999999999993</v>
      </c>
      <c r="N45" s="158">
        <f t="shared" si="7"/>
        <v>7630.5999999999995</v>
      </c>
      <c r="O45" s="158">
        <f t="shared" si="7"/>
        <v>7685.7999999999993</v>
      </c>
      <c r="P45" s="158">
        <f t="shared" si="7"/>
        <v>7705.5999999999995</v>
      </c>
      <c r="Q45" s="158">
        <f t="shared" si="7"/>
        <v>7703.8</v>
      </c>
      <c r="R45" s="158">
        <f t="shared" si="7"/>
        <v>7712.8</v>
      </c>
      <c r="S45" s="158">
        <f t="shared" si="7"/>
        <v>7693.5000000000009</v>
      </c>
      <c r="T45" s="158">
        <f t="shared" si="7"/>
        <v>7656.0999999999995</v>
      </c>
      <c r="U45" s="158">
        <f t="shared" si="7"/>
        <v>7640.7999999999993</v>
      </c>
      <c r="V45" s="158">
        <f t="shared" si="7"/>
        <v>7611.7</v>
      </c>
      <c r="W45" s="158">
        <f t="shared" si="7"/>
        <v>7610.5000000000009</v>
      </c>
      <c r="X45" s="158">
        <f t="shared" si="7"/>
        <v>7659.6</v>
      </c>
      <c r="Y45" s="158">
        <f t="shared" si="7"/>
        <v>7660.3</v>
      </c>
      <c r="Z45" s="158">
        <f t="shared" si="7"/>
        <v>7597.1000000000013</v>
      </c>
      <c r="AA45" s="158">
        <f t="shared" si="7"/>
        <v>7554.5</v>
      </c>
      <c r="AB45" s="158">
        <f t="shared" si="7"/>
        <v>7541.7000000000007</v>
      </c>
      <c r="AC45" s="158">
        <f t="shared" si="7"/>
        <v>7538.4000000000005</v>
      </c>
      <c r="AD45" s="158">
        <f t="shared" si="7"/>
        <v>7517.2</v>
      </c>
      <c r="AE45" s="158">
        <f t="shared" si="7"/>
        <v>7472.9000000000005</v>
      </c>
      <c r="AF45" s="158">
        <f t="shared" si="7"/>
        <v>7445.2000000000007</v>
      </c>
      <c r="AG45" s="158">
        <f t="shared" si="7"/>
        <v>7419</v>
      </c>
      <c r="AH45" s="158">
        <f t="shared" si="7"/>
        <v>7396.5</v>
      </c>
      <c r="AI45" s="158">
        <f t="shared" si="7"/>
        <v>7376.5999999999995</v>
      </c>
      <c r="AJ45" s="158">
        <f t="shared" si="7"/>
        <v>7379.7000000000007</v>
      </c>
      <c r="AK45" s="158">
        <f t="shared" si="7"/>
        <v>7374</v>
      </c>
      <c r="AL45" s="158">
        <f t="shared" si="7"/>
        <v>7296.6</v>
      </c>
      <c r="AM45" s="158">
        <f t="shared" si="7"/>
        <v>7476.1999999999989</v>
      </c>
      <c r="AN45" s="158">
        <f t="shared" si="7"/>
        <v>7486.2999999999993</v>
      </c>
      <c r="AO45" s="158">
        <f t="shared" si="7"/>
        <v>7446.4</v>
      </c>
      <c r="AP45" s="158">
        <f t="shared" si="7"/>
        <v>7346.2999999999993</v>
      </c>
      <c r="AQ45" s="158">
        <f t="shared" si="7"/>
        <v>7319.4</v>
      </c>
      <c r="AR45" s="158">
        <f t="shared" si="7"/>
        <v>7299.5</v>
      </c>
      <c r="AS45" s="158">
        <f t="shared" si="7"/>
        <v>7289.4</v>
      </c>
      <c r="AT45" s="158">
        <f t="shared" si="7"/>
        <v>7275.9</v>
      </c>
      <c r="AU45" s="158">
        <f t="shared" si="7"/>
        <v>7302.9</v>
      </c>
      <c r="AV45" s="158">
        <f t="shared" si="7"/>
        <v>7317.8</v>
      </c>
      <c r="AW45" s="158">
        <f t="shared" si="7"/>
        <v>7322.9</v>
      </c>
      <c r="AX45" s="158">
        <f t="shared" si="7"/>
        <v>7259.4</v>
      </c>
      <c r="AY45" s="158">
        <f t="shared" si="7"/>
        <v>7075</v>
      </c>
      <c r="AZ45" s="158">
        <f t="shared" si="7"/>
        <v>7103.5999999999995</v>
      </c>
      <c r="BA45" s="158">
        <f t="shared" si="7"/>
        <v>7145.9000000000005</v>
      </c>
      <c r="BB45" s="158">
        <f t="shared" si="7"/>
        <v>7155.1999999999989</v>
      </c>
      <c r="BC45" s="158">
        <f>SUM(BC35:BC43)</f>
        <v>7133.9000000000005</v>
      </c>
    </row>
    <row r="47" spans="1:55">
      <c r="B47" s="310" t="s">
        <v>342</v>
      </c>
      <c r="C47" s="309">
        <v>2017</v>
      </c>
      <c r="D47" s="309">
        <v>2018</v>
      </c>
      <c r="E47" s="309">
        <v>2019</v>
      </c>
      <c r="F47" s="309">
        <v>2020</v>
      </c>
      <c r="G47" s="309">
        <v>2021</v>
      </c>
    </row>
    <row r="48" spans="1:55">
      <c r="B48" s="86" t="s">
        <v>332</v>
      </c>
      <c r="C48" s="99">
        <f t="shared" ref="C48:C56" si="8">(AVERAGE(C35:N35))/1000</f>
        <v>0.46745833333333331</v>
      </c>
      <c r="D48" s="99">
        <f t="shared" ref="D48:D56" si="9">(AVERAGE(O35:Z35))/1000</f>
        <v>0.45303333333333329</v>
      </c>
      <c r="E48" s="99">
        <f t="shared" ref="E48:E56" si="10">(AVERAGE(AA35:AL35))/1000</f>
        <v>0.44050833333333339</v>
      </c>
      <c r="F48" s="99">
        <f t="shared" ref="F48:F56" si="11">(AVERAGE(AM35:AX35))/1000</f>
        <v>0.40969166666666668</v>
      </c>
      <c r="G48" s="99">
        <f>(AVERAGE(AY35:BJ35))/1000</f>
        <v>0.38023999999999997</v>
      </c>
    </row>
    <row r="49" spans="2:7">
      <c r="B49" s="86" t="s">
        <v>333</v>
      </c>
      <c r="C49" s="99">
        <f t="shared" si="8"/>
        <v>1.8936499999999996</v>
      </c>
      <c r="D49" s="99">
        <f t="shared" si="9"/>
        <v>1.850875</v>
      </c>
      <c r="E49" s="99">
        <f t="shared" si="10"/>
        <v>1.8671333333333335</v>
      </c>
      <c r="F49" s="99">
        <f t="shared" si="11"/>
        <v>1.7964583333333333</v>
      </c>
      <c r="G49" s="99">
        <f t="shared" ref="G49:G56" si="12">(AVERAGE(AY36:BJ36))/1000</f>
        <v>1.7837000000000001</v>
      </c>
    </row>
    <row r="50" spans="2:7">
      <c r="B50" s="86" t="s">
        <v>334</v>
      </c>
      <c r="C50" s="99">
        <f t="shared" si="8"/>
        <v>0.16685000000000003</v>
      </c>
      <c r="D50" s="99">
        <f t="shared" si="9"/>
        <v>0.17870833333333333</v>
      </c>
      <c r="E50" s="99">
        <f t="shared" si="10"/>
        <v>0.19373333333333331</v>
      </c>
      <c r="F50" s="99">
        <f t="shared" si="11"/>
        <v>0.19581666666666664</v>
      </c>
      <c r="G50" s="99">
        <f t="shared" si="12"/>
        <v>0.21274000000000001</v>
      </c>
    </row>
    <row r="51" spans="2:7">
      <c r="B51" s="86" t="s">
        <v>335</v>
      </c>
      <c r="C51" s="99">
        <f t="shared" si="8"/>
        <v>0.69672500000000004</v>
      </c>
      <c r="D51" s="99">
        <f t="shared" si="9"/>
        <v>0.76088333333333336</v>
      </c>
      <c r="E51" s="99">
        <f t="shared" si="10"/>
        <v>0.76537500000000003</v>
      </c>
      <c r="F51" s="99">
        <f t="shared" si="11"/>
        <v>0.79138333333333322</v>
      </c>
      <c r="G51" s="99">
        <f t="shared" si="12"/>
        <v>0.80877999999999994</v>
      </c>
    </row>
    <row r="52" spans="2:7">
      <c r="B52" s="86" t="s">
        <v>336</v>
      </c>
      <c r="C52" s="99">
        <f t="shared" si="8"/>
        <v>0.65523333333333322</v>
      </c>
      <c r="D52" s="99">
        <f t="shared" si="9"/>
        <v>0.64838333333333331</v>
      </c>
      <c r="E52" s="99">
        <f t="shared" si="10"/>
        <v>0.63505000000000011</v>
      </c>
      <c r="F52" s="99">
        <f t="shared" si="11"/>
        <v>0.62575833333333331</v>
      </c>
      <c r="G52" s="99">
        <f t="shared" si="12"/>
        <v>0.62008000000000008</v>
      </c>
    </row>
    <row r="53" spans="2:7">
      <c r="B53" s="86" t="s">
        <v>337</v>
      </c>
      <c r="C53" s="99">
        <f t="shared" si="8"/>
        <v>1.3788916666666664</v>
      </c>
      <c r="D53" s="99">
        <f t="shared" si="9"/>
        <v>1.3649333333333336</v>
      </c>
      <c r="E53" s="99">
        <f t="shared" si="10"/>
        <v>1.3153749999999997</v>
      </c>
      <c r="F53" s="99">
        <f t="shared" si="11"/>
        <v>1.3192666666666666</v>
      </c>
      <c r="G53" s="99">
        <f>(AVERAGE(AY40:BJ40))/1000</f>
        <v>1.1589</v>
      </c>
    </row>
    <row r="54" spans="2:7">
      <c r="B54" s="86" t="s">
        <v>338</v>
      </c>
      <c r="C54" s="99">
        <f t="shared" si="8"/>
        <v>0.95135000000000003</v>
      </c>
      <c r="D54" s="99">
        <f t="shared" si="9"/>
        <v>0.9241083333333332</v>
      </c>
      <c r="E54" s="99">
        <f t="shared" si="10"/>
        <v>0.87154166666666666</v>
      </c>
      <c r="F54" s="99">
        <f t="shared" si="11"/>
        <v>0.83193333333333341</v>
      </c>
      <c r="G54" s="99">
        <f t="shared" si="12"/>
        <v>0.80743999999999994</v>
      </c>
    </row>
    <row r="55" spans="2:7">
      <c r="B55" s="86" t="s">
        <v>339</v>
      </c>
      <c r="C55" s="99">
        <f t="shared" si="8"/>
        <v>0.63194166666666651</v>
      </c>
      <c r="D55" s="99">
        <f t="shared" si="9"/>
        <v>0.63084166666666674</v>
      </c>
      <c r="E55" s="99">
        <f t="shared" si="10"/>
        <v>0.5694499999999999</v>
      </c>
      <c r="F55" s="99">
        <f t="shared" si="11"/>
        <v>0.59104999999999996</v>
      </c>
      <c r="G55" s="99">
        <f t="shared" si="12"/>
        <v>0.58508000000000004</v>
      </c>
    </row>
    <row r="56" spans="2:7">
      <c r="B56" s="86" t="s">
        <v>340</v>
      </c>
      <c r="C56" s="99">
        <f t="shared" si="8"/>
        <v>0.8373666666666667</v>
      </c>
      <c r="D56" s="99">
        <f t="shared" si="9"/>
        <v>0.8496999999999999</v>
      </c>
      <c r="E56" s="99">
        <f t="shared" si="10"/>
        <v>0.78452500000000003</v>
      </c>
      <c r="F56" s="99">
        <f t="shared" si="11"/>
        <v>0.78384166666666666</v>
      </c>
      <c r="G56" s="99">
        <f t="shared" si="12"/>
        <v>0.76576</v>
      </c>
    </row>
    <row r="58" spans="2:7">
      <c r="B58" s="308" t="s">
        <v>341</v>
      </c>
      <c r="C58" s="306">
        <f>(AVERAGE(C45:N45))/1000</f>
        <v>7.6794666666666682</v>
      </c>
      <c r="D58" s="306">
        <f>(AVERAGE(O45:Z45))/1000</f>
        <v>7.6614666666666675</v>
      </c>
      <c r="E58" s="306">
        <f>(AVERAGE(AA45:AL45))/1000</f>
        <v>7.4426916666666685</v>
      </c>
      <c r="F58" s="306">
        <f>(AVERAGE(AM45:AX45))/1000</f>
        <v>7.3452000000000002</v>
      </c>
      <c r="G58" s="306">
        <f>(AVERAGE(AY45:BJ45))/1000</f>
        <v>7.1227199999999993</v>
      </c>
    </row>
    <row r="59" spans="2:7">
      <c r="D59" s="33">
        <f>D58/C58-1</f>
        <v>-2.3439127717203023E-3</v>
      </c>
      <c r="E59" s="33">
        <f>E58/D58-1</f>
        <v>-2.8555237465411221E-2</v>
      </c>
      <c r="F59" s="33">
        <f>F58/E58-1</f>
        <v>-1.3098979647820252E-2</v>
      </c>
      <c r="G59" s="33">
        <f>G58/F58-1</f>
        <v>-3.0289168436530067E-2</v>
      </c>
    </row>
  </sheetData>
  <phoneticPr fontId="34" type="noConversion"/>
  <hyperlinks>
    <hyperlink ref="B1" r:id="rId1" xr:uid="{00000000-0004-0000-0F00-000000000000}"/>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Аркуш11">
    <pageSetUpPr fitToPage="1"/>
  </sheetPr>
  <dimension ref="A1:AB158"/>
  <sheetViews>
    <sheetView topLeftCell="A115" zoomScale="72" zoomScaleNormal="72" workbookViewId="0">
      <selection activeCell="O151" sqref="O151"/>
    </sheetView>
  </sheetViews>
  <sheetFormatPr defaultColWidth="8.796875" defaultRowHeight="18"/>
  <cols>
    <col min="1" max="1" width="29" style="340" customWidth="1"/>
    <col min="2" max="2" width="8.796875" style="340"/>
    <col min="3" max="3" width="46.296875" style="340" customWidth="1"/>
    <col min="4" max="4" width="8.796875" style="340"/>
    <col min="5" max="5" width="12.3984375" style="340" customWidth="1"/>
    <col min="6" max="6" width="8.796875" style="340"/>
    <col min="7" max="7" width="14" style="340" customWidth="1"/>
    <col min="8" max="8" width="11.3984375" style="340" customWidth="1"/>
    <col min="9" max="9" width="11.69921875" style="340" customWidth="1"/>
    <col min="10" max="10" width="10" style="340" customWidth="1"/>
    <col min="11" max="11" width="11.69921875" style="340" customWidth="1"/>
    <col min="12" max="12" width="10.296875" style="340" customWidth="1"/>
    <col min="13" max="13" width="11.69921875" style="340" customWidth="1"/>
    <col min="14" max="14" width="10.296875" style="340" customWidth="1"/>
    <col min="15" max="15" width="11.296875" style="340" customWidth="1"/>
    <col min="16" max="16" width="10" style="340" customWidth="1"/>
    <col min="17" max="17" width="11.3984375" style="340" customWidth="1"/>
    <col min="18" max="18" width="10.59765625" style="340" customWidth="1"/>
    <col min="19" max="19" width="11.09765625" style="340" customWidth="1"/>
    <col min="20" max="20" width="12.3984375" style="340" customWidth="1"/>
    <col min="21" max="21" width="12.296875" style="340" customWidth="1"/>
    <col min="22" max="22" width="10.296875" style="340" customWidth="1"/>
    <col min="23" max="23" width="11.3984375" style="340" customWidth="1"/>
    <col min="24" max="24" width="11" style="340" customWidth="1"/>
    <col min="25" max="25" width="13.296875" style="340" customWidth="1"/>
    <col min="26" max="26" width="9.796875" style="340" customWidth="1"/>
    <col min="27" max="27" width="12.09765625" style="340" customWidth="1"/>
    <col min="28" max="28" width="36.796875" style="340" customWidth="1"/>
    <col min="29" max="16384" width="8.796875" style="340"/>
  </cols>
  <sheetData>
    <row r="1" spans="2:28">
      <c r="C1" s="964" t="s">
        <v>407</v>
      </c>
      <c r="D1" s="964"/>
      <c r="E1" s="964"/>
      <c r="F1" s="964"/>
      <c r="G1" s="964"/>
      <c r="H1" s="964"/>
      <c r="I1" s="964"/>
      <c r="J1" s="964"/>
      <c r="K1" s="964"/>
      <c r="L1" s="964"/>
      <c r="M1" s="964"/>
      <c r="N1" s="964"/>
      <c r="O1" s="964"/>
      <c r="P1" s="964"/>
      <c r="Q1" s="964"/>
      <c r="R1" s="964"/>
      <c r="S1" s="964"/>
      <c r="T1" s="964"/>
      <c r="U1" s="964"/>
      <c r="V1" s="964"/>
      <c r="W1" s="964"/>
      <c r="X1" s="964"/>
      <c r="Y1" s="964"/>
      <c r="Z1" s="964"/>
    </row>
    <row r="2" spans="2:28">
      <c r="C2" s="962" t="s">
        <v>406</v>
      </c>
      <c r="D2" s="962"/>
      <c r="E2" s="962"/>
      <c r="F2" s="962"/>
      <c r="G2" s="962"/>
      <c r="H2" s="962"/>
      <c r="I2" s="962"/>
      <c r="J2" s="962"/>
      <c r="K2" s="962"/>
      <c r="L2" s="962"/>
      <c r="M2" s="962"/>
      <c r="N2" s="962"/>
      <c r="O2" s="962"/>
      <c r="P2" s="962"/>
      <c r="Q2" s="962"/>
      <c r="R2" s="962"/>
      <c r="S2" s="962"/>
      <c r="T2" s="962"/>
      <c r="U2" s="962"/>
      <c r="V2" s="962"/>
      <c r="W2" s="962"/>
      <c r="X2" s="962"/>
      <c r="Y2" s="962"/>
      <c r="Z2" s="962"/>
    </row>
    <row r="3" spans="2:28">
      <c r="D3" s="361"/>
      <c r="E3" s="361"/>
      <c r="F3" s="361"/>
      <c r="G3" s="361"/>
      <c r="H3" s="361"/>
      <c r="I3" s="361"/>
      <c r="J3" s="361"/>
      <c r="K3" s="361"/>
      <c r="L3" s="361"/>
      <c r="M3" s="361"/>
      <c r="N3" s="361"/>
      <c r="O3" s="361"/>
      <c r="P3" s="361"/>
      <c r="Q3" s="361"/>
      <c r="R3" s="361"/>
      <c r="S3" s="361"/>
      <c r="T3" s="361"/>
      <c r="U3" s="361"/>
      <c r="V3" s="361"/>
      <c r="W3" s="361"/>
      <c r="X3" s="361"/>
      <c r="Y3" s="361"/>
      <c r="Z3" s="360"/>
    </row>
    <row r="4" spans="2:28">
      <c r="C4" s="967" t="s">
        <v>291</v>
      </c>
      <c r="D4" s="965" t="s">
        <v>405</v>
      </c>
      <c r="E4" s="966"/>
      <c r="F4" s="969" t="s">
        <v>404</v>
      </c>
      <c r="G4" s="970"/>
      <c r="H4" s="969" t="s">
        <v>403</v>
      </c>
      <c r="I4" s="970"/>
      <c r="J4" s="969" t="s">
        <v>402</v>
      </c>
      <c r="K4" s="970"/>
      <c r="L4" s="969" t="s">
        <v>401</v>
      </c>
      <c r="M4" s="970"/>
      <c r="N4" s="969" t="s">
        <v>400</v>
      </c>
      <c r="O4" s="970"/>
      <c r="P4" s="969" t="s">
        <v>399</v>
      </c>
      <c r="Q4" s="970"/>
      <c r="R4" s="969" t="s">
        <v>398</v>
      </c>
      <c r="S4" s="970"/>
      <c r="T4" s="969" t="s">
        <v>397</v>
      </c>
      <c r="U4" s="970"/>
      <c r="V4" s="969" t="s">
        <v>396</v>
      </c>
      <c r="W4" s="970"/>
      <c r="X4" s="969" t="s">
        <v>395</v>
      </c>
      <c r="Y4" s="970"/>
      <c r="Z4" s="969" t="s">
        <v>394</v>
      </c>
      <c r="AA4" s="973"/>
      <c r="AB4" s="971" t="s">
        <v>393</v>
      </c>
    </row>
    <row r="5" spans="2:28" ht="51">
      <c r="C5" s="968"/>
      <c r="D5" s="359" t="s">
        <v>392</v>
      </c>
      <c r="E5" s="359" t="s">
        <v>391</v>
      </c>
      <c r="F5" s="359" t="s">
        <v>392</v>
      </c>
      <c r="G5" s="359" t="s">
        <v>391</v>
      </c>
      <c r="H5" s="359" t="s">
        <v>392</v>
      </c>
      <c r="I5" s="359" t="s">
        <v>391</v>
      </c>
      <c r="J5" s="359" t="s">
        <v>392</v>
      </c>
      <c r="K5" s="359" t="s">
        <v>391</v>
      </c>
      <c r="L5" s="359" t="s">
        <v>392</v>
      </c>
      <c r="M5" s="359" t="s">
        <v>391</v>
      </c>
      <c r="N5" s="359" t="s">
        <v>392</v>
      </c>
      <c r="O5" s="359" t="s">
        <v>391</v>
      </c>
      <c r="P5" s="359" t="s">
        <v>392</v>
      </c>
      <c r="Q5" s="359" t="s">
        <v>391</v>
      </c>
      <c r="R5" s="359" t="s">
        <v>392</v>
      </c>
      <c r="S5" s="359" t="s">
        <v>391</v>
      </c>
      <c r="T5" s="359" t="s">
        <v>392</v>
      </c>
      <c r="U5" s="359" t="s">
        <v>391</v>
      </c>
      <c r="V5" s="359" t="s">
        <v>392</v>
      </c>
      <c r="W5" s="359" t="s">
        <v>391</v>
      </c>
      <c r="X5" s="359" t="s">
        <v>392</v>
      </c>
      <c r="Y5" s="359" t="s">
        <v>391</v>
      </c>
      <c r="Z5" s="359" t="s">
        <v>392</v>
      </c>
      <c r="AA5" s="358" t="s">
        <v>391</v>
      </c>
      <c r="AB5" s="972"/>
    </row>
    <row r="6" spans="2:28">
      <c r="C6" s="348" t="s">
        <v>304</v>
      </c>
      <c r="D6" s="347">
        <v>7075</v>
      </c>
      <c r="E6" s="347">
        <v>97.5</v>
      </c>
      <c r="F6" s="347">
        <v>7103.6</v>
      </c>
      <c r="G6" s="347">
        <v>100.4</v>
      </c>
      <c r="H6" s="347">
        <v>7145.9</v>
      </c>
      <c r="I6" s="347">
        <v>100.6</v>
      </c>
      <c r="J6" s="347">
        <v>7155.2</v>
      </c>
      <c r="K6" s="347">
        <v>100.1</v>
      </c>
      <c r="L6" s="347">
        <v>7134</v>
      </c>
      <c r="M6" s="347">
        <v>99.7</v>
      </c>
      <c r="N6" s="347">
        <v>7115.4</v>
      </c>
      <c r="O6" s="347">
        <v>99.7</v>
      </c>
      <c r="P6" s="347">
        <v>7091</v>
      </c>
      <c r="Q6" s="347">
        <v>99.7</v>
      </c>
      <c r="R6" s="347">
        <v>7078.9</v>
      </c>
      <c r="S6" s="347">
        <v>99.8</v>
      </c>
      <c r="T6" s="356">
        <f>R6-D50</f>
        <v>-397.10000000000036</v>
      </c>
      <c r="U6" s="347"/>
      <c r="V6" s="347"/>
      <c r="W6" s="347"/>
      <c r="X6" s="347"/>
      <c r="Y6" s="347"/>
      <c r="Z6" s="347"/>
      <c r="AA6" s="347"/>
      <c r="AB6" s="357" t="s">
        <v>390</v>
      </c>
    </row>
    <row r="7" spans="2:28" ht="25.5">
      <c r="B7" s="340">
        <v>1</v>
      </c>
      <c r="C7" s="345" t="s">
        <v>305</v>
      </c>
      <c r="D7" s="344">
        <v>360.4</v>
      </c>
      <c r="E7" s="344">
        <v>95.3</v>
      </c>
      <c r="F7" s="344">
        <v>358.2</v>
      </c>
      <c r="G7" s="344">
        <v>99.4</v>
      </c>
      <c r="H7" s="344">
        <v>370.5</v>
      </c>
      <c r="I7" s="344">
        <v>103.4</v>
      </c>
      <c r="J7" s="344">
        <v>401.1</v>
      </c>
      <c r="K7" s="344">
        <v>108.3</v>
      </c>
      <c r="L7" s="344">
        <v>411</v>
      </c>
      <c r="M7" s="344">
        <v>102.5</v>
      </c>
      <c r="N7" s="344">
        <v>417.2</v>
      </c>
      <c r="O7" s="344">
        <v>101.5</v>
      </c>
      <c r="P7" s="344">
        <v>421.1</v>
      </c>
      <c r="Q7" s="344">
        <v>100.9</v>
      </c>
      <c r="R7" s="344">
        <v>420.6</v>
      </c>
      <c r="S7" s="344">
        <v>99.9</v>
      </c>
      <c r="T7" s="356">
        <f t="shared" ref="T7:T31" si="0">R7-D51</f>
        <v>44.100000000000023</v>
      </c>
      <c r="U7" s="344"/>
      <c r="V7" s="344"/>
      <c r="W7" s="344"/>
      <c r="X7" s="344"/>
      <c r="Y7" s="344"/>
      <c r="Z7" s="344"/>
      <c r="AA7" s="344"/>
      <c r="AB7" s="345" t="s">
        <v>389</v>
      </c>
    </row>
    <row r="8" spans="2:28">
      <c r="C8" s="345" t="s">
        <v>306</v>
      </c>
      <c r="D8" s="344">
        <v>306.7</v>
      </c>
      <c r="E8" s="344">
        <v>93.6</v>
      </c>
      <c r="F8" s="344">
        <v>304.7</v>
      </c>
      <c r="G8" s="344">
        <v>99.4</v>
      </c>
      <c r="H8" s="344">
        <v>317</v>
      </c>
      <c r="I8" s="344">
        <v>104</v>
      </c>
      <c r="J8" s="344">
        <v>347.1</v>
      </c>
      <c r="K8" s="344">
        <v>109.5</v>
      </c>
      <c r="L8" s="344">
        <v>357.6</v>
      </c>
      <c r="M8" s="344">
        <v>103</v>
      </c>
      <c r="N8" s="344">
        <v>362.9</v>
      </c>
      <c r="O8" s="344">
        <v>101.5</v>
      </c>
      <c r="P8" s="344">
        <v>366.5</v>
      </c>
      <c r="Q8" s="344">
        <v>101</v>
      </c>
      <c r="R8" s="344">
        <v>366</v>
      </c>
      <c r="S8" s="344">
        <v>99.9</v>
      </c>
      <c r="T8" s="356">
        <f t="shared" si="0"/>
        <v>41.5</v>
      </c>
      <c r="U8" s="344"/>
      <c r="V8" s="344"/>
      <c r="W8" s="344"/>
      <c r="X8" s="344"/>
      <c r="Y8" s="344"/>
      <c r="Z8" s="344"/>
      <c r="AA8" s="344"/>
      <c r="AB8" s="345" t="s">
        <v>388</v>
      </c>
    </row>
    <row r="9" spans="2:28">
      <c r="B9" s="340">
        <v>2</v>
      </c>
      <c r="C9" s="345" t="s">
        <v>307</v>
      </c>
      <c r="D9" s="344">
        <v>1788.9</v>
      </c>
      <c r="E9" s="344">
        <v>100.9</v>
      </c>
      <c r="F9" s="344">
        <v>1791.7</v>
      </c>
      <c r="G9" s="344">
        <v>100.2</v>
      </c>
      <c r="H9" s="344">
        <v>1789.7</v>
      </c>
      <c r="I9" s="344">
        <v>99.9</v>
      </c>
      <c r="J9" s="344">
        <v>1779.6</v>
      </c>
      <c r="K9" s="344">
        <v>99.4</v>
      </c>
      <c r="L9" s="344">
        <v>1768.6</v>
      </c>
      <c r="M9" s="344">
        <v>99.4</v>
      </c>
      <c r="N9" s="344">
        <v>1761.8</v>
      </c>
      <c r="O9" s="344">
        <v>99.6</v>
      </c>
      <c r="P9" s="344">
        <v>1756.6</v>
      </c>
      <c r="Q9" s="344">
        <v>99.7</v>
      </c>
      <c r="R9" s="344">
        <v>1752.6</v>
      </c>
      <c r="S9" s="344">
        <v>99.8</v>
      </c>
      <c r="T9" s="356">
        <f t="shared" si="0"/>
        <v>-95.100000000000136</v>
      </c>
      <c r="U9" s="344"/>
      <c r="V9" s="344"/>
      <c r="W9" s="344"/>
      <c r="X9" s="344"/>
      <c r="Y9" s="344"/>
      <c r="Z9" s="344"/>
      <c r="AA9" s="344"/>
      <c r="AB9" s="345" t="s">
        <v>387</v>
      </c>
    </row>
    <row r="10" spans="2:28">
      <c r="B10" s="340">
        <v>3</v>
      </c>
      <c r="C10" s="345" t="s">
        <v>308</v>
      </c>
      <c r="D10" s="344">
        <v>206.9</v>
      </c>
      <c r="E10" s="344">
        <v>105.8</v>
      </c>
      <c r="F10" s="344">
        <v>207.3</v>
      </c>
      <c r="G10" s="344">
        <v>100.2</v>
      </c>
      <c r="H10" s="344">
        <v>211.7</v>
      </c>
      <c r="I10" s="344">
        <v>102.1</v>
      </c>
      <c r="J10" s="344">
        <v>217</v>
      </c>
      <c r="K10" s="344">
        <v>102.5</v>
      </c>
      <c r="L10" s="344">
        <v>220.8</v>
      </c>
      <c r="M10" s="344">
        <v>101.7</v>
      </c>
      <c r="N10" s="344">
        <v>221.7</v>
      </c>
      <c r="O10" s="344">
        <v>100.4</v>
      </c>
      <c r="P10" s="344">
        <v>222.2</v>
      </c>
      <c r="Q10" s="344">
        <v>100.2</v>
      </c>
      <c r="R10" s="344">
        <v>222.9</v>
      </c>
      <c r="S10" s="344">
        <v>100.3</v>
      </c>
      <c r="T10" s="356">
        <f t="shared" si="0"/>
        <v>27.200000000000017</v>
      </c>
      <c r="U10" s="344"/>
      <c r="V10" s="344"/>
      <c r="W10" s="344"/>
      <c r="X10" s="344"/>
      <c r="Y10" s="344"/>
      <c r="Z10" s="344"/>
      <c r="AA10" s="344"/>
      <c r="AB10" s="345" t="s">
        <v>386</v>
      </c>
    </row>
    <row r="11" spans="2:28" ht="25.5">
      <c r="B11" s="340">
        <v>4</v>
      </c>
      <c r="C11" s="345" t="s">
        <v>309</v>
      </c>
      <c r="D11" s="344">
        <v>809.3</v>
      </c>
      <c r="E11" s="344">
        <v>102.7</v>
      </c>
      <c r="F11" s="344">
        <v>813.6</v>
      </c>
      <c r="G11" s="344">
        <v>100.5</v>
      </c>
      <c r="H11" s="344">
        <v>809.9</v>
      </c>
      <c r="I11" s="344">
        <v>99.5</v>
      </c>
      <c r="J11" s="344">
        <v>807.2</v>
      </c>
      <c r="K11" s="344">
        <v>99.7</v>
      </c>
      <c r="L11" s="344">
        <v>803.9</v>
      </c>
      <c r="M11" s="344">
        <v>99.6</v>
      </c>
      <c r="N11" s="344">
        <v>800.9</v>
      </c>
      <c r="O11" s="344">
        <v>99.6</v>
      </c>
      <c r="P11" s="344">
        <v>801.4</v>
      </c>
      <c r="Q11" s="344">
        <v>100.1</v>
      </c>
      <c r="R11" s="344">
        <v>801.3</v>
      </c>
      <c r="S11" s="344">
        <v>100</v>
      </c>
      <c r="T11" s="356">
        <f t="shared" si="0"/>
        <v>-11.5</v>
      </c>
      <c r="U11" s="344"/>
      <c r="V11" s="344"/>
      <c r="W11" s="344"/>
      <c r="X11" s="344"/>
      <c r="Y11" s="344"/>
      <c r="Z11" s="344"/>
      <c r="AA11" s="344"/>
      <c r="AB11" s="345" t="s">
        <v>385</v>
      </c>
    </row>
    <row r="12" spans="2:28" ht="25.5">
      <c r="B12" s="340">
        <v>5</v>
      </c>
      <c r="C12" s="345" t="s">
        <v>310</v>
      </c>
      <c r="D12" s="344">
        <v>624.4</v>
      </c>
      <c r="E12" s="344">
        <v>101.1</v>
      </c>
      <c r="F12" s="344">
        <v>621.1</v>
      </c>
      <c r="G12" s="344">
        <v>99.5</v>
      </c>
      <c r="H12" s="344">
        <v>621.70000000000005</v>
      </c>
      <c r="I12" s="344">
        <v>100.1</v>
      </c>
      <c r="J12" s="344">
        <v>617.1</v>
      </c>
      <c r="K12" s="344">
        <v>99.3</v>
      </c>
      <c r="L12" s="344">
        <v>616.1</v>
      </c>
      <c r="M12" s="344">
        <v>99.8</v>
      </c>
      <c r="N12" s="344">
        <v>615.70000000000005</v>
      </c>
      <c r="O12" s="344">
        <v>99.9</v>
      </c>
      <c r="P12" s="344">
        <v>613.6</v>
      </c>
      <c r="Q12" s="344">
        <v>99.7</v>
      </c>
      <c r="R12" s="344">
        <v>610.9</v>
      </c>
      <c r="S12" s="344">
        <v>99.6</v>
      </c>
      <c r="T12" s="356">
        <f>R12-D56</f>
        <v>-26.200000000000045</v>
      </c>
      <c r="U12" s="344"/>
      <c r="V12" s="344"/>
      <c r="W12" s="344"/>
      <c r="X12" s="344"/>
      <c r="Y12" s="344"/>
      <c r="Z12" s="344"/>
      <c r="AA12" s="344"/>
      <c r="AB12" s="345" t="s">
        <v>384</v>
      </c>
    </row>
    <row r="13" spans="2:28">
      <c r="C13" s="346" t="s">
        <v>311</v>
      </c>
      <c r="D13" s="344">
        <v>257.3</v>
      </c>
      <c r="E13" s="344">
        <v>103.6</v>
      </c>
      <c r="F13" s="344">
        <v>253.6</v>
      </c>
      <c r="G13" s="344">
        <v>98.6</v>
      </c>
      <c r="H13" s="344">
        <v>254.1</v>
      </c>
      <c r="I13" s="344">
        <v>100.2</v>
      </c>
      <c r="J13" s="344">
        <v>252</v>
      </c>
      <c r="K13" s="344">
        <v>99.2</v>
      </c>
      <c r="L13" s="344">
        <v>252.2</v>
      </c>
      <c r="M13" s="344">
        <v>100.1</v>
      </c>
      <c r="N13" s="344">
        <v>250.4</v>
      </c>
      <c r="O13" s="344">
        <v>99.3</v>
      </c>
      <c r="P13" s="344">
        <v>250</v>
      </c>
      <c r="Q13" s="344">
        <v>99.8</v>
      </c>
      <c r="R13" s="344">
        <v>248.1</v>
      </c>
      <c r="S13" s="344">
        <v>99.2</v>
      </c>
      <c r="T13" s="356">
        <f t="shared" si="0"/>
        <v>-6</v>
      </c>
      <c r="U13" s="344"/>
      <c r="V13" s="344"/>
      <c r="W13" s="344"/>
      <c r="X13" s="344"/>
      <c r="Y13" s="344"/>
      <c r="Z13" s="344"/>
      <c r="AA13" s="344"/>
      <c r="AB13" s="346" t="s">
        <v>383</v>
      </c>
    </row>
    <row r="14" spans="2:28">
      <c r="C14" s="346" t="s">
        <v>312</v>
      </c>
      <c r="D14" s="344">
        <v>2.5</v>
      </c>
      <c r="E14" s="344">
        <v>109.2</v>
      </c>
      <c r="F14" s="344">
        <v>2.4</v>
      </c>
      <c r="G14" s="344">
        <v>98.3</v>
      </c>
      <c r="H14" s="344">
        <v>2.2999999999999998</v>
      </c>
      <c r="I14" s="344">
        <v>95.6</v>
      </c>
      <c r="J14" s="344">
        <v>2.2000000000000002</v>
      </c>
      <c r="K14" s="344">
        <v>96.5</v>
      </c>
      <c r="L14" s="344">
        <v>2.5</v>
      </c>
      <c r="M14" s="344">
        <v>111.3</v>
      </c>
      <c r="N14" s="344">
        <v>2.5</v>
      </c>
      <c r="O14" s="344">
        <v>100.4</v>
      </c>
      <c r="P14" s="344">
        <v>2.5</v>
      </c>
      <c r="Q14" s="344">
        <v>100</v>
      </c>
      <c r="R14" s="344">
        <v>2.5</v>
      </c>
      <c r="S14" s="344">
        <v>100.8</v>
      </c>
      <c r="T14" s="356">
        <f t="shared" si="0"/>
        <v>0</v>
      </c>
      <c r="U14" s="344"/>
      <c r="V14" s="344"/>
      <c r="W14" s="344"/>
      <c r="X14" s="344"/>
      <c r="Y14" s="344"/>
      <c r="Z14" s="344"/>
      <c r="AA14" s="344"/>
      <c r="AB14" s="346" t="s">
        <v>382</v>
      </c>
    </row>
    <row r="15" spans="2:28">
      <c r="C15" s="346" t="s">
        <v>313</v>
      </c>
      <c r="D15" s="344">
        <v>15.1</v>
      </c>
      <c r="E15" s="344">
        <v>97.3</v>
      </c>
      <c r="F15" s="344">
        <v>15.1</v>
      </c>
      <c r="G15" s="344">
        <v>99.8</v>
      </c>
      <c r="H15" s="344">
        <v>15.1</v>
      </c>
      <c r="I15" s="344">
        <v>100.2</v>
      </c>
      <c r="J15" s="344">
        <v>15.2</v>
      </c>
      <c r="K15" s="344">
        <v>100.5</v>
      </c>
      <c r="L15" s="344">
        <v>15.2</v>
      </c>
      <c r="M15" s="344">
        <v>100.3</v>
      </c>
      <c r="N15" s="344">
        <v>15.2</v>
      </c>
      <c r="O15" s="344">
        <v>99.6</v>
      </c>
      <c r="P15" s="344">
        <v>15.2</v>
      </c>
      <c r="Q15" s="344">
        <v>100.3</v>
      </c>
      <c r="R15" s="344">
        <v>15.2</v>
      </c>
      <c r="S15" s="344">
        <v>100.2</v>
      </c>
      <c r="T15" s="356">
        <f t="shared" si="0"/>
        <v>-1.4000000000000021</v>
      </c>
      <c r="U15" s="344"/>
      <c r="V15" s="344"/>
      <c r="W15" s="344"/>
      <c r="X15" s="344"/>
      <c r="Y15" s="344"/>
      <c r="Z15" s="344"/>
      <c r="AA15" s="344"/>
      <c r="AB15" s="346" t="s">
        <v>381</v>
      </c>
    </row>
    <row r="16" spans="2:28" ht="25.5" customHeight="1">
      <c r="C16" s="346" t="s">
        <v>314</v>
      </c>
      <c r="D16" s="344">
        <v>283.5</v>
      </c>
      <c r="E16" s="344">
        <v>99.2</v>
      </c>
      <c r="F16" s="344">
        <v>284.10000000000002</v>
      </c>
      <c r="G16" s="344">
        <v>100.2</v>
      </c>
      <c r="H16" s="344">
        <v>284.7</v>
      </c>
      <c r="I16" s="344">
        <v>100.2</v>
      </c>
      <c r="J16" s="344">
        <v>283.5</v>
      </c>
      <c r="K16" s="344">
        <v>99.6</v>
      </c>
      <c r="L16" s="344">
        <v>282.39999999999998</v>
      </c>
      <c r="M16" s="344">
        <v>99.6</v>
      </c>
      <c r="N16" s="344">
        <v>282.89999999999998</v>
      </c>
      <c r="O16" s="344">
        <v>100.2</v>
      </c>
      <c r="P16" s="344">
        <v>282</v>
      </c>
      <c r="Q16" s="344">
        <v>99.7</v>
      </c>
      <c r="R16" s="344">
        <v>281.2</v>
      </c>
      <c r="S16" s="344">
        <v>99.7</v>
      </c>
      <c r="T16" s="356">
        <f t="shared" si="0"/>
        <v>-15.5</v>
      </c>
      <c r="U16" s="344"/>
      <c r="V16" s="344"/>
      <c r="W16" s="344"/>
      <c r="X16" s="344"/>
      <c r="Y16" s="344"/>
      <c r="Z16" s="344"/>
      <c r="AA16" s="344"/>
      <c r="AB16" s="346" t="s">
        <v>380</v>
      </c>
    </row>
    <row r="17" spans="2:28">
      <c r="C17" s="346" t="s">
        <v>315</v>
      </c>
      <c r="D17" s="344">
        <v>66</v>
      </c>
      <c r="E17" s="344">
        <v>100.6</v>
      </c>
      <c r="F17" s="344">
        <v>66</v>
      </c>
      <c r="G17" s="344">
        <v>99.9</v>
      </c>
      <c r="H17" s="344">
        <v>65.400000000000006</v>
      </c>
      <c r="I17" s="344">
        <v>99.1</v>
      </c>
      <c r="J17" s="344">
        <v>64.2</v>
      </c>
      <c r="K17" s="344">
        <v>98.1</v>
      </c>
      <c r="L17" s="344">
        <v>63.8</v>
      </c>
      <c r="M17" s="344">
        <v>99.4</v>
      </c>
      <c r="N17" s="344">
        <v>64.8</v>
      </c>
      <c r="O17" s="344">
        <v>101.6</v>
      </c>
      <c r="P17" s="344">
        <v>63.9</v>
      </c>
      <c r="Q17" s="344">
        <v>98.7</v>
      </c>
      <c r="R17" s="344">
        <v>63.8</v>
      </c>
      <c r="S17" s="344">
        <v>99.9</v>
      </c>
      <c r="T17" s="356">
        <f t="shared" si="0"/>
        <v>-3.2999999999999972</v>
      </c>
      <c r="U17" s="344"/>
      <c r="V17" s="344"/>
      <c r="W17" s="344"/>
      <c r="X17" s="344"/>
      <c r="Y17" s="344"/>
      <c r="Z17" s="344"/>
      <c r="AA17" s="344"/>
      <c r="AB17" s="346" t="s">
        <v>379</v>
      </c>
    </row>
    <row r="18" spans="2:28">
      <c r="B18" s="340">
        <v>6</v>
      </c>
      <c r="C18" s="345" t="s">
        <v>316</v>
      </c>
      <c r="D18" s="344">
        <v>62.1</v>
      </c>
      <c r="E18" s="344">
        <v>98.6</v>
      </c>
      <c r="F18" s="344">
        <v>62.6</v>
      </c>
      <c r="G18" s="344">
        <v>100.8</v>
      </c>
      <c r="H18" s="344">
        <v>62.7</v>
      </c>
      <c r="I18" s="344">
        <v>100.2</v>
      </c>
      <c r="J18" s="344">
        <v>61.4</v>
      </c>
      <c r="K18" s="344">
        <v>97.9</v>
      </c>
      <c r="L18" s="344">
        <v>64</v>
      </c>
      <c r="M18" s="344">
        <v>104.3</v>
      </c>
      <c r="N18" s="344">
        <v>64.7</v>
      </c>
      <c r="O18" s="344">
        <v>101.1</v>
      </c>
      <c r="P18" s="344">
        <v>66.8</v>
      </c>
      <c r="Q18" s="344">
        <v>103.2</v>
      </c>
      <c r="R18" s="344">
        <v>67.3</v>
      </c>
      <c r="S18" s="344">
        <v>100.7</v>
      </c>
      <c r="T18" s="356">
        <f t="shared" si="0"/>
        <v>-11.600000000000009</v>
      </c>
      <c r="U18" s="344"/>
      <c r="V18" s="344"/>
      <c r="W18" s="344"/>
      <c r="X18" s="344"/>
      <c r="Y18" s="344"/>
      <c r="Z18" s="344"/>
      <c r="AA18" s="344"/>
      <c r="AB18" s="345" t="s">
        <v>378</v>
      </c>
    </row>
    <row r="19" spans="2:28">
      <c r="B19" s="340">
        <v>7</v>
      </c>
      <c r="C19" s="345" t="s">
        <v>317</v>
      </c>
      <c r="D19" s="344">
        <v>106.2</v>
      </c>
      <c r="E19" s="344">
        <v>104.3</v>
      </c>
      <c r="F19" s="344">
        <v>105.6</v>
      </c>
      <c r="G19" s="344">
        <v>99.4</v>
      </c>
      <c r="H19" s="344">
        <v>105.6</v>
      </c>
      <c r="I19" s="344">
        <v>100</v>
      </c>
      <c r="J19" s="344">
        <v>104.2</v>
      </c>
      <c r="K19" s="344">
        <v>98.6</v>
      </c>
      <c r="L19" s="344">
        <v>103.7</v>
      </c>
      <c r="M19" s="344">
        <v>99.6</v>
      </c>
      <c r="N19" s="344">
        <v>103.3</v>
      </c>
      <c r="O19" s="344">
        <v>99.6</v>
      </c>
      <c r="P19" s="344">
        <v>102.5</v>
      </c>
      <c r="Q19" s="344">
        <v>99.3</v>
      </c>
      <c r="R19" s="344">
        <v>102.5</v>
      </c>
      <c r="S19" s="344">
        <v>99.9</v>
      </c>
      <c r="T19" s="356">
        <f t="shared" si="0"/>
        <v>-10.700000000000003</v>
      </c>
      <c r="U19" s="344"/>
      <c r="V19" s="344"/>
      <c r="W19" s="344"/>
      <c r="X19" s="344"/>
      <c r="Y19" s="344"/>
      <c r="Z19" s="344"/>
      <c r="AA19" s="344"/>
      <c r="AB19" s="345" t="s">
        <v>377</v>
      </c>
    </row>
    <row r="20" spans="2:28">
      <c r="B20" s="340">
        <v>8</v>
      </c>
      <c r="C20" s="345" t="s">
        <v>318</v>
      </c>
      <c r="D20" s="344">
        <v>174.2</v>
      </c>
      <c r="E20" s="344">
        <v>101.2</v>
      </c>
      <c r="F20" s="344">
        <v>173.9</v>
      </c>
      <c r="G20" s="344">
        <v>99.8</v>
      </c>
      <c r="H20" s="344">
        <v>173.3</v>
      </c>
      <c r="I20" s="344">
        <v>99.6</v>
      </c>
      <c r="J20" s="344">
        <v>172.5</v>
      </c>
      <c r="K20" s="344">
        <v>99.5</v>
      </c>
      <c r="L20" s="344">
        <v>171.7</v>
      </c>
      <c r="M20" s="344">
        <v>99.6</v>
      </c>
      <c r="N20" s="344">
        <v>170.2</v>
      </c>
      <c r="O20" s="344">
        <v>99.1</v>
      </c>
      <c r="P20" s="344">
        <v>168.6</v>
      </c>
      <c r="Q20" s="344">
        <v>99.1</v>
      </c>
      <c r="R20" s="344">
        <v>167.7</v>
      </c>
      <c r="S20" s="344">
        <v>99.5</v>
      </c>
      <c r="T20" s="356">
        <f t="shared" si="0"/>
        <v>-4.4000000000000057</v>
      </c>
      <c r="U20" s="344"/>
      <c r="V20" s="344"/>
      <c r="W20" s="344"/>
      <c r="X20" s="344"/>
      <c r="Y20" s="344"/>
      <c r="Z20" s="344"/>
      <c r="AA20" s="344"/>
      <c r="AB20" s="345" t="s">
        <v>376</v>
      </c>
    </row>
    <row r="21" spans="2:28">
      <c r="B21" s="340">
        <v>9</v>
      </c>
      <c r="C21" s="345" t="s">
        <v>319</v>
      </c>
      <c r="D21" s="344">
        <v>74</v>
      </c>
      <c r="E21" s="344">
        <v>103.7</v>
      </c>
      <c r="F21" s="344">
        <v>73.3</v>
      </c>
      <c r="G21" s="344">
        <v>99.1</v>
      </c>
      <c r="H21" s="344">
        <v>72.900000000000006</v>
      </c>
      <c r="I21" s="344">
        <v>99.5</v>
      </c>
      <c r="J21" s="344">
        <v>74.2</v>
      </c>
      <c r="K21" s="344">
        <v>101.8</v>
      </c>
      <c r="L21" s="344">
        <v>73.400000000000006</v>
      </c>
      <c r="M21" s="344">
        <v>98.8</v>
      </c>
      <c r="N21" s="344">
        <v>73</v>
      </c>
      <c r="O21" s="344">
        <v>99.5</v>
      </c>
      <c r="P21" s="344">
        <v>73.7</v>
      </c>
      <c r="Q21" s="344">
        <v>100.9</v>
      </c>
      <c r="R21" s="344">
        <v>72.8</v>
      </c>
      <c r="S21" s="344">
        <v>98.8</v>
      </c>
      <c r="T21" s="356">
        <f t="shared" si="0"/>
        <v>-3.5</v>
      </c>
      <c r="U21" s="344"/>
      <c r="V21" s="344"/>
      <c r="W21" s="344"/>
      <c r="X21" s="344"/>
      <c r="Y21" s="344"/>
      <c r="Z21" s="344"/>
      <c r="AA21" s="344"/>
      <c r="AB21" s="345" t="s">
        <v>375</v>
      </c>
    </row>
    <row r="22" spans="2:28" ht="15.75" customHeight="1">
      <c r="B22" s="340">
        <v>10</v>
      </c>
      <c r="C22" s="345" t="s">
        <v>320</v>
      </c>
      <c r="D22" s="344">
        <v>202.4</v>
      </c>
      <c r="E22" s="344">
        <v>102.1</v>
      </c>
      <c r="F22" s="344">
        <v>207.9</v>
      </c>
      <c r="G22" s="344">
        <v>102.7</v>
      </c>
      <c r="H22" s="344">
        <v>207.8</v>
      </c>
      <c r="I22" s="344">
        <v>99.9</v>
      </c>
      <c r="J22" s="344">
        <v>207</v>
      </c>
      <c r="K22" s="344">
        <v>99.6</v>
      </c>
      <c r="L22" s="344">
        <v>206.2</v>
      </c>
      <c r="M22" s="344">
        <v>99.6</v>
      </c>
      <c r="N22" s="344">
        <v>204.8</v>
      </c>
      <c r="O22" s="344">
        <v>99.3</v>
      </c>
      <c r="P22" s="344">
        <v>203.5</v>
      </c>
      <c r="Q22" s="344">
        <v>99.4</v>
      </c>
      <c r="R22" s="344">
        <v>203.9</v>
      </c>
      <c r="S22" s="344">
        <v>100.2</v>
      </c>
      <c r="T22" s="356">
        <f t="shared" si="0"/>
        <v>-3.0999999999999943</v>
      </c>
      <c r="U22" s="344"/>
      <c r="V22" s="344"/>
      <c r="W22" s="344"/>
      <c r="X22" s="344"/>
      <c r="Y22" s="344"/>
      <c r="Z22" s="344"/>
      <c r="AA22" s="344"/>
      <c r="AB22" s="345" t="s">
        <v>374</v>
      </c>
    </row>
    <row r="23" spans="2:28">
      <c r="C23" s="346" t="s">
        <v>321</v>
      </c>
      <c r="D23" s="344">
        <v>72</v>
      </c>
      <c r="E23" s="344">
        <v>94.2</v>
      </c>
      <c r="F23" s="344">
        <v>76.400000000000006</v>
      </c>
      <c r="G23" s="344">
        <v>106.1</v>
      </c>
      <c r="H23" s="344">
        <v>76.099999999999994</v>
      </c>
      <c r="I23" s="344">
        <v>99.6</v>
      </c>
      <c r="J23" s="344">
        <v>75.900000000000006</v>
      </c>
      <c r="K23" s="344">
        <v>99.8</v>
      </c>
      <c r="L23" s="344">
        <v>76.2</v>
      </c>
      <c r="M23" s="344">
        <v>100.4</v>
      </c>
      <c r="N23" s="344">
        <v>75.8</v>
      </c>
      <c r="O23" s="344">
        <v>99.4</v>
      </c>
      <c r="P23" s="344">
        <v>75.400000000000006</v>
      </c>
      <c r="Q23" s="344">
        <v>99.5</v>
      </c>
      <c r="R23" s="344">
        <v>75.099999999999994</v>
      </c>
      <c r="S23" s="344">
        <v>99.6</v>
      </c>
      <c r="T23" s="356">
        <f t="shared" si="0"/>
        <v>-3.5</v>
      </c>
      <c r="U23" s="344"/>
      <c r="V23" s="344"/>
      <c r="W23" s="344"/>
      <c r="X23" s="344"/>
      <c r="Y23" s="344"/>
      <c r="Z23" s="344"/>
      <c r="AA23" s="344"/>
      <c r="AB23" s="346" t="s">
        <v>373</v>
      </c>
    </row>
    <row r="24" spans="2:28" ht="25.5">
      <c r="B24" s="340">
        <v>11</v>
      </c>
      <c r="C24" s="345" t="s">
        <v>322</v>
      </c>
      <c r="D24" s="344">
        <v>184.7</v>
      </c>
      <c r="E24" s="344">
        <v>113.1</v>
      </c>
      <c r="F24" s="344">
        <v>182.3</v>
      </c>
      <c r="G24" s="344">
        <v>98.7</v>
      </c>
      <c r="H24" s="344">
        <v>182.5</v>
      </c>
      <c r="I24" s="344">
        <v>100.1</v>
      </c>
      <c r="J24" s="344">
        <v>181.9</v>
      </c>
      <c r="K24" s="344">
        <v>99.6</v>
      </c>
      <c r="L24" s="344">
        <v>182.5</v>
      </c>
      <c r="M24" s="344">
        <v>100.4</v>
      </c>
      <c r="N24" s="344">
        <v>183.4</v>
      </c>
      <c r="O24" s="344">
        <v>100.5</v>
      </c>
      <c r="P24" s="344">
        <v>183.4</v>
      </c>
      <c r="Q24" s="344">
        <v>100</v>
      </c>
      <c r="R24" s="344">
        <v>182.6</v>
      </c>
      <c r="S24" s="344">
        <v>99.6</v>
      </c>
      <c r="T24" s="356">
        <f t="shared" si="0"/>
        <v>7.5999999999999943</v>
      </c>
      <c r="U24" s="344"/>
      <c r="V24" s="344"/>
      <c r="W24" s="344"/>
      <c r="X24" s="344"/>
      <c r="Y24" s="344"/>
      <c r="Z24" s="344"/>
      <c r="AA24" s="344"/>
      <c r="AB24" s="345" t="s">
        <v>372</v>
      </c>
    </row>
    <row r="25" spans="2:28" ht="25.5">
      <c r="B25" s="340">
        <v>12</v>
      </c>
      <c r="C25" s="345" t="s">
        <v>323</v>
      </c>
      <c r="D25" s="344">
        <v>402.3</v>
      </c>
      <c r="E25" s="344">
        <v>95.2</v>
      </c>
      <c r="F25" s="344">
        <v>400.5</v>
      </c>
      <c r="G25" s="344">
        <v>99.5</v>
      </c>
      <c r="H25" s="344">
        <v>404.1</v>
      </c>
      <c r="I25" s="344">
        <v>100.9</v>
      </c>
      <c r="J25" s="344">
        <v>404.1</v>
      </c>
      <c r="K25" s="344">
        <v>100</v>
      </c>
      <c r="L25" s="344">
        <v>400.5</v>
      </c>
      <c r="M25" s="344">
        <v>99.1</v>
      </c>
      <c r="N25" s="344">
        <v>400.7</v>
      </c>
      <c r="O25" s="344">
        <v>100</v>
      </c>
      <c r="P25" s="344">
        <v>396</v>
      </c>
      <c r="Q25" s="344">
        <v>98.8</v>
      </c>
      <c r="R25" s="344">
        <v>392.6</v>
      </c>
      <c r="S25" s="344">
        <v>99.1</v>
      </c>
      <c r="T25" s="356">
        <f t="shared" si="0"/>
        <v>-21.099999999999966</v>
      </c>
      <c r="U25" s="344"/>
      <c r="V25" s="344"/>
      <c r="W25" s="344"/>
      <c r="X25" s="344"/>
      <c r="Y25" s="344"/>
      <c r="Z25" s="344"/>
      <c r="AA25" s="344"/>
      <c r="AB25" s="345" t="s">
        <v>371</v>
      </c>
    </row>
    <row r="26" spans="2:28">
      <c r="B26" s="340">
        <v>13</v>
      </c>
      <c r="C26" s="345" t="s">
        <v>324</v>
      </c>
      <c r="D26" s="344">
        <v>1123.3</v>
      </c>
      <c r="E26" s="344">
        <v>84.2</v>
      </c>
      <c r="F26" s="344">
        <v>1147.3</v>
      </c>
      <c r="G26" s="344">
        <v>102.1</v>
      </c>
      <c r="H26" s="344">
        <v>1185.7</v>
      </c>
      <c r="I26" s="344">
        <v>103.3</v>
      </c>
      <c r="J26" s="344">
        <v>1175.8</v>
      </c>
      <c r="K26" s="344">
        <v>99.2</v>
      </c>
      <c r="L26" s="344">
        <v>1162.4000000000001</v>
      </c>
      <c r="M26" s="344">
        <v>98.9</v>
      </c>
      <c r="N26" s="344">
        <v>1151.9000000000001</v>
      </c>
      <c r="O26" s="344">
        <v>99.1</v>
      </c>
      <c r="P26" s="344">
        <v>1140.9000000000001</v>
      </c>
      <c r="Q26" s="344">
        <v>99</v>
      </c>
      <c r="R26" s="344">
        <v>1140.5999999999999</v>
      </c>
      <c r="S26" s="344">
        <v>100</v>
      </c>
      <c r="T26" s="356">
        <f t="shared" si="0"/>
        <v>-199.90000000000009</v>
      </c>
      <c r="U26" s="344"/>
      <c r="V26" s="344"/>
      <c r="W26" s="344"/>
      <c r="X26" s="344"/>
      <c r="Y26" s="344"/>
      <c r="Z26" s="344"/>
      <c r="AA26" s="344"/>
      <c r="AB26" s="345" t="s">
        <v>370</v>
      </c>
    </row>
    <row r="27" spans="2:28">
      <c r="B27" s="340">
        <v>14</v>
      </c>
      <c r="C27" s="345" t="s">
        <v>325</v>
      </c>
      <c r="D27" s="344">
        <v>814.6</v>
      </c>
      <c r="E27" s="344">
        <v>99.2</v>
      </c>
      <c r="F27" s="344">
        <v>813.9</v>
      </c>
      <c r="G27" s="344">
        <v>99.9</v>
      </c>
      <c r="H27" s="344">
        <v>800.1</v>
      </c>
      <c r="I27" s="344">
        <v>98.3</v>
      </c>
      <c r="J27" s="344">
        <v>805.5</v>
      </c>
      <c r="K27" s="344">
        <v>100.7</v>
      </c>
      <c r="L27" s="344">
        <v>803.1</v>
      </c>
      <c r="M27" s="344">
        <v>99.7</v>
      </c>
      <c r="N27" s="344">
        <v>800.5</v>
      </c>
      <c r="O27" s="344">
        <v>99.7</v>
      </c>
      <c r="P27" s="344">
        <v>796.6</v>
      </c>
      <c r="Q27" s="344">
        <v>99.5</v>
      </c>
      <c r="R27" s="344">
        <v>796.9</v>
      </c>
      <c r="S27" s="344">
        <v>100</v>
      </c>
      <c r="T27" s="356">
        <f t="shared" si="0"/>
        <v>-68.399999999999977</v>
      </c>
      <c r="U27" s="344"/>
      <c r="V27" s="344"/>
      <c r="W27" s="344"/>
      <c r="X27" s="344"/>
      <c r="Y27" s="344"/>
      <c r="Z27" s="344"/>
      <c r="AA27" s="344"/>
      <c r="AB27" s="345" t="s">
        <v>369</v>
      </c>
    </row>
    <row r="28" spans="2:28">
      <c r="C28" s="345" t="s">
        <v>326</v>
      </c>
      <c r="D28" s="344">
        <v>737.5</v>
      </c>
      <c r="E28" s="344">
        <v>100.4</v>
      </c>
      <c r="F28" s="344">
        <v>737.6</v>
      </c>
      <c r="G28" s="344">
        <v>100</v>
      </c>
      <c r="H28" s="344">
        <v>723.7</v>
      </c>
      <c r="I28" s="344">
        <v>98.1</v>
      </c>
      <c r="J28" s="344">
        <v>729.7</v>
      </c>
      <c r="K28" s="344">
        <v>100.8</v>
      </c>
      <c r="L28" s="344">
        <v>727.8</v>
      </c>
      <c r="M28" s="344">
        <v>99.7</v>
      </c>
      <c r="N28" s="344">
        <v>724.4</v>
      </c>
      <c r="O28" s="344">
        <v>99.5</v>
      </c>
      <c r="P28" s="344">
        <v>720.5</v>
      </c>
      <c r="Q28" s="344">
        <v>99.5</v>
      </c>
      <c r="R28" s="344">
        <v>720.7</v>
      </c>
      <c r="S28" s="344">
        <v>100</v>
      </c>
      <c r="T28" s="356">
        <f t="shared" si="0"/>
        <v>-56.899999999999977</v>
      </c>
      <c r="U28" s="344"/>
      <c r="V28" s="344"/>
      <c r="W28" s="344"/>
      <c r="X28" s="344"/>
      <c r="Y28" s="344"/>
      <c r="Z28" s="344"/>
      <c r="AA28" s="344"/>
      <c r="AB28" s="345" t="s">
        <v>368</v>
      </c>
    </row>
    <row r="29" spans="2:28">
      <c r="B29" s="340">
        <v>15</v>
      </c>
      <c r="C29" s="345" t="s">
        <v>327</v>
      </c>
      <c r="D29" s="344">
        <v>116.3</v>
      </c>
      <c r="E29" s="344">
        <v>85</v>
      </c>
      <c r="F29" s="344">
        <v>119.2</v>
      </c>
      <c r="G29" s="344">
        <v>102.5</v>
      </c>
      <c r="H29" s="344">
        <v>122.5</v>
      </c>
      <c r="I29" s="344">
        <v>102.8</v>
      </c>
      <c r="J29" s="344">
        <v>121.5</v>
      </c>
      <c r="K29" s="344">
        <v>99.2</v>
      </c>
      <c r="L29" s="344">
        <v>120.8</v>
      </c>
      <c r="M29" s="344">
        <v>99.4</v>
      </c>
      <c r="N29" s="344">
        <v>120.2</v>
      </c>
      <c r="O29" s="344">
        <v>99.5</v>
      </c>
      <c r="P29" s="344">
        <v>118.7</v>
      </c>
      <c r="Q29" s="344">
        <v>98.8</v>
      </c>
      <c r="R29" s="344">
        <v>118.7</v>
      </c>
      <c r="S29" s="344">
        <v>100</v>
      </c>
      <c r="T29" s="356">
        <f t="shared" si="0"/>
        <v>-20.100000000000009</v>
      </c>
      <c r="U29" s="344"/>
      <c r="V29" s="344"/>
      <c r="W29" s="344"/>
      <c r="X29" s="344"/>
      <c r="Y29" s="344"/>
      <c r="Z29" s="344"/>
      <c r="AA29" s="344"/>
      <c r="AB29" s="345" t="s">
        <v>367</v>
      </c>
    </row>
    <row r="30" spans="2:28">
      <c r="C30" s="346" t="s">
        <v>328</v>
      </c>
      <c r="D30" s="344">
        <v>62.8</v>
      </c>
      <c r="E30" s="344">
        <v>82.6</v>
      </c>
      <c r="F30" s="344">
        <v>64.8</v>
      </c>
      <c r="G30" s="344">
        <v>103.1</v>
      </c>
      <c r="H30" s="344">
        <v>67.400000000000006</v>
      </c>
      <c r="I30" s="344">
        <v>104</v>
      </c>
      <c r="J30" s="344">
        <v>66.5</v>
      </c>
      <c r="K30" s="344">
        <v>98.8</v>
      </c>
      <c r="L30" s="344">
        <v>65.7</v>
      </c>
      <c r="M30" s="344">
        <v>98.8</v>
      </c>
      <c r="N30" s="344">
        <v>65.400000000000006</v>
      </c>
      <c r="O30" s="344">
        <v>99.5</v>
      </c>
      <c r="P30" s="344">
        <v>64.099999999999994</v>
      </c>
      <c r="Q30" s="344">
        <v>98</v>
      </c>
      <c r="R30" s="344">
        <v>64.2</v>
      </c>
      <c r="S30" s="344">
        <v>100.2</v>
      </c>
      <c r="T30" s="356">
        <f t="shared" si="0"/>
        <v>-12.399999999999991</v>
      </c>
      <c r="U30" s="344"/>
      <c r="V30" s="344"/>
      <c r="W30" s="344"/>
      <c r="X30" s="344"/>
      <c r="Y30" s="344"/>
      <c r="Z30" s="344"/>
      <c r="AA30" s="344"/>
      <c r="AB30" s="346" t="s">
        <v>366</v>
      </c>
    </row>
    <row r="31" spans="2:28" ht="25.5">
      <c r="C31" s="346" t="s">
        <v>329</v>
      </c>
      <c r="D31" s="344">
        <v>34</v>
      </c>
      <c r="E31" s="344">
        <v>88.5</v>
      </c>
      <c r="F31" s="344">
        <v>34.6</v>
      </c>
      <c r="G31" s="344">
        <v>101.8</v>
      </c>
      <c r="H31" s="344">
        <v>35</v>
      </c>
      <c r="I31" s="344">
        <v>101.3</v>
      </c>
      <c r="J31" s="344">
        <v>34.9</v>
      </c>
      <c r="K31" s="344">
        <v>99.6</v>
      </c>
      <c r="L31" s="344">
        <v>34.799999999999997</v>
      </c>
      <c r="M31" s="344">
        <v>99.8</v>
      </c>
      <c r="N31" s="344">
        <v>34.9</v>
      </c>
      <c r="O31" s="344">
        <v>100.2</v>
      </c>
      <c r="P31" s="344">
        <v>34.9</v>
      </c>
      <c r="Q31" s="344">
        <v>99.9</v>
      </c>
      <c r="R31" s="344">
        <v>34.700000000000003</v>
      </c>
      <c r="S31" s="344">
        <v>99.6</v>
      </c>
      <c r="T31" s="356">
        <f t="shared" si="0"/>
        <v>-3.8999999999999986</v>
      </c>
      <c r="U31" s="344"/>
      <c r="V31" s="344"/>
      <c r="W31" s="344"/>
      <c r="X31" s="344"/>
      <c r="Y31" s="344"/>
      <c r="Z31" s="344"/>
      <c r="AA31" s="344"/>
      <c r="AB31" s="346" t="s">
        <v>365</v>
      </c>
    </row>
    <row r="32" spans="2:28">
      <c r="B32" s="340">
        <v>16</v>
      </c>
      <c r="C32" s="345" t="s">
        <v>330</v>
      </c>
      <c r="D32" s="344">
        <v>25</v>
      </c>
      <c r="E32" s="344">
        <v>105.7</v>
      </c>
      <c r="F32" s="344">
        <v>25.2</v>
      </c>
      <c r="G32" s="344">
        <v>100.6</v>
      </c>
      <c r="H32" s="344">
        <v>25.2</v>
      </c>
      <c r="I32" s="344">
        <v>100</v>
      </c>
      <c r="J32" s="344">
        <v>25.1</v>
      </c>
      <c r="K32" s="344">
        <v>99.4</v>
      </c>
      <c r="L32" s="344">
        <v>25.2</v>
      </c>
      <c r="M32" s="344">
        <v>100.4</v>
      </c>
      <c r="N32" s="344">
        <v>25.3</v>
      </c>
      <c r="O32" s="344">
        <v>100.5</v>
      </c>
      <c r="P32" s="344">
        <v>25.3</v>
      </c>
      <c r="Q32" s="344">
        <v>100</v>
      </c>
      <c r="R32" s="344">
        <v>25.1</v>
      </c>
      <c r="S32" s="344">
        <v>99.4</v>
      </c>
      <c r="T32" s="356">
        <f>R32-D76</f>
        <v>-0.5</v>
      </c>
      <c r="U32" s="344"/>
      <c r="V32" s="344"/>
      <c r="W32" s="344"/>
      <c r="X32" s="344"/>
      <c r="Y32" s="344"/>
      <c r="Z32" s="344"/>
      <c r="AA32" s="344"/>
      <c r="AB32" s="345" t="s">
        <v>364</v>
      </c>
    </row>
    <row r="33" spans="3:28">
      <c r="C33" s="353"/>
      <c r="D33" s="354"/>
      <c r="E33" s="354"/>
      <c r="F33" s="354"/>
      <c r="G33" s="354"/>
      <c r="H33" s="354"/>
      <c r="I33" s="354"/>
      <c r="J33" s="354"/>
      <c r="K33" s="354"/>
      <c r="L33" s="354"/>
      <c r="M33" s="354"/>
      <c r="N33" s="354"/>
      <c r="O33" s="354"/>
      <c r="P33" s="354"/>
      <c r="Q33" s="354"/>
      <c r="R33" s="355"/>
      <c r="S33" s="354"/>
      <c r="T33" s="354"/>
      <c r="U33" s="354"/>
      <c r="V33" s="354"/>
      <c r="W33" s="354"/>
      <c r="X33" s="354"/>
      <c r="Y33" s="354"/>
      <c r="Z33" s="354"/>
      <c r="AA33" s="354"/>
      <c r="AB33" s="353"/>
    </row>
    <row r="34" spans="3:28">
      <c r="C34" s="353"/>
      <c r="D34" s="354"/>
      <c r="E34" s="354"/>
      <c r="F34" s="354"/>
      <c r="G34" s="354"/>
      <c r="H34" s="354"/>
      <c r="I34" s="354"/>
      <c r="J34" s="354"/>
      <c r="K34" s="354"/>
      <c r="L34" s="354"/>
      <c r="M34" s="354"/>
      <c r="N34" s="354"/>
      <c r="O34" s="354"/>
      <c r="P34" s="354"/>
      <c r="Q34" s="354"/>
      <c r="R34" s="355"/>
      <c r="S34" s="354"/>
      <c r="T34" s="354"/>
      <c r="U34" s="354"/>
      <c r="V34" s="354"/>
      <c r="W34" s="354"/>
      <c r="X34" s="354"/>
      <c r="Y34" s="354"/>
      <c r="Z34" s="354"/>
      <c r="AA34" s="354"/>
      <c r="AB34" s="353"/>
    </row>
    <row r="35" spans="3:28">
      <c r="C35" s="353"/>
      <c r="D35" s="354"/>
      <c r="E35" s="354"/>
      <c r="F35" s="354"/>
      <c r="G35" s="354"/>
      <c r="H35" s="354"/>
      <c r="I35" s="354"/>
      <c r="J35" s="354"/>
      <c r="K35" s="354"/>
      <c r="L35" s="354"/>
      <c r="M35" s="354"/>
      <c r="N35" s="354"/>
      <c r="O35" s="354"/>
      <c r="P35" s="354"/>
      <c r="Q35" s="354"/>
      <c r="R35" s="355"/>
      <c r="S35" s="354"/>
      <c r="T35" s="354"/>
      <c r="U35" s="354"/>
      <c r="V35" s="354"/>
      <c r="W35" s="354"/>
      <c r="X35" s="354"/>
      <c r="Y35" s="354"/>
      <c r="Z35" s="354"/>
      <c r="AA35" s="354"/>
      <c r="AB35" s="353"/>
    </row>
    <row r="36" spans="3:28" ht="28.5" customHeight="1">
      <c r="C36" s="963" t="s">
        <v>363</v>
      </c>
      <c r="D36" s="963"/>
      <c r="E36" s="963"/>
      <c r="F36" s="963"/>
      <c r="G36" s="963"/>
      <c r="H36" s="963"/>
      <c r="I36" s="963"/>
      <c r="J36" s="963"/>
      <c r="K36" s="963"/>
      <c r="L36" s="963"/>
      <c r="M36" s="963"/>
      <c r="N36" s="963"/>
      <c r="O36" s="963"/>
      <c r="P36" s="963"/>
      <c r="Q36" s="963"/>
      <c r="R36" s="963"/>
      <c r="S36" s="963"/>
      <c r="T36" s="963"/>
      <c r="U36" s="963"/>
      <c r="V36" s="963"/>
      <c r="W36" s="963"/>
      <c r="X36" s="963"/>
      <c r="Y36" s="963"/>
      <c r="Z36" s="963"/>
      <c r="AA36" s="963"/>
      <c r="AB36" s="963"/>
    </row>
    <row r="37" spans="3:28" ht="28.5" customHeight="1">
      <c r="C37" s="963" t="s">
        <v>362</v>
      </c>
      <c r="D37" s="963"/>
      <c r="E37" s="963"/>
      <c r="F37" s="963"/>
      <c r="G37" s="963"/>
      <c r="H37" s="963"/>
      <c r="I37" s="963"/>
      <c r="J37" s="963"/>
      <c r="K37" s="963"/>
      <c r="L37" s="963"/>
      <c r="M37" s="963"/>
      <c r="N37" s="963"/>
      <c r="O37" s="963"/>
      <c r="P37" s="963"/>
      <c r="Q37" s="963"/>
      <c r="R37" s="963"/>
      <c r="S37" s="963"/>
      <c r="T37" s="963"/>
      <c r="U37" s="963"/>
      <c r="V37" s="963"/>
      <c r="W37" s="963"/>
      <c r="X37" s="963"/>
      <c r="Y37" s="963"/>
      <c r="Z37" s="963"/>
      <c r="AA37" s="963"/>
      <c r="AB37" s="963"/>
    </row>
    <row r="38" spans="3:28">
      <c r="F38" s="352">
        <f>F6/D6-1</f>
        <v>4.0424028268550849E-3</v>
      </c>
      <c r="H38" s="352">
        <f>H6/F6-1</f>
        <v>5.9547271805844293E-3</v>
      </c>
      <c r="J38" s="352">
        <f>J6/H6-1</f>
        <v>1.3014455841811046E-3</v>
      </c>
      <c r="L38" s="352">
        <f>L6/J6-1</f>
        <v>-2.9628801431126339E-3</v>
      </c>
      <c r="N38" s="352">
        <f>N6/L6-1</f>
        <v>-2.6072329688814344E-3</v>
      </c>
      <c r="P38" s="352">
        <f>P6/N6-1</f>
        <v>-3.4291817747420517E-3</v>
      </c>
    </row>
    <row r="39" spans="3:28">
      <c r="L39" s="340">
        <f>L38*L6</f>
        <v>-21.137186940965531</v>
      </c>
      <c r="N39" s="340">
        <f>N38*N6</f>
        <v>-18.551505466778959</v>
      </c>
      <c r="P39" s="340">
        <f>P38*P6</f>
        <v>-24.316327964695887</v>
      </c>
    </row>
    <row r="42" spans="3:28">
      <c r="C42" s="348" t="s">
        <v>304</v>
      </c>
      <c r="D42" s="347">
        <v>7476</v>
      </c>
      <c r="E42" s="347">
        <v>102.5</v>
      </c>
      <c r="F42" s="347">
        <v>7486.1</v>
      </c>
      <c r="G42" s="347">
        <v>100.1</v>
      </c>
      <c r="H42" s="347">
        <v>7446.4</v>
      </c>
      <c r="I42" s="347">
        <v>99.5</v>
      </c>
      <c r="J42" s="347">
        <v>7346.3</v>
      </c>
      <c r="K42" s="347">
        <v>98.7</v>
      </c>
      <c r="L42" s="347">
        <v>7319.5</v>
      </c>
      <c r="M42" s="347">
        <v>99.6</v>
      </c>
      <c r="N42" s="347">
        <v>7299.7</v>
      </c>
      <c r="O42" s="347">
        <v>99.7</v>
      </c>
      <c r="P42" s="347">
        <v>7289.3</v>
      </c>
      <c r="Q42" s="347">
        <v>99.9</v>
      </c>
      <c r="R42" s="347">
        <v>7276</v>
      </c>
      <c r="S42" s="347">
        <v>99.8</v>
      </c>
      <c r="T42" s="347">
        <v>7302.8</v>
      </c>
      <c r="U42" s="347">
        <v>100.4</v>
      </c>
      <c r="V42" s="347">
        <v>7317.8</v>
      </c>
      <c r="W42" s="347">
        <v>100.2</v>
      </c>
      <c r="X42" s="347">
        <v>7322.8</v>
      </c>
      <c r="Y42" s="347">
        <v>100.1</v>
      </c>
      <c r="Z42" s="347">
        <v>7259.3</v>
      </c>
      <c r="AA42" s="347">
        <v>99.1</v>
      </c>
    </row>
    <row r="43" spans="3:28">
      <c r="D43" s="351">
        <f>D6/D42-1</f>
        <v>-5.3638309256286765E-2</v>
      </c>
      <c r="F43" s="351">
        <f>F6/F42-1</f>
        <v>-5.1094695502331033E-2</v>
      </c>
      <c r="H43" s="351">
        <f>H6/H42-1</f>
        <v>-4.0355070906746837E-2</v>
      </c>
      <c r="J43" s="351">
        <f>J6/J42-1</f>
        <v>-2.6013095027428768E-2</v>
      </c>
      <c r="L43" s="351">
        <f>L6/L42-1</f>
        <v>-2.5343261151718033E-2</v>
      </c>
      <c r="N43" s="351">
        <f>N6/N42-1</f>
        <v>-2.5247612915599293E-2</v>
      </c>
      <c r="P43" s="351">
        <f>P6/P42-1</f>
        <v>-2.7204258296407047E-2</v>
      </c>
    </row>
    <row r="45" spans="3:28">
      <c r="F45" s="351">
        <f>F42/D42-1</f>
        <v>1.3509898341359516E-3</v>
      </c>
      <c r="H45" s="351">
        <f>H42/F42-1</f>
        <v>-5.3031618599805874E-3</v>
      </c>
      <c r="J45" s="351">
        <f>J42/H42-1</f>
        <v>-1.3442737430167551E-2</v>
      </c>
      <c r="L45" s="351">
        <f>L42/J42-1</f>
        <v>-3.648094959367354E-3</v>
      </c>
      <c r="N45" s="351">
        <f>N42/L42-1</f>
        <v>-2.7051028075688599E-3</v>
      </c>
      <c r="P45" s="351">
        <f>P42/N42-1</f>
        <v>-1.4247160842225659E-3</v>
      </c>
      <c r="R45" s="351">
        <f>R42/P42-1</f>
        <v>-1.8245922105003531E-3</v>
      </c>
      <c r="T45" s="351">
        <f>T42/R42-1</f>
        <v>3.6833424958768735E-3</v>
      </c>
      <c r="V45" s="351">
        <f>V42/T42-1</f>
        <v>2.0540066823684366E-3</v>
      </c>
      <c r="X45" s="351">
        <f>X42/V42-1</f>
        <v>6.8326546229746654E-4</v>
      </c>
      <c r="Z45" s="351">
        <f>Z42/X42-1</f>
        <v>-8.6715464030152622E-3</v>
      </c>
    </row>
    <row r="48" spans="3:28" ht="24">
      <c r="C48" s="350">
        <v>2020</v>
      </c>
    </row>
    <row r="49" spans="2:27">
      <c r="O49" s="349">
        <f>P6-F42</f>
        <v>-395.10000000000036</v>
      </c>
    </row>
    <row r="50" spans="2:27">
      <c r="C50" s="348" t="s">
        <v>304</v>
      </c>
      <c r="D50" s="347">
        <v>7476</v>
      </c>
      <c r="E50" s="347">
        <v>102.5</v>
      </c>
      <c r="F50" s="347">
        <v>7486.1</v>
      </c>
      <c r="G50" s="347">
        <v>100.1</v>
      </c>
      <c r="H50" s="347">
        <v>7446.4</v>
      </c>
      <c r="I50" s="347">
        <v>99.5</v>
      </c>
      <c r="J50" s="347">
        <v>7346.3</v>
      </c>
      <c r="K50" s="347">
        <v>98.7</v>
      </c>
      <c r="L50" s="347">
        <v>7319.5</v>
      </c>
      <c r="M50" s="347">
        <v>99.6</v>
      </c>
      <c r="N50" s="347">
        <v>7299.7</v>
      </c>
      <c r="O50" s="347">
        <v>99.7</v>
      </c>
      <c r="P50" s="347">
        <v>7289.3</v>
      </c>
      <c r="Q50" s="347">
        <v>99.9</v>
      </c>
      <c r="R50" s="347">
        <v>7276</v>
      </c>
      <c r="S50" s="347">
        <v>99.8</v>
      </c>
      <c r="T50" s="347">
        <v>7302.8</v>
      </c>
      <c r="U50" s="347">
        <v>100.4</v>
      </c>
      <c r="V50" s="347">
        <v>7317.8</v>
      </c>
      <c r="W50" s="347">
        <v>100.2</v>
      </c>
      <c r="X50" s="347">
        <v>7322.8</v>
      </c>
      <c r="Y50" s="347">
        <v>100.1</v>
      </c>
      <c r="Z50" s="347">
        <v>7259.3</v>
      </c>
      <c r="AA50" s="347">
        <v>99.1</v>
      </c>
    </row>
    <row r="51" spans="2:27" ht="25.5">
      <c r="B51" s="340">
        <v>1</v>
      </c>
      <c r="C51" s="345" t="s">
        <v>305</v>
      </c>
      <c r="D51" s="344">
        <v>376.5</v>
      </c>
      <c r="E51" s="344">
        <v>96.2</v>
      </c>
      <c r="F51" s="344">
        <v>377.4</v>
      </c>
      <c r="G51" s="344">
        <v>100.2</v>
      </c>
      <c r="H51" s="344">
        <v>395.5</v>
      </c>
      <c r="I51" s="344">
        <v>104.8</v>
      </c>
      <c r="J51" s="344">
        <v>410.1</v>
      </c>
      <c r="K51" s="344">
        <v>103.7</v>
      </c>
      <c r="L51" s="344">
        <v>419.7</v>
      </c>
      <c r="M51" s="344">
        <v>102.3</v>
      </c>
      <c r="N51" s="344">
        <v>426.1</v>
      </c>
      <c r="O51" s="344">
        <v>101.5</v>
      </c>
      <c r="P51" s="344">
        <v>432</v>
      </c>
      <c r="Q51" s="344">
        <v>101.4</v>
      </c>
      <c r="R51" s="344">
        <v>430.2</v>
      </c>
      <c r="S51" s="344">
        <v>99.6</v>
      </c>
      <c r="T51" s="344">
        <v>431.8</v>
      </c>
      <c r="U51" s="344">
        <v>100.4</v>
      </c>
      <c r="V51" s="344">
        <v>428.8</v>
      </c>
      <c r="W51" s="344">
        <v>99.3</v>
      </c>
      <c r="X51" s="344">
        <v>409.9</v>
      </c>
      <c r="Y51" s="344">
        <v>95.6</v>
      </c>
      <c r="Z51" s="344">
        <v>378.3</v>
      </c>
      <c r="AA51" s="344">
        <v>92.3</v>
      </c>
    </row>
    <row r="52" spans="2:27">
      <c r="C52" s="345" t="s">
        <v>306</v>
      </c>
      <c r="D52" s="344">
        <v>324.5</v>
      </c>
      <c r="E52" s="344">
        <v>96.2</v>
      </c>
      <c r="F52" s="344">
        <v>325.7</v>
      </c>
      <c r="G52" s="344">
        <v>100.4</v>
      </c>
      <c r="H52" s="344">
        <v>343.7</v>
      </c>
      <c r="I52" s="344">
        <v>105.5</v>
      </c>
      <c r="J52" s="344">
        <v>358.2</v>
      </c>
      <c r="K52" s="344">
        <v>104.2</v>
      </c>
      <c r="L52" s="344">
        <v>367.8</v>
      </c>
      <c r="M52" s="344">
        <v>102.7</v>
      </c>
      <c r="N52" s="344">
        <v>373.8</v>
      </c>
      <c r="O52" s="344">
        <v>101.6</v>
      </c>
      <c r="P52" s="344">
        <v>379.7</v>
      </c>
      <c r="Q52" s="344">
        <v>101.6</v>
      </c>
      <c r="R52" s="344">
        <v>378</v>
      </c>
      <c r="S52" s="344">
        <v>99.5</v>
      </c>
      <c r="T52" s="344">
        <v>379.7</v>
      </c>
      <c r="U52" s="344">
        <v>100.4</v>
      </c>
      <c r="V52" s="344">
        <v>377.1</v>
      </c>
      <c r="W52" s="344">
        <v>99.3</v>
      </c>
      <c r="X52" s="344">
        <v>358.8</v>
      </c>
      <c r="Y52" s="344">
        <v>95.1</v>
      </c>
      <c r="Z52" s="344">
        <v>327.8</v>
      </c>
      <c r="AA52" s="344">
        <v>91.4</v>
      </c>
    </row>
    <row r="53" spans="2:27">
      <c r="B53" s="340">
        <v>2</v>
      </c>
      <c r="C53" s="345" t="s">
        <v>307</v>
      </c>
      <c r="D53" s="344">
        <v>1847.7</v>
      </c>
      <c r="E53" s="344">
        <v>100.8</v>
      </c>
      <c r="F53" s="344">
        <v>1847.4</v>
      </c>
      <c r="G53" s="344">
        <v>100</v>
      </c>
      <c r="H53" s="344">
        <v>1836.8</v>
      </c>
      <c r="I53" s="344">
        <v>99.4</v>
      </c>
      <c r="J53" s="344">
        <v>1808.9</v>
      </c>
      <c r="K53" s="344">
        <v>98.5</v>
      </c>
      <c r="L53" s="344">
        <v>1783.2</v>
      </c>
      <c r="M53" s="344">
        <v>98.6</v>
      </c>
      <c r="N53" s="344">
        <v>1781.4</v>
      </c>
      <c r="O53" s="344">
        <v>99.9</v>
      </c>
      <c r="P53" s="344">
        <v>1777</v>
      </c>
      <c r="Q53" s="344">
        <v>99.7</v>
      </c>
      <c r="R53" s="344">
        <v>1772.7</v>
      </c>
      <c r="S53" s="344">
        <v>99.8</v>
      </c>
      <c r="T53" s="344">
        <v>1771.3</v>
      </c>
      <c r="U53" s="344">
        <v>99.9</v>
      </c>
      <c r="V53" s="344">
        <v>1775</v>
      </c>
      <c r="W53" s="344">
        <v>100.2</v>
      </c>
      <c r="X53" s="344">
        <v>1783.8</v>
      </c>
      <c r="Y53" s="344">
        <v>100.5</v>
      </c>
      <c r="Z53" s="344">
        <v>1772.3</v>
      </c>
      <c r="AA53" s="344">
        <v>99.4</v>
      </c>
    </row>
    <row r="54" spans="2:27">
      <c r="B54" s="340">
        <v>3</v>
      </c>
      <c r="C54" s="345" t="s">
        <v>308</v>
      </c>
      <c r="D54" s="344">
        <v>195.7</v>
      </c>
      <c r="E54" s="344">
        <v>105.1</v>
      </c>
      <c r="F54" s="344">
        <v>194.8</v>
      </c>
      <c r="G54" s="344">
        <v>99.5</v>
      </c>
      <c r="H54" s="344">
        <v>193.1</v>
      </c>
      <c r="I54" s="344">
        <v>99.2</v>
      </c>
      <c r="J54" s="344">
        <v>191.7</v>
      </c>
      <c r="K54" s="344">
        <v>99.2</v>
      </c>
      <c r="L54" s="344">
        <v>193.1</v>
      </c>
      <c r="M54" s="344">
        <v>100.8</v>
      </c>
      <c r="N54" s="344">
        <v>195.5</v>
      </c>
      <c r="O54" s="344">
        <v>101.2</v>
      </c>
      <c r="P54" s="344">
        <v>195.6</v>
      </c>
      <c r="Q54" s="344">
        <v>100</v>
      </c>
      <c r="R54" s="344">
        <v>197</v>
      </c>
      <c r="S54" s="344">
        <v>100.7</v>
      </c>
      <c r="T54" s="344">
        <v>198.8</v>
      </c>
      <c r="U54" s="344">
        <v>100.9</v>
      </c>
      <c r="V54" s="344">
        <v>199.7</v>
      </c>
      <c r="W54" s="344">
        <v>100.4</v>
      </c>
      <c r="X54" s="344">
        <v>199.1</v>
      </c>
      <c r="Y54" s="344">
        <v>99.7</v>
      </c>
      <c r="Z54" s="344">
        <v>195.7</v>
      </c>
      <c r="AA54" s="344">
        <v>98.3</v>
      </c>
    </row>
    <row r="55" spans="2:27" ht="25.5">
      <c r="B55" s="340">
        <v>4</v>
      </c>
      <c r="C55" s="345" t="s">
        <v>309</v>
      </c>
      <c r="D55" s="344">
        <v>812.8</v>
      </c>
      <c r="E55" s="344">
        <v>106.8</v>
      </c>
      <c r="F55" s="344">
        <v>811</v>
      </c>
      <c r="G55" s="344">
        <v>99.8</v>
      </c>
      <c r="H55" s="344">
        <v>806.3</v>
      </c>
      <c r="I55" s="344">
        <v>99.4</v>
      </c>
      <c r="J55" s="344">
        <v>790.9</v>
      </c>
      <c r="K55" s="344">
        <v>98.1</v>
      </c>
      <c r="L55" s="344">
        <v>786.5</v>
      </c>
      <c r="M55" s="344">
        <v>99.4</v>
      </c>
      <c r="N55" s="344">
        <v>778</v>
      </c>
      <c r="O55" s="344">
        <v>98.9</v>
      </c>
      <c r="P55" s="344">
        <v>779.7</v>
      </c>
      <c r="Q55" s="344">
        <v>100.2</v>
      </c>
      <c r="R55" s="344">
        <v>780</v>
      </c>
      <c r="S55" s="344">
        <v>100</v>
      </c>
      <c r="T55" s="344">
        <v>786.6</v>
      </c>
      <c r="U55" s="344">
        <v>100.8</v>
      </c>
      <c r="V55" s="344">
        <v>787</v>
      </c>
      <c r="W55" s="344">
        <v>100.1</v>
      </c>
      <c r="X55" s="344">
        <v>790</v>
      </c>
      <c r="Y55" s="344">
        <v>100.4</v>
      </c>
      <c r="Z55" s="344">
        <v>787.8</v>
      </c>
      <c r="AA55" s="344">
        <v>99.7</v>
      </c>
    </row>
    <row r="56" spans="2:27" ht="25.5">
      <c r="B56" s="340">
        <v>5</v>
      </c>
      <c r="C56" s="345" t="s">
        <v>310</v>
      </c>
      <c r="D56" s="344">
        <v>637.1</v>
      </c>
      <c r="E56" s="344">
        <v>103.3</v>
      </c>
      <c r="F56" s="344">
        <v>639.20000000000005</v>
      </c>
      <c r="G56" s="344">
        <v>100.3</v>
      </c>
      <c r="H56" s="344">
        <v>629</v>
      </c>
      <c r="I56" s="344">
        <v>98.4</v>
      </c>
      <c r="J56" s="344">
        <v>624.1</v>
      </c>
      <c r="K56" s="344">
        <v>99.2</v>
      </c>
      <c r="L56" s="344">
        <v>624.4</v>
      </c>
      <c r="M56" s="344">
        <v>100.1</v>
      </c>
      <c r="N56" s="344">
        <v>625.79999999999995</v>
      </c>
      <c r="O56" s="344">
        <v>100.2</v>
      </c>
      <c r="P56" s="344">
        <v>627.4</v>
      </c>
      <c r="Q56" s="344">
        <v>100.2</v>
      </c>
      <c r="R56" s="344">
        <v>622.4</v>
      </c>
      <c r="S56" s="344">
        <v>99.2</v>
      </c>
      <c r="T56" s="344">
        <v>620.20000000000005</v>
      </c>
      <c r="U56" s="344">
        <v>99.6</v>
      </c>
      <c r="V56" s="344">
        <v>621.20000000000005</v>
      </c>
      <c r="W56" s="344">
        <v>100.2</v>
      </c>
      <c r="X56" s="344">
        <v>620.5</v>
      </c>
      <c r="Y56" s="344">
        <v>99.9</v>
      </c>
      <c r="Z56" s="344">
        <v>617.79999999999995</v>
      </c>
      <c r="AA56" s="344">
        <v>99.6</v>
      </c>
    </row>
    <row r="57" spans="2:27">
      <c r="C57" s="346" t="s">
        <v>311</v>
      </c>
      <c r="D57" s="344">
        <v>254.1</v>
      </c>
      <c r="E57" s="344">
        <v>107.1</v>
      </c>
      <c r="F57" s="344">
        <v>253.6</v>
      </c>
      <c r="G57" s="344">
        <v>99.8</v>
      </c>
      <c r="H57" s="344">
        <v>249.8</v>
      </c>
      <c r="I57" s="344">
        <v>98.5</v>
      </c>
      <c r="J57" s="344">
        <v>244.3</v>
      </c>
      <c r="K57" s="344">
        <v>97.8</v>
      </c>
      <c r="L57" s="344">
        <v>244</v>
      </c>
      <c r="M57" s="344">
        <v>99.9</v>
      </c>
      <c r="N57" s="344">
        <v>247.1</v>
      </c>
      <c r="O57" s="344">
        <v>101.3</v>
      </c>
      <c r="P57" s="344">
        <v>249.4</v>
      </c>
      <c r="Q57" s="344">
        <v>100.9</v>
      </c>
      <c r="R57" s="344">
        <v>246.1</v>
      </c>
      <c r="S57" s="344">
        <v>98.7</v>
      </c>
      <c r="T57" s="344">
        <v>248.3</v>
      </c>
      <c r="U57" s="344">
        <v>100.9</v>
      </c>
      <c r="V57" s="344">
        <v>250.7</v>
      </c>
      <c r="W57" s="344">
        <v>101</v>
      </c>
      <c r="X57" s="344">
        <v>249.5</v>
      </c>
      <c r="Y57" s="344">
        <v>99.5</v>
      </c>
      <c r="Z57" s="344">
        <v>248.4</v>
      </c>
      <c r="AA57" s="344">
        <v>99.6</v>
      </c>
    </row>
    <row r="58" spans="2:27">
      <c r="C58" s="346" t="s">
        <v>312</v>
      </c>
      <c r="D58" s="344">
        <v>2.5</v>
      </c>
      <c r="E58" s="344">
        <v>88.2</v>
      </c>
      <c r="F58" s="344">
        <v>2.4</v>
      </c>
      <c r="G58" s="344">
        <v>97.2</v>
      </c>
      <c r="H58" s="344">
        <v>2.4</v>
      </c>
      <c r="I58" s="344">
        <v>101.5</v>
      </c>
      <c r="J58" s="344">
        <v>2.4</v>
      </c>
      <c r="K58" s="344">
        <v>99.4</v>
      </c>
      <c r="L58" s="344">
        <v>2.4</v>
      </c>
      <c r="M58" s="344">
        <v>99</v>
      </c>
      <c r="N58" s="344">
        <v>2.4</v>
      </c>
      <c r="O58" s="344">
        <v>99.9</v>
      </c>
      <c r="P58" s="344">
        <v>2.4</v>
      </c>
      <c r="Q58" s="344">
        <v>99.2</v>
      </c>
      <c r="R58" s="344">
        <v>2.4</v>
      </c>
      <c r="S58" s="344">
        <v>99.6</v>
      </c>
      <c r="T58" s="344">
        <v>2.2999999999999998</v>
      </c>
      <c r="U58" s="344">
        <v>99.3</v>
      </c>
      <c r="V58" s="344">
        <v>2.2999999999999998</v>
      </c>
      <c r="W58" s="344">
        <v>99.1</v>
      </c>
      <c r="X58" s="344">
        <v>2.2999999999999998</v>
      </c>
      <c r="Y58" s="344">
        <v>98.6</v>
      </c>
      <c r="Z58" s="344">
        <v>2.2999999999999998</v>
      </c>
      <c r="AA58" s="344">
        <v>98.6</v>
      </c>
    </row>
    <row r="59" spans="2:27">
      <c r="C59" s="346" t="s">
        <v>313</v>
      </c>
      <c r="D59" s="344">
        <v>16.600000000000001</v>
      </c>
      <c r="E59" s="344">
        <v>104</v>
      </c>
      <c r="F59" s="344">
        <v>16.5</v>
      </c>
      <c r="G59" s="344">
        <v>99.4</v>
      </c>
      <c r="H59" s="344">
        <v>16.399999999999999</v>
      </c>
      <c r="I59" s="344">
        <v>99.5</v>
      </c>
      <c r="J59" s="344">
        <v>16.2</v>
      </c>
      <c r="K59" s="344">
        <v>98.7</v>
      </c>
      <c r="L59" s="344">
        <v>16.2</v>
      </c>
      <c r="M59" s="344">
        <v>99.8</v>
      </c>
      <c r="N59" s="344">
        <v>16.100000000000001</v>
      </c>
      <c r="O59" s="344">
        <v>99.2</v>
      </c>
      <c r="P59" s="344">
        <v>15.8</v>
      </c>
      <c r="Q59" s="344">
        <v>98.3</v>
      </c>
      <c r="R59" s="344">
        <v>15.6</v>
      </c>
      <c r="S59" s="344">
        <v>98.7</v>
      </c>
      <c r="T59" s="344">
        <v>15.5</v>
      </c>
      <c r="U59" s="344">
        <v>99.8</v>
      </c>
      <c r="V59" s="344">
        <v>15.6</v>
      </c>
      <c r="W59" s="344">
        <v>100.4</v>
      </c>
      <c r="X59" s="344">
        <v>15.6</v>
      </c>
      <c r="Y59" s="344">
        <v>100.1</v>
      </c>
      <c r="Z59" s="344">
        <v>15.5</v>
      </c>
      <c r="AA59" s="344">
        <v>99.4</v>
      </c>
    </row>
    <row r="60" spans="2:27" ht="25.5">
      <c r="C60" s="346" t="s">
        <v>314</v>
      </c>
      <c r="D60" s="344">
        <v>296.7</v>
      </c>
      <c r="E60" s="344">
        <v>101.2</v>
      </c>
      <c r="F60" s="344">
        <v>299.5</v>
      </c>
      <c r="G60" s="344">
        <v>100.9</v>
      </c>
      <c r="H60" s="344">
        <v>293.39999999999998</v>
      </c>
      <c r="I60" s="344">
        <v>97.9</v>
      </c>
      <c r="J60" s="344">
        <v>295</v>
      </c>
      <c r="K60" s="344">
        <v>100.6</v>
      </c>
      <c r="L60" s="344">
        <v>295.3</v>
      </c>
      <c r="M60" s="344">
        <v>100.1</v>
      </c>
      <c r="N60" s="344">
        <v>293.8</v>
      </c>
      <c r="O60" s="344">
        <v>99.5</v>
      </c>
      <c r="P60" s="344">
        <v>293.2</v>
      </c>
      <c r="Q60" s="344">
        <v>99.8</v>
      </c>
      <c r="R60" s="344">
        <v>292</v>
      </c>
      <c r="S60" s="344">
        <v>99.6</v>
      </c>
      <c r="T60" s="344">
        <v>287.8</v>
      </c>
      <c r="U60" s="344">
        <v>98.6</v>
      </c>
      <c r="V60" s="344">
        <v>286.7</v>
      </c>
      <c r="W60" s="344">
        <v>99.6</v>
      </c>
      <c r="X60" s="344">
        <v>287.3</v>
      </c>
      <c r="Y60" s="344">
        <v>100.2</v>
      </c>
      <c r="Z60" s="344">
        <v>285.89999999999998</v>
      </c>
      <c r="AA60" s="344">
        <v>99.5</v>
      </c>
    </row>
    <row r="61" spans="2:27">
      <c r="C61" s="346" t="s">
        <v>315</v>
      </c>
      <c r="D61" s="344">
        <v>67.099999999999994</v>
      </c>
      <c r="E61" s="344">
        <v>99.5</v>
      </c>
      <c r="F61" s="344">
        <v>67.2</v>
      </c>
      <c r="G61" s="344">
        <v>100.1</v>
      </c>
      <c r="H61" s="344">
        <v>67</v>
      </c>
      <c r="I61" s="344">
        <v>99.7</v>
      </c>
      <c r="J61" s="344">
        <v>66.2</v>
      </c>
      <c r="K61" s="344">
        <v>98.7</v>
      </c>
      <c r="L61" s="344">
        <v>66.5</v>
      </c>
      <c r="M61" s="344">
        <v>100.5</v>
      </c>
      <c r="N61" s="344">
        <v>66.400000000000006</v>
      </c>
      <c r="O61" s="344">
        <v>99.9</v>
      </c>
      <c r="P61" s="344">
        <v>66.599999999999994</v>
      </c>
      <c r="Q61" s="344">
        <v>100.3</v>
      </c>
      <c r="R61" s="344">
        <v>66.400000000000006</v>
      </c>
      <c r="S61" s="344">
        <v>99.6</v>
      </c>
      <c r="T61" s="344">
        <v>66.2</v>
      </c>
      <c r="U61" s="344">
        <v>99.8</v>
      </c>
      <c r="V61" s="344">
        <v>65.8</v>
      </c>
      <c r="W61" s="344">
        <v>99.3</v>
      </c>
      <c r="X61" s="344">
        <v>65.8</v>
      </c>
      <c r="Y61" s="344">
        <v>100.1</v>
      </c>
      <c r="Z61" s="344">
        <v>65.599999999999994</v>
      </c>
      <c r="AA61" s="344">
        <v>99.7</v>
      </c>
    </row>
    <row r="62" spans="2:27">
      <c r="B62" s="340">
        <v>6</v>
      </c>
      <c r="C62" s="345" t="s">
        <v>316</v>
      </c>
      <c r="D62" s="344">
        <v>78.900000000000006</v>
      </c>
      <c r="E62" s="344">
        <v>106.3</v>
      </c>
      <c r="F62" s="344">
        <v>79.7</v>
      </c>
      <c r="G62" s="344">
        <v>101.1</v>
      </c>
      <c r="H62" s="344">
        <v>72.400000000000006</v>
      </c>
      <c r="I62" s="344">
        <v>90.8</v>
      </c>
      <c r="J62" s="344">
        <v>65.099999999999994</v>
      </c>
      <c r="K62" s="344">
        <v>89.9</v>
      </c>
      <c r="L62" s="344">
        <v>65.400000000000006</v>
      </c>
      <c r="M62" s="344">
        <v>100.5</v>
      </c>
      <c r="N62" s="344">
        <v>64.2</v>
      </c>
      <c r="O62" s="344">
        <v>98.2</v>
      </c>
      <c r="P62" s="344">
        <v>61.4</v>
      </c>
      <c r="Q62" s="344">
        <v>95.6</v>
      </c>
      <c r="R62" s="344">
        <v>64.7</v>
      </c>
      <c r="S62" s="344">
        <v>105.5</v>
      </c>
      <c r="T62" s="344">
        <v>67.599999999999994</v>
      </c>
      <c r="U62" s="344">
        <v>104.5</v>
      </c>
      <c r="V62" s="344">
        <v>66</v>
      </c>
      <c r="W62" s="344">
        <v>97.5</v>
      </c>
      <c r="X62" s="344">
        <v>64.400000000000006</v>
      </c>
      <c r="Y62" s="344">
        <v>97.6</v>
      </c>
      <c r="Z62" s="344">
        <v>62.9</v>
      </c>
      <c r="AA62" s="344">
        <v>97.7</v>
      </c>
    </row>
    <row r="63" spans="2:27">
      <c r="B63" s="340">
        <v>7</v>
      </c>
      <c r="C63" s="345" t="s">
        <v>317</v>
      </c>
      <c r="D63" s="344">
        <v>113.2</v>
      </c>
      <c r="E63" s="344">
        <v>103.7</v>
      </c>
      <c r="F63" s="344">
        <v>112.9</v>
      </c>
      <c r="G63" s="344">
        <v>99.7</v>
      </c>
      <c r="H63" s="344">
        <v>110.4</v>
      </c>
      <c r="I63" s="344">
        <v>97.8</v>
      </c>
      <c r="J63" s="344">
        <v>108</v>
      </c>
      <c r="K63" s="344">
        <v>97.8</v>
      </c>
      <c r="L63" s="344">
        <v>106.9</v>
      </c>
      <c r="M63" s="344">
        <v>98.9</v>
      </c>
      <c r="N63" s="344">
        <v>105.5</v>
      </c>
      <c r="O63" s="344">
        <v>98.7</v>
      </c>
      <c r="P63" s="344">
        <v>104.7</v>
      </c>
      <c r="Q63" s="344">
        <v>99.2</v>
      </c>
      <c r="R63" s="344">
        <v>104.3</v>
      </c>
      <c r="S63" s="344">
        <v>99.6</v>
      </c>
      <c r="T63" s="344">
        <v>103.8</v>
      </c>
      <c r="U63" s="344">
        <v>99.6</v>
      </c>
      <c r="V63" s="344">
        <v>101.7</v>
      </c>
      <c r="W63" s="344">
        <v>97.9</v>
      </c>
      <c r="X63" s="344">
        <v>101.9</v>
      </c>
      <c r="Y63" s="344">
        <v>100.3</v>
      </c>
      <c r="Z63" s="344">
        <v>101.8</v>
      </c>
      <c r="AA63" s="344">
        <v>99.8</v>
      </c>
    </row>
    <row r="64" spans="2:27">
      <c r="B64" s="340">
        <v>8</v>
      </c>
      <c r="C64" s="345" t="s">
        <v>318</v>
      </c>
      <c r="D64" s="344">
        <v>172.1</v>
      </c>
      <c r="E64" s="344">
        <v>102.9</v>
      </c>
      <c r="F64" s="344">
        <v>171.9</v>
      </c>
      <c r="G64" s="344">
        <v>99.9</v>
      </c>
      <c r="H64" s="344">
        <v>171.8</v>
      </c>
      <c r="I64" s="344">
        <v>100</v>
      </c>
      <c r="J64" s="344">
        <v>174.4</v>
      </c>
      <c r="K64" s="344">
        <v>101.5</v>
      </c>
      <c r="L64" s="344">
        <v>173.2</v>
      </c>
      <c r="M64" s="344">
        <v>99.3</v>
      </c>
      <c r="N64" s="344">
        <v>172.2</v>
      </c>
      <c r="O64" s="344">
        <v>99.4</v>
      </c>
      <c r="P64" s="344">
        <v>171.8</v>
      </c>
      <c r="Q64" s="344">
        <v>99.8</v>
      </c>
      <c r="R64" s="344">
        <v>171.4</v>
      </c>
      <c r="S64" s="344">
        <v>99.8</v>
      </c>
      <c r="T64" s="344">
        <v>171.4</v>
      </c>
      <c r="U64" s="344">
        <v>100</v>
      </c>
      <c r="V64" s="344">
        <v>170.5</v>
      </c>
      <c r="W64" s="344">
        <v>99.5</v>
      </c>
      <c r="X64" s="344">
        <v>171.3</v>
      </c>
      <c r="Y64" s="344">
        <v>100.4</v>
      </c>
      <c r="Z64" s="344">
        <v>172.2</v>
      </c>
      <c r="AA64" s="344">
        <v>100.6</v>
      </c>
    </row>
    <row r="65" spans="2:27">
      <c r="B65" s="340">
        <v>9</v>
      </c>
      <c r="C65" s="345" t="s">
        <v>319</v>
      </c>
      <c r="D65" s="344">
        <v>76.3</v>
      </c>
      <c r="E65" s="344">
        <v>105.4</v>
      </c>
      <c r="F65" s="344">
        <v>76.400000000000006</v>
      </c>
      <c r="G65" s="344">
        <v>100.1</v>
      </c>
      <c r="H65" s="344">
        <v>75.2</v>
      </c>
      <c r="I65" s="344">
        <v>98.4</v>
      </c>
      <c r="J65" s="344">
        <v>74.099999999999994</v>
      </c>
      <c r="K65" s="344">
        <v>98.5</v>
      </c>
      <c r="L65" s="344">
        <v>73.099999999999994</v>
      </c>
      <c r="M65" s="344">
        <v>98.7</v>
      </c>
      <c r="N65" s="344">
        <v>73.8</v>
      </c>
      <c r="O65" s="344">
        <v>100.9</v>
      </c>
      <c r="P65" s="344">
        <v>73.7</v>
      </c>
      <c r="Q65" s="344">
        <v>99.9</v>
      </c>
      <c r="R65" s="344">
        <v>72.900000000000006</v>
      </c>
      <c r="S65" s="344">
        <v>98.9</v>
      </c>
      <c r="T65" s="344">
        <v>72.7</v>
      </c>
      <c r="U65" s="344">
        <v>99.7</v>
      </c>
      <c r="V65" s="344">
        <v>72</v>
      </c>
      <c r="W65" s="344">
        <v>99.1</v>
      </c>
      <c r="X65" s="344">
        <v>71.900000000000006</v>
      </c>
      <c r="Y65" s="344">
        <v>99.9</v>
      </c>
      <c r="Z65" s="344">
        <v>71.400000000000006</v>
      </c>
      <c r="AA65" s="344">
        <v>99.2</v>
      </c>
    </row>
    <row r="66" spans="2:27">
      <c r="B66" s="340">
        <v>10</v>
      </c>
      <c r="C66" s="345" t="s">
        <v>320</v>
      </c>
      <c r="D66" s="344">
        <v>207</v>
      </c>
      <c r="E66" s="344">
        <v>106.9</v>
      </c>
      <c r="F66" s="344">
        <v>206.9</v>
      </c>
      <c r="G66" s="344">
        <v>100</v>
      </c>
      <c r="H66" s="344">
        <v>206.8</v>
      </c>
      <c r="I66" s="344">
        <v>100</v>
      </c>
      <c r="J66" s="344">
        <v>206</v>
      </c>
      <c r="K66" s="344">
        <v>99.6</v>
      </c>
      <c r="L66" s="344">
        <v>204.5</v>
      </c>
      <c r="M66" s="344">
        <v>99.3</v>
      </c>
      <c r="N66" s="344">
        <v>203.4</v>
      </c>
      <c r="O66" s="344">
        <v>99.5</v>
      </c>
      <c r="P66" s="344">
        <v>203</v>
      </c>
      <c r="Q66" s="344">
        <v>99.8</v>
      </c>
      <c r="R66" s="344">
        <v>202.1</v>
      </c>
      <c r="S66" s="344">
        <v>99.6</v>
      </c>
      <c r="T66" s="344">
        <v>201.5</v>
      </c>
      <c r="U66" s="344">
        <v>99.7</v>
      </c>
      <c r="V66" s="344">
        <v>200.2</v>
      </c>
      <c r="W66" s="344">
        <v>99.4</v>
      </c>
      <c r="X66" s="344">
        <v>199.9</v>
      </c>
      <c r="Y66" s="344">
        <v>99.8</v>
      </c>
      <c r="Z66" s="344">
        <v>198.2</v>
      </c>
      <c r="AA66" s="344">
        <v>99.2</v>
      </c>
    </row>
    <row r="67" spans="2:27">
      <c r="C67" s="346" t="s">
        <v>321</v>
      </c>
      <c r="D67" s="344">
        <v>78.599999999999994</v>
      </c>
      <c r="E67" s="344">
        <v>101.4</v>
      </c>
      <c r="F67" s="344">
        <v>78.5</v>
      </c>
      <c r="G67" s="344">
        <v>100</v>
      </c>
      <c r="H67" s="344">
        <v>78.599999999999994</v>
      </c>
      <c r="I67" s="344">
        <v>100</v>
      </c>
      <c r="J67" s="344">
        <v>78.400000000000006</v>
      </c>
      <c r="K67" s="344">
        <v>99.9</v>
      </c>
      <c r="L67" s="344">
        <v>78.3</v>
      </c>
      <c r="M67" s="344">
        <v>99.9</v>
      </c>
      <c r="N67" s="344">
        <v>78.2</v>
      </c>
      <c r="O67" s="344">
        <v>99.8</v>
      </c>
      <c r="P67" s="344">
        <v>78.2</v>
      </c>
      <c r="Q67" s="344">
        <v>99.9</v>
      </c>
      <c r="R67" s="344">
        <v>78</v>
      </c>
      <c r="S67" s="344">
        <v>99.7</v>
      </c>
      <c r="T67" s="344">
        <v>77.5</v>
      </c>
      <c r="U67" s="344">
        <v>99.4</v>
      </c>
      <c r="V67" s="344">
        <v>77.3</v>
      </c>
      <c r="W67" s="344">
        <v>99.7</v>
      </c>
      <c r="X67" s="344">
        <v>77.3</v>
      </c>
      <c r="Y67" s="344">
        <v>99.9</v>
      </c>
      <c r="Z67" s="344">
        <v>76.400000000000006</v>
      </c>
      <c r="AA67" s="344">
        <v>98.9</v>
      </c>
    </row>
    <row r="68" spans="2:27" ht="25.5">
      <c r="B68" s="340">
        <v>11</v>
      </c>
      <c r="C68" s="345" t="s">
        <v>322</v>
      </c>
      <c r="D68" s="344">
        <v>175</v>
      </c>
      <c r="E68" s="344">
        <v>101.3</v>
      </c>
      <c r="F68" s="344">
        <v>174.3</v>
      </c>
      <c r="G68" s="344">
        <v>99.6</v>
      </c>
      <c r="H68" s="344">
        <v>171</v>
      </c>
      <c r="I68" s="344">
        <v>98.1</v>
      </c>
      <c r="J68" s="344">
        <v>166.9</v>
      </c>
      <c r="K68" s="344">
        <v>97.6</v>
      </c>
      <c r="L68" s="344">
        <v>165.3</v>
      </c>
      <c r="M68" s="344">
        <v>99.1</v>
      </c>
      <c r="N68" s="344">
        <v>164.2</v>
      </c>
      <c r="O68" s="344">
        <v>99.3</v>
      </c>
      <c r="P68" s="344">
        <v>164.7</v>
      </c>
      <c r="Q68" s="344">
        <v>100.3</v>
      </c>
      <c r="R68" s="344">
        <v>164.7</v>
      </c>
      <c r="S68" s="344">
        <v>100</v>
      </c>
      <c r="T68" s="344">
        <v>165</v>
      </c>
      <c r="U68" s="344">
        <v>100.2</v>
      </c>
      <c r="V68" s="344">
        <v>166.2</v>
      </c>
      <c r="W68" s="344">
        <v>100.8</v>
      </c>
      <c r="X68" s="344">
        <v>163.9</v>
      </c>
      <c r="Y68" s="344">
        <v>98.6</v>
      </c>
      <c r="Z68" s="344">
        <v>163.4</v>
      </c>
      <c r="AA68" s="344">
        <v>99.7</v>
      </c>
    </row>
    <row r="69" spans="2:27" ht="25.5">
      <c r="B69" s="340">
        <v>12</v>
      </c>
      <c r="C69" s="345" t="s">
        <v>323</v>
      </c>
      <c r="D69" s="344">
        <v>413.7</v>
      </c>
      <c r="E69" s="344">
        <v>109.4</v>
      </c>
      <c r="F69" s="344">
        <v>428.4</v>
      </c>
      <c r="G69" s="344">
        <v>103.6</v>
      </c>
      <c r="H69" s="344">
        <v>425.9</v>
      </c>
      <c r="I69" s="344">
        <v>99.4</v>
      </c>
      <c r="J69" s="344">
        <v>421.5</v>
      </c>
      <c r="K69" s="344">
        <v>99</v>
      </c>
      <c r="L69" s="344">
        <v>427.6</v>
      </c>
      <c r="M69" s="344">
        <v>101.4</v>
      </c>
      <c r="N69" s="344">
        <v>425.2</v>
      </c>
      <c r="O69" s="344">
        <v>99.5</v>
      </c>
      <c r="P69" s="344">
        <v>423.9</v>
      </c>
      <c r="Q69" s="344">
        <v>99.7</v>
      </c>
      <c r="R69" s="344">
        <v>423.2</v>
      </c>
      <c r="S69" s="344">
        <v>99.8</v>
      </c>
      <c r="T69" s="344">
        <v>423.4</v>
      </c>
      <c r="U69" s="344">
        <v>100</v>
      </c>
      <c r="V69" s="344">
        <v>425.2</v>
      </c>
      <c r="W69" s="344">
        <v>100.4</v>
      </c>
      <c r="X69" s="344">
        <v>427.3</v>
      </c>
      <c r="Y69" s="344">
        <v>100.5</v>
      </c>
      <c r="Z69" s="344">
        <v>422.7</v>
      </c>
      <c r="AA69" s="344">
        <v>98.9</v>
      </c>
    </row>
    <row r="70" spans="2:27">
      <c r="B70" s="340">
        <v>13</v>
      </c>
      <c r="C70" s="345" t="s">
        <v>324</v>
      </c>
      <c r="D70" s="344">
        <v>1340.5</v>
      </c>
      <c r="E70" s="344">
        <v>101.1</v>
      </c>
      <c r="F70" s="344">
        <v>1343.2</v>
      </c>
      <c r="G70" s="344">
        <v>100.2</v>
      </c>
      <c r="H70" s="344">
        <v>1340</v>
      </c>
      <c r="I70" s="344">
        <v>99.8</v>
      </c>
      <c r="J70" s="344">
        <v>1318.2</v>
      </c>
      <c r="K70" s="344">
        <v>98.4</v>
      </c>
      <c r="L70" s="344">
        <v>1310.5999999999999</v>
      </c>
      <c r="M70" s="344">
        <v>99.4</v>
      </c>
      <c r="N70" s="344">
        <v>1301.2</v>
      </c>
      <c r="O70" s="344">
        <v>99.3</v>
      </c>
      <c r="P70" s="344">
        <v>1293.3</v>
      </c>
      <c r="Q70" s="344">
        <v>99.4</v>
      </c>
      <c r="R70" s="344">
        <v>1286.5</v>
      </c>
      <c r="S70" s="344">
        <v>99.5</v>
      </c>
      <c r="T70" s="344">
        <v>1307</v>
      </c>
      <c r="U70" s="344">
        <v>101.6</v>
      </c>
      <c r="V70" s="344">
        <v>1321.8</v>
      </c>
      <c r="W70" s="344">
        <v>101.1</v>
      </c>
      <c r="X70" s="344">
        <v>1335.4</v>
      </c>
      <c r="Y70" s="344">
        <v>101</v>
      </c>
      <c r="Z70" s="344">
        <v>1333.5</v>
      </c>
      <c r="AA70" s="344">
        <v>99.9</v>
      </c>
    </row>
    <row r="71" spans="2:27">
      <c r="B71" s="340">
        <v>14</v>
      </c>
      <c r="C71" s="345" t="s">
        <v>325</v>
      </c>
      <c r="D71" s="344">
        <v>865.3</v>
      </c>
      <c r="E71" s="344">
        <v>100.6</v>
      </c>
      <c r="F71" s="344">
        <v>858.9</v>
      </c>
      <c r="G71" s="344">
        <v>99.3</v>
      </c>
      <c r="H71" s="344">
        <v>849.7</v>
      </c>
      <c r="I71" s="344">
        <v>98.9</v>
      </c>
      <c r="J71" s="344">
        <v>826.3</v>
      </c>
      <c r="K71" s="344">
        <v>97.2</v>
      </c>
      <c r="L71" s="344">
        <v>826.1</v>
      </c>
      <c r="M71" s="344">
        <v>100</v>
      </c>
      <c r="N71" s="344">
        <v>823.3</v>
      </c>
      <c r="O71" s="344">
        <v>99.7</v>
      </c>
      <c r="P71" s="344">
        <v>822.3</v>
      </c>
      <c r="Q71" s="344">
        <v>99.9</v>
      </c>
      <c r="R71" s="344">
        <v>824.8</v>
      </c>
      <c r="S71" s="344">
        <v>100.3</v>
      </c>
      <c r="T71" s="344">
        <v>821.9</v>
      </c>
      <c r="U71" s="344">
        <v>99.6</v>
      </c>
      <c r="V71" s="344">
        <v>821.6</v>
      </c>
      <c r="W71" s="344">
        <v>100</v>
      </c>
      <c r="X71" s="344">
        <v>822.1</v>
      </c>
      <c r="Y71" s="344">
        <v>100.1</v>
      </c>
      <c r="Z71" s="344">
        <v>820.9</v>
      </c>
      <c r="AA71" s="344">
        <v>99.9</v>
      </c>
    </row>
    <row r="72" spans="2:27">
      <c r="C72" s="345" t="s">
        <v>326</v>
      </c>
      <c r="D72" s="344">
        <v>777.6</v>
      </c>
      <c r="E72" s="344">
        <v>100.3</v>
      </c>
      <c r="F72" s="344">
        <v>771.3</v>
      </c>
      <c r="G72" s="344">
        <v>99.2</v>
      </c>
      <c r="H72" s="344">
        <v>762</v>
      </c>
      <c r="I72" s="344">
        <v>98.8</v>
      </c>
      <c r="J72" s="344">
        <v>739.2</v>
      </c>
      <c r="K72" s="344">
        <v>97</v>
      </c>
      <c r="L72" s="344">
        <v>739.3</v>
      </c>
      <c r="M72" s="344">
        <v>100</v>
      </c>
      <c r="N72" s="344">
        <v>736.8</v>
      </c>
      <c r="O72" s="344">
        <v>99.7</v>
      </c>
      <c r="P72" s="344">
        <v>735.8</v>
      </c>
      <c r="Q72" s="344">
        <v>99.9</v>
      </c>
      <c r="R72" s="344">
        <v>738.3</v>
      </c>
      <c r="S72" s="344">
        <v>100.3</v>
      </c>
      <c r="T72" s="344">
        <v>735.5</v>
      </c>
      <c r="U72" s="344">
        <v>99.6</v>
      </c>
      <c r="V72" s="344">
        <v>735</v>
      </c>
      <c r="W72" s="344">
        <v>99.9</v>
      </c>
      <c r="X72" s="344">
        <v>735.5</v>
      </c>
      <c r="Y72" s="344">
        <v>100.1</v>
      </c>
      <c r="Z72" s="344">
        <v>734.9</v>
      </c>
      <c r="AA72" s="344">
        <v>99.9</v>
      </c>
    </row>
    <row r="73" spans="2:27">
      <c r="B73" s="340">
        <v>15</v>
      </c>
      <c r="C73" s="345" t="s">
        <v>327</v>
      </c>
      <c r="D73" s="344">
        <v>138.80000000000001</v>
      </c>
      <c r="E73" s="344">
        <v>103.9</v>
      </c>
      <c r="F73" s="344">
        <v>138.6</v>
      </c>
      <c r="G73" s="344">
        <v>99.9</v>
      </c>
      <c r="H73" s="344">
        <v>137.9</v>
      </c>
      <c r="I73" s="344">
        <v>99.5</v>
      </c>
      <c r="J73" s="344">
        <v>136.30000000000001</v>
      </c>
      <c r="K73" s="344">
        <v>98.9</v>
      </c>
      <c r="L73" s="344">
        <v>136</v>
      </c>
      <c r="M73" s="344">
        <v>99.8</v>
      </c>
      <c r="N73" s="344">
        <v>135.6</v>
      </c>
      <c r="O73" s="344">
        <v>99.7</v>
      </c>
      <c r="P73" s="344">
        <v>135.30000000000001</v>
      </c>
      <c r="Q73" s="344">
        <v>99.8</v>
      </c>
      <c r="R73" s="344">
        <v>135.4</v>
      </c>
      <c r="S73" s="344">
        <v>100.1</v>
      </c>
      <c r="T73" s="344">
        <v>136.19999999999999</v>
      </c>
      <c r="U73" s="344">
        <v>100.6</v>
      </c>
      <c r="V73" s="344">
        <v>137.1</v>
      </c>
      <c r="W73" s="344">
        <v>100.6</v>
      </c>
      <c r="X73" s="344">
        <v>137.5</v>
      </c>
      <c r="Y73" s="344">
        <v>100.3</v>
      </c>
      <c r="Z73" s="344">
        <v>136.80000000000001</v>
      </c>
      <c r="AA73" s="344">
        <v>99.5</v>
      </c>
    </row>
    <row r="74" spans="2:27">
      <c r="C74" s="346" t="s">
        <v>328</v>
      </c>
      <c r="D74" s="344">
        <v>76.599999999999994</v>
      </c>
      <c r="E74" s="344">
        <v>103</v>
      </c>
      <c r="F74" s="344">
        <v>76.8</v>
      </c>
      <c r="G74" s="344">
        <v>100.2</v>
      </c>
      <c r="H74" s="344">
        <v>76.3</v>
      </c>
      <c r="I74" s="344">
        <v>99.4</v>
      </c>
      <c r="J74" s="344">
        <v>75.900000000000006</v>
      </c>
      <c r="K74" s="344">
        <v>99.4</v>
      </c>
      <c r="L74" s="344">
        <v>75.2</v>
      </c>
      <c r="M74" s="344">
        <v>99.1</v>
      </c>
      <c r="N74" s="344">
        <v>74.599999999999994</v>
      </c>
      <c r="O74" s="344">
        <v>99.2</v>
      </c>
      <c r="P74" s="344">
        <v>73.900000000000006</v>
      </c>
      <c r="Q74" s="344">
        <v>99.2</v>
      </c>
      <c r="R74" s="344">
        <v>74.2</v>
      </c>
      <c r="S74" s="344">
        <v>100.3</v>
      </c>
      <c r="T74" s="344">
        <v>74.7</v>
      </c>
      <c r="U74" s="344">
        <v>100.7</v>
      </c>
      <c r="V74" s="344">
        <v>75.5</v>
      </c>
      <c r="W74" s="344">
        <v>101</v>
      </c>
      <c r="X74" s="344">
        <v>76.3</v>
      </c>
      <c r="Y74" s="344">
        <v>101</v>
      </c>
      <c r="Z74" s="344">
        <v>76.099999999999994</v>
      </c>
      <c r="AA74" s="344">
        <v>99.7</v>
      </c>
    </row>
    <row r="75" spans="2:27" ht="25.5">
      <c r="C75" s="346" t="s">
        <v>329</v>
      </c>
      <c r="D75" s="344">
        <v>38.6</v>
      </c>
      <c r="E75" s="344">
        <v>101.1</v>
      </c>
      <c r="F75" s="344">
        <v>38.1</v>
      </c>
      <c r="G75" s="344">
        <v>98.7</v>
      </c>
      <c r="H75" s="344">
        <v>38.200000000000003</v>
      </c>
      <c r="I75" s="344">
        <v>100.4</v>
      </c>
      <c r="J75" s="344">
        <v>37.5</v>
      </c>
      <c r="K75" s="344">
        <v>98.2</v>
      </c>
      <c r="L75" s="344">
        <v>37.9</v>
      </c>
      <c r="M75" s="344">
        <v>100.9</v>
      </c>
      <c r="N75" s="344">
        <v>38.1</v>
      </c>
      <c r="O75" s="344">
        <v>100.6</v>
      </c>
      <c r="P75" s="344">
        <v>38.200000000000003</v>
      </c>
      <c r="Q75" s="344">
        <v>100.2</v>
      </c>
      <c r="R75" s="344">
        <v>38.200000000000003</v>
      </c>
      <c r="S75" s="344">
        <v>100.1</v>
      </c>
      <c r="T75" s="344">
        <v>38.299999999999997</v>
      </c>
      <c r="U75" s="344">
        <v>100.3</v>
      </c>
      <c r="V75" s="344">
        <v>38.6</v>
      </c>
      <c r="W75" s="344">
        <v>100.6</v>
      </c>
      <c r="X75" s="344">
        <v>38.4</v>
      </c>
      <c r="Y75" s="344">
        <v>99.7</v>
      </c>
      <c r="Z75" s="344">
        <v>38.4</v>
      </c>
      <c r="AA75" s="344">
        <v>99.9</v>
      </c>
    </row>
    <row r="76" spans="2:27">
      <c r="B76" s="340">
        <v>16</v>
      </c>
      <c r="C76" s="345" t="s">
        <v>330</v>
      </c>
      <c r="D76" s="344">
        <v>25.6</v>
      </c>
      <c r="E76" s="344">
        <v>115.6</v>
      </c>
      <c r="F76" s="344">
        <v>25.3</v>
      </c>
      <c r="G76" s="344">
        <v>98.6</v>
      </c>
      <c r="H76" s="344">
        <v>24.6</v>
      </c>
      <c r="I76" s="344">
        <v>97.4</v>
      </c>
      <c r="J76" s="344">
        <v>23.8</v>
      </c>
      <c r="K76" s="344">
        <v>96.7</v>
      </c>
      <c r="L76" s="344">
        <v>23.8</v>
      </c>
      <c r="M76" s="344">
        <v>100.2</v>
      </c>
      <c r="N76" s="344">
        <v>24.1</v>
      </c>
      <c r="O76" s="344">
        <v>101.1</v>
      </c>
      <c r="P76" s="344">
        <v>23.6</v>
      </c>
      <c r="Q76" s="344">
        <v>97.7</v>
      </c>
      <c r="R76" s="344">
        <v>23.6</v>
      </c>
      <c r="S76" s="344">
        <v>100.2</v>
      </c>
      <c r="T76" s="344">
        <v>23.7</v>
      </c>
      <c r="U76" s="344">
        <v>100.3</v>
      </c>
      <c r="V76" s="344">
        <v>23.8</v>
      </c>
      <c r="W76" s="344">
        <v>100.6</v>
      </c>
      <c r="X76" s="344">
        <v>24</v>
      </c>
      <c r="Y76" s="344">
        <v>100.7</v>
      </c>
      <c r="Z76" s="344">
        <v>23.7</v>
      </c>
      <c r="AA76" s="344">
        <v>98.8</v>
      </c>
    </row>
    <row r="79" spans="2:27">
      <c r="C79" s="343">
        <v>3</v>
      </c>
      <c r="D79" s="342">
        <v>5</v>
      </c>
      <c r="E79" s="343">
        <v>7</v>
      </c>
      <c r="F79" s="342">
        <v>9</v>
      </c>
      <c r="G79" s="343">
        <v>11</v>
      </c>
      <c r="H79" s="342">
        <v>13</v>
      </c>
      <c r="I79" s="343">
        <v>15</v>
      </c>
      <c r="J79" s="342">
        <v>17</v>
      </c>
      <c r="K79" s="343">
        <v>19</v>
      </c>
      <c r="L79" s="342">
        <v>21</v>
      </c>
      <c r="M79" s="343">
        <v>23</v>
      </c>
      <c r="N79" s="342">
        <v>25</v>
      </c>
    </row>
    <row r="80" spans="2:27">
      <c r="C80" s="341">
        <v>2020</v>
      </c>
    </row>
    <row r="81" spans="2:14">
      <c r="B81" s="340">
        <v>1</v>
      </c>
      <c r="C81" s="340">
        <f t="shared" ref="C81:N90" si="1">VLOOKUP($B81,$B$50:$AA$76,C$79,0)</f>
        <v>376.5</v>
      </c>
      <c r="D81" s="340">
        <f t="shared" si="1"/>
        <v>377.4</v>
      </c>
      <c r="E81" s="340">
        <f t="shared" si="1"/>
        <v>395.5</v>
      </c>
      <c r="F81" s="340">
        <f t="shared" si="1"/>
        <v>410.1</v>
      </c>
      <c r="G81" s="340">
        <f t="shared" si="1"/>
        <v>419.7</v>
      </c>
      <c r="H81" s="340">
        <f t="shared" si="1"/>
        <v>426.1</v>
      </c>
      <c r="I81" s="340">
        <f t="shared" si="1"/>
        <v>432</v>
      </c>
      <c r="J81" s="340">
        <f t="shared" si="1"/>
        <v>430.2</v>
      </c>
      <c r="K81" s="340">
        <f t="shared" si="1"/>
        <v>431.8</v>
      </c>
      <c r="L81" s="340">
        <f t="shared" si="1"/>
        <v>428.8</v>
      </c>
      <c r="M81" s="340">
        <f t="shared" si="1"/>
        <v>409.9</v>
      </c>
      <c r="N81" s="340">
        <f t="shared" si="1"/>
        <v>378.3</v>
      </c>
    </row>
    <row r="82" spans="2:14">
      <c r="B82" s="340">
        <v>2</v>
      </c>
      <c r="C82" s="340">
        <f t="shared" si="1"/>
        <v>1847.7</v>
      </c>
      <c r="D82" s="340">
        <f t="shared" si="1"/>
        <v>1847.4</v>
      </c>
      <c r="E82" s="340">
        <f t="shared" si="1"/>
        <v>1836.8</v>
      </c>
      <c r="F82" s="340">
        <f t="shared" si="1"/>
        <v>1808.9</v>
      </c>
      <c r="G82" s="340">
        <f t="shared" si="1"/>
        <v>1783.2</v>
      </c>
      <c r="H82" s="340">
        <f t="shared" si="1"/>
        <v>1781.4</v>
      </c>
      <c r="I82" s="340">
        <f t="shared" si="1"/>
        <v>1777</v>
      </c>
      <c r="J82" s="340">
        <f t="shared" si="1"/>
        <v>1772.7</v>
      </c>
      <c r="K82" s="340">
        <f t="shared" si="1"/>
        <v>1771.3</v>
      </c>
      <c r="L82" s="340">
        <f t="shared" si="1"/>
        <v>1775</v>
      </c>
      <c r="M82" s="340">
        <f t="shared" si="1"/>
        <v>1783.8</v>
      </c>
      <c r="N82" s="340">
        <f t="shared" si="1"/>
        <v>1772.3</v>
      </c>
    </row>
    <row r="83" spans="2:14">
      <c r="B83" s="340">
        <v>3</v>
      </c>
      <c r="C83" s="340">
        <f t="shared" si="1"/>
        <v>195.7</v>
      </c>
      <c r="D83" s="340">
        <f t="shared" si="1"/>
        <v>194.8</v>
      </c>
      <c r="E83" s="340">
        <f t="shared" si="1"/>
        <v>193.1</v>
      </c>
      <c r="F83" s="340">
        <f t="shared" si="1"/>
        <v>191.7</v>
      </c>
      <c r="G83" s="340">
        <f t="shared" si="1"/>
        <v>193.1</v>
      </c>
      <c r="H83" s="340">
        <f t="shared" si="1"/>
        <v>195.5</v>
      </c>
      <c r="I83" s="340">
        <f t="shared" si="1"/>
        <v>195.6</v>
      </c>
      <c r="J83" s="340">
        <f t="shared" si="1"/>
        <v>197</v>
      </c>
      <c r="K83" s="340">
        <f t="shared" si="1"/>
        <v>198.8</v>
      </c>
      <c r="L83" s="340">
        <f t="shared" si="1"/>
        <v>199.7</v>
      </c>
      <c r="M83" s="340">
        <f t="shared" si="1"/>
        <v>199.1</v>
      </c>
      <c r="N83" s="340">
        <f t="shared" si="1"/>
        <v>195.7</v>
      </c>
    </row>
    <row r="84" spans="2:14">
      <c r="B84" s="340">
        <v>4</v>
      </c>
      <c r="C84" s="340">
        <f t="shared" si="1"/>
        <v>812.8</v>
      </c>
      <c r="D84" s="340">
        <f t="shared" si="1"/>
        <v>811</v>
      </c>
      <c r="E84" s="340">
        <f t="shared" si="1"/>
        <v>806.3</v>
      </c>
      <c r="F84" s="340">
        <f t="shared" si="1"/>
        <v>790.9</v>
      </c>
      <c r="G84" s="340">
        <f t="shared" si="1"/>
        <v>786.5</v>
      </c>
      <c r="H84" s="340">
        <f t="shared" si="1"/>
        <v>778</v>
      </c>
      <c r="I84" s="340">
        <f t="shared" si="1"/>
        <v>779.7</v>
      </c>
      <c r="J84" s="340">
        <f t="shared" si="1"/>
        <v>780</v>
      </c>
      <c r="K84" s="340">
        <f t="shared" si="1"/>
        <v>786.6</v>
      </c>
      <c r="L84" s="340">
        <f t="shared" si="1"/>
        <v>787</v>
      </c>
      <c r="M84" s="340">
        <f t="shared" si="1"/>
        <v>790</v>
      </c>
      <c r="N84" s="340">
        <f t="shared" si="1"/>
        <v>787.8</v>
      </c>
    </row>
    <row r="85" spans="2:14">
      <c r="B85" s="340">
        <v>5</v>
      </c>
      <c r="C85" s="340">
        <f t="shared" si="1"/>
        <v>637.1</v>
      </c>
      <c r="D85" s="340">
        <f t="shared" si="1"/>
        <v>639.20000000000005</v>
      </c>
      <c r="E85" s="340">
        <f t="shared" si="1"/>
        <v>629</v>
      </c>
      <c r="F85" s="340">
        <f t="shared" si="1"/>
        <v>624.1</v>
      </c>
      <c r="G85" s="340">
        <f t="shared" si="1"/>
        <v>624.4</v>
      </c>
      <c r="H85" s="340">
        <f t="shared" si="1"/>
        <v>625.79999999999995</v>
      </c>
      <c r="I85" s="340">
        <f t="shared" si="1"/>
        <v>627.4</v>
      </c>
      <c r="J85" s="340">
        <f t="shared" si="1"/>
        <v>622.4</v>
      </c>
      <c r="K85" s="340">
        <f t="shared" si="1"/>
        <v>620.20000000000005</v>
      </c>
      <c r="L85" s="340">
        <f t="shared" si="1"/>
        <v>621.20000000000005</v>
      </c>
      <c r="M85" s="340">
        <f t="shared" si="1"/>
        <v>620.5</v>
      </c>
      <c r="N85" s="340">
        <f t="shared" si="1"/>
        <v>617.79999999999995</v>
      </c>
    </row>
    <row r="86" spans="2:14">
      <c r="B86" s="340">
        <v>6</v>
      </c>
      <c r="C86" s="340">
        <f t="shared" si="1"/>
        <v>78.900000000000006</v>
      </c>
      <c r="D86" s="340">
        <f t="shared" si="1"/>
        <v>79.7</v>
      </c>
      <c r="E86" s="340">
        <f t="shared" si="1"/>
        <v>72.400000000000006</v>
      </c>
      <c r="F86" s="340">
        <f t="shared" si="1"/>
        <v>65.099999999999994</v>
      </c>
      <c r="G86" s="340">
        <f t="shared" si="1"/>
        <v>65.400000000000006</v>
      </c>
      <c r="H86" s="340">
        <f t="shared" si="1"/>
        <v>64.2</v>
      </c>
      <c r="I86" s="340">
        <f t="shared" si="1"/>
        <v>61.4</v>
      </c>
      <c r="J86" s="340">
        <f t="shared" si="1"/>
        <v>64.7</v>
      </c>
      <c r="K86" s="340">
        <f t="shared" si="1"/>
        <v>67.599999999999994</v>
      </c>
      <c r="L86" s="340">
        <f t="shared" si="1"/>
        <v>66</v>
      </c>
      <c r="M86" s="340">
        <f t="shared" si="1"/>
        <v>64.400000000000006</v>
      </c>
      <c r="N86" s="340">
        <f t="shared" si="1"/>
        <v>62.9</v>
      </c>
    </row>
    <row r="87" spans="2:14">
      <c r="B87" s="340">
        <v>7</v>
      </c>
      <c r="C87" s="340">
        <f t="shared" si="1"/>
        <v>113.2</v>
      </c>
      <c r="D87" s="340">
        <f t="shared" si="1"/>
        <v>112.9</v>
      </c>
      <c r="E87" s="340">
        <f t="shared" si="1"/>
        <v>110.4</v>
      </c>
      <c r="F87" s="340">
        <f t="shared" si="1"/>
        <v>108</v>
      </c>
      <c r="G87" s="340">
        <f t="shared" si="1"/>
        <v>106.9</v>
      </c>
      <c r="H87" s="340">
        <f t="shared" si="1"/>
        <v>105.5</v>
      </c>
      <c r="I87" s="340">
        <f t="shared" si="1"/>
        <v>104.7</v>
      </c>
      <c r="J87" s="340">
        <f t="shared" si="1"/>
        <v>104.3</v>
      </c>
      <c r="K87" s="340">
        <f t="shared" si="1"/>
        <v>103.8</v>
      </c>
      <c r="L87" s="340">
        <f t="shared" si="1"/>
        <v>101.7</v>
      </c>
      <c r="M87" s="340">
        <f t="shared" si="1"/>
        <v>101.9</v>
      </c>
      <c r="N87" s="340">
        <f t="shared" si="1"/>
        <v>101.8</v>
      </c>
    </row>
    <row r="88" spans="2:14">
      <c r="B88" s="340">
        <v>8</v>
      </c>
      <c r="C88" s="340">
        <f t="shared" si="1"/>
        <v>172.1</v>
      </c>
      <c r="D88" s="340">
        <f t="shared" si="1"/>
        <v>171.9</v>
      </c>
      <c r="E88" s="340">
        <f t="shared" si="1"/>
        <v>171.8</v>
      </c>
      <c r="F88" s="340">
        <f t="shared" si="1"/>
        <v>174.4</v>
      </c>
      <c r="G88" s="340">
        <f t="shared" si="1"/>
        <v>173.2</v>
      </c>
      <c r="H88" s="340">
        <f t="shared" si="1"/>
        <v>172.2</v>
      </c>
      <c r="I88" s="340">
        <f t="shared" si="1"/>
        <v>171.8</v>
      </c>
      <c r="J88" s="340">
        <f t="shared" si="1"/>
        <v>171.4</v>
      </c>
      <c r="K88" s="340">
        <f t="shared" si="1"/>
        <v>171.4</v>
      </c>
      <c r="L88" s="340">
        <f t="shared" si="1"/>
        <v>170.5</v>
      </c>
      <c r="M88" s="340">
        <f t="shared" si="1"/>
        <v>171.3</v>
      </c>
      <c r="N88" s="340">
        <f t="shared" si="1"/>
        <v>172.2</v>
      </c>
    </row>
    <row r="89" spans="2:14">
      <c r="B89" s="340">
        <v>9</v>
      </c>
      <c r="C89" s="340">
        <f t="shared" si="1"/>
        <v>76.3</v>
      </c>
      <c r="D89" s="340">
        <f t="shared" si="1"/>
        <v>76.400000000000006</v>
      </c>
      <c r="E89" s="340">
        <f t="shared" si="1"/>
        <v>75.2</v>
      </c>
      <c r="F89" s="340">
        <f t="shared" si="1"/>
        <v>74.099999999999994</v>
      </c>
      <c r="G89" s="340">
        <f t="shared" si="1"/>
        <v>73.099999999999994</v>
      </c>
      <c r="H89" s="340">
        <f t="shared" si="1"/>
        <v>73.8</v>
      </c>
      <c r="I89" s="340">
        <f t="shared" si="1"/>
        <v>73.7</v>
      </c>
      <c r="J89" s="340">
        <f t="shared" si="1"/>
        <v>72.900000000000006</v>
      </c>
      <c r="K89" s="340">
        <f t="shared" si="1"/>
        <v>72.7</v>
      </c>
      <c r="L89" s="340">
        <f t="shared" si="1"/>
        <v>72</v>
      </c>
      <c r="M89" s="340">
        <f t="shared" si="1"/>
        <v>71.900000000000006</v>
      </c>
      <c r="N89" s="340">
        <f t="shared" si="1"/>
        <v>71.400000000000006</v>
      </c>
    </row>
    <row r="90" spans="2:14">
      <c r="B90" s="340">
        <v>10</v>
      </c>
      <c r="C90" s="340">
        <f t="shared" si="1"/>
        <v>207</v>
      </c>
      <c r="D90" s="340">
        <f t="shared" si="1"/>
        <v>206.9</v>
      </c>
      <c r="E90" s="340">
        <f t="shared" si="1"/>
        <v>206.8</v>
      </c>
      <c r="F90" s="340">
        <f t="shared" si="1"/>
        <v>206</v>
      </c>
      <c r="G90" s="340">
        <f t="shared" si="1"/>
        <v>204.5</v>
      </c>
      <c r="H90" s="340">
        <f t="shared" si="1"/>
        <v>203.4</v>
      </c>
      <c r="I90" s="340">
        <f t="shared" si="1"/>
        <v>203</v>
      </c>
      <c r="J90" s="340">
        <f t="shared" si="1"/>
        <v>202.1</v>
      </c>
      <c r="K90" s="340">
        <f t="shared" si="1"/>
        <v>201.5</v>
      </c>
      <c r="L90" s="340">
        <f t="shared" si="1"/>
        <v>200.2</v>
      </c>
      <c r="M90" s="340">
        <f t="shared" si="1"/>
        <v>199.9</v>
      </c>
      <c r="N90" s="340">
        <f t="shared" si="1"/>
        <v>198.2</v>
      </c>
    </row>
    <row r="91" spans="2:14">
      <c r="B91" s="340">
        <v>11</v>
      </c>
      <c r="C91" s="340">
        <f t="shared" ref="C91:N96" si="2">VLOOKUP($B91,$B$50:$AA$76,C$79,0)</f>
        <v>175</v>
      </c>
      <c r="D91" s="340">
        <f t="shared" si="2"/>
        <v>174.3</v>
      </c>
      <c r="E91" s="340">
        <f t="shared" si="2"/>
        <v>171</v>
      </c>
      <c r="F91" s="340">
        <f t="shared" si="2"/>
        <v>166.9</v>
      </c>
      <c r="G91" s="340">
        <f t="shared" si="2"/>
        <v>165.3</v>
      </c>
      <c r="H91" s="340">
        <f t="shared" si="2"/>
        <v>164.2</v>
      </c>
      <c r="I91" s="340">
        <f t="shared" si="2"/>
        <v>164.7</v>
      </c>
      <c r="J91" s="340">
        <f t="shared" si="2"/>
        <v>164.7</v>
      </c>
      <c r="K91" s="340">
        <f t="shared" si="2"/>
        <v>165</v>
      </c>
      <c r="L91" s="340">
        <f t="shared" si="2"/>
        <v>166.2</v>
      </c>
      <c r="M91" s="340">
        <f t="shared" si="2"/>
        <v>163.9</v>
      </c>
      <c r="N91" s="340">
        <f t="shared" si="2"/>
        <v>163.4</v>
      </c>
    </row>
    <row r="92" spans="2:14">
      <c r="B92" s="340">
        <v>12</v>
      </c>
      <c r="C92" s="340">
        <f t="shared" si="2"/>
        <v>413.7</v>
      </c>
      <c r="D92" s="340">
        <f t="shared" si="2"/>
        <v>428.4</v>
      </c>
      <c r="E92" s="340">
        <f t="shared" si="2"/>
        <v>425.9</v>
      </c>
      <c r="F92" s="340">
        <f t="shared" si="2"/>
        <v>421.5</v>
      </c>
      <c r="G92" s="340">
        <f t="shared" si="2"/>
        <v>427.6</v>
      </c>
      <c r="H92" s="340">
        <f t="shared" si="2"/>
        <v>425.2</v>
      </c>
      <c r="I92" s="340">
        <f t="shared" si="2"/>
        <v>423.9</v>
      </c>
      <c r="J92" s="340">
        <f t="shared" si="2"/>
        <v>423.2</v>
      </c>
      <c r="K92" s="340">
        <f t="shared" si="2"/>
        <v>423.4</v>
      </c>
      <c r="L92" s="340">
        <f t="shared" si="2"/>
        <v>425.2</v>
      </c>
      <c r="M92" s="340">
        <f t="shared" si="2"/>
        <v>427.3</v>
      </c>
      <c r="N92" s="340">
        <f t="shared" si="2"/>
        <v>422.7</v>
      </c>
    </row>
    <row r="93" spans="2:14">
      <c r="B93" s="340">
        <v>13</v>
      </c>
      <c r="C93" s="340">
        <f t="shared" si="2"/>
        <v>1340.5</v>
      </c>
      <c r="D93" s="340">
        <f t="shared" si="2"/>
        <v>1343.2</v>
      </c>
      <c r="E93" s="340">
        <f t="shared" si="2"/>
        <v>1340</v>
      </c>
      <c r="F93" s="340">
        <f t="shared" si="2"/>
        <v>1318.2</v>
      </c>
      <c r="G93" s="340">
        <f t="shared" si="2"/>
        <v>1310.5999999999999</v>
      </c>
      <c r="H93" s="340">
        <f t="shared" si="2"/>
        <v>1301.2</v>
      </c>
      <c r="I93" s="340">
        <f t="shared" si="2"/>
        <v>1293.3</v>
      </c>
      <c r="J93" s="340">
        <f t="shared" si="2"/>
        <v>1286.5</v>
      </c>
      <c r="K93" s="340">
        <f t="shared" si="2"/>
        <v>1307</v>
      </c>
      <c r="L93" s="340">
        <f t="shared" si="2"/>
        <v>1321.8</v>
      </c>
      <c r="M93" s="340">
        <f t="shared" si="2"/>
        <v>1335.4</v>
      </c>
      <c r="N93" s="340">
        <f t="shared" si="2"/>
        <v>1333.5</v>
      </c>
    </row>
    <row r="94" spans="2:14">
      <c r="B94" s="340">
        <v>14</v>
      </c>
      <c r="C94" s="340">
        <f t="shared" si="2"/>
        <v>865.3</v>
      </c>
      <c r="D94" s="340">
        <f t="shared" si="2"/>
        <v>858.9</v>
      </c>
      <c r="E94" s="340">
        <f t="shared" si="2"/>
        <v>849.7</v>
      </c>
      <c r="F94" s="340">
        <f t="shared" si="2"/>
        <v>826.3</v>
      </c>
      <c r="G94" s="340">
        <f t="shared" si="2"/>
        <v>826.1</v>
      </c>
      <c r="H94" s="340">
        <f t="shared" si="2"/>
        <v>823.3</v>
      </c>
      <c r="I94" s="340">
        <f t="shared" si="2"/>
        <v>822.3</v>
      </c>
      <c r="J94" s="340">
        <f t="shared" si="2"/>
        <v>824.8</v>
      </c>
      <c r="K94" s="340">
        <f t="shared" si="2"/>
        <v>821.9</v>
      </c>
      <c r="L94" s="340">
        <f t="shared" si="2"/>
        <v>821.6</v>
      </c>
      <c r="M94" s="340">
        <f t="shared" si="2"/>
        <v>822.1</v>
      </c>
      <c r="N94" s="340">
        <f t="shared" si="2"/>
        <v>820.9</v>
      </c>
    </row>
    <row r="95" spans="2:14">
      <c r="B95" s="340">
        <v>15</v>
      </c>
      <c r="C95" s="340">
        <f t="shared" si="2"/>
        <v>138.80000000000001</v>
      </c>
      <c r="D95" s="340">
        <f t="shared" si="2"/>
        <v>138.6</v>
      </c>
      <c r="E95" s="340">
        <f t="shared" si="2"/>
        <v>137.9</v>
      </c>
      <c r="F95" s="340">
        <f t="shared" si="2"/>
        <v>136.30000000000001</v>
      </c>
      <c r="G95" s="340">
        <f t="shared" si="2"/>
        <v>136</v>
      </c>
      <c r="H95" s="340">
        <f t="shared" si="2"/>
        <v>135.6</v>
      </c>
      <c r="I95" s="340">
        <f t="shared" si="2"/>
        <v>135.30000000000001</v>
      </c>
      <c r="J95" s="340">
        <f t="shared" si="2"/>
        <v>135.4</v>
      </c>
      <c r="K95" s="340">
        <f t="shared" si="2"/>
        <v>136.19999999999999</v>
      </c>
      <c r="L95" s="340">
        <f t="shared" si="2"/>
        <v>137.1</v>
      </c>
      <c r="M95" s="340">
        <f t="shared" si="2"/>
        <v>137.5</v>
      </c>
      <c r="N95" s="340">
        <f t="shared" si="2"/>
        <v>136.80000000000001</v>
      </c>
    </row>
    <row r="96" spans="2:14">
      <c r="B96" s="340">
        <v>16</v>
      </c>
      <c r="C96" s="340">
        <f t="shared" si="2"/>
        <v>25.6</v>
      </c>
      <c r="D96" s="340">
        <f t="shared" si="2"/>
        <v>25.3</v>
      </c>
      <c r="E96" s="340">
        <f t="shared" si="2"/>
        <v>24.6</v>
      </c>
      <c r="F96" s="340">
        <f t="shared" si="2"/>
        <v>23.8</v>
      </c>
      <c r="G96" s="340">
        <f t="shared" si="2"/>
        <v>23.8</v>
      </c>
      <c r="H96" s="340">
        <f t="shared" si="2"/>
        <v>24.1</v>
      </c>
      <c r="I96" s="340">
        <f t="shared" si="2"/>
        <v>23.6</v>
      </c>
      <c r="J96" s="340">
        <f t="shared" si="2"/>
        <v>23.6</v>
      </c>
      <c r="K96" s="340">
        <f t="shared" si="2"/>
        <v>23.7</v>
      </c>
      <c r="L96" s="340">
        <f t="shared" si="2"/>
        <v>23.8</v>
      </c>
      <c r="M96" s="340">
        <f t="shared" si="2"/>
        <v>24</v>
      </c>
      <c r="N96" s="340">
        <f t="shared" si="2"/>
        <v>23.7</v>
      </c>
    </row>
    <row r="98" spans="1:13">
      <c r="B98" s="341">
        <v>2021</v>
      </c>
      <c r="C98" s="340">
        <f>SUM(C81:C96)</f>
        <v>7476.2000000000007</v>
      </c>
      <c r="D98" s="340">
        <f t="shared" ref="D98:J98" si="3">SUM(D81:D96)</f>
        <v>7486.2999999999993</v>
      </c>
      <c r="E98" s="340">
        <f t="shared" si="3"/>
        <v>7446.4</v>
      </c>
      <c r="F98" s="340">
        <f t="shared" si="3"/>
        <v>7346.3</v>
      </c>
      <c r="G98" s="340">
        <f t="shared" si="3"/>
        <v>7319.4000000000024</v>
      </c>
      <c r="H98" s="340">
        <f t="shared" si="3"/>
        <v>7299.5</v>
      </c>
      <c r="I98" s="340">
        <f t="shared" si="3"/>
        <v>7289.4000000000005</v>
      </c>
      <c r="J98" s="340">
        <f t="shared" si="3"/>
        <v>7275.9</v>
      </c>
    </row>
    <row r="99" spans="1:13">
      <c r="M99" s="340" t="s">
        <v>408</v>
      </c>
    </row>
    <row r="100" spans="1:13">
      <c r="A100" s="340" t="s">
        <v>355</v>
      </c>
      <c r="B100" s="340">
        <v>1</v>
      </c>
      <c r="C100" s="340">
        <f t="shared" ref="C100:J109" si="4">VLOOKUP($B100,$B$6:$AA$32,C$79,0)</f>
        <v>360.4</v>
      </c>
      <c r="D100" s="340">
        <f t="shared" si="4"/>
        <v>358.2</v>
      </c>
      <c r="E100" s="340">
        <f t="shared" si="4"/>
        <v>370.5</v>
      </c>
      <c r="F100" s="340">
        <f t="shared" si="4"/>
        <v>401.1</v>
      </c>
      <c r="G100" s="340">
        <f t="shared" si="4"/>
        <v>411</v>
      </c>
      <c r="H100" s="340">
        <f t="shared" si="4"/>
        <v>417.2</v>
      </c>
      <c r="I100" s="340">
        <f t="shared" si="4"/>
        <v>421.1</v>
      </c>
      <c r="J100" s="340">
        <f t="shared" si="4"/>
        <v>420.6</v>
      </c>
      <c r="L100" s="340">
        <f t="shared" ref="L100:L115" si="5">I100-I81</f>
        <v>-10.899999999999977</v>
      </c>
      <c r="M100" s="340">
        <f t="shared" ref="M100:M115" si="6">J100-J81</f>
        <v>-9.5999999999999659</v>
      </c>
    </row>
    <row r="101" spans="1:13">
      <c r="A101" s="340" t="s">
        <v>333</v>
      </c>
      <c r="B101" s="340">
        <v>2</v>
      </c>
      <c r="C101" s="340">
        <f t="shared" si="4"/>
        <v>1788.9</v>
      </c>
      <c r="D101" s="340">
        <f t="shared" si="4"/>
        <v>1791.7</v>
      </c>
      <c r="E101" s="340">
        <f t="shared" si="4"/>
        <v>1789.7</v>
      </c>
      <c r="F101" s="340">
        <f t="shared" si="4"/>
        <v>1779.6</v>
      </c>
      <c r="G101" s="340">
        <f t="shared" si="4"/>
        <v>1768.6</v>
      </c>
      <c r="H101" s="340">
        <f t="shared" si="4"/>
        <v>1761.8</v>
      </c>
      <c r="I101" s="340">
        <f t="shared" si="4"/>
        <v>1756.6</v>
      </c>
      <c r="J101" s="340">
        <f t="shared" si="4"/>
        <v>1752.6</v>
      </c>
      <c r="L101" s="340">
        <f t="shared" si="5"/>
        <v>-20.400000000000091</v>
      </c>
      <c r="M101" s="340">
        <f t="shared" si="6"/>
        <v>-20.100000000000136</v>
      </c>
    </row>
    <row r="102" spans="1:13">
      <c r="A102" s="340" t="s">
        <v>334</v>
      </c>
      <c r="B102" s="340">
        <v>3</v>
      </c>
      <c r="C102" s="340">
        <f t="shared" si="4"/>
        <v>206.9</v>
      </c>
      <c r="D102" s="340">
        <f t="shared" si="4"/>
        <v>207.3</v>
      </c>
      <c r="E102" s="340">
        <f t="shared" si="4"/>
        <v>211.7</v>
      </c>
      <c r="F102" s="340">
        <f t="shared" si="4"/>
        <v>217</v>
      </c>
      <c r="G102" s="340">
        <f t="shared" si="4"/>
        <v>220.8</v>
      </c>
      <c r="H102" s="340">
        <f t="shared" si="4"/>
        <v>221.7</v>
      </c>
      <c r="I102" s="340">
        <f t="shared" si="4"/>
        <v>222.2</v>
      </c>
      <c r="J102" s="340">
        <f t="shared" si="4"/>
        <v>222.9</v>
      </c>
      <c r="L102" s="340">
        <f t="shared" si="5"/>
        <v>26.599999999999994</v>
      </c>
      <c r="M102" s="340">
        <f t="shared" si="6"/>
        <v>25.900000000000006</v>
      </c>
    </row>
    <row r="103" spans="1:13">
      <c r="A103" s="340" t="s">
        <v>335</v>
      </c>
      <c r="B103" s="340">
        <v>4</v>
      </c>
      <c r="C103" s="340">
        <f t="shared" si="4"/>
        <v>809.3</v>
      </c>
      <c r="D103" s="340">
        <f t="shared" si="4"/>
        <v>813.6</v>
      </c>
      <c r="E103" s="340">
        <f t="shared" si="4"/>
        <v>809.9</v>
      </c>
      <c r="F103" s="340">
        <f t="shared" si="4"/>
        <v>807.2</v>
      </c>
      <c r="G103" s="340">
        <f t="shared" si="4"/>
        <v>803.9</v>
      </c>
      <c r="H103" s="340">
        <f t="shared" si="4"/>
        <v>800.9</v>
      </c>
      <c r="I103" s="340">
        <f t="shared" si="4"/>
        <v>801.4</v>
      </c>
      <c r="J103" s="340">
        <f t="shared" si="4"/>
        <v>801.3</v>
      </c>
      <c r="L103" s="340">
        <f t="shared" si="5"/>
        <v>21.699999999999932</v>
      </c>
      <c r="M103" s="340">
        <f t="shared" si="6"/>
        <v>21.299999999999955</v>
      </c>
    </row>
    <row r="104" spans="1:13">
      <c r="A104" s="340" t="s">
        <v>351</v>
      </c>
      <c r="B104" s="340">
        <v>5</v>
      </c>
      <c r="C104" s="340">
        <f t="shared" si="4"/>
        <v>624.4</v>
      </c>
      <c r="D104" s="340">
        <f t="shared" si="4"/>
        <v>621.1</v>
      </c>
      <c r="E104" s="340">
        <f t="shared" si="4"/>
        <v>621.70000000000005</v>
      </c>
      <c r="F104" s="340">
        <f t="shared" si="4"/>
        <v>617.1</v>
      </c>
      <c r="G104" s="340">
        <f t="shared" si="4"/>
        <v>616.1</v>
      </c>
      <c r="H104" s="340">
        <f t="shared" si="4"/>
        <v>615.70000000000005</v>
      </c>
      <c r="I104" s="340">
        <f t="shared" si="4"/>
        <v>613.6</v>
      </c>
      <c r="J104" s="340">
        <f t="shared" si="4"/>
        <v>610.9</v>
      </c>
      <c r="L104" s="340">
        <f t="shared" si="5"/>
        <v>-13.799999999999955</v>
      </c>
      <c r="M104" s="340">
        <f t="shared" si="6"/>
        <v>-11.5</v>
      </c>
    </row>
    <row r="105" spans="1:13">
      <c r="A105" s="340" t="s">
        <v>354</v>
      </c>
      <c r="B105" s="340">
        <v>6</v>
      </c>
      <c r="C105" s="340">
        <f t="shared" si="4"/>
        <v>62.1</v>
      </c>
      <c r="D105" s="340">
        <f t="shared" si="4"/>
        <v>62.6</v>
      </c>
      <c r="E105" s="340">
        <f t="shared" si="4"/>
        <v>62.7</v>
      </c>
      <c r="F105" s="340">
        <f t="shared" si="4"/>
        <v>61.4</v>
      </c>
      <c r="G105" s="340">
        <f t="shared" si="4"/>
        <v>64</v>
      </c>
      <c r="H105" s="340">
        <f t="shared" si="4"/>
        <v>64.7</v>
      </c>
      <c r="I105" s="340">
        <f t="shared" si="4"/>
        <v>66.8</v>
      </c>
      <c r="J105" s="340">
        <f t="shared" si="4"/>
        <v>67.3</v>
      </c>
      <c r="L105" s="340">
        <f t="shared" si="5"/>
        <v>5.3999999999999986</v>
      </c>
      <c r="M105" s="340">
        <f t="shared" si="6"/>
        <v>2.5999999999999943</v>
      </c>
    </row>
    <row r="106" spans="1:13">
      <c r="A106" s="340" t="s">
        <v>356</v>
      </c>
      <c r="B106" s="340">
        <v>7</v>
      </c>
      <c r="C106" s="340">
        <f t="shared" si="4"/>
        <v>106.2</v>
      </c>
      <c r="D106" s="340">
        <f t="shared" si="4"/>
        <v>105.6</v>
      </c>
      <c r="E106" s="340">
        <f t="shared" si="4"/>
        <v>105.6</v>
      </c>
      <c r="F106" s="340">
        <f t="shared" si="4"/>
        <v>104.2</v>
      </c>
      <c r="G106" s="340">
        <f t="shared" si="4"/>
        <v>103.7</v>
      </c>
      <c r="H106" s="340">
        <f t="shared" si="4"/>
        <v>103.3</v>
      </c>
      <c r="I106" s="340">
        <f t="shared" si="4"/>
        <v>102.5</v>
      </c>
      <c r="J106" s="340">
        <f t="shared" si="4"/>
        <v>102.5</v>
      </c>
      <c r="L106" s="340">
        <f t="shared" si="5"/>
        <v>-2.2000000000000028</v>
      </c>
      <c r="M106" s="340">
        <f t="shared" si="6"/>
        <v>-1.7999999999999972</v>
      </c>
    </row>
    <row r="107" spans="1:13">
      <c r="A107" s="340" t="s">
        <v>358</v>
      </c>
      <c r="B107" s="340">
        <v>8</v>
      </c>
      <c r="C107" s="340">
        <f t="shared" si="4"/>
        <v>174.2</v>
      </c>
      <c r="D107" s="340">
        <f t="shared" si="4"/>
        <v>173.9</v>
      </c>
      <c r="E107" s="340">
        <f t="shared" si="4"/>
        <v>173.3</v>
      </c>
      <c r="F107" s="340">
        <f t="shared" si="4"/>
        <v>172.5</v>
      </c>
      <c r="G107" s="340">
        <f t="shared" si="4"/>
        <v>171.7</v>
      </c>
      <c r="H107" s="340">
        <f t="shared" si="4"/>
        <v>170.2</v>
      </c>
      <c r="I107" s="340">
        <f t="shared" si="4"/>
        <v>168.6</v>
      </c>
      <c r="J107" s="340">
        <f t="shared" si="4"/>
        <v>167.7</v>
      </c>
      <c r="L107" s="340">
        <f t="shared" si="5"/>
        <v>-3.2000000000000171</v>
      </c>
      <c r="M107" s="340">
        <f t="shared" si="6"/>
        <v>-3.7000000000000171</v>
      </c>
    </row>
    <row r="108" spans="1:13">
      <c r="A108" s="340" t="s">
        <v>359</v>
      </c>
      <c r="B108" s="340">
        <v>9</v>
      </c>
      <c r="C108" s="340">
        <f t="shared" si="4"/>
        <v>74</v>
      </c>
      <c r="D108" s="340">
        <f t="shared" si="4"/>
        <v>73.3</v>
      </c>
      <c r="E108" s="340">
        <f t="shared" si="4"/>
        <v>72.900000000000006</v>
      </c>
      <c r="F108" s="340">
        <f t="shared" si="4"/>
        <v>74.2</v>
      </c>
      <c r="G108" s="340">
        <f t="shared" si="4"/>
        <v>73.400000000000006</v>
      </c>
      <c r="H108" s="340">
        <f t="shared" si="4"/>
        <v>73</v>
      </c>
      <c r="I108" s="340">
        <f t="shared" si="4"/>
        <v>73.7</v>
      </c>
      <c r="J108" s="340">
        <f t="shared" si="4"/>
        <v>72.8</v>
      </c>
      <c r="L108" s="340">
        <f t="shared" si="5"/>
        <v>0</v>
      </c>
      <c r="M108" s="340">
        <f t="shared" si="6"/>
        <v>-0.10000000000000853</v>
      </c>
    </row>
    <row r="109" spans="1:13">
      <c r="A109" s="340" t="s">
        <v>357</v>
      </c>
      <c r="B109" s="340">
        <v>10</v>
      </c>
      <c r="C109" s="340">
        <f t="shared" si="4"/>
        <v>202.4</v>
      </c>
      <c r="D109" s="340">
        <f t="shared" si="4"/>
        <v>207.9</v>
      </c>
      <c r="E109" s="340">
        <f t="shared" si="4"/>
        <v>207.8</v>
      </c>
      <c r="F109" s="340">
        <f t="shared" si="4"/>
        <v>207</v>
      </c>
      <c r="G109" s="340">
        <f t="shared" si="4"/>
        <v>206.2</v>
      </c>
      <c r="H109" s="340">
        <f t="shared" si="4"/>
        <v>204.8</v>
      </c>
      <c r="I109" s="340">
        <f t="shared" si="4"/>
        <v>203.5</v>
      </c>
      <c r="J109" s="340">
        <f t="shared" si="4"/>
        <v>203.9</v>
      </c>
      <c r="L109" s="340">
        <f t="shared" si="5"/>
        <v>0.5</v>
      </c>
      <c r="M109" s="340">
        <f t="shared" si="6"/>
        <v>1.8000000000000114</v>
      </c>
    </row>
    <row r="110" spans="1:13">
      <c r="A110" s="340" t="s">
        <v>361</v>
      </c>
      <c r="B110" s="340">
        <v>11</v>
      </c>
      <c r="C110" s="340">
        <f t="shared" ref="C110:J115" si="7">VLOOKUP($B110,$B$6:$AA$32,C$79,0)</f>
        <v>184.7</v>
      </c>
      <c r="D110" s="340">
        <f t="shared" si="7"/>
        <v>182.3</v>
      </c>
      <c r="E110" s="340">
        <f t="shared" si="7"/>
        <v>182.5</v>
      </c>
      <c r="F110" s="340">
        <f t="shared" si="7"/>
        <v>181.9</v>
      </c>
      <c r="G110" s="340">
        <f t="shared" si="7"/>
        <v>182.5</v>
      </c>
      <c r="H110" s="340">
        <f t="shared" si="7"/>
        <v>183.4</v>
      </c>
      <c r="I110" s="340">
        <f t="shared" si="7"/>
        <v>183.4</v>
      </c>
      <c r="J110" s="340">
        <f t="shared" si="7"/>
        <v>182.6</v>
      </c>
      <c r="L110" s="340">
        <f t="shared" si="5"/>
        <v>18.700000000000017</v>
      </c>
      <c r="M110" s="340">
        <f t="shared" si="6"/>
        <v>17.900000000000006</v>
      </c>
    </row>
    <row r="111" spans="1:13">
      <c r="A111" s="340" t="s">
        <v>353</v>
      </c>
      <c r="B111" s="340">
        <v>12</v>
      </c>
      <c r="C111" s="340">
        <f t="shared" si="7"/>
        <v>402.3</v>
      </c>
      <c r="D111" s="340">
        <f t="shared" si="7"/>
        <v>400.5</v>
      </c>
      <c r="E111" s="340">
        <f t="shared" si="7"/>
        <v>404.1</v>
      </c>
      <c r="F111" s="340">
        <f t="shared" si="7"/>
        <v>404.1</v>
      </c>
      <c r="G111" s="340">
        <f t="shared" si="7"/>
        <v>400.5</v>
      </c>
      <c r="H111" s="340">
        <f t="shared" si="7"/>
        <v>400.7</v>
      </c>
      <c r="I111" s="340">
        <f t="shared" si="7"/>
        <v>396</v>
      </c>
      <c r="J111" s="340">
        <f t="shared" si="7"/>
        <v>392.6</v>
      </c>
      <c r="L111" s="340">
        <f t="shared" si="5"/>
        <v>-27.899999999999977</v>
      </c>
      <c r="M111" s="340">
        <f t="shared" si="6"/>
        <v>-30.599999999999966</v>
      </c>
    </row>
    <row r="112" spans="1:13">
      <c r="A112" s="340" t="s">
        <v>337</v>
      </c>
      <c r="B112" s="340">
        <v>13</v>
      </c>
      <c r="C112" s="340">
        <f t="shared" si="7"/>
        <v>1123.3</v>
      </c>
      <c r="D112" s="340">
        <f t="shared" si="7"/>
        <v>1147.3</v>
      </c>
      <c r="E112" s="340">
        <f t="shared" si="7"/>
        <v>1185.7</v>
      </c>
      <c r="F112" s="340">
        <f t="shared" si="7"/>
        <v>1175.8</v>
      </c>
      <c r="G112" s="340">
        <f t="shared" si="7"/>
        <v>1162.4000000000001</v>
      </c>
      <c r="H112" s="340">
        <f t="shared" si="7"/>
        <v>1151.9000000000001</v>
      </c>
      <c r="I112" s="340">
        <f t="shared" si="7"/>
        <v>1140.9000000000001</v>
      </c>
      <c r="J112" s="340">
        <f t="shared" si="7"/>
        <v>1140.5999999999999</v>
      </c>
      <c r="L112" s="340">
        <f t="shared" si="5"/>
        <v>-152.39999999999986</v>
      </c>
      <c r="M112" s="340">
        <f t="shared" si="6"/>
        <v>-145.90000000000009</v>
      </c>
    </row>
    <row r="113" spans="1:13">
      <c r="A113" s="340" t="s">
        <v>350</v>
      </c>
      <c r="B113" s="340">
        <v>14</v>
      </c>
      <c r="C113" s="340">
        <f t="shared" si="7"/>
        <v>814.6</v>
      </c>
      <c r="D113" s="340">
        <f t="shared" si="7"/>
        <v>813.9</v>
      </c>
      <c r="E113" s="340">
        <f t="shared" si="7"/>
        <v>800.1</v>
      </c>
      <c r="F113" s="340">
        <f t="shared" si="7"/>
        <v>805.5</v>
      </c>
      <c r="G113" s="340">
        <f t="shared" si="7"/>
        <v>803.1</v>
      </c>
      <c r="H113" s="340">
        <f t="shared" si="7"/>
        <v>800.5</v>
      </c>
      <c r="I113" s="340">
        <f t="shared" si="7"/>
        <v>796.6</v>
      </c>
      <c r="J113" s="340">
        <f t="shared" si="7"/>
        <v>796.9</v>
      </c>
      <c r="L113" s="340">
        <f t="shared" si="5"/>
        <v>-25.699999999999932</v>
      </c>
      <c r="M113" s="340">
        <f t="shared" si="6"/>
        <v>-27.899999999999977</v>
      </c>
    </row>
    <row r="114" spans="1:13">
      <c r="A114" s="340" t="s">
        <v>352</v>
      </c>
      <c r="B114" s="340">
        <v>15</v>
      </c>
      <c r="C114" s="340">
        <f t="shared" si="7"/>
        <v>116.3</v>
      </c>
      <c r="D114" s="340">
        <f t="shared" si="7"/>
        <v>119.2</v>
      </c>
      <c r="E114" s="340">
        <f t="shared" si="7"/>
        <v>122.5</v>
      </c>
      <c r="F114" s="340">
        <f t="shared" si="7"/>
        <v>121.5</v>
      </c>
      <c r="G114" s="340">
        <f t="shared" si="7"/>
        <v>120.8</v>
      </c>
      <c r="H114" s="340">
        <f t="shared" si="7"/>
        <v>120.2</v>
      </c>
      <c r="I114" s="340">
        <f t="shared" si="7"/>
        <v>118.7</v>
      </c>
      <c r="J114" s="340">
        <f t="shared" si="7"/>
        <v>118.7</v>
      </c>
      <c r="L114" s="340">
        <f t="shared" si="5"/>
        <v>-16.600000000000009</v>
      </c>
      <c r="M114" s="340">
        <f t="shared" si="6"/>
        <v>-16.700000000000003</v>
      </c>
    </row>
    <row r="115" spans="1:13">
      <c r="A115" s="340" t="s">
        <v>360</v>
      </c>
      <c r="B115" s="340">
        <v>16</v>
      </c>
      <c r="C115" s="340">
        <f t="shared" si="7"/>
        <v>25</v>
      </c>
      <c r="D115" s="340">
        <f t="shared" si="7"/>
        <v>25.2</v>
      </c>
      <c r="E115" s="340">
        <f t="shared" si="7"/>
        <v>25.2</v>
      </c>
      <c r="F115" s="340">
        <f t="shared" si="7"/>
        <v>25.1</v>
      </c>
      <c r="G115" s="340">
        <f t="shared" si="7"/>
        <v>25.2</v>
      </c>
      <c r="H115" s="340">
        <f t="shared" si="7"/>
        <v>25.3</v>
      </c>
      <c r="I115" s="340">
        <f t="shared" si="7"/>
        <v>25.3</v>
      </c>
      <c r="J115" s="340">
        <f t="shared" si="7"/>
        <v>25.1</v>
      </c>
      <c r="L115" s="340">
        <f t="shared" si="5"/>
        <v>1.6999999999999993</v>
      </c>
      <c r="M115" s="340">
        <f t="shared" si="6"/>
        <v>1.5</v>
      </c>
    </row>
    <row r="118" spans="1:13">
      <c r="C118" s="340">
        <f>SUM(C100:C116)</f>
        <v>7075</v>
      </c>
      <c r="D118" s="340">
        <f t="shared" ref="D118:J118" si="8">SUM(D100:D116)</f>
        <v>7103.5999999999995</v>
      </c>
      <c r="E118" s="340">
        <f t="shared" si="8"/>
        <v>7145.9</v>
      </c>
      <c r="F118" s="340">
        <f t="shared" si="8"/>
        <v>7155.2</v>
      </c>
      <c r="G118" s="340">
        <f t="shared" si="8"/>
        <v>7133.9</v>
      </c>
      <c r="H118" s="340">
        <f t="shared" si="8"/>
        <v>7115.2999999999993</v>
      </c>
      <c r="I118" s="340">
        <f t="shared" si="8"/>
        <v>7090.9</v>
      </c>
      <c r="J118" s="340">
        <f t="shared" si="8"/>
        <v>7079.0000000000009</v>
      </c>
      <c r="L118" s="340">
        <f>SUM(L100:L115)</f>
        <v>-198.49999999999989</v>
      </c>
      <c r="M118" s="340">
        <f>SUM(M100:M115)</f>
        <v>-196.9000000000002</v>
      </c>
    </row>
    <row r="121" spans="1:13">
      <c r="B121" s="340">
        <v>1</v>
      </c>
      <c r="C121" s="340">
        <f t="shared" ref="C121:J132" si="9">C100-C81</f>
        <v>-16.100000000000023</v>
      </c>
      <c r="D121" s="340">
        <f t="shared" si="9"/>
        <v>-19.199999999999989</v>
      </c>
      <c r="E121" s="340">
        <f t="shared" si="9"/>
        <v>-25</v>
      </c>
      <c r="F121" s="340">
        <f t="shared" si="9"/>
        <v>-9</v>
      </c>
      <c r="G121" s="340">
        <f t="shared" si="9"/>
        <v>-8.6999999999999886</v>
      </c>
      <c r="H121" s="340">
        <f t="shared" si="9"/>
        <v>-8.9000000000000341</v>
      </c>
      <c r="I121" s="340">
        <f t="shared" si="9"/>
        <v>-10.899999999999977</v>
      </c>
      <c r="J121" s="340">
        <f t="shared" si="9"/>
        <v>-9.5999999999999659</v>
      </c>
    </row>
    <row r="122" spans="1:13">
      <c r="B122" s="340">
        <v>2</v>
      </c>
      <c r="C122" s="340">
        <f t="shared" si="9"/>
        <v>-58.799999999999955</v>
      </c>
      <c r="D122" s="340">
        <f t="shared" si="9"/>
        <v>-55.700000000000045</v>
      </c>
      <c r="E122" s="340">
        <f t="shared" si="9"/>
        <v>-47.099999999999909</v>
      </c>
      <c r="F122" s="340">
        <f t="shared" si="9"/>
        <v>-29.300000000000182</v>
      </c>
      <c r="G122" s="340">
        <f t="shared" si="9"/>
        <v>-14.600000000000136</v>
      </c>
      <c r="H122" s="340">
        <f t="shared" si="9"/>
        <v>-19.600000000000136</v>
      </c>
      <c r="I122" s="340">
        <f t="shared" si="9"/>
        <v>-20.400000000000091</v>
      </c>
      <c r="J122" s="340">
        <f t="shared" si="9"/>
        <v>-20.100000000000136</v>
      </c>
    </row>
    <row r="123" spans="1:13">
      <c r="B123" s="340">
        <v>3</v>
      </c>
      <c r="C123" s="340">
        <f t="shared" si="9"/>
        <v>11.200000000000017</v>
      </c>
      <c r="D123" s="340">
        <f t="shared" si="9"/>
        <v>12.5</v>
      </c>
      <c r="E123" s="340">
        <f t="shared" si="9"/>
        <v>18.599999999999994</v>
      </c>
      <c r="F123" s="340">
        <f t="shared" si="9"/>
        <v>25.300000000000011</v>
      </c>
      <c r="G123" s="340">
        <f t="shared" si="9"/>
        <v>27.700000000000017</v>
      </c>
      <c r="H123" s="340">
        <f t="shared" si="9"/>
        <v>26.199999999999989</v>
      </c>
      <c r="I123" s="340">
        <f t="shared" si="9"/>
        <v>26.599999999999994</v>
      </c>
      <c r="J123" s="340">
        <f t="shared" si="9"/>
        <v>25.900000000000006</v>
      </c>
    </row>
    <row r="124" spans="1:13">
      <c r="B124" s="340">
        <v>4</v>
      </c>
      <c r="C124" s="340">
        <f t="shared" si="9"/>
        <v>-3.5</v>
      </c>
      <c r="D124" s="340">
        <f t="shared" si="9"/>
        <v>2.6000000000000227</v>
      </c>
      <c r="E124" s="340">
        <f t="shared" si="9"/>
        <v>3.6000000000000227</v>
      </c>
      <c r="F124" s="340">
        <f t="shared" si="9"/>
        <v>16.300000000000068</v>
      </c>
      <c r="G124" s="340">
        <f t="shared" si="9"/>
        <v>17.399999999999977</v>
      </c>
      <c r="H124" s="340">
        <f t="shared" si="9"/>
        <v>22.899999999999977</v>
      </c>
      <c r="I124" s="340">
        <f t="shared" si="9"/>
        <v>21.699999999999932</v>
      </c>
      <c r="J124" s="340">
        <f t="shared" si="9"/>
        <v>21.299999999999955</v>
      </c>
    </row>
    <row r="125" spans="1:13">
      <c r="B125" s="340">
        <v>5</v>
      </c>
      <c r="C125" s="340">
        <f t="shared" si="9"/>
        <v>-12.700000000000045</v>
      </c>
      <c r="D125" s="340">
        <f t="shared" si="9"/>
        <v>-18.100000000000023</v>
      </c>
      <c r="E125" s="340">
        <f t="shared" si="9"/>
        <v>-7.2999999999999545</v>
      </c>
      <c r="F125" s="340">
        <f t="shared" si="9"/>
        <v>-7</v>
      </c>
      <c r="G125" s="340">
        <f t="shared" si="9"/>
        <v>-8.2999999999999545</v>
      </c>
      <c r="H125" s="340">
        <f t="shared" si="9"/>
        <v>-10.099999999999909</v>
      </c>
      <c r="I125" s="340">
        <f t="shared" si="9"/>
        <v>-13.799999999999955</v>
      </c>
      <c r="J125" s="340">
        <f t="shared" si="9"/>
        <v>-11.5</v>
      </c>
    </row>
    <row r="126" spans="1:13">
      <c r="B126" s="340">
        <v>6</v>
      </c>
      <c r="C126" s="340">
        <f t="shared" si="9"/>
        <v>-16.800000000000004</v>
      </c>
      <c r="D126" s="340">
        <f t="shared" si="9"/>
        <v>-17.100000000000001</v>
      </c>
      <c r="E126" s="340">
        <f t="shared" si="9"/>
        <v>-9.7000000000000028</v>
      </c>
      <c r="F126" s="340">
        <f t="shared" si="9"/>
        <v>-3.6999999999999957</v>
      </c>
      <c r="G126" s="340">
        <f t="shared" si="9"/>
        <v>-1.4000000000000057</v>
      </c>
      <c r="H126" s="340">
        <f t="shared" si="9"/>
        <v>0.5</v>
      </c>
      <c r="I126" s="340">
        <f t="shared" si="9"/>
        <v>5.3999999999999986</v>
      </c>
      <c r="J126" s="340">
        <f t="shared" si="9"/>
        <v>2.5999999999999943</v>
      </c>
    </row>
    <row r="127" spans="1:13">
      <c r="B127" s="340">
        <v>7</v>
      </c>
      <c r="C127" s="340">
        <f t="shared" si="9"/>
        <v>-7</v>
      </c>
      <c r="D127" s="340">
        <f t="shared" si="9"/>
        <v>-7.3000000000000114</v>
      </c>
      <c r="E127" s="340">
        <f t="shared" si="9"/>
        <v>-4.8000000000000114</v>
      </c>
      <c r="F127" s="340">
        <f t="shared" si="9"/>
        <v>-3.7999999999999972</v>
      </c>
      <c r="G127" s="340">
        <f t="shared" si="9"/>
        <v>-3.2000000000000028</v>
      </c>
      <c r="H127" s="340">
        <f t="shared" si="9"/>
        <v>-2.2000000000000028</v>
      </c>
      <c r="I127" s="340">
        <f t="shared" si="9"/>
        <v>-2.2000000000000028</v>
      </c>
      <c r="J127" s="340">
        <f t="shared" si="9"/>
        <v>-1.7999999999999972</v>
      </c>
    </row>
    <row r="128" spans="1:13">
      <c r="B128" s="340">
        <v>8</v>
      </c>
      <c r="C128" s="340">
        <f t="shared" si="9"/>
        <v>2.0999999999999943</v>
      </c>
      <c r="D128" s="340">
        <f t="shared" si="9"/>
        <v>2</v>
      </c>
      <c r="E128" s="340">
        <f t="shared" si="9"/>
        <v>1.5</v>
      </c>
      <c r="F128" s="340">
        <f t="shared" si="9"/>
        <v>-1.9000000000000057</v>
      </c>
      <c r="G128" s="340">
        <f t="shared" si="9"/>
        <v>-1.5</v>
      </c>
      <c r="H128" s="340">
        <f t="shared" si="9"/>
        <v>-2</v>
      </c>
      <c r="I128" s="340">
        <f t="shared" si="9"/>
        <v>-3.2000000000000171</v>
      </c>
      <c r="J128" s="340">
        <f t="shared" si="9"/>
        <v>-3.7000000000000171</v>
      </c>
    </row>
    <row r="129" spans="1:10">
      <c r="B129" s="340">
        <v>9</v>
      </c>
      <c r="C129" s="340">
        <f t="shared" si="9"/>
        <v>-2.2999999999999972</v>
      </c>
      <c r="D129" s="340">
        <f t="shared" si="9"/>
        <v>-3.1000000000000085</v>
      </c>
      <c r="E129" s="340">
        <f t="shared" si="9"/>
        <v>-2.2999999999999972</v>
      </c>
      <c r="F129" s="340">
        <f t="shared" si="9"/>
        <v>0.10000000000000853</v>
      </c>
      <c r="G129" s="340">
        <f t="shared" si="9"/>
        <v>0.30000000000001137</v>
      </c>
      <c r="H129" s="340">
        <f t="shared" si="9"/>
        <v>-0.79999999999999716</v>
      </c>
      <c r="I129" s="340">
        <f t="shared" si="9"/>
        <v>0</v>
      </c>
      <c r="J129" s="340">
        <f t="shared" si="9"/>
        <v>-0.10000000000000853</v>
      </c>
    </row>
    <row r="130" spans="1:10">
      <c r="B130" s="340">
        <v>10</v>
      </c>
      <c r="C130" s="340">
        <f t="shared" si="9"/>
        <v>-4.5999999999999943</v>
      </c>
      <c r="D130" s="340">
        <f t="shared" si="9"/>
        <v>1</v>
      </c>
      <c r="E130" s="340">
        <f t="shared" si="9"/>
        <v>1</v>
      </c>
      <c r="F130" s="340">
        <f t="shared" si="9"/>
        <v>1</v>
      </c>
      <c r="G130" s="340">
        <f t="shared" si="9"/>
        <v>1.6999999999999886</v>
      </c>
      <c r="H130" s="340">
        <f t="shared" si="9"/>
        <v>1.4000000000000057</v>
      </c>
      <c r="I130" s="340">
        <f t="shared" si="9"/>
        <v>0.5</v>
      </c>
      <c r="J130" s="340">
        <f t="shared" si="9"/>
        <v>1.8000000000000114</v>
      </c>
    </row>
    <row r="131" spans="1:10">
      <c r="B131" s="340">
        <v>11</v>
      </c>
      <c r="C131" s="340">
        <f t="shared" si="9"/>
        <v>9.6999999999999886</v>
      </c>
      <c r="D131" s="340">
        <f t="shared" si="9"/>
        <v>8</v>
      </c>
      <c r="E131" s="340">
        <f t="shared" si="9"/>
        <v>11.5</v>
      </c>
      <c r="F131" s="340">
        <f t="shared" si="9"/>
        <v>15</v>
      </c>
      <c r="G131" s="340">
        <f t="shared" si="9"/>
        <v>17.199999999999989</v>
      </c>
      <c r="H131" s="340">
        <f t="shared" si="9"/>
        <v>19.200000000000017</v>
      </c>
      <c r="I131" s="340">
        <f t="shared" si="9"/>
        <v>18.700000000000017</v>
      </c>
      <c r="J131" s="340">
        <f t="shared" si="9"/>
        <v>17.900000000000006</v>
      </c>
    </row>
    <row r="132" spans="1:10">
      <c r="B132" s="340">
        <v>12</v>
      </c>
      <c r="C132" s="340">
        <f t="shared" si="9"/>
        <v>-11.399999999999977</v>
      </c>
      <c r="D132" s="340">
        <f t="shared" si="9"/>
        <v>-27.899999999999977</v>
      </c>
      <c r="E132" s="340">
        <f t="shared" si="9"/>
        <v>-21.799999999999955</v>
      </c>
      <c r="F132" s="340">
        <f t="shared" si="9"/>
        <v>-17.399999999999977</v>
      </c>
      <c r="G132" s="340">
        <f t="shared" si="9"/>
        <v>-27.100000000000023</v>
      </c>
      <c r="H132" s="340">
        <f t="shared" si="9"/>
        <v>-24.5</v>
      </c>
      <c r="I132" s="340">
        <f t="shared" si="9"/>
        <v>-27.899999999999977</v>
      </c>
      <c r="J132" s="340">
        <f t="shared" si="9"/>
        <v>-30.599999999999966</v>
      </c>
    </row>
    <row r="133" spans="1:10">
      <c r="B133" s="340">
        <v>14</v>
      </c>
      <c r="C133" s="340">
        <f t="shared" ref="C133:J135" si="10">C113-C94</f>
        <v>-50.699999999999932</v>
      </c>
      <c r="D133" s="340">
        <f t="shared" si="10"/>
        <v>-45</v>
      </c>
      <c r="E133" s="340">
        <f t="shared" si="10"/>
        <v>-49.600000000000023</v>
      </c>
      <c r="F133" s="340">
        <f t="shared" si="10"/>
        <v>-20.799999999999955</v>
      </c>
      <c r="G133" s="340">
        <f t="shared" si="10"/>
        <v>-23</v>
      </c>
      <c r="H133" s="340">
        <f t="shared" si="10"/>
        <v>-22.799999999999955</v>
      </c>
      <c r="I133" s="340">
        <f t="shared" si="10"/>
        <v>-25.699999999999932</v>
      </c>
      <c r="J133" s="340">
        <f t="shared" si="10"/>
        <v>-27.899999999999977</v>
      </c>
    </row>
    <row r="134" spans="1:10">
      <c r="B134" s="340">
        <v>15</v>
      </c>
      <c r="C134" s="340">
        <f t="shared" si="10"/>
        <v>-22.500000000000014</v>
      </c>
      <c r="D134" s="340">
        <f t="shared" si="10"/>
        <v>-19.399999999999991</v>
      </c>
      <c r="E134" s="340">
        <f t="shared" si="10"/>
        <v>-15.400000000000006</v>
      </c>
      <c r="F134" s="340">
        <f t="shared" si="10"/>
        <v>-14.800000000000011</v>
      </c>
      <c r="G134" s="340">
        <f t="shared" si="10"/>
        <v>-15.200000000000003</v>
      </c>
      <c r="H134" s="340">
        <f t="shared" si="10"/>
        <v>-15.399999999999991</v>
      </c>
      <c r="I134" s="340">
        <f t="shared" si="10"/>
        <v>-16.600000000000009</v>
      </c>
      <c r="J134" s="340">
        <f t="shared" si="10"/>
        <v>-16.700000000000003</v>
      </c>
    </row>
    <row r="135" spans="1:10">
      <c r="B135" s="340">
        <v>16</v>
      </c>
      <c r="C135" s="340">
        <f t="shared" si="10"/>
        <v>-0.60000000000000142</v>
      </c>
      <c r="D135" s="340">
        <f t="shared" si="10"/>
        <v>-0.10000000000000142</v>
      </c>
      <c r="E135" s="340">
        <f t="shared" si="10"/>
        <v>0.59999999999999787</v>
      </c>
      <c r="F135" s="340">
        <f t="shared" si="10"/>
        <v>1.3000000000000007</v>
      </c>
      <c r="G135" s="340">
        <f t="shared" si="10"/>
        <v>1.3999999999999986</v>
      </c>
      <c r="H135" s="340">
        <f t="shared" si="10"/>
        <v>1.1999999999999993</v>
      </c>
      <c r="I135" s="340">
        <f t="shared" si="10"/>
        <v>1.6999999999999993</v>
      </c>
      <c r="J135" s="340">
        <f t="shared" si="10"/>
        <v>1.5</v>
      </c>
    </row>
    <row r="137" spans="1:10">
      <c r="C137" s="340">
        <f t="shared" ref="C137:J137" si="11">C118-C98</f>
        <v>-401.20000000000073</v>
      </c>
      <c r="D137" s="340">
        <f t="shared" si="11"/>
        <v>-382.69999999999982</v>
      </c>
      <c r="E137" s="340">
        <f t="shared" si="11"/>
        <v>-300.5</v>
      </c>
      <c r="F137" s="340">
        <f t="shared" si="11"/>
        <v>-191.10000000000036</v>
      </c>
      <c r="G137" s="340">
        <f t="shared" si="11"/>
        <v>-185.50000000000273</v>
      </c>
      <c r="H137" s="340">
        <f t="shared" si="11"/>
        <v>-184.20000000000073</v>
      </c>
      <c r="I137" s="340">
        <f t="shared" si="11"/>
        <v>-198.50000000000091</v>
      </c>
      <c r="J137" s="340">
        <f t="shared" si="11"/>
        <v>-196.89999999999873</v>
      </c>
    </row>
    <row r="143" spans="1:10">
      <c r="A143" s="340" t="s">
        <v>334</v>
      </c>
      <c r="B143" s="340">
        <v>25.900000000000006</v>
      </c>
    </row>
    <row r="144" spans="1:10">
      <c r="A144" s="340" t="s">
        <v>335</v>
      </c>
      <c r="B144" s="340">
        <v>21.299999999999955</v>
      </c>
    </row>
    <row r="145" spans="1:2">
      <c r="A145" s="340" t="s">
        <v>361</v>
      </c>
      <c r="B145" s="340">
        <v>17.900000000000006</v>
      </c>
    </row>
    <row r="146" spans="1:2">
      <c r="A146" s="340" t="s">
        <v>354</v>
      </c>
      <c r="B146" s="340">
        <v>2.5999999999999943</v>
      </c>
    </row>
    <row r="147" spans="1:2">
      <c r="A147" s="340" t="s">
        <v>357</v>
      </c>
      <c r="B147" s="340">
        <v>1.8000000000000114</v>
      </c>
    </row>
    <row r="148" spans="1:2">
      <c r="A148" s="340" t="s">
        <v>360</v>
      </c>
      <c r="B148" s="340">
        <v>1.5</v>
      </c>
    </row>
    <row r="149" spans="1:2">
      <c r="A149" s="340" t="s">
        <v>359</v>
      </c>
      <c r="B149" s="340">
        <v>-0.10000000000000853</v>
      </c>
    </row>
    <row r="150" spans="1:2">
      <c r="A150" s="340" t="s">
        <v>356</v>
      </c>
      <c r="B150" s="340">
        <v>-1.7999999999999972</v>
      </c>
    </row>
    <row r="151" spans="1:2">
      <c r="A151" s="340" t="s">
        <v>358</v>
      </c>
      <c r="B151" s="340">
        <v>-3.7000000000000171</v>
      </c>
    </row>
    <row r="152" spans="1:2">
      <c r="A152" s="340" t="s">
        <v>355</v>
      </c>
      <c r="B152" s="340">
        <v>-9.5999999999999659</v>
      </c>
    </row>
    <row r="153" spans="1:2">
      <c r="A153" s="340" t="s">
        <v>351</v>
      </c>
      <c r="B153" s="340">
        <v>-11.5</v>
      </c>
    </row>
    <row r="154" spans="1:2">
      <c r="A154" s="340" t="s">
        <v>352</v>
      </c>
      <c r="B154" s="340">
        <v>-16.700000000000003</v>
      </c>
    </row>
    <row r="155" spans="1:2">
      <c r="A155" s="340" t="s">
        <v>333</v>
      </c>
      <c r="B155" s="340">
        <v>-20.100000000000136</v>
      </c>
    </row>
    <row r="156" spans="1:2">
      <c r="A156" s="340" t="s">
        <v>350</v>
      </c>
      <c r="B156" s="340">
        <v>-27.899999999999977</v>
      </c>
    </row>
    <row r="157" spans="1:2">
      <c r="A157" s="340" t="s">
        <v>353</v>
      </c>
      <c r="B157" s="340">
        <v>-30.599999999999966</v>
      </c>
    </row>
    <row r="158" spans="1:2">
      <c r="A158" s="340" t="s">
        <v>337</v>
      </c>
      <c r="B158" s="340">
        <v>-145.90000000000009</v>
      </c>
    </row>
  </sheetData>
  <autoFilter ref="A142:B142" xr:uid="{00000000-0009-0000-0000-000010000000}">
    <sortState xmlns:xlrd2="http://schemas.microsoft.com/office/spreadsheetml/2017/richdata2" ref="A143:B158">
      <sortCondition descending="1" ref="B142"/>
    </sortState>
  </autoFilter>
  <mergeCells count="18">
    <mergeCell ref="C37:AB37"/>
    <mergeCell ref="AB4:AB5"/>
    <mergeCell ref="T4:U4"/>
    <mergeCell ref="V4:W4"/>
    <mergeCell ref="X4:Y4"/>
    <mergeCell ref="Z4:AA4"/>
    <mergeCell ref="C2:Z2"/>
    <mergeCell ref="C36:AB36"/>
    <mergeCell ref="C1:Z1"/>
    <mergeCell ref="D4:E4"/>
    <mergeCell ref="C4:C5"/>
    <mergeCell ref="F4:G4"/>
    <mergeCell ref="H4:I4"/>
    <mergeCell ref="J4:K4"/>
    <mergeCell ref="L4:M4"/>
    <mergeCell ref="N4:O4"/>
    <mergeCell ref="P4:Q4"/>
    <mergeCell ref="R4:S4"/>
  </mergeCells>
  <conditionalFormatting sqref="C121:J135">
    <cfRule type="colorScale" priority="2">
      <colorScale>
        <cfvo type="min"/>
        <cfvo type="percentile" val="50"/>
        <cfvo type="max"/>
        <color rgb="FFF8696B"/>
        <color rgb="FFFCFCFF"/>
        <color rgb="FF63BE7B"/>
      </colorScale>
    </cfRule>
  </conditionalFormatting>
  <conditionalFormatting sqref="L100:M115">
    <cfRule type="colorScale" priority="1">
      <colorScale>
        <cfvo type="min"/>
        <cfvo type="percentile" val="50"/>
        <cfvo type="max"/>
        <color rgb="FFF8696B"/>
        <color rgb="FFFCFCFF"/>
        <color rgb="FF63BE7B"/>
      </colorScale>
    </cfRule>
  </conditionalFormatting>
  <pageMargins left="0.70866141732283472" right="0.17" top="0.17" bottom="0.25" header="0.31496062992125984" footer="0.31496062992125984"/>
  <pageSetup paperSize="9" scale="68"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Аркуш12">
    <tabColor theme="4"/>
  </sheetPr>
  <dimension ref="A1"/>
  <sheetViews>
    <sheetView workbookViewId="0"/>
  </sheetViews>
  <sheetFormatPr defaultRowHeight="18"/>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Аркуш13">
    <tabColor theme="4"/>
  </sheetPr>
  <dimension ref="A1:R49"/>
  <sheetViews>
    <sheetView zoomScale="80" zoomScaleNormal="80" workbookViewId="0">
      <pane ySplit="1" topLeftCell="A2" activePane="bottomLeft" state="frozen"/>
      <selection pane="bottomLeft" activeCell="P23" sqref="P23"/>
    </sheetView>
  </sheetViews>
  <sheetFormatPr defaultRowHeight="18"/>
  <cols>
    <col min="3" max="3" width="16.69921875" customWidth="1"/>
    <col min="7" max="7" width="14.19921875" customWidth="1"/>
    <col min="8" max="8" width="16.59765625" customWidth="1"/>
    <col min="9" max="9" width="16.69921875" customWidth="1"/>
    <col min="10" max="11" width="13.69921875" customWidth="1"/>
    <col min="12" max="12" width="15.59765625" customWidth="1"/>
    <col min="13" max="13" width="6.69921875" customWidth="1"/>
    <col min="14" max="14" width="8.69921875" customWidth="1"/>
    <col min="15" max="15" width="13.69921875" customWidth="1"/>
  </cols>
  <sheetData>
    <row r="1" spans="1:18">
      <c r="C1" t="s">
        <v>138</v>
      </c>
      <c r="D1" s="16">
        <v>1</v>
      </c>
      <c r="E1" t="s">
        <v>11</v>
      </c>
      <c r="F1" t="s">
        <v>5</v>
      </c>
      <c r="G1" t="s">
        <v>12</v>
      </c>
      <c r="H1" t="s">
        <v>13</v>
      </c>
      <c r="I1" t="s">
        <v>14</v>
      </c>
      <c r="J1" t="s">
        <v>167</v>
      </c>
      <c r="K1" t="s">
        <v>153</v>
      </c>
      <c r="L1" t="s">
        <v>15</v>
      </c>
      <c r="M1" t="s">
        <v>16</v>
      </c>
      <c r="N1" t="s">
        <v>17</v>
      </c>
      <c r="O1" t="s">
        <v>4</v>
      </c>
      <c r="P1" t="s">
        <v>10</v>
      </c>
      <c r="Q1" t="s">
        <v>0</v>
      </c>
    </row>
    <row r="2" spans="1:18">
      <c r="A2">
        <v>2010</v>
      </c>
      <c r="B2">
        <v>1</v>
      </c>
      <c r="D2" s="16"/>
      <c r="E2">
        <v>94.730805196105507</v>
      </c>
      <c r="F2">
        <v>7.9881105606758842</v>
      </c>
      <c r="G2">
        <f>F2*E2</f>
        <v>756.72014540834027</v>
      </c>
    </row>
    <row r="3" spans="1:18">
      <c r="A3">
        <v>2010</v>
      </c>
      <c r="B3">
        <v>2</v>
      </c>
      <c r="D3" s="16"/>
      <c r="E3">
        <v>99.016440801199792</v>
      </c>
      <c r="F3">
        <v>7.9223897491039432</v>
      </c>
      <c r="G3">
        <f>F3*E3</f>
        <v>784.44683559618272</v>
      </c>
    </row>
    <row r="4" spans="1:18">
      <c r="A4">
        <v>2010</v>
      </c>
      <c r="B4">
        <v>3</v>
      </c>
      <c r="D4" s="16"/>
      <c r="E4">
        <v>96.641156213138927</v>
      </c>
      <c r="F4">
        <v>7.9007316487455173</v>
      </c>
      <c r="G4">
        <f>F4*E4</f>
        <v>763.53584146450623</v>
      </c>
    </row>
    <row r="5" spans="1:18">
      <c r="A5">
        <v>2010</v>
      </c>
      <c r="B5">
        <v>4</v>
      </c>
      <c r="D5" s="16"/>
      <c r="E5">
        <v>109.6115977895558</v>
      </c>
      <c r="F5">
        <v>7.9313300358422945</v>
      </c>
      <c r="G5">
        <f>F5*E5</f>
        <v>869.3657578249688</v>
      </c>
    </row>
    <row r="6" spans="1:18">
      <c r="A6">
        <v>2011</v>
      </c>
      <c r="B6">
        <v>1</v>
      </c>
      <c r="C6" s="21">
        <v>12.9</v>
      </c>
      <c r="D6" s="22">
        <f>L6*38.36614+46.83981*M6+O6*16.76801+0.8809227</f>
        <v>23.804202152306651</v>
      </c>
      <c r="E6">
        <v>125.02103590955046</v>
      </c>
      <c r="F6">
        <v>7.9448180491551481</v>
      </c>
      <c r="G6">
        <v>993.26453776567303</v>
      </c>
      <c r="H6">
        <v>2388.6666666666665</v>
      </c>
      <c r="I6">
        <v>221268.12831914166</v>
      </c>
      <c r="J6" s="5">
        <v>5.0999999999999997E-2</v>
      </c>
      <c r="K6" s="5">
        <f>E6/E2-1</f>
        <v>0.31975058853073302</v>
      </c>
      <c r="L6" s="23">
        <v>0.31318625439710951</v>
      </c>
      <c r="M6" s="23">
        <v>0.1982848448642657</v>
      </c>
      <c r="N6" s="23">
        <v>0.15253396757015594</v>
      </c>
      <c r="O6" s="23">
        <v>9.6607010057236931E-2</v>
      </c>
      <c r="P6">
        <v>0.19899999999999998</v>
      </c>
      <c r="Q6">
        <v>7.7000000000000027E-2</v>
      </c>
    </row>
    <row r="7" spans="1:18">
      <c r="A7">
        <v>2011</v>
      </c>
      <c r="B7">
        <v>2</v>
      </c>
      <c r="C7" s="21">
        <v>16.3</v>
      </c>
      <c r="D7" s="22">
        <f t="shared" ref="D7:D37" si="0">L7*38.36614+46.83981*M7+O7*16.76801+0.8809227</f>
        <v>22.568573545417667</v>
      </c>
      <c r="E7">
        <v>130.06922027303122</v>
      </c>
      <c r="F7">
        <v>7.970932258064515</v>
      </c>
      <c r="G7">
        <v>1036.7659626477844</v>
      </c>
      <c r="H7">
        <v>2604.6666666666665</v>
      </c>
      <c r="I7">
        <v>227767.02637276668</v>
      </c>
      <c r="J7" s="5">
        <v>3.9E-2</v>
      </c>
      <c r="K7" s="5">
        <f t="shared" ref="K7:K41" si="1">E7/E3-1</f>
        <v>0.31361235791314312</v>
      </c>
      <c r="L7" s="23">
        <v>0.32343005127159014</v>
      </c>
      <c r="M7" s="23">
        <v>0.17078959874030356</v>
      </c>
      <c r="N7" s="23">
        <v>0.11825938509194318</v>
      </c>
      <c r="O7" s="23">
        <v>7.6284297489839517E-2</v>
      </c>
      <c r="P7">
        <v>0.19866666666666663</v>
      </c>
      <c r="Q7">
        <v>0.1076666666666667</v>
      </c>
    </row>
    <row r="8" spans="1:18">
      <c r="A8">
        <v>2011</v>
      </c>
      <c r="B8">
        <v>3</v>
      </c>
      <c r="C8" s="21">
        <v>14.9</v>
      </c>
      <c r="D8" s="22">
        <f t="shared" si="0"/>
        <v>23.158290716825874</v>
      </c>
      <c r="E8">
        <v>131.30514166327899</v>
      </c>
      <c r="F8">
        <v>7.9717186021505384</v>
      </c>
      <c r="G8">
        <v>1046.7274622702992</v>
      </c>
      <c r="H8">
        <v>2726.6666666666665</v>
      </c>
      <c r="I8">
        <v>235648.5684417733</v>
      </c>
      <c r="J8" s="5">
        <v>6.5000000000000002E-2</v>
      </c>
      <c r="K8" s="5">
        <f t="shared" si="1"/>
        <v>0.35868761103902536</v>
      </c>
      <c r="L8" s="23">
        <v>0.37285952164135722</v>
      </c>
      <c r="M8" s="23">
        <v>0.16938044620443335</v>
      </c>
      <c r="N8" s="23">
        <v>6.744143808371901E-2</v>
      </c>
      <c r="O8" s="23">
        <v>2.2924301255577983E-3</v>
      </c>
      <c r="P8">
        <v>0.20499999999999999</v>
      </c>
      <c r="Q8">
        <v>8.4666666666666682E-2</v>
      </c>
    </row>
    <row r="9" spans="1:18">
      <c r="A9">
        <v>2011</v>
      </c>
      <c r="B9">
        <v>4</v>
      </c>
      <c r="C9" s="21">
        <v>12.7</v>
      </c>
      <c r="D9" s="22">
        <f t="shared" si="0"/>
        <v>12.94945751724185</v>
      </c>
      <c r="E9">
        <v>120.13139723510209</v>
      </c>
      <c r="F9">
        <v>7.9827819354838709</v>
      </c>
      <c r="G9">
        <v>958.96763149003436</v>
      </c>
      <c r="H9">
        <v>2836.6666666666665</v>
      </c>
      <c r="I9">
        <v>234117.85235303667</v>
      </c>
      <c r="J9" s="5">
        <v>5.000000000000001E-2</v>
      </c>
      <c r="K9" s="5">
        <f t="shared" si="1"/>
        <v>9.5973415748790813E-2</v>
      </c>
      <c r="L9" s="23">
        <v>0.10585556000507819</v>
      </c>
      <c r="M9" s="23">
        <v>0.16529479423332583</v>
      </c>
      <c r="N9" s="23">
        <v>6.658713632399256E-2</v>
      </c>
      <c r="O9" s="23">
        <v>1.5797272689516657E-2</v>
      </c>
      <c r="P9">
        <v>0.15933333333333333</v>
      </c>
      <c r="Q9">
        <v>5.0666666666666672E-2</v>
      </c>
    </row>
    <row r="10" spans="1:18">
      <c r="A10">
        <v>2012</v>
      </c>
      <c r="B10">
        <v>1</v>
      </c>
      <c r="C10" s="21">
        <v>10.4</v>
      </c>
      <c r="D10" s="22">
        <f t="shared" si="0"/>
        <v>9.2951582360087652</v>
      </c>
      <c r="E10">
        <v>123.26224103838098</v>
      </c>
      <c r="F10">
        <v>7.9881612532443489</v>
      </c>
      <c r="G10">
        <v>984.63483386884457</v>
      </c>
      <c r="H10">
        <v>2814.6666666666665</v>
      </c>
      <c r="I10">
        <v>231642.60637568333</v>
      </c>
      <c r="J10" s="5">
        <v>2.5000000000000005E-2</v>
      </c>
      <c r="K10" s="5">
        <f t="shared" si="1"/>
        <v>-1.4067991505380961E-2</v>
      </c>
      <c r="L10" s="23">
        <v>-8.5773853569115124E-3</v>
      </c>
      <c r="M10" s="23">
        <v>0.17902683765625471</v>
      </c>
      <c r="N10" s="23">
        <v>4.6867650591472687E-2</v>
      </c>
      <c r="O10" s="23">
        <v>2.133429325997338E-2</v>
      </c>
      <c r="P10">
        <v>8.5999999999999979E-2</v>
      </c>
      <c r="Q10">
        <v>2.8666666666666698E-2</v>
      </c>
      <c r="R10" s="5"/>
    </row>
    <row r="11" spans="1:18">
      <c r="A11">
        <v>2012</v>
      </c>
      <c r="B11">
        <v>2</v>
      </c>
      <c r="C11" s="21">
        <v>8.1999999999999993</v>
      </c>
      <c r="D11" s="22">
        <f t="shared" si="0"/>
        <v>6.2303955781047886</v>
      </c>
      <c r="E11">
        <v>121.8435434408123</v>
      </c>
      <c r="F11">
        <v>7.989999139784949</v>
      </c>
      <c r="G11">
        <v>973.5204407269797</v>
      </c>
      <c r="H11">
        <v>3022</v>
      </c>
      <c r="I11">
        <v>237339.25178580833</v>
      </c>
      <c r="J11" s="5">
        <v>3.1E-2</v>
      </c>
      <c r="K11" s="5">
        <f t="shared" si="1"/>
        <v>-6.3240763763726893E-2</v>
      </c>
      <c r="L11" s="23">
        <v>-6.1120631589479148E-2</v>
      </c>
      <c r="M11" s="23">
        <v>0.1604440959291514</v>
      </c>
      <c r="N11" s="23">
        <v>4.2022287126374014E-2</v>
      </c>
      <c r="O11" s="23">
        <v>1.0690870151672286E-2</v>
      </c>
      <c r="P11">
        <v>5.2333333333333343E-2</v>
      </c>
      <c r="Q11">
        <v>-3.6666666666666952E-3</v>
      </c>
      <c r="R11" s="5"/>
    </row>
    <row r="12" spans="1:18">
      <c r="A12">
        <v>2012</v>
      </c>
      <c r="B12">
        <v>3</v>
      </c>
      <c r="C12" s="21">
        <v>6.4</v>
      </c>
      <c r="D12" s="22">
        <f t="shared" si="0"/>
        <v>4.5084924230529086</v>
      </c>
      <c r="E12">
        <v>118.18345119254793</v>
      </c>
      <c r="F12">
        <v>7.9929569892473085</v>
      </c>
      <c r="G12">
        <v>944.63518457666203</v>
      </c>
      <c r="H12">
        <v>3096</v>
      </c>
      <c r="I12">
        <v>246793.90251091166</v>
      </c>
      <c r="J12" s="5">
        <v>-1.3000000000000003E-2</v>
      </c>
      <c r="K12" s="5">
        <f t="shared" si="1"/>
        <v>-9.9932800075571482E-2</v>
      </c>
      <c r="L12" s="23">
        <v>-9.7550915473465907E-2</v>
      </c>
      <c r="M12" s="23">
        <v>0.13546395676940151</v>
      </c>
      <c r="N12" s="23">
        <v>4.7340451897814294E-2</v>
      </c>
      <c r="O12" s="23">
        <v>6.1135209622912155E-2</v>
      </c>
      <c r="P12">
        <v>1.0333333333333363E-2</v>
      </c>
      <c r="Q12">
        <v>-3.333333333333144E-4</v>
      </c>
      <c r="R12" s="5"/>
    </row>
    <row r="13" spans="1:18">
      <c r="A13">
        <v>2012</v>
      </c>
      <c r="B13">
        <v>4</v>
      </c>
      <c r="C13" s="21">
        <v>7.2</v>
      </c>
      <c r="D13" s="22">
        <f t="shared" si="0"/>
        <v>8.225170228051935</v>
      </c>
      <c r="E13">
        <v>120.45473599599109</v>
      </c>
      <c r="F13">
        <v>7.9929999999999977</v>
      </c>
      <c r="G13">
        <v>962.79470481595638</v>
      </c>
      <c r="H13">
        <v>3195</v>
      </c>
      <c r="I13">
        <v>245288.56352256332</v>
      </c>
      <c r="J13" s="5">
        <v>-2.3000000000000003E-2</v>
      </c>
      <c r="K13" s="5">
        <f t="shared" si="1"/>
        <v>2.6915424970561652E-3</v>
      </c>
      <c r="L13" s="23">
        <v>4.5787514907373135E-3</v>
      </c>
      <c r="M13" s="23">
        <v>0.12714048373915379</v>
      </c>
      <c r="N13" s="23">
        <v>4.7696256165897712E-2</v>
      </c>
      <c r="O13" s="23">
        <v>7.2360548788022269E-2</v>
      </c>
      <c r="P13">
        <v>2.9999999999999714E-3</v>
      </c>
      <c r="Q13">
        <v>-1.3333333333333522E-3</v>
      </c>
      <c r="R13" s="5"/>
    </row>
    <row r="14" spans="1:18">
      <c r="A14">
        <v>2013</v>
      </c>
      <c r="B14">
        <v>1</v>
      </c>
      <c r="C14" s="21">
        <v>5.3</v>
      </c>
      <c r="D14" s="22">
        <f t="shared" si="0"/>
        <v>7.9278678223973875</v>
      </c>
      <c r="E14">
        <v>125.30079485998897</v>
      </c>
      <c r="F14">
        <v>7.9929999999999977</v>
      </c>
      <c r="G14">
        <v>1001.5292533158913</v>
      </c>
      <c r="H14">
        <v>3085.3333333333335</v>
      </c>
      <c r="I14">
        <v>254148.84342702167</v>
      </c>
      <c r="J14" s="5">
        <v>-1.2000000000000002E-2</v>
      </c>
      <c r="K14" s="5">
        <f t="shared" si="1"/>
        <v>1.6538347870644676E-2</v>
      </c>
      <c r="L14" s="23">
        <v>1.7913920603279676E-2</v>
      </c>
      <c r="M14" s="23">
        <v>9.6177690090994972E-2</v>
      </c>
      <c r="N14" s="23">
        <v>9.7282846181759419E-2</v>
      </c>
      <c r="O14" s="23">
        <v>0.11061016820016138</v>
      </c>
      <c r="P14">
        <v>2.666666666666657E-3</v>
      </c>
      <c r="Q14">
        <v>-5.0000000000000001E-3</v>
      </c>
    </row>
    <row r="15" spans="1:18">
      <c r="A15">
        <v>2013</v>
      </c>
      <c r="B15">
        <v>2</v>
      </c>
      <c r="C15" s="21">
        <v>3.8</v>
      </c>
      <c r="D15" s="22">
        <f t="shared" si="0"/>
        <v>5.928424490698819</v>
      </c>
      <c r="E15">
        <v>117.00244230725855</v>
      </c>
      <c r="F15">
        <v>7.9929999999999977</v>
      </c>
      <c r="G15">
        <v>935.20052136191714</v>
      </c>
      <c r="H15">
        <v>3288.6666666666665</v>
      </c>
      <c r="I15">
        <v>267968.54753835336</v>
      </c>
      <c r="J15" s="5">
        <v>-1.3000000000000003E-2</v>
      </c>
      <c r="K15" s="5">
        <f t="shared" si="1"/>
        <v>-3.9732110515198538E-2</v>
      </c>
      <c r="L15" s="23">
        <v>-3.9154207072553716E-2</v>
      </c>
      <c r="M15" s="23">
        <v>8.8339078699808102E-2</v>
      </c>
      <c r="N15" s="23">
        <v>0.12897016008535744</v>
      </c>
      <c r="O15" s="23">
        <v>0.14384008114017979</v>
      </c>
      <c r="P15">
        <v>-2.3333333333332954E-3</v>
      </c>
      <c r="Q15">
        <v>-4.3333333333333236E-3</v>
      </c>
    </row>
    <row r="16" spans="1:18">
      <c r="A16">
        <v>2013</v>
      </c>
      <c r="B16">
        <v>3</v>
      </c>
      <c r="C16" s="21">
        <v>4</v>
      </c>
      <c r="D16" s="22">
        <f>L16*38.36614+46.83981*M16+O16*16.76801+0.8809227</f>
        <v>5.4419553843525383</v>
      </c>
      <c r="E16">
        <v>113.43030685102111</v>
      </c>
      <c r="F16">
        <v>7.9929999999999977</v>
      </c>
      <c r="G16">
        <v>906.64844266021146</v>
      </c>
      <c r="H16">
        <v>3331.3333333333335</v>
      </c>
      <c r="I16">
        <v>280905.95566775999</v>
      </c>
      <c r="J16" s="5">
        <v>-1.2000000000000002E-2</v>
      </c>
      <c r="K16" s="5">
        <f t="shared" si="1"/>
        <v>-4.0218357930526638E-2</v>
      </c>
      <c r="L16" s="23">
        <v>-4.0222785380790826E-2</v>
      </c>
      <c r="M16" s="23">
        <v>7.5897280667262201E-2</v>
      </c>
      <c r="N16" s="23">
        <v>0.1382039273335828</v>
      </c>
      <c r="O16" s="23">
        <v>0.15202826653196641</v>
      </c>
      <c r="P16">
        <v>-1.1333333333333353E-2</v>
      </c>
      <c r="Q16">
        <v>-3.0000000000000187E-3</v>
      </c>
    </row>
    <row r="17" spans="1:17">
      <c r="A17">
        <v>2013</v>
      </c>
      <c r="B17">
        <v>4</v>
      </c>
      <c r="C17" s="21">
        <v>4.3</v>
      </c>
      <c r="D17" s="22">
        <f t="shared" si="0"/>
        <v>3.5541970395125153</v>
      </c>
      <c r="E17">
        <v>112.12352986496012</v>
      </c>
      <c r="F17">
        <v>7.9929999999999977</v>
      </c>
      <c r="G17">
        <v>896.20337421062595</v>
      </c>
      <c r="H17">
        <v>3390</v>
      </c>
      <c r="I17">
        <v>290859.34285346669</v>
      </c>
      <c r="J17" s="5">
        <v>3.3000000000000002E-2</v>
      </c>
      <c r="K17" s="5">
        <f t="shared" si="1"/>
        <v>-6.916462073610985E-2</v>
      </c>
      <c r="L17" s="23">
        <v>-6.9106943066113383E-2</v>
      </c>
      <c r="M17" s="23">
        <v>6.0720786587284824E-2</v>
      </c>
      <c r="N17" s="23">
        <v>0.18581163862479574</v>
      </c>
      <c r="O17" s="23">
        <v>0.14792995026601732</v>
      </c>
      <c r="P17">
        <v>6.6666666666666671E-3</v>
      </c>
      <c r="Q17">
        <v>2.0000000000000282E-3</v>
      </c>
    </row>
    <row r="18" spans="1:17">
      <c r="A18">
        <v>2014</v>
      </c>
      <c r="B18">
        <v>1</v>
      </c>
      <c r="C18" s="21">
        <v>5.3</v>
      </c>
      <c r="D18" s="22">
        <f t="shared" si="0"/>
        <v>4.6105380265471902</v>
      </c>
      <c r="E18">
        <v>105.18761551084394</v>
      </c>
      <c r="F18">
        <v>8.8559703917050658</v>
      </c>
      <c r="G18">
        <v>930.73151558954817</v>
      </c>
      <c r="H18">
        <v>3263.6666666666665</v>
      </c>
      <c r="I18">
        <v>306994.74808900664</v>
      </c>
      <c r="J18" s="5">
        <v>-0.01</v>
      </c>
      <c r="K18" s="5">
        <f t="shared" si="1"/>
        <v>-0.16051916806768451</v>
      </c>
      <c r="L18" s="23">
        <v>-6.9383354858194801E-2</v>
      </c>
      <c r="M18" s="23">
        <v>5.769071940945647E-2</v>
      </c>
      <c r="N18" s="23">
        <v>0.20782375200373071</v>
      </c>
      <c r="O18" s="23">
        <v>0.22002399192296038</v>
      </c>
      <c r="P18">
        <v>3.0666666666666675E-2</v>
      </c>
      <c r="Q18">
        <v>1.7000000000000029E-2</v>
      </c>
    </row>
    <row r="19" spans="1:17">
      <c r="A19">
        <v>2014</v>
      </c>
      <c r="B19">
        <v>2</v>
      </c>
      <c r="C19" s="21">
        <v>12.6</v>
      </c>
      <c r="D19" s="22">
        <f t="shared" si="0"/>
        <v>19.945880279340408</v>
      </c>
      <c r="E19">
        <v>99.140916209858133</v>
      </c>
      <c r="F19">
        <v>12.070866002867383</v>
      </c>
      <c r="G19">
        <v>1198.0945579824777</v>
      </c>
      <c r="H19">
        <v>3487.6666666666665</v>
      </c>
      <c r="I19">
        <v>340610.60670551832</v>
      </c>
      <c r="J19" s="5">
        <v>-4.3000000000000003E-2</v>
      </c>
      <c r="K19" s="5">
        <f t="shared" si="1"/>
        <v>-0.15265942953989375</v>
      </c>
      <c r="L19" s="23">
        <v>0.27965654494095077</v>
      </c>
      <c r="M19" s="23">
        <v>6.0449555138238097E-2</v>
      </c>
      <c r="N19" s="23">
        <v>0.27113927161545831</v>
      </c>
      <c r="O19" s="23">
        <v>0.32825420231500346</v>
      </c>
      <c r="P19">
        <v>0.10733333333333335</v>
      </c>
      <c r="Q19">
        <v>9.9333333333333371E-2</v>
      </c>
    </row>
    <row r="20" spans="1:17">
      <c r="A20">
        <v>2014</v>
      </c>
      <c r="B20">
        <v>3</v>
      </c>
      <c r="C20" s="21">
        <v>16.8</v>
      </c>
      <c r="D20" s="22">
        <f t="shared" si="0"/>
        <v>16.122487257758753</v>
      </c>
      <c r="E20">
        <v>87.719134292217973</v>
      </c>
      <c r="F20">
        <v>12.581832520430106</v>
      </c>
      <c r="G20">
        <v>1102.0763812235625</v>
      </c>
      <c r="H20">
        <v>3462.6666666666665</v>
      </c>
      <c r="I20">
        <v>347131.83157775662</v>
      </c>
      <c r="J20" s="5">
        <v>-5.2999999999999999E-2</v>
      </c>
      <c r="K20" s="5">
        <f t="shared" si="1"/>
        <v>-0.22666933796249078</v>
      </c>
      <c r="L20" s="23">
        <v>0.21551751731814237</v>
      </c>
      <c r="M20" s="23">
        <v>3.9645272675002584E-2</v>
      </c>
      <c r="N20" s="23">
        <v>0.23593491987032791</v>
      </c>
      <c r="O20" s="23">
        <v>0.30510551200668212</v>
      </c>
      <c r="P20">
        <v>0.24533333333333338</v>
      </c>
      <c r="Q20">
        <v>0.14766666666666664</v>
      </c>
    </row>
    <row r="21" spans="1:17">
      <c r="A21">
        <v>2014</v>
      </c>
      <c r="B21">
        <v>4</v>
      </c>
      <c r="C21" s="21">
        <v>27.8</v>
      </c>
      <c r="D21" s="22">
        <f t="shared" si="0"/>
        <v>20.959860424072861</v>
      </c>
      <c r="E21">
        <v>78.897313453793686</v>
      </c>
      <c r="F21">
        <v>14.436797887096775</v>
      </c>
      <c r="G21">
        <v>1136.395799183965</v>
      </c>
      <c r="H21">
        <v>3685</v>
      </c>
      <c r="I21">
        <v>334404.86917568499</v>
      </c>
      <c r="J21" s="5">
        <v>-0.14400000000000002</v>
      </c>
      <c r="K21" s="5">
        <f t="shared" si="1"/>
        <v>-0.29633580436848161</v>
      </c>
      <c r="L21" s="23">
        <v>0.26778395282275946</v>
      </c>
      <c r="M21" s="23">
        <v>8.6276119683867059E-2</v>
      </c>
      <c r="N21" s="23">
        <v>0.15024696812882699</v>
      </c>
      <c r="O21" s="23">
        <v>0.34374645809442406</v>
      </c>
      <c r="P21">
        <v>0.30166666666666675</v>
      </c>
      <c r="Q21">
        <v>0.22166666666666668</v>
      </c>
    </row>
    <row r="22" spans="1:17">
      <c r="A22">
        <v>2015</v>
      </c>
      <c r="B22">
        <v>1</v>
      </c>
      <c r="C22" s="21">
        <v>41.2</v>
      </c>
      <c r="D22" s="22">
        <f t="shared" si="0"/>
        <v>36.522340598941504</v>
      </c>
      <c r="E22">
        <v>73.209676589962925</v>
      </c>
      <c r="F22">
        <v>21.2308742265745</v>
      </c>
      <c r="G22">
        <v>1549.9859763012144</v>
      </c>
      <c r="H22">
        <v>3650.3333333333335</v>
      </c>
      <c r="I22">
        <v>330310.82714344998</v>
      </c>
      <c r="J22" s="5">
        <v>-0.16</v>
      </c>
      <c r="K22" s="5">
        <f t="shared" si="1"/>
        <v>-0.30400859231935307</v>
      </c>
      <c r="L22" s="23">
        <v>0.66169594651319852</v>
      </c>
      <c r="M22" s="23">
        <v>0.11808404309692559</v>
      </c>
      <c r="N22" s="23">
        <v>7.663381196153396E-2</v>
      </c>
      <c r="O22" s="23">
        <v>0.28170691900182621</v>
      </c>
      <c r="P22">
        <v>0.42266666666666658</v>
      </c>
      <c r="Q22">
        <v>0.36266666666666669</v>
      </c>
    </row>
    <row r="23" spans="1:17">
      <c r="A23">
        <v>2015</v>
      </c>
      <c r="B23">
        <v>2</v>
      </c>
      <c r="C23" s="21">
        <v>39.700000000000003</v>
      </c>
      <c r="D23" s="22">
        <f t="shared" si="0"/>
        <v>21.227386024233613</v>
      </c>
      <c r="E23">
        <v>69.190544535974638</v>
      </c>
      <c r="F23">
        <v>21.619186881362008</v>
      </c>
      <c r="G23">
        <v>1495.0261354036484</v>
      </c>
      <c r="H23">
        <v>4113</v>
      </c>
      <c r="I23">
        <v>330388.03023854335</v>
      </c>
      <c r="J23" s="5">
        <v>-0.14499999999999999</v>
      </c>
      <c r="K23" s="5">
        <f t="shared" si="1"/>
        <v>-0.30209900028042469</v>
      </c>
      <c r="L23" s="23">
        <v>0.25280569200122266</v>
      </c>
      <c r="M23" s="23">
        <v>0.17905970557189885</v>
      </c>
      <c r="N23" s="23">
        <v>-2.9754443095788303E-2</v>
      </c>
      <c r="O23" s="23">
        <v>0.13479012503416574</v>
      </c>
      <c r="P23">
        <v>0.42833333333333329</v>
      </c>
      <c r="Q23">
        <v>0.58933333333333338</v>
      </c>
    </row>
    <row r="24" spans="1:17">
      <c r="A24">
        <v>2015</v>
      </c>
      <c r="B24">
        <v>3</v>
      </c>
      <c r="C24" s="21">
        <v>38.4</v>
      </c>
      <c r="D24" s="22">
        <f t="shared" si="0"/>
        <v>23.937667605123458</v>
      </c>
      <c r="E24">
        <v>65.494986104012767</v>
      </c>
      <c r="F24">
        <v>21.722553238709679</v>
      </c>
      <c r="G24">
        <v>1422.7676638423036</v>
      </c>
      <c r="H24">
        <v>4312.666666666667</v>
      </c>
      <c r="I24">
        <v>328965.17657010001</v>
      </c>
      <c r="J24" s="5">
        <v>-7.0000000000000007E-2</v>
      </c>
      <c r="K24" s="5">
        <f t="shared" si="1"/>
        <v>-0.2533557628848695</v>
      </c>
      <c r="L24" s="23">
        <v>0.29290665117445397</v>
      </c>
      <c r="M24" s="23">
        <v>0.24552310034834721</v>
      </c>
      <c r="N24" s="23">
        <v>-5.2318920854396191E-2</v>
      </c>
      <c r="O24" s="23">
        <v>1.9011913059789148E-2</v>
      </c>
      <c r="P24">
        <v>0.34166666666666662</v>
      </c>
      <c r="Q24">
        <v>0.53333333333333355</v>
      </c>
    </row>
    <row r="25" spans="1:17">
      <c r="A25">
        <v>2015</v>
      </c>
      <c r="B25">
        <v>4</v>
      </c>
      <c r="C25" s="21">
        <v>35</v>
      </c>
      <c r="D25" s="22">
        <f t="shared" si="0"/>
        <v>22.889372412843937</v>
      </c>
      <c r="E25">
        <v>60.815863631141575</v>
      </c>
      <c r="F25">
        <v>22.854106237634408</v>
      </c>
      <c r="G25">
        <v>1388.0995915603096</v>
      </c>
      <c r="H25">
        <v>4753.333333333333</v>
      </c>
      <c r="I25">
        <v>322729.83036133501</v>
      </c>
      <c r="J25" s="5">
        <v>-2.4000000000000004E-2</v>
      </c>
      <c r="K25" s="5">
        <f t="shared" si="1"/>
        <v>-0.22917700275360497</v>
      </c>
      <c r="L25" s="23">
        <v>0.22518029676690729</v>
      </c>
      <c r="M25" s="23">
        <v>0.28930133448528966</v>
      </c>
      <c r="N25" s="23">
        <v>-3.4574216699389537E-2</v>
      </c>
      <c r="O25" s="23">
        <v>-1.083423842150566E-2</v>
      </c>
      <c r="P25">
        <v>0.26899999999999996</v>
      </c>
      <c r="Q25">
        <v>0.45433333333333342</v>
      </c>
    </row>
    <row r="26" spans="1:17">
      <c r="A26">
        <v>2016</v>
      </c>
      <c r="B26">
        <v>1</v>
      </c>
      <c r="C26" s="21">
        <v>20.9</v>
      </c>
      <c r="D26" s="22">
        <f t="shared" si="0"/>
        <v>12.600579523413787</v>
      </c>
      <c r="E26">
        <v>57.727197592771404</v>
      </c>
      <c r="F26">
        <v>25.669635638857994</v>
      </c>
      <c r="G26">
        <v>1482.7320954886866</v>
      </c>
      <c r="H26">
        <v>4622.333333333333</v>
      </c>
      <c r="I26">
        <v>331732.91779812664</v>
      </c>
      <c r="J26" s="5">
        <v>1E-3</v>
      </c>
      <c r="K26" s="5">
        <f t="shared" si="1"/>
        <v>-0.2114813193876911</v>
      </c>
      <c r="L26" s="23">
        <v>-2.0812472389178344E-2</v>
      </c>
      <c r="M26" s="23">
        <v>0.26606067220002755</v>
      </c>
      <c r="N26" s="23">
        <v>4.3382397935167738E-3</v>
      </c>
      <c r="O26" s="23">
        <v>3.3349048886281984E-3</v>
      </c>
      <c r="P26">
        <v>0.16366666666666668</v>
      </c>
      <c r="Q26">
        <v>0.313</v>
      </c>
    </row>
    <row r="27" spans="1:17">
      <c r="A27">
        <v>2016</v>
      </c>
      <c r="B27">
        <v>2</v>
      </c>
      <c r="C27" s="21">
        <v>15.3</v>
      </c>
      <c r="D27" s="22">
        <f t="shared" si="0"/>
        <v>14.389801134481798</v>
      </c>
      <c r="E27">
        <v>63.032488909992544</v>
      </c>
      <c r="F27">
        <v>25.262438794623659</v>
      </c>
      <c r="G27">
        <v>1592.1913577419446</v>
      </c>
      <c r="H27">
        <v>5072</v>
      </c>
      <c r="I27">
        <v>337735.73980871501</v>
      </c>
      <c r="J27" s="5">
        <v>1.7000000000000001E-2</v>
      </c>
      <c r="K27" s="5">
        <f t="shared" si="1"/>
        <v>-8.9001404271074946E-2</v>
      </c>
      <c r="L27" s="23">
        <v>6.5434839421167831E-2</v>
      </c>
      <c r="M27" s="23">
        <v>0.23295554184218306</v>
      </c>
      <c r="N27" s="23">
        <v>2.226470078676453E-2</v>
      </c>
      <c r="O27" s="23">
        <v>5.1766969388049216E-3</v>
      </c>
      <c r="P27">
        <v>0.14066666666666669</v>
      </c>
      <c r="Q27">
        <v>8.0666666666666678E-2</v>
      </c>
    </row>
    <row r="28" spans="1:17">
      <c r="A28">
        <v>2016</v>
      </c>
      <c r="B28">
        <v>3</v>
      </c>
      <c r="C28" s="21">
        <v>15.3</v>
      </c>
      <c r="D28" s="22">
        <f t="shared" si="0"/>
        <v>15.931441211945275</v>
      </c>
      <c r="E28">
        <v>60.875215760700605</v>
      </c>
      <c r="F28">
        <v>25.385684131182796</v>
      </c>
      <c r="G28">
        <v>1544.886585165041</v>
      </c>
      <c r="H28">
        <v>5311.333333333333</v>
      </c>
      <c r="I28">
        <v>355410.64953295002</v>
      </c>
      <c r="J28" s="5">
        <v>2.7000000000000007E-2</v>
      </c>
      <c r="K28" s="5">
        <f t="shared" si="1"/>
        <v>-7.0536244346635857E-2</v>
      </c>
      <c r="L28" s="23">
        <v>8.6707799982288433E-2</v>
      </c>
      <c r="M28" s="23">
        <v>0.23165129845455326</v>
      </c>
      <c r="N28" s="23">
        <v>8.0491926586140725E-2</v>
      </c>
      <c r="O28" s="23">
        <v>5.2085614981636587E-2</v>
      </c>
      <c r="P28">
        <v>0.18933333333333333</v>
      </c>
      <c r="Q28">
        <v>8.066666666666672E-2</v>
      </c>
    </row>
    <row r="29" spans="1:17">
      <c r="A29">
        <v>2016</v>
      </c>
      <c r="B29">
        <v>4</v>
      </c>
      <c r="C29" s="21">
        <v>17.399999999999999</v>
      </c>
      <c r="D29" s="22">
        <f t="shared" si="0"/>
        <v>20.796749320028706</v>
      </c>
      <c r="E29">
        <v>66.234315955768537</v>
      </c>
      <c r="F29">
        <v>25.887578374193549</v>
      </c>
      <c r="G29">
        <v>1714.9803393378436</v>
      </c>
      <c r="H29">
        <v>5743.666666666667</v>
      </c>
      <c r="I29">
        <v>360205.31619122002</v>
      </c>
      <c r="J29" s="5">
        <v>4.6000000000000006E-2</v>
      </c>
      <c r="K29" s="5">
        <f t="shared" si="1"/>
        <v>8.9096035164291765E-2</v>
      </c>
      <c r="L29" s="23">
        <v>0.237354219542835</v>
      </c>
      <c r="M29" s="23">
        <v>0.20680382429227873</v>
      </c>
      <c r="N29" s="23">
        <v>0.11604163322810541</v>
      </c>
      <c r="O29" s="23">
        <v>6.6961408439871306E-2</v>
      </c>
      <c r="P29">
        <v>0.3229999999999999</v>
      </c>
      <c r="Q29">
        <v>0.12300000000000001</v>
      </c>
    </row>
    <row r="30" spans="1:17">
      <c r="A30">
        <v>2017</v>
      </c>
      <c r="B30">
        <v>1</v>
      </c>
      <c r="C30" s="21">
        <v>26.6</v>
      </c>
      <c r="D30" s="22">
        <f t="shared" si="0"/>
        <v>31.435073679481238</v>
      </c>
      <c r="E30">
        <v>71.913105870063021</v>
      </c>
      <c r="F30">
        <v>27.059981798003069</v>
      </c>
      <c r="G30">
        <v>1945.9684410171067</v>
      </c>
      <c r="H30">
        <v>6323</v>
      </c>
      <c r="I30">
        <v>364243.22864574502</v>
      </c>
      <c r="J30" s="5">
        <v>2.7999999999999997E-2</v>
      </c>
      <c r="K30" s="5">
        <f t="shared" si="1"/>
        <v>0.24574046322782128</v>
      </c>
      <c r="L30" s="23">
        <v>0.31740294343982017</v>
      </c>
      <c r="M30" s="23">
        <v>0.36796867879427769</v>
      </c>
      <c r="N30" s="23">
        <v>9.7954120756411786E-2</v>
      </c>
      <c r="O30" s="23">
        <v>6.8048755599622313E-2</v>
      </c>
      <c r="P30">
        <v>0.38000000000000006</v>
      </c>
      <c r="Q30">
        <v>0.13966666666666663</v>
      </c>
    </row>
    <row r="31" spans="1:17">
      <c r="A31">
        <v>2017</v>
      </c>
      <c r="B31">
        <v>2</v>
      </c>
      <c r="C31" s="21">
        <v>20.9</v>
      </c>
      <c r="D31" s="22">
        <f t="shared" si="0"/>
        <v>21.895354157968487</v>
      </c>
      <c r="E31">
        <v>64.204964156478169</v>
      </c>
      <c r="F31">
        <v>26.463126088888888</v>
      </c>
      <c r="G31">
        <v>1699.5103224472871</v>
      </c>
      <c r="H31">
        <v>6953</v>
      </c>
      <c r="I31">
        <v>368648.816115305</v>
      </c>
      <c r="J31" s="5">
        <v>2.6000000000000006E-2</v>
      </c>
      <c r="K31" s="5">
        <f t="shared" si="1"/>
        <v>1.8601125653785688E-2</v>
      </c>
      <c r="L31" s="23">
        <v>6.7341631217087208E-2</v>
      </c>
      <c r="M31" s="23">
        <v>0.37060375909116838</v>
      </c>
      <c r="N31" s="23">
        <v>9.1580215704709797E-2</v>
      </c>
      <c r="O31" s="23">
        <v>6.3918338893479351E-2</v>
      </c>
      <c r="P31">
        <v>0.29666666666666663</v>
      </c>
      <c r="Q31">
        <v>0.13766666666666663</v>
      </c>
    </row>
    <row r="32" spans="1:17">
      <c r="A32">
        <v>2017</v>
      </c>
      <c r="B32">
        <v>3</v>
      </c>
      <c r="C32" s="21">
        <v>21.5</v>
      </c>
      <c r="D32" s="22">
        <f t="shared" si="0"/>
        <v>24.112950264227049</v>
      </c>
      <c r="E32">
        <v>67.870345644271211</v>
      </c>
      <c r="F32">
        <v>25.904397915053753</v>
      </c>
      <c r="G32">
        <v>1758.1716984869993</v>
      </c>
      <c r="H32">
        <v>7268</v>
      </c>
      <c r="I32">
        <v>378713.75901810831</v>
      </c>
      <c r="J32" s="5">
        <v>2.4000000000000004E-2</v>
      </c>
      <c r="K32" s="5">
        <f t="shared" si="1"/>
        <v>0.11490932387111918</v>
      </c>
      <c r="L32" s="23">
        <v>0.13802901048205385</v>
      </c>
      <c r="M32" s="23">
        <v>0.36838917233875251</v>
      </c>
      <c r="N32" s="23">
        <v>6.5594380422079837E-2</v>
      </c>
      <c r="O32" s="23">
        <v>4.0619512130937396E-2</v>
      </c>
      <c r="P32">
        <v>0.23099999999999998</v>
      </c>
      <c r="Q32">
        <v>0.16166666666666671</v>
      </c>
    </row>
    <row r="33" spans="1:17">
      <c r="A33">
        <v>2017</v>
      </c>
      <c r="B33">
        <v>4</v>
      </c>
      <c r="C33" s="21">
        <v>20.8</v>
      </c>
      <c r="D33" s="22">
        <f t="shared" si="0"/>
        <v>22.813819662552355</v>
      </c>
      <c r="E33">
        <v>70.082109609092825</v>
      </c>
      <c r="F33">
        <v>26.958919888530474</v>
      </c>
      <c r="G33">
        <v>1890.0542328744086</v>
      </c>
      <c r="H33">
        <v>7877.666666666667</v>
      </c>
      <c r="I33">
        <v>380530.58714297833</v>
      </c>
      <c r="J33" s="5">
        <v>2.2000000000000002E-2</v>
      </c>
      <c r="K33" s="5">
        <f t="shared" si="1"/>
        <v>5.8093657310416713E-2</v>
      </c>
      <c r="L33" s="23">
        <v>0.10200924406094798</v>
      </c>
      <c r="M33" s="23">
        <v>0.37262085309467768</v>
      </c>
      <c r="N33" s="23">
        <v>5.6479440076726638E-2</v>
      </c>
      <c r="O33" s="23">
        <v>3.3737221210104286E-2</v>
      </c>
      <c r="P33">
        <v>0.17900000000000002</v>
      </c>
      <c r="Q33">
        <v>0.13966666666666663</v>
      </c>
    </row>
    <row r="34" spans="1:17">
      <c r="A34">
        <v>2018</v>
      </c>
      <c r="B34">
        <v>1</v>
      </c>
      <c r="C34" s="24">
        <v>15.1</v>
      </c>
      <c r="D34" s="22">
        <f t="shared" si="0"/>
        <v>16.055871881557692</v>
      </c>
      <c r="E34">
        <v>74.787652596821502</v>
      </c>
      <c r="F34">
        <v>27.315527582565281</v>
      </c>
      <c r="G34">
        <v>2042.7517197910754</v>
      </c>
      <c r="H34">
        <v>7973.8566666666666</v>
      </c>
      <c r="I34">
        <v>397765.58172843495</v>
      </c>
      <c r="J34" s="5">
        <v>3.1E-2</v>
      </c>
      <c r="K34" s="5">
        <f t="shared" si="1"/>
        <v>3.9972501423487294E-2</v>
      </c>
      <c r="L34" s="23">
        <v>4.9781075439876941E-2</v>
      </c>
      <c r="M34" s="23">
        <v>0.26190366022230699</v>
      </c>
      <c r="N34" s="23">
        <v>9.2333874813711178E-2</v>
      </c>
      <c r="O34" s="23">
        <v>5.9489694290699578E-2</v>
      </c>
      <c r="P34">
        <v>0.19166666666666665</v>
      </c>
      <c r="Q34">
        <v>0.13766666666666663</v>
      </c>
    </row>
    <row r="35" spans="1:17">
      <c r="A35">
        <v>2018</v>
      </c>
      <c r="B35">
        <v>2</v>
      </c>
      <c r="C35" s="24">
        <v>17.399999999999999</v>
      </c>
      <c r="D35" s="22">
        <f t="shared" si="0"/>
        <v>21.422962522784964</v>
      </c>
      <c r="E35">
        <v>76.737400498457831</v>
      </c>
      <c r="F35">
        <v>26.178381204659498</v>
      </c>
      <c r="G35">
        <v>2008.8720994073053</v>
      </c>
      <c r="H35">
        <v>8782.0533333333315</v>
      </c>
      <c r="I35">
        <v>408689.05783451506</v>
      </c>
      <c r="J35" s="5">
        <v>3.7999999999999999E-2</v>
      </c>
      <c r="K35" s="5">
        <f t="shared" si="1"/>
        <v>0.19519419575464658</v>
      </c>
      <c r="L35" s="23">
        <v>0.18374669857170858</v>
      </c>
      <c r="M35" s="23">
        <v>0.26368518823224701</v>
      </c>
      <c r="N35" s="23">
        <v>0.10865825114090073</v>
      </c>
      <c r="O35" s="23">
        <v>6.8071532891041217E-2</v>
      </c>
      <c r="P35">
        <v>0.16333333333333333</v>
      </c>
      <c r="Q35">
        <v>0.1156666666666667</v>
      </c>
    </row>
    <row r="36" spans="1:17">
      <c r="A36">
        <v>2018</v>
      </c>
      <c r="B36">
        <v>3</v>
      </c>
      <c r="C36" s="24">
        <v>16</v>
      </c>
      <c r="D36" s="22">
        <f t="shared" si="0"/>
        <v>21.523007566038945</v>
      </c>
      <c r="E36">
        <v>77.123936702931786</v>
      </c>
      <c r="F36">
        <v>27.358054294982086</v>
      </c>
      <c r="G36">
        <v>2110.7140419722359</v>
      </c>
      <c r="H36">
        <v>9063.1866666666665</v>
      </c>
      <c r="I36">
        <v>421546.78408538835</v>
      </c>
      <c r="J36" s="5">
        <v>2.8000000000000001E-2</v>
      </c>
      <c r="K36" s="5">
        <f t="shared" si="1"/>
        <v>0.13634218259564213</v>
      </c>
      <c r="L36" s="23">
        <v>0.20008099748945174</v>
      </c>
      <c r="M36" s="23">
        <v>0.24716041977159589</v>
      </c>
      <c r="N36" s="23">
        <v>0.11314359575717803</v>
      </c>
      <c r="O36" s="23">
        <v>8.2824509491418327E-2</v>
      </c>
      <c r="P36">
        <v>0.18766666666666665</v>
      </c>
      <c r="Q36">
        <v>8.9333333333333376E-2</v>
      </c>
    </row>
    <row r="37" spans="1:17">
      <c r="A37">
        <v>2018</v>
      </c>
      <c r="B37">
        <v>4</v>
      </c>
      <c r="C37" s="24">
        <v>13.5</v>
      </c>
      <c r="D37" s="22">
        <f t="shared" si="0"/>
        <v>18.162042073479334</v>
      </c>
      <c r="E37">
        <v>76.412271631495784</v>
      </c>
      <c r="F37">
        <v>27.950006420788537</v>
      </c>
      <c r="G37">
        <v>2136.0680138292578</v>
      </c>
      <c r="H37">
        <v>9650.6666666666661</v>
      </c>
      <c r="I37">
        <v>429207.60610917833</v>
      </c>
      <c r="J37" s="5">
        <v>3.3000000000000002E-2</v>
      </c>
      <c r="K37" s="5">
        <f t="shared" si="1"/>
        <v>9.0324935389525685E-2</v>
      </c>
      <c r="L37" s="23">
        <v>0.13385897890452089</v>
      </c>
      <c r="M37" s="23">
        <v>0.22636051478616478</v>
      </c>
      <c r="N37" s="23">
        <v>0.12804380075234345</v>
      </c>
      <c r="O37" s="23">
        <v>9.2007551551155434E-2</v>
      </c>
      <c r="P37">
        <v>0.15766666666666665</v>
      </c>
      <c r="Q37">
        <v>9.7666666666666679E-2</v>
      </c>
    </row>
    <row r="38" spans="1:17">
      <c r="A38" s="67">
        <v>2019</v>
      </c>
      <c r="B38" s="67">
        <v>1</v>
      </c>
      <c r="C38" s="75">
        <v>11.7</v>
      </c>
      <c r="D38" s="76">
        <f>L38*38.36614+46.83981*M38+O38*16.76801+0.8809227</f>
        <v>12.374331768077713</v>
      </c>
      <c r="E38" s="67">
        <v>76.268103371401381</v>
      </c>
      <c r="F38" s="67">
        <v>27.622351348310289</v>
      </c>
      <c r="G38" s="67">
        <v>2093.8476214658363</v>
      </c>
      <c r="H38" s="67">
        <v>9629.6666666666661</v>
      </c>
      <c r="I38" s="67">
        <v>427303.32920686173</v>
      </c>
      <c r="J38" s="70">
        <v>2.5000000000000005E-2</v>
      </c>
      <c r="K38" s="5">
        <f t="shared" si="1"/>
        <v>1.9795390324134798E-2</v>
      </c>
      <c r="L38" s="77">
        <v>2.5492672033661457E-2</v>
      </c>
      <c r="M38" s="77">
        <v>0.20727484427732779</v>
      </c>
      <c r="N38" s="77">
        <v>7.4308492965701703E-2</v>
      </c>
      <c r="O38" s="77">
        <v>4.8105846795806574E-2</v>
      </c>
      <c r="P38" s="67">
        <v>9.8333333333333328E-2</v>
      </c>
      <c r="Q38" s="67">
        <v>8.8666666666666671E-2</v>
      </c>
    </row>
    <row r="39" spans="1:17">
      <c r="A39">
        <v>2019</v>
      </c>
      <c r="B39">
        <v>2</v>
      </c>
      <c r="C39" s="24">
        <v>9.4</v>
      </c>
      <c r="D39" s="22">
        <f>L39*38.36614+46.83981*M39+O39*16.76801+0.8809227</f>
        <v>11.678244524715387</v>
      </c>
      <c r="E39">
        <v>79.250279257575428</v>
      </c>
      <c r="F39">
        <v>26.563484547670253</v>
      </c>
      <c r="G39">
        <v>2100.4054810472649</v>
      </c>
      <c r="H39">
        <v>10430.333333333334</v>
      </c>
      <c r="I39">
        <v>433363.98631208338</v>
      </c>
      <c r="J39" s="5">
        <v>4.6000000000000006E-2</v>
      </c>
      <c r="K39" s="5">
        <f t="shared" si="1"/>
        <v>3.2746467078567543E-2</v>
      </c>
      <c r="L39" s="23">
        <v>4.5834324236346445E-2</v>
      </c>
      <c r="M39" s="23">
        <v>0.18803299688323705</v>
      </c>
      <c r="N39" s="23">
        <v>6.0435257781733753E-2</v>
      </c>
      <c r="O39" s="23">
        <v>1.3800437649841069E-2</v>
      </c>
      <c r="P39">
        <v>6.7666666666666667E-2</v>
      </c>
      <c r="Q39">
        <v>9.1333333333333336E-2</v>
      </c>
    </row>
    <row r="40" spans="1:17">
      <c r="A40">
        <v>2019</v>
      </c>
      <c r="B40">
        <v>3</v>
      </c>
      <c r="C40">
        <v>6.8</v>
      </c>
      <c r="E40">
        <v>76.970534172677233</v>
      </c>
      <c r="F40">
        <v>25.256023055555556</v>
      </c>
      <c r="G40">
        <f>E40*F40</f>
        <v>1943.9695856635631</v>
      </c>
      <c r="K40" s="5">
        <f t="shared" si="1"/>
        <v>-1.9890391597284784E-3</v>
      </c>
      <c r="L40">
        <f>G40/G36-1</f>
        <v>-7.899907471732559E-2</v>
      </c>
    </row>
    <row r="41" spans="1:17">
      <c r="A41">
        <v>2019</v>
      </c>
      <c r="B41">
        <v>4</v>
      </c>
      <c r="C41">
        <v>4.8</v>
      </c>
      <c r="E41">
        <v>76.281494313574967</v>
      </c>
      <c r="F41">
        <v>24.261720092831535</v>
      </c>
      <c r="G41">
        <f>E41*F41</f>
        <v>1850.7202632988763</v>
      </c>
      <c r="K41" s="5">
        <f t="shared" si="1"/>
        <v>-1.7114700967340024E-3</v>
      </c>
    </row>
    <row r="42" spans="1:17">
      <c r="A42" s="36">
        <v>2020</v>
      </c>
      <c r="B42" s="36">
        <v>1</v>
      </c>
      <c r="E42">
        <v>79.825683905912598</v>
      </c>
      <c r="K42" s="5"/>
    </row>
    <row r="43" spans="1:17">
      <c r="A43" s="36">
        <v>2020</v>
      </c>
      <c r="B43" s="36">
        <v>2</v>
      </c>
      <c r="E43">
        <v>69.574962692131791</v>
      </c>
      <c r="K43" s="5"/>
    </row>
    <row r="44" spans="1:17">
      <c r="A44" s="36">
        <v>2020</v>
      </c>
      <c r="B44" s="36">
        <v>3</v>
      </c>
      <c r="E44">
        <v>68.878609915051413</v>
      </c>
      <c r="K44" s="5"/>
    </row>
    <row r="45" spans="1:17">
      <c r="A45" s="36">
        <v>2020</v>
      </c>
      <c r="B45" s="36">
        <v>4</v>
      </c>
      <c r="E45">
        <v>68.441533612019086</v>
      </c>
      <c r="K45" s="5"/>
    </row>
    <row r="46" spans="1:17">
      <c r="A46">
        <v>2021</v>
      </c>
      <c r="B46">
        <v>1</v>
      </c>
      <c r="E46">
        <v>68.055425016807092</v>
      </c>
      <c r="K46" s="5"/>
    </row>
    <row r="47" spans="1:17">
      <c r="A47">
        <v>2021</v>
      </c>
      <c r="B47">
        <v>2</v>
      </c>
      <c r="E47">
        <v>66.41661903765123</v>
      </c>
      <c r="K47" s="5"/>
    </row>
    <row r="48" spans="1:17">
      <c r="A48">
        <v>2021</v>
      </c>
      <c r="B48">
        <v>3</v>
      </c>
      <c r="E48">
        <v>65.194318710526474</v>
      </c>
      <c r="K48" s="5"/>
    </row>
    <row r="49" spans="1:11">
      <c r="A49">
        <v>2021</v>
      </c>
      <c r="B49">
        <v>4</v>
      </c>
      <c r="E49">
        <v>64.069772754716851</v>
      </c>
      <c r="K49" s="5"/>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Аркуш14">
    <tabColor theme="4"/>
  </sheetPr>
  <dimension ref="A2:AB26"/>
  <sheetViews>
    <sheetView zoomScale="70" zoomScaleNormal="70" workbookViewId="0">
      <selection activeCell="Q21" sqref="Q21"/>
    </sheetView>
  </sheetViews>
  <sheetFormatPr defaultColWidth="8.69921875" defaultRowHeight="18"/>
  <cols>
    <col min="1" max="18" width="8.69921875" style="50"/>
    <col min="19" max="19" width="11.69921875" style="50" customWidth="1"/>
    <col min="20" max="20" width="8.69921875" style="50"/>
    <col min="21" max="21" width="0" style="50" hidden="1" customWidth="1"/>
    <col min="22" max="16384" width="8.69921875" style="50"/>
  </cols>
  <sheetData>
    <row r="2" spans="1:28" ht="18.75">
      <c r="B2" s="50" t="s">
        <v>146</v>
      </c>
      <c r="C2" s="50">
        <f>AVERAGE(C3:C14)</f>
        <v>25.898920774500766</v>
      </c>
      <c r="G2" s="50" t="s">
        <v>146</v>
      </c>
      <c r="H2" s="50">
        <f>AVERAGE(H3:H14)</f>
        <v>26.660492868759601</v>
      </c>
      <c r="L2" s="50" t="s">
        <v>146</v>
      </c>
      <c r="M2" s="50">
        <f>AVERAGE(M3:M14)</f>
        <v>27.196892876708905</v>
      </c>
      <c r="R2" s="51">
        <v>25.9</v>
      </c>
      <c r="S2" s="52" t="s">
        <v>147</v>
      </c>
    </row>
    <row r="3" spans="1:28" ht="18.75">
      <c r="A3" s="53">
        <v>4</v>
      </c>
      <c r="B3" s="53">
        <v>2016</v>
      </c>
      <c r="C3" s="54">
        <v>25.629497566666668</v>
      </c>
      <c r="D3" s="55">
        <f>C3/$C$2</f>
        <v>0.98959712606637407</v>
      </c>
      <c r="F3" s="53">
        <v>4</v>
      </c>
      <c r="G3" s="53">
        <v>2017</v>
      </c>
      <c r="H3" s="54">
        <v>26.856827100000014</v>
      </c>
      <c r="I3" s="55">
        <f t="shared" ref="I3:I14" si="0">H3/$H$2</f>
        <v>1.0073642386210524</v>
      </c>
      <c r="K3" s="53">
        <v>4</v>
      </c>
      <c r="L3" s="53">
        <v>2018</v>
      </c>
      <c r="M3" s="54">
        <v>26.151748566666662</v>
      </c>
      <c r="N3" s="55">
        <f t="shared" ref="N3:N14" si="1">M3/$M$2</f>
        <v>0.96157118701830491</v>
      </c>
      <c r="P3" s="53">
        <v>4</v>
      </c>
      <c r="Q3" s="53">
        <v>2019</v>
      </c>
      <c r="R3" s="56">
        <f>AVERAGE(N3,I3,D3)</f>
        <v>0.98617751723524372</v>
      </c>
      <c r="S3" s="57">
        <f>$R$2*R3</f>
        <v>25.541997696392812</v>
      </c>
      <c r="V3" s="58">
        <v>27</v>
      </c>
      <c r="X3" s="59">
        <v>27</v>
      </c>
    </row>
    <row r="4" spans="1:28" ht="18.75">
      <c r="A4" s="53">
        <v>5</v>
      </c>
      <c r="B4" s="53">
        <v>2016</v>
      </c>
      <c r="C4" s="54">
        <v>25.206477483870973</v>
      </c>
      <c r="D4" s="55">
        <f t="shared" ref="D4:D14" si="2">C4/$C$2</f>
        <v>0.97326362373711151</v>
      </c>
      <c r="F4" s="53">
        <v>5</v>
      </c>
      <c r="G4" s="53">
        <v>2017</v>
      </c>
      <c r="H4" s="54">
        <v>26.423692999999993</v>
      </c>
      <c r="I4" s="55">
        <f t="shared" si="0"/>
        <v>0.9911179485718703</v>
      </c>
      <c r="K4" s="53">
        <v>5</v>
      </c>
      <c r="L4" s="53">
        <v>2018</v>
      </c>
      <c r="M4" s="54">
        <v>26.181224580645161</v>
      </c>
      <c r="N4" s="55">
        <f t="shared" si="1"/>
        <v>0.96265498780805403</v>
      </c>
      <c r="P4" s="53">
        <v>5</v>
      </c>
      <c r="Q4" s="53">
        <v>2019</v>
      </c>
      <c r="R4" s="56">
        <f>AVERAGE(N4,I4,D4)</f>
        <v>0.97567885337234517</v>
      </c>
      <c r="S4" s="57">
        <f t="shared" ref="S4:S13" si="3">$R$2*R4</f>
        <v>25.270082302343738</v>
      </c>
      <c r="V4" s="58">
        <v>26.542142674765699</v>
      </c>
      <c r="X4" s="59">
        <f>AVERAGE(S4:V4)</f>
        <v>25.906112488554719</v>
      </c>
    </row>
    <row r="5" spans="1:28" ht="18.75">
      <c r="A5" s="53">
        <v>6</v>
      </c>
      <c r="B5" s="53">
        <v>2016</v>
      </c>
      <c r="C5" s="54">
        <v>24.951341333333339</v>
      </c>
      <c r="D5" s="55">
        <f t="shared" si="2"/>
        <v>0.96341239662386302</v>
      </c>
      <c r="F5" s="53">
        <v>6</v>
      </c>
      <c r="G5" s="53">
        <v>2017</v>
      </c>
      <c r="H5" s="54">
        <v>26.108858166666668</v>
      </c>
      <c r="I5" s="55">
        <f t="shared" si="0"/>
        <v>0.97930890832332174</v>
      </c>
      <c r="K5" s="53">
        <v>6</v>
      </c>
      <c r="L5" s="53">
        <v>2018</v>
      </c>
      <c r="M5" s="54">
        <v>26.202170466666676</v>
      </c>
      <c r="N5" s="55">
        <f t="shared" si="1"/>
        <v>0.96342514512405575</v>
      </c>
      <c r="P5" s="53">
        <v>6</v>
      </c>
      <c r="Q5" s="53">
        <v>2019</v>
      </c>
      <c r="R5" s="56">
        <f t="shared" ref="R5:R14" si="4">AVERAGE(N5,I5,D5)</f>
        <v>0.96871548335708013</v>
      </c>
      <c r="S5" s="57">
        <f t="shared" si="3"/>
        <v>25.089731018948374</v>
      </c>
      <c r="V5" s="58">
        <v>27.701202545177161</v>
      </c>
      <c r="X5" s="59">
        <f>AVERAGE(S5:V5)</f>
        <v>26.395466782062769</v>
      </c>
    </row>
    <row r="6" spans="1:28" ht="18.75">
      <c r="A6" s="53">
        <v>7</v>
      </c>
      <c r="B6" s="53">
        <v>2016</v>
      </c>
      <c r="C6" s="54">
        <v>24.816780999999999</v>
      </c>
      <c r="D6" s="55">
        <f t="shared" si="2"/>
        <v>0.95821680046350788</v>
      </c>
      <c r="F6" s="53">
        <v>7</v>
      </c>
      <c r="G6" s="53">
        <v>2017</v>
      </c>
      <c r="H6" s="54">
        <v>25.969315225806444</v>
      </c>
      <c r="I6" s="55">
        <f t="shared" si="0"/>
        <v>0.97407483626219571</v>
      </c>
      <c r="K6" s="53">
        <v>7</v>
      </c>
      <c r="L6" s="53">
        <v>2018</v>
      </c>
      <c r="M6" s="54">
        <v>26.400686419354855</v>
      </c>
      <c r="N6" s="55">
        <f t="shared" si="1"/>
        <v>0.97072435954491287</v>
      </c>
      <c r="P6" s="53">
        <v>7</v>
      </c>
      <c r="Q6" s="53">
        <v>2019</v>
      </c>
      <c r="R6" s="56">
        <f t="shared" si="4"/>
        <v>0.96767199875687204</v>
      </c>
      <c r="S6" s="57">
        <f t="shared" si="3"/>
        <v>25.062704767802984</v>
      </c>
      <c r="V6" s="58">
        <v>27.739041111892938</v>
      </c>
      <c r="X6" s="59">
        <f t="shared" ref="X6:X11" si="5">AVERAGE(S6:V6)</f>
        <v>26.400872939847961</v>
      </c>
    </row>
    <row r="7" spans="1:28" ht="18.75">
      <c r="A7" s="53">
        <v>8</v>
      </c>
      <c r="B7" s="53">
        <v>2016</v>
      </c>
      <c r="C7" s="54">
        <v>25.064809193548385</v>
      </c>
      <c r="D7" s="55">
        <f t="shared" si="2"/>
        <v>0.96779357764692575</v>
      </c>
      <c r="F7" s="53">
        <v>8</v>
      </c>
      <c r="G7" s="53">
        <v>2017</v>
      </c>
      <c r="H7" s="54">
        <v>25.635271419354826</v>
      </c>
      <c r="I7" s="55">
        <f t="shared" si="0"/>
        <v>0.96154529271264466</v>
      </c>
      <c r="K7" s="53">
        <v>8</v>
      </c>
      <c r="L7" s="53">
        <v>2018</v>
      </c>
      <c r="M7" s="54">
        <v>27.482209032258066</v>
      </c>
      <c r="N7" s="55">
        <f t="shared" si="1"/>
        <v>1.0104907629280513</v>
      </c>
      <c r="P7" s="53">
        <v>8</v>
      </c>
      <c r="Q7" s="53">
        <v>2019</v>
      </c>
      <c r="R7" s="56">
        <f>AVERAGE(N7,I7,D7)</f>
        <v>0.97994321109587401</v>
      </c>
      <c r="S7" s="57">
        <f t="shared" si="3"/>
        <v>25.380529167383134</v>
      </c>
      <c r="V7" s="58">
        <v>28.00056461374821</v>
      </c>
      <c r="X7" s="59">
        <f t="shared" si="5"/>
        <v>26.69054689056567</v>
      </c>
    </row>
    <row r="8" spans="1:28" ht="18.75">
      <c r="A8" s="53">
        <v>9</v>
      </c>
      <c r="B8" s="53">
        <v>2016</v>
      </c>
      <c r="C8" s="54">
        <v>26.2754622</v>
      </c>
      <c r="D8" s="55">
        <f t="shared" si="2"/>
        <v>1.0145388847966963</v>
      </c>
      <c r="F8" s="53">
        <v>9</v>
      </c>
      <c r="G8" s="53">
        <v>2017</v>
      </c>
      <c r="H8" s="54">
        <v>26.10860709999999</v>
      </c>
      <c r="I8" s="55">
        <f t="shared" si="0"/>
        <v>0.97929949114308001</v>
      </c>
      <c r="K8" s="53">
        <v>9</v>
      </c>
      <c r="L8" s="53">
        <v>2018</v>
      </c>
      <c r="M8" s="54">
        <v>28.191267433333341</v>
      </c>
      <c r="N8" s="55">
        <f t="shared" si="1"/>
        <v>1.0365620646862939</v>
      </c>
      <c r="P8" s="53">
        <v>9</v>
      </c>
      <c r="Q8" s="53">
        <v>2019</v>
      </c>
      <c r="R8" s="56">
        <f t="shared" si="4"/>
        <v>1.0101334802086901</v>
      </c>
      <c r="S8" s="57">
        <f>$R$2*R8</f>
        <v>26.16245713740507</v>
      </c>
      <c r="V8" s="58">
        <v>28.4896122861465</v>
      </c>
      <c r="X8" s="59">
        <f>AVERAGE(S8:V8)</f>
        <v>27.326034711775783</v>
      </c>
    </row>
    <row r="9" spans="1:28" ht="18.75">
      <c r="A9" s="53">
        <v>10</v>
      </c>
      <c r="B9" s="53">
        <v>2016</v>
      </c>
      <c r="C9" s="54">
        <v>25.757272387096773</v>
      </c>
      <c r="D9" s="55">
        <f t="shared" si="2"/>
        <v>0.99453072239429163</v>
      </c>
      <c r="F9" s="53">
        <v>10</v>
      </c>
      <c r="G9" s="53">
        <v>2017</v>
      </c>
      <c r="H9" s="54">
        <v>26.654977096774203</v>
      </c>
      <c r="I9" s="55">
        <f t="shared" si="0"/>
        <v>0.99979311065205922</v>
      </c>
      <c r="K9" s="53">
        <v>10</v>
      </c>
      <c r="L9" s="53">
        <v>2018</v>
      </c>
      <c r="M9" s="54">
        <v>28.127382419354841</v>
      </c>
      <c r="N9" s="55">
        <f t="shared" si="1"/>
        <v>1.0342130826070501</v>
      </c>
      <c r="P9" s="53">
        <v>10</v>
      </c>
      <c r="Q9" s="53">
        <v>2019</v>
      </c>
      <c r="R9" s="56">
        <f t="shared" si="4"/>
        <v>1.0095123052178003</v>
      </c>
      <c r="S9" s="57">
        <f>$R$2*R9</f>
        <v>26.146368705141025</v>
      </c>
      <c r="V9" s="58">
        <v>27.0541015958689</v>
      </c>
      <c r="X9" s="59">
        <f t="shared" si="5"/>
        <v>26.600235150504965</v>
      </c>
      <c r="AB9" s="50">
        <f>M12</f>
        <v>27.879174999999993</v>
      </c>
    </row>
    <row r="10" spans="1:28" ht="18.75">
      <c r="A10" s="53">
        <v>11</v>
      </c>
      <c r="B10" s="53">
        <v>2016</v>
      </c>
      <c r="C10" s="54">
        <v>25.700937800000002</v>
      </c>
      <c r="D10" s="55">
        <f t="shared" si="2"/>
        <v>0.99235555117432961</v>
      </c>
      <c r="F10" s="53">
        <v>11</v>
      </c>
      <c r="G10" s="53">
        <v>2017</v>
      </c>
      <c r="H10" s="54">
        <v>26.705274633333335</v>
      </c>
      <c r="I10" s="55">
        <f t="shared" si="0"/>
        <v>1.0016797050524977</v>
      </c>
      <c r="K10" s="53">
        <v>11</v>
      </c>
      <c r="L10" s="53">
        <v>2018</v>
      </c>
      <c r="M10" s="54">
        <v>27.933498133333334</v>
      </c>
      <c r="N10" s="55">
        <f t="shared" si="1"/>
        <v>1.0270841695028792</v>
      </c>
      <c r="P10" s="53">
        <v>11</v>
      </c>
      <c r="Q10" s="53">
        <v>2019</v>
      </c>
      <c r="R10" s="56">
        <f t="shared" si="4"/>
        <v>1.0070398085765688</v>
      </c>
      <c r="S10" s="57">
        <f t="shared" si="3"/>
        <v>26.082331042133131</v>
      </c>
      <c r="V10" s="58">
        <v>26.607646303090675</v>
      </c>
      <c r="X10" s="59">
        <f t="shared" si="5"/>
        <v>26.344988672611905</v>
      </c>
      <c r="AB10" s="50">
        <f>M13</f>
        <v>27.160679178571424</v>
      </c>
    </row>
    <row r="11" spans="1:28" ht="18.75">
      <c r="A11" s="53">
        <v>12</v>
      </c>
      <c r="B11" s="53">
        <v>2016</v>
      </c>
      <c r="C11" s="54">
        <v>26.204524935483875</v>
      </c>
      <c r="D11" s="55">
        <f t="shared" si="2"/>
        <v>1.0117998801434227</v>
      </c>
      <c r="F11" s="53">
        <v>12</v>
      </c>
      <c r="G11" s="53">
        <v>2017</v>
      </c>
      <c r="H11" s="54">
        <v>27.516507935483883</v>
      </c>
      <c r="I11" s="55">
        <f t="shared" si="0"/>
        <v>1.032107998563198</v>
      </c>
      <c r="K11" s="53">
        <v>12</v>
      </c>
      <c r="L11" s="53">
        <v>2018</v>
      </c>
      <c r="M11" s="54">
        <v>27.789138709677424</v>
      </c>
      <c r="N11" s="55">
        <f t="shared" si="1"/>
        <v>1.0217762314119239</v>
      </c>
      <c r="P11" s="53">
        <v>12</v>
      </c>
      <c r="Q11" s="53">
        <v>2019</v>
      </c>
      <c r="R11" s="56">
        <f t="shared" si="4"/>
        <v>1.0218947033728483</v>
      </c>
      <c r="S11" s="57">
        <f t="shared" si="3"/>
        <v>26.467072817356769</v>
      </c>
      <c r="V11" s="58">
        <v>26.011551864683199</v>
      </c>
      <c r="X11" s="59">
        <f t="shared" si="5"/>
        <v>26.239312341019982</v>
      </c>
      <c r="AB11" s="50">
        <f>M14</f>
        <v>26.863534580645165</v>
      </c>
    </row>
    <row r="12" spans="1:28" ht="18.75">
      <c r="A12" s="53">
        <v>1</v>
      </c>
      <c r="B12" s="53">
        <v>2017</v>
      </c>
      <c r="C12" s="54">
        <v>27.150611903225798</v>
      </c>
      <c r="D12" s="55">
        <f t="shared" si="2"/>
        <v>1.0483298566617265</v>
      </c>
      <c r="F12" s="53">
        <v>1</v>
      </c>
      <c r="G12" s="53">
        <v>2018</v>
      </c>
      <c r="H12" s="54">
        <v>28.434328612903219</v>
      </c>
      <c r="I12" s="55">
        <f t="shared" si="0"/>
        <v>1.0665342442420551</v>
      </c>
      <c r="K12" s="53" t="s">
        <v>148</v>
      </c>
      <c r="L12" s="53">
        <v>2019</v>
      </c>
      <c r="M12" s="54">
        <v>27.879174999999993</v>
      </c>
      <c r="N12" s="55">
        <f t="shared" si="1"/>
        <v>1.0250867673150776</v>
      </c>
      <c r="P12" s="53">
        <v>1</v>
      </c>
      <c r="Q12" s="53">
        <v>2020</v>
      </c>
      <c r="R12" s="56">
        <f>AVERAGE(N12,I12,D12)</f>
        <v>1.0466502894062863</v>
      </c>
      <c r="S12" s="57">
        <f t="shared" si="3"/>
        <v>27.108242495622815</v>
      </c>
      <c r="AB12" s="59">
        <f>T14</f>
        <v>26.863534580645165</v>
      </c>
    </row>
    <row r="13" spans="1:28" ht="18.75">
      <c r="A13" s="53">
        <v>2</v>
      </c>
      <c r="B13" s="53">
        <v>2017</v>
      </c>
      <c r="C13" s="54">
        <v>27.027771071428578</v>
      </c>
      <c r="D13" s="55">
        <f t="shared" si="2"/>
        <v>1.0435867697637518</v>
      </c>
      <c r="F13" s="53">
        <v>2</v>
      </c>
      <c r="G13" s="53">
        <v>2018</v>
      </c>
      <c r="H13" s="54">
        <v>27.171049392857139</v>
      </c>
      <c r="I13" s="55">
        <f t="shared" si="0"/>
        <v>1.0191503032824949</v>
      </c>
      <c r="K13" s="53">
        <v>2</v>
      </c>
      <c r="L13" s="53">
        <v>2019</v>
      </c>
      <c r="M13" s="54">
        <v>27.160679178571424</v>
      </c>
      <c r="N13" s="55">
        <f t="shared" si="1"/>
        <v>0.9986684619341758</v>
      </c>
      <c r="P13" s="53">
        <v>2</v>
      </c>
      <c r="Q13" s="53">
        <v>2020</v>
      </c>
      <c r="R13" s="56">
        <f t="shared" si="4"/>
        <v>1.0204685116601409</v>
      </c>
      <c r="S13" s="57">
        <f t="shared" si="3"/>
        <v>26.430134451997645</v>
      </c>
      <c r="AB13" s="59">
        <f>W15</f>
        <v>27</v>
      </c>
    </row>
    <row r="14" spans="1:28" ht="18.75">
      <c r="A14" s="60">
        <v>3</v>
      </c>
      <c r="B14" s="60">
        <v>2017</v>
      </c>
      <c r="C14" s="61">
        <v>27.001562419354837</v>
      </c>
      <c r="D14" s="55">
        <f t="shared" si="2"/>
        <v>1.0425748105280006</v>
      </c>
      <c r="F14" s="60">
        <v>3</v>
      </c>
      <c r="G14" s="60">
        <v>2018</v>
      </c>
      <c r="H14" s="61">
        <v>26.341204741935485</v>
      </c>
      <c r="I14" s="55">
        <f t="shared" si="0"/>
        <v>0.98802392257353</v>
      </c>
      <c r="K14" s="60">
        <v>3</v>
      </c>
      <c r="L14" s="60">
        <v>2019</v>
      </c>
      <c r="M14" s="61">
        <v>26.863534580645165</v>
      </c>
      <c r="N14" s="55">
        <f t="shared" si="1"/>
        <v>0.98774278011922367</v>
      </c>
      <c r="P14" s="60">
        <v>3</v>
      </c>
      <c r="Q14" s="53">
        <v>2020</v>
      </c>
      <c r="R14" s="56">
        <f t="shared" si="4"/>
        <v>1.0061138377402514</v>
      </c>
      <c r="S14" s="57">
        <f>$R$2*R14</f>
        <v>26.058348397472511</v>
      </c>
      <c r="T14" s="62">
        <f>M14</f>
        <v>26.863534580645165</v>
      </c>
      <c r="V14" s="63">
        <v>26.863534580645201</v>
      </c>
      <c r="W14" s="59">
        <f>T14</f>
        <v>26.863534580645165</v>
      </c>
      <c r="AB14" s="59">
        <f t="shared" ref="AB14:AB20" si="6">W16</f>
        <v>25.906112488554719</v>
      </c>
    </row>
    <row r="15" spans="1:28" ht="18.75">
      <c r="K15" s="53">
        <v>4</v>
      </c>
      <c r="L15" s="53">
        <v>2019</v>
      </c>
      <c r="T15" s="57">
        <f>S3</f>
        <v>25.541997696392812</v>
      </c>
      <c r="V15" s="63">
        <v>27.218499475692699</v>
      </c>
      <c r="W15" s="59">
        <f t="shared" ref="W15:W23" si="7">X3</f>
        <v>27</v>
      </c>
      <c r="AB15" s="59">
        <f t="shared" si="6"/>
        <v>26.395466782062769</v>
      </c>
    </row>
    <row r="16" spans="1:28" ht="18.75">
      <c r="K16" s="64">
        <v>5</v>
      </c>
      <c r="L16" s="64">
        <v>2019</v>
      </c>
      <c r="M16" s="65"/>
      <c r="N16" s="65"/>
      <c r="O16" s="65"/>
      <c r="P16" s="65"/>
      <c r="Q16" s="65"/>
      <c r="R16" s="65"/>
      <c r="S16" s="65"/>
      <c r="T16" s="57">
        <f t="shared" ref="T16:T26" si="8">S4</f>
        <v>25.270082302343738</v>
      </c>
      <c r="V16" s="63">
        <v>27.4</v>
      </c>
      <c r="W16" s="59">
        <f t="shared" si="7"/>
        <v>25.906112488554719</v>
      </c>
      <c r="AB16" s="59">
        <f t="shared" si="6"/>
        <v>26.400872939847961</v>
      </c>
    </row>
    <row r="17" spans="11:28" ht="18.75">
      <c r="K17" s="53">
        <v>6</v>
      </c>
      <c r="L17" s="53">
        <v>2019</v>
      </c>
      <c r="T17" s="57">
        <f t="shared" si="8"/>
        <v>25.089731018948374</v>
      </c>
      <c r="V17" s="63">
        <v>26.9</v>
      </c>
      <c r="W17" s="59">
        <f t="shared" si="7"/>
        <v>26.395466782062769</v>
      </c>
      <c r="AB17" s="59">
        <f t="shared" si="6"/>
        <v>26.69054689056567</v>
      </c>
    </row>
    <row r="18" spans="11:28" ht="18.75">
      <c r="K18" s="53">
        <v>7</v>
      </c>
      <c r="L18" s="53">
        <v>2019</v>
      </c>
      <c r="T18" s="57">
        <f t="shared" si="8"/>
        <v>25.062704767802984</v>
      </c>
      <c r="V18" s="63">
        <v>26.8</v>
      </c>
      <c r="W18" s="59">
        <f t="shared" si="7"/>
        <v>26.400872939847961</v>
      </c>
      <c r="AB18" s="59">
        <f t="shared" si="6"/>
        <v>27.326034711775783</v>
      </c>
    </row>
    <row r="19" spans="11:28" ht="18.75">
      <c r="K19" s="53">
        <v>8</v>
      </c>
      <c r="L19" s="53">
        <v>2019</v>
      </c>
      <c r="T19" s="57">
        <f t="shared" si="8"/>
        <v>25.380529167383134</v>
      </c>
      <c r="V19" s="63">
        <v>27.046432626246123</v>
      </c>
      <c r="W19" s="59">
        <f t="shared" si="7"/>
        <v>26.69054689056567</v>
      </c>
      <c r="AB19" s="59">
        <f t="shared" si="6"/>
        <v>26.600235150504965</v>
      </c>
    </row>
    <row r="20" spans="11:28" ht="18.75">
      <c r="K20" s="64">
        <v>9</v>
      </c>
      <c r="L20" s="64">
        <v>2019</v>
      </c>
      <c r="M20" s="65"/>
      <c r="N20" s="65"/>
      <c r="O20" s="65"/>
      <c r="P20" s="65"/>
      <c r="Q20" s="65"/>
      <c r="R20" s="65"/>
      <c r="S20" s="65"/>
      <c r="T20" s="57">
        <f t="shared" si="8"/>
        <v>26.16245713740507</v>
      </c>
      <c r="V20" s="63">
        <v>28.1</v>
      </c>
      <c r="W20" s="59">
        <f t="shared" si="7"/>
        <v>27.326034711775783</v>
      </c>
      <c r="AB20" s="59">
        <f t="shared" si="6"/>
        <v>26.344988672611905</v>
      </c>
    </row>
    <row r="21" spans="11:28" ht="18.75">
      <c r="K21" s="53">
        <v>10</v>
      </c>
      <c r="L21" s="53">
        <v>2019</v>
      </c>
      <c r="T21" s="57">
        <f t="shared" si="8"/>
        <v>26.146368705141025</v>
      </c>
      <c r="V21" s="63">
        <v>27.862539624011291</v>
      </c>
      <c r="W21" s="59">
        <f t="shared" si="7"/>
        <v>26.600235150504965</v>
      </c>
      <c r="AB21" s="59">
        <f>W23</f>
        <v>26.239312341019982</v>
      </c>
    </row>
    <row r="22" spans="11:28" ht="18.75">
      <c r="K22" s="53">
        <v>11</v>
      </c>
      <c r="L22" s="53">
        <v>2019</v>
      </c>
      <c r="T22" s="57">
        <f t="shared" si="8"/>
        <v>26.082331042133131</v>
      </c>
      <c r="V22" s="63">
        <v>27.7942987167133</v>
      </c>
      <c r="W22" s="59">
        <f t="shared" si="7"/>
        <v>26.344988672611905</v>
      </c>
    </row>
    <row r="23" spans="11:28" ht="18.75">
      <c r="K23" s="53">
        <v>12</v>
      </c>
      <c r="L23" s="53">
        <v>2019</v>
      </c>
      <c r="T23" s="57">
        <f t="shared" si="8"/>
        <v>26.467072817356769</v>
      </c>
      <c r="V23" s="63">
        <v>28.204293813090615</v>
      </c>
      <c r="W23" s="59">
        <f t="shared" si="7"/>
        <v>26.239312341019982</v>
      </c>
    </row>
    <row r="24" spans="11:28" ht="18.75">
      <c r="K24" s="53" t="s">
        <v>149</v>
      </c>
      <c r="L24" s="53">
        <v>2020</v>
      </c>
      <c r="T24" s="57">
        <f t="shared" si="8"/>
        <v>27.108242495622815</v>
      </c>
      <c r="V24" s="63">
        <v>28.7</v>
      </c>
      <c r="X24" s="59"/>
    </row>
    <row r="25" spans="11:28" ht="18.75">
      <c r="K25" s="53">
        <v>2</v>
      </c>
      <c r="L25" s="53">
        <v>2020</v>
      </c>
      <c r="T25" s="57">
        <f t="shared" si="8"/>
        <v>26.430134451997645</v>
      </c>
      <c r="V25" s="63">
        <v>28.164930921819888</v>
      </c>
      <c r="X25" s="59"/>
    </row>
    <row r="26" spans="11:28" ht="18.75">
      <c r="K26" s="60">
        <v>3</v>
      </c>
      <c r="L26" s="53">
        <v>2020</v>
      </c>
      <c r="T26" s="57">
        <f t="shared" si="8"/>
        <v>26.058348397472511</v>
      </c>
      <c r="V26" s="63">
        <v>27.768741921630941</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Аркуш15">
    <tabColor theme="0" tint="-0.249977111117893"/>
  </sheetPr>
  <dimension ref="A1:S145"/>
  <sheetViews>
    <sheetView zoomScale="70" zoomScaleNormal="70" workbookViewId="0">
      <pane ySplit="1" topLeftCell="A2" activePane="bottomLeft" state="frozen"/>
      <selection pane="bottomLeft" activeCell="D121" sqref="D121"/>
    </sheetView>
  </sheetViews>
  <sheetFormatPr defaultRowHeight="18"/>
  <cols>
    <col min="9" max="9" width="28" customWidth="1"/>
    <col min="10" max="10" width="36.69921875" customWidth="1"/>
    <col min="11" max="12" width="15.69921875" customWidth="1"/>
    <col min="13" max="13" width="14.19921875" customWidth="1"/>
    <col min="16" max="16" width="19.19921875" customWidth="1"/>
    <col min="19" max="19" width="14.19921875" customWidth="1"/>
  </cols>
  <sheetData>
    <row r="1" spans="1:19" ht="21.75">
      <c r="A1" t="s">
        <v>7</v>
      </c>
      <c r="B1" t="s">
        <v>8</v>
      </c>
      <c r="C1" t="s">
        <v>9</v>
      </c>
      <c r="D1" t="s">
        <v>10</v>
      </c>
      <c r="E1" s="74" t="s">
        <v>152</v>
      </c>
      <c r="F1" s="74" t="s">
        <v>142</v>
      </c>
      <c r="G1" s="36" t="s">
        <v>11</v>
      </c>
      <c r="H1" s="36" t="s">
        <v>5</v>
      </c>
      <c r="I1" s="36" t="s">
        <v>12</v>
      </c>
      <c r="J1" s="36" t="s">
        <v>13</v>
      </c>
      <c r="K1" s="36" t="s">
        <v>14</v>
      </c>
      <c r="L1" t="s">
        <v>153</v>
      </c>
      <c r="M1" t="s">
        <v>15</v>
      </c>
      <c r="N1" t="s">
        <v>16</v>
      </c>
      <c r="O1" t="s">
        <v>17</v>
      </c>
      <c r="P1" t="s">
        <v>3</v>
      </c>
      <c r="Q1" t="s">
        <v>4</v>
      </c>
      <c r="R1" s="36" t="s">
        <v>150</v>
      </c>
      <c r="S1" s="36" t="s">
        <v>151</v>
      </c>
    </row>
    <row r="2" spans="1:19" ht="21.75">
      <c r="A2">
        <v>2010</v>
      </c>
      <c r="B2">
        <v>1</v>
      </c>
      <c r="C2" t="s">
        <v>154</v>
      </c>
      <c r="D2" s="33">
        <v>0.16299999999999998</v>
      </c>
      <c r="E2" s="74"/>
      <c r="F2" s="74"/>
      <c r="G2">
        <v>93.544507037504246</v>
      </c>
      <c r="H2">
        <v>7.9969580645161304</v>
      </c>
      <c r="I2">
        <f t="shared" ref="I2:I13" si="0">G2*H2</f>
        <v>748.07149994475549</v>
      </c>
      <c r="J2" s="18">
        <v>1916</v>
      </c>
      <c r="K2" s="19">
        <v>192205.00747299503</v>
      </c>
      <c r="L2" s="85"/>
      <c r="M2" s="20"/>
      <c r="N2" s="20"/>
      <c r="O2" s="20"/>
      <c r="P2">
        <v>4.4999999999999998E-2</v>
      </c>
      <c r="Q2" s="74"/>
      <c r="R2" s="74"/>
      <c r="S2" s="74"/>
    </row>
    <row r="3" spans="1:19" ht="21.75">
      <c r="A3">
        <v>2010</v>
      </c>
      <c r="B3">
        <v>1</v>
      </c>
      <c r="C3" t="s">
        <v>155</v>
      </c>
      <c r="D3" s="33">
        <v>0.16400000000000006</v>
      </c>
      <c r="E3" s="74"/>
      <c r="F3" s="74"/>
      <c r="G3">
        <v>93.153475417886412</v>
      </c>
      <c r="H3">
        <v>8.0002607142857141</v>
      </c>
      <c r="I3">
        <f t="shared" si="0"/>
        <v>745.25208978489661</v>
      </c>
      <c r="J3" s="18">
        <v>1955</v>
      </c>
      <c r="K3" s="19">
        <v>190085.30977759499</v>
      </c>
      <c r="L3" s="85"/>
      <c r="M3" s="20"/>
      <c r="N3" s="20"/>
      <c r="O3" s="20"/>
      <c r="P3">
        <v>4.4999999999999998E-2</v>
      </c>
      <c r="Q3" s="74"/>
      <c r="R3" s="74"/>
      <c r="S3" s="74"/>
    </row>
    <row r="4" spans="1:19" ht="21.75">
      <c r="A4">
        <v>2010</v>
      </c>
      <c r="B4">
        <v>1</v>
      </c>
      <c r="C4" t="s">
        <v>156</v>
      </c>
      <c r="D4" s="33">
        <v>0.18599999999999994</v>
      </c>
      <c r="E4" s="74"/>
      <c r="F4" s="74"/>
      <c r="G4">
        <v>97.49443313292582</v>
      </c>
      <c r="H4">
        <v>7.9671129032258063</v>
      </c>
      <c r="I4">
        <f t="shared" si="0"/>
        <v>776.74915620601882</v>
      </c>
      <c r="J4" s="18">
        <v>2109</v>
      </c>
      <c r="K4" s="19">
        <v>193685.07992283499</v>
      </c>
      <c r="L4" s="85"/>
      <c r="M4" s="20"/>
      <c r="N4" s="20"/>
      <c r="O4" s="20"/>
      <c r="P4">
        <v>4.4999999999999998E-2</v>
      </c>
      <c r="Q4" s="74"/>
      <c r="R4" s="74"/>
      <c r="S4" s="74"/>
    </row>
    <row r="5" spans="1:19" ht="21.75">
      <c r="A5">
        <v>2010</v>
      </c>
      <c r="B5">
        <v>2</v>
      </c>
      <c r="C5" t="s">
        <v>157</v>
      </c>
      <c r="D5" s="33">
        <v>0.21700000000000003</v>
      </c>
      <c r="E5" s="74"/>
      <c r="F5" s="74"/>
      <c r="G5">
        <v>104.28417198688211</v>
      </c>
      <c r="H5">
        <v>7.9257133333333361</v>
      </c>
      <c r="I5">
        <f t="shared" si="0"/>
        <v>826.52645237205832</v>
      </c>
      <c r="J5" s="18">
        <v>2107</v>
      </c>
      <c r="K5" s="19">
        <v>198381.20675512997</v>
      </c>
      <c r="L5" s="85"/>
      <c r="M5" s="20"/>
      <c r="N5" s="20"/>
      <c r="O5" s="20"/>
      <c r="P5">
        <v>5.4000000000000006E-2</v>
      </c>
      <c r="Q5" s="74"/>
      <c r="R5" s="74"/>
      <c r="S5" s="74"/>
    </row>
    <row r="6" spans="1:19" ht="21.75">
      <c r="A6">
        <v>2010</v>
      </c>
      <c r="B6">
        <v>2</v>
      </c>
      <c r="C6" t="s">
        <v>158</v>
      </c>
      <c r="D6" s="33">
        <v>0.27900000000000008</v>
      </c>
      <c r="E6" s="74"/>
      <c r="F6" s="74"/>
      <c r="G6">
        <v>98.502173504355639</v>
      </c>
      <c r="H6">
        <v>7.9257225806451608</v>
      </c>
      <c r="I6">
        <f t="shared" si="0"/>
        <v>780.70090078609894</v>
      </c>
      <c r="J6" s="18">
        <v>2201</v>
      </c>
      <c r="K6" s="19">
        <v>201683.66926140498</v>
      </c>
      <c r="L6" s="85"/>
      <c r="M6" s="20"/>
      <c r="N6" s="20"/>
      <c r="O6" s="20"/>
      <c r="P6">
        <v>5.4000000000000006E-2</v>
      </c>
      <c r="Q6" s="74"/>
      <c r="R6" s="74"/>
      <c r="S6" s="74"/>
    </row>
    <row r="7" spans="1:19" ht="21.75">
      <c r="A7">
        <v>2010</v>
      </c>
      <c r="B7">
        <v>2</v>
      </c>
      <c r="C7" t="s">
        <v>159</v>
      </c>
      <c r="D7" s="33">
        <v>0.255</v>
      </c>
      <c r="E7" s="74"/>
      <c r="F7" s="74"/>
      <c r="G7">
        <v>94.262976912361609</v>
      </c>
      <c r="H7">
        <v>7.9157333333333328</v>
      </c>
      <c r="I7">
        <f t="shared" si="0"/>
        <v>746.16058844441113</v>
      </c>
      <c r="J7" s="18">
        <v>2373</v>
      </c>
      <c r="K7" s="19">
        <v>211387.86840650998</v>
      </c>
      <c r="L7" s="85"/>
      <c r="M7" s="20"/>
      <c r="N7" s="20"/>
      <c r="O7" s="20"/>
      <c r="P7">
        <v>5.4000000000000006E-2</v>
      </c>
      <c r="Q7" s="74"/>
      <c r="R7" s="74"/>
      <c r="S7" s="74"/>
    </row>
    <row r="8" spans="1:19" ht="21.75">
      <c r="A8">
        <v>2010</v>
      </c>
      <c r="B8">
        <v>3</v>
      </c>
      <c r="C8" t="s">
        <v>160</v>
      </c>
      <c r="D8" s="33">
        <v>0.24400000000000005</v>
      </c>
      <c r="E8" s="74"/>
      <c r="F8" s="74"/>
      <c r="G8">
        <v>91.71602025735622</v>
      </c>
      <c r="H8">
        <v>7.9015548387096777</v>
      </c>
      <c r="I8">
        <f t="shared" si="0"/>
        <v>724.69916365170786</v>
      </c>
      <c r="J8" s="18">
        <v>2367</v>
      </c>
      <c r="K8" s="19">
        <v>221672.98376417003</v>
      </c>
      <c r="L8" s="85"/>
      <c r="M8" s="20"/>
      <c r="N8" s="20"/>
      <c r="O8" s="20"/>
      <c r="P8">
        <v>3.3000000000000002E-2</v>
      </c>
      <c r="Q8" s="74"/>
      <c r="R8" s="74"/>
      <c r="S8" s="74"/>
    </row>
    <row r="9" spans="1:19" ht="21.75">
      <c r="A9">
        <v>2010</v>
      </c>
      <c r="B9">
        <v>3</v>
      </c>
      <c r="C9" t="s">
        <v>161</v>
      </c>
      <c r="D9" s="33">
        <v>0.23299999999999998</v>
      </c>
      <c r="E9" s="74"/>
      <c r="F9" s="74"/>
      <c r="G9">
        <v>99.024384847022333</v>
      </c>
      <c r="H9">
        <v>7.890296774193545</v>
      </c>
      <c r="I9">
        <f t="shared" si="0"/>
        <v>781.33178432496049</v>
      </c>
      <c r="J9" s="18">
        <v>2280</v>
      </c>
      <c r="K9" s="19">
        <v>222101.84399167</v>
      </c>
      <c r="L9" s="85"/>
      <c r="M9" s="20"/>
      <c r="N9" s="20"/>
      <c r="O9" s="20"/>
      <c r="P9">
        <v>3.3000000000000002E-2</v>
      </c>
      <c r="Q9" s="74"/>
      <c r="R9" s="74"/>
      <c r="S9" s="74"/>
    </row>
    <row r="10" spans="1:19" ht="21.75">
      <c r="A10">
        <v>2010</v>
      </c>
      <c r="B10">
        <v>3</v>
      </c>
      <c r="C10" t="s">
        <v>162</v>
      </c>
      <c r="D10" s="33">
        <v>0.19200000000000003</v>
      </c>
      <c r="E10" s="74"/>
      <c r="F10" s="74"/>
      <c r="G10">
        <v>99.183063535038229</v>
      </c>
      <c r="H10">
        <v>7.9103433333333308</v>
      </c>
      <c r="I10">
        <f t="shared" si="0"/>
        <v>784.57208541396585</v>
      </c>
      <c r="J10" s="18">
        <v>2349</v>
      </c>
      <c r="K10" s="19">
        <v>218555.420800005</v>
      </c>
      <c r="L10" s="85"/>
      <c r="M10" s="20"/>
      <c r="N10" s="20"/>
      <c r="O10" s="20"/>
      <c r="P10">
        <v>3.3000000000000002E-2</v>
      </c>
      <c r="Q10" s="74"/>
      <c r="R10" s="74"/>
      <c r="S10" s="74"/>
    </row>
    <row r="11" spans="1:19" ht="21.75">
      <c r="A11">
        <v>2010</v>
      </c>
      <c r="B11">
        <v>4</v>
      </c>
      <c r="C11" t="s">
        <v>163</v>
      </c>
      <c r="D11" s="33">
        <v>0.19799999999999998</v>
      </c>
      <c r="E11" s="74"/>
      <c r="F11" s="74"/>
      <c r="G11">
        <v>104.27771578222301</v>
      </c>
      <c r="H11">
        <v>7.9104935483870928</v>
      </c>
      <c r="I11">
        <f t="shared" si="0"/>
        <v>824.88819793581808</v>
      </c>
      <c r="J11" s="18">
        <v>2322</v>
      </c>
      <c r="K11" s="19">
        <v>219153.97813379002</v>
      </c>
      <c r="L11" s="85"/>
      <c r="M11" s="20"/>
      <c r="N11" s="20"/>
      <c r="O11" s="20"/>
      <c r="P11">
        <v>3.7000000000000005E-2</v>
      </c>
      <c r="Q11" s="74"/>
      <c r="R11" s="74"/>
      <c r="S11" s="74"/>
    </row>
    <row r="12" spans="1:19" ht="21.75">
      <c r="A12">
        <v>2010</v>
      </c>
      <c r="B12">
        <v>4</v>
      </c>
      <c r="C12" t="s">
        <v>164</v>
      </c>
      <c r="D12" s="33">
        <v>0.18900000000000006</v>
      </c>
      <c r="E12" s="74"/>
      <c r="F12" s="74"/>
      <c r="G12">
        <v>109.4630018461109</v>
      </c>
      <c r="H12">
        <v>7.9277933333333355</v>
      </c>
      <c r="I12">
        <f t="shared" si="0"/>
        <v>867.80005628225263</v>
      </c>
      <c r="J12" s="18">
        <v>2353</v>
      </c>
      <c r="K12" s="19">
        <v>218647.29941207002</v>
      </c>
      <c r="L12" s="85"/>
      <c r="M12" s="20"/>
      <c r="N12" s="20"/>
      <c r="O12" s="20"/>
      <c r="P12">
        <v>3.7000000000000005E-2</v>
      </c>
      <c r="Q12" s="74"/>
      <c r="R12" s="74"/>
      <c r="S12" s="74"/>
    </row>
    <row r="13" spans="1:19" ht="21.75">
      <c r="A13">
        <v>2010</v>
      </c>
      <c r="B13">
        <v>4</v>
      </c>
      <c r="C13" t="s">
        <v>165</v>
      </c>
      <c r="D13" s="33">
        <v>0.18700000000000003</v>
      </c>
      <c r="E13" s="74"/>
      <c r="F13" s="74"/>
      <c r="G13">
        <v>115.09407574033351</v>
      </c>
      <c r="H13">
        <v>7.9557032258064551</v>
      </c>
      <c r="I13">
        <f t="shared" si="0"/>
        <v>915.65430963858375</v>
      </c>
      <c r="J13" s="18">
        <v>2629</v>
      </c>
      <c r="K13" s="19">
        <v>220702.51095082</v>
      </c>
      <c r="L13" s="85"/>
      <c r="M13" s="20"/>
      <c r="N13" s="20"/>
      <c r="O13" s="20"/>
      <c r="P13">
        <v>3.7000000000000005E-2</v>
      </c>
      <c r="Q13" s="74"/>
      <c r="R13" s="74"/>
      <c r="S13" s="74"/>
    </row>
    <row r="14" spans="1:19">
      <c r="A14">
        <v>2011</v>
      </c>
      <c r="B14">
        <v>1</v>
      </c>
      <c r="C14" t="s">
        <v>18</v>
      </c>
      <c r="D14" s="2">
        <v>0.18</v>
      </c>
      <c r="E14" s="17">
        <f>0.4297498*M14+0.697367*N14+0.3352365*Q14-0.0520263</f>
        <v>0.2571794177333292</v>
      </c>
      <c r="F14" s="17">
        <f>D14-E14</f>
        <v>-7.7179417733329203E-2</v>
      </c>
      <c r="G14">
        <v>123.54914039472364</v>
      </c>
      <c r="H14">
        <v>7.9496967741935487</v>
      </c>
      <c r="I14">
        <f>G14*H14</f>
        <v>982.1782028503203</v>
      </c>
      <c r="J14" s="18">
        <v>2297</v>
      </c>
      <c r="K14" s="19">
        <v>223727.02185488498</v>
      </c>
      <c r="L14" s="84">
        <f>G14/G2-1</f>
        <v>0.32075248785254495</v>
      </c>
      <c r="M14" s="20">
        <v>0.31294696151751999</v>
      </c>
      <c r="N14" s="20">
        <v>0.19885177453027136</v>
      </c>
      <c r="O14" s="20">
        <v>0.16400204550507791</v>
      </c>
      <c r="P14">
        <v>5.0999999999999997E-2</v>
      </c>
      <c r="Q14" s="20">
        <f>(1+O14)/(1+P14)-1</f>
        <v>0.10751859705525968</v>
      </c>
      <c r="R14" s="79">
        <v>120.64285731838659</v>
      </c>
      <c r="S14">
        <f>R14*H14</f>
        <v>959.07413365347043</v>
      </c>
    </row>
    <row r="15" spans="1:19">
      <c r="A15">
        <v>2011</v>
      </c>
      <c r="B15">
        <v>1</v>
      </c>
      <c r="C15" t="s">
        <v>19</v>
      </c>
      <c r="D15" s="2">
        <v>0.21400000000000005</v>
      </c>
      <c r="E15" s="17">
        <f t="shared" ref="E15:E78" si="1">0.4297498*M15+0.697367*N15+0.3352365*Q15-0.0520263</f>
        <v>0.2693844528519912</v>
      </c>
      <c r="F15" s="17">
        <f t="shared" ref="F15:F78" si="2">D15-E15</f>
        <v>-5.5384452851991145E-2</v>
      </c>
      <c r="G15">
        <v>126.94345975259634</v>
      </c>
      <c r="H15">
        <v>7.940792857142859</v>
      </c>
      <c r="I15">
        <v>1008.031718464419</v>
      </c>
      <c r="J15" s="18">
        <v>2338</v>
      </c>
      <c r="K15" s="19">
        <v>219599.966484465</v>
      </c>
      <c r="L15" s="84">
        <f t="shared" ref="L15:L78" si="3">G15/G3-1</f>
        <v>0.36273455373648789</v>
      </c>
      <c r="M15" s="20">
        <v>0.35260502088007417</v>
      </c>
      <c r="N15" s="20">
        <v>0.19590792838874682</v>
      </c>
      <c r="O15" s="20">
        <v>0.15527058214757861</v>
      </c>
      <c r="P15">
        <v>5.0999999999999997E-2</v>
      </c>
      <c r="Q15" s="20">
        <f t="shared" ref="Q15:Q78" si="4">(1+O15)/(1+P15)-1</f>
        <v>9.9210829826430702E-2</v>
      </c>
      <c r="R15" s="79">
        <v>123.12002067866463</v>
      </c>
      <c r="S15">
        <f t="shared" ref="S15:S78" si="5">R15*H15</f>
        <v>977.67058077642116</v>
      </c>
    </row>
    <row r="16" spans="1:19">
      <c r="A16">
        <v>2011</v>
      </c>
      <c r="B16">
        <v>1</v>
      </c>
      <c r="C16" t="s">
        <v>20</v>
      </c>
      <c r="D16" s="2">
        <v>0.20299999999999996</v>
      </c>
      <c r="E16" s="17">
        <f t="shared" si="1"/>
        <v>0.23312292999093429</v>
      </c>
      <c r="F16" s="17">
        <f t="shared" si="2"/>
        <v>-3.0122929990934327E-2</v>
      </c>
      <c r="G16">
        <v>124.57050758133138</v>
      </c>
      <c r="H16">
        <v>7.9439645161290349</v>
      </c>
      <c r="I16">
        <v>989.58369198227945</v>
      </c>
      <c r="J16" s="18">
        <v>2531</v>
      </c>
      <c r="K16" s="19">
        <v>220477.396618075</v>
      </c>
      <c r="L16" s="84">
        <f t="shared" si="3"/>
        <v>0.27771918435065435</v>
      </c>
      <c r="M16" s="20">
        <v>0.27400678079373431</v>
      </c>
      <c r="N16" s="20">
        <v>0.20009483167377895</v>
      </c>
      <c r="O16" s="20">
        <v>0.13832927505781134</v>
      </c>
      <c r="P16">
        <v>5.0999999999999997E-2</v>
      </c>
      <c r="Q16" s="20">
        <f t="shared" si="4"/>
        <v>8.309160329002041E-2</v>
      </c>
      <c r="R16" s="79">
        <v>129.69633177195738</v>
      </c>
      <c r="S16">
        <f t="shared" si="5"/>
        <v>1030.3030574685281</v>
      </c>
    </row>
    <row r="17" spans="1:19">
      <c r="A17">
        <v>2011</v>
      </c>
      <c r="B17">
        <v>2</v>
      </c>
      <c r="C17" t="s">
        <v>21</v>
      </c>
      <c r="D17" s="2">
        <v>0.20799999999999996</v>
      </c>
      <c r="E17" s="17">
        <f t="shared" si="1"/>
        <v>0.2404786134534341</v>
      </c>
      <c r="F17" s="17">
        <f t="shared" si="2"/>
        <v>-3.2478613453434141E-2</v>
      </c>
      <c r="G17">
        <v>132.33671986343015</v>
      </c>
      <c r="H17">
        <v>7.9649499999999964</v>
      </c>
      <c r="I17">
        <v>1054.0553568762275</v>
      </c>
      <c r="J17" s="18">
        <v>2533</v>
      </c>
      <c r="K17" s="19">
        <v>226534.63289529999</v>
      </c>
      <c r="L17" s="84">
        <f t="shared" si="3"/>
        <v>0.26900101273352162</v>
      </c>
      <c r="M17" s="20">
        <v>0.27528326994397001</v>
      </c>
      <c r="N17" s="20">
        <v>0.20218319886093972</v>
      </c>
      <c r="O17" s="20">
        <v>0.14191579233067642</v>
      </c>
      <c r="P17">
        <v>3.9E-2</v>
      </c>
      <c r="Q17" s="20">
        <f t="shared" si="4"/>
        <v>9.9052735640689615E-2</v>
      </c>
      <c r="R17" s="79">
        <v>139.96890359997386</v>
      </c>
      <c r="S17">
        <f t="shared" si="5"/>
        <v>1114.8453187286113</v>
      </c>
    </row>
    <row r="18" spans="1:19">
      <c r="A18">
        <v>2011</v>
      </c>
      <c r="B18">
        <v>2</v>
      </c>
      <c r="C18" t="s">
        <v>22</v>
      </c>
      <c r="D18" s="2">
        <v>0.18799999999999997</v>
      </c>
      <c r="E18" s="17">
        <f t="shared" si="1"/>
        <v>0.23083453795731887</v>
      </c>
      <c r="F18" s="17">
        <f t="shared" si="2"/>
        <v>-4.2834537957318897E-2</v>
      </c>
      <c r="G18">
        <v>128.49302667831984</v>
      </c>
      <c r="H18">
        <v>7.9745967741935457</v>
      </c>
      <c r="I18">
        <v>1024.6800760552946</v>
      </c>
      <c r="J18" s="18">
        <v>2573</v>
      </c>
      <c r="K18" s="19">
        <v>228735.25833045499</v>
      </c>
      <c r="L18" s="84">
        <f t="shared" si="3"/>
        <v>0.30446894831856719</v>
      </c>
      <c r="M18" s="20">
        <v>0.31251299316233605</v>
      </c>
      <c r="N18" s="20">
        <v>0.16901408450704225</v>
      </c>
      <c r="O18" s="20">
        <v>0.13412880263492277</v>
      </c>
      <c r="P18">
        <v>3.9E-2</v>
      </c>
      <c r="Q18" s="20">
        <f t="shared" si="4"/>
        <v>9.1558039109646661E-2</v>
      </c>
      <c r="R18" s="79">
        <v>134.18300813830496</v>
      </c>
      <c r="S18">
        <f t="shared" si="5"/>
        <v>1070.0553838513131</v>
      </c>
    </row>
    <row r="19" spans="1:19">
      <c r="A19">
        <v>2011</v>
      </c>
      <c r="B19">
        <v>2</v>
      </c>
      <c r="C19" t="s">
        <v>23</v>
      </c>
      <c r="D19" s="2">
        <v>0.2</v>
      </c>
      <c r="E19" s="17">
        <f t="shared" si="1"/>
        <v>0.22361888113365938</v>
      </c>
      <c r="F19" s="17">
        <f t="shared" si="2"/>
        <v>-2.361888113365937E-2</v>
      </c>
      <c r="G19">
        <v>129.37791427734373</v>
      </c>
      <c r="H19">
        <v>7.9732500000000019</v>
      </c>
      <c r="I19">
        <v>1031.5624550118312</v>
      </c>
      <c r="J19" s="18">
        <v>2708</v>
      </c>
      <c r="K19" s="19">
        <v>228031.18789254499</v>
      </c>
      <c r="L19" s="84">
        <f t="shared" si="3"/>
        <v>0.37252098878257645</v>
      </c>
      <c r="M19" s="20">
        <v>0.38249389070846429</v>
      </c>
      <c r="N19" s="20">
        <v>0.14117151285292873</v>
      </c>
      <c r="O19" s="20">
        <v>7.8733560310230377E-2</v>
      </c>
      <c r="P19">
        <v>3.9E-2</v>
      </c>
      <c r="Q19" s="20">
        <f t="shared" si="4"/>
        <v>3.8242117719182289E-2</v>
      </c>
      <c r="R19" s="79">
        <v>133.36994648086858</v>
      </c>
      <c r="S19">
        <f t="shared" si="5"/>
        <v>1063.3919257785856</v>
      </c>
    </row>
    <row r="20" spans="1:19">
      <c r="A20">
        <v>2011</v>
      </c>
      <c r="B20">
        <v>3</v>
      </c>
      <c r="C20" t="s">
        <v>24</v>
      </c>
      <c r="D20" s="2">
        <v>0.20299999999999996</v>
      </c>
      <c r="E20" s="17">
        <f t="shared" si="1"/>
        <v>0.24799746968150119</v>
      </c>
      <c r="F20" s="17">
        <f t="shared" si="2"/>
        <v>-4.4997469681501229E-2</v>
      </c>
      <c r="G20">
        <v>131.8088716562134</v>
      </c>
      <c r="H20">
        <v>7.9712032258064545</v>
      </c>
      <c r="I20">
        <v>1050.6753029359172</v>
      </c>
      <c r="J20" s="18">
        <v>2749</v>
      </c>
      <c r="K20" s="19">
        <v>231978.49788987997</v>
      </c>
      <c r="L20" s="84">
        <f t="shared" si="3"/>
        <v>0.43714120266400758</v>
      </c>
      <c r="M20" s="20">
        <v>0.44980890779787663</v>
      </c>
      <c r="N20" s="20">
        <v>0.16138572032108156</v>
      </c>
      <c r="O20" s="20">
        <v>4.6489716296116645E-2</v>
      </c>
      <c r="P20">
        <v>6.5000000000000002E-2</v>
      </c>
      <c r="Q20" s="20">
        <f t="shared" si="4"/>
        <v>-1.7380548078763658E-2</v>
      </c>
      <c r="R20" s="79">
        <v>138.10246094446097</v>
      </c>
      <c r="S20">
        <f t="shared" si="5"/>
        <v>1100.8427821722971</v>
      </c>
    </row>
    <row r="21" spans="1:19">
      <c r="A21">
        <v>2011</v>
      </c>
      <c r="B21">
        <v>3</v>
      </c>
      <c r="C21" t="s">
        <v>25</v>
      </c>
      <c r="D21" s="2">
        <v>0.19900000000000007</v>
      </c>
      <c r="E21" s="17">
        <f t="shared" si="1"/>
        <v>0.22165672173845466</v>
      </c>
      <c r="F21" s="17">
        <f t="shared" si="2"/>
        <v>-2.2656721738454594E-2</v>
      </c>
      <c r="G21">
        <v>131.13810576106582</v>
      </c>
      <c r="H21">
        <v>7.9711225806451589</v>
      </c>
      <c r="I21">
        <v>1045.3179160150648</v>
      </c>
      <c r="J21" s="18">
        <v>2694</v>
      </c>
      <c r="K21" s="19">
        <v>237849.18464269998</v>
      </c>
      <c r="L21" s="84">
        <f t="shared" si="3"/>
        <v>0.32430114020555956</v>
      </c>
      <c r="M21" s="20">
        <v>0.3378668793285784</v>
      </c>
      <c r="N21" s="20">
        <v>0.18157894736842106</v>
      </c>
      <c r="O21" s="20">
        <v>7.0901440384351755E-2</v>
      </c>
      <c r="P21">
        <v>6.5000000000000002E-2</v>
      </c>
      <c r="Q21" s="20">
        <f t="shared" si="4"/>
        <v>5.5412585768561673E-3</v>
      </c>
      <c r="R21" s="79">
        <v>133.83520161473132</v>
      </c>
      <c r="S21">
        <f t="shared" si="5"/>
        <v>1066.8167976763823</v>
      </c>
    </row>
    <row r="22" spans="1:19">
      <c r="A22">
        <v>2011</v>
      </c>
      <c r="B22">
        <v>3</v>
      </c>
      <c r="C22" t="s">
        <v>26</v>
      </c>
      <c r="D22" s="2">
        <v>0.21299999999999997</v>
      </c>
      <c r="E22" s="17">
        <f t="shared" si="1"/>
        <v>0.21164234278055186</v>
      </c>
      <c r="F22" s="17">
        <f t="shared" si="2"/>
        <v>1.3576572194481107E-3</v>
      </c>
      <c r="G22">
        <v>130.96844757255778</v>
      </c>
      <c r="H22">
        <v>7.9728300000000027</v>
      </c>
      <c r="I22">
        <v>1044.1891678599161</v>
      </c>
      <c r="J22" s="18">
        <v>2737</v>
      </c>
      <c r="K22" s="19">
        <v>237118.02279273997</v>
      </c>
      <c r="L22" s="84">
        <f t="shared" si="3"/>
        <v>0.32047189212189209</v>
      </c>
      <c r="M22" s="20">
        <v>0.33090277779761657</v>
      </c>
      <c r="N22" s="20">
        <v>0.1651766709237974</v>
      </c>
      <c r="O22" s="20">
        <v>8.4933157570688644E-2</v>
      </c>
      <c r="P22">
        <v>6.5000000000000002E-2</v>
      </c>
      <c r="Q22" s="20">
        <f t="shared" si="4"/>
        <v>1.8716579878580886E-2</v>
      </c>
      <c r="R22" s="79">
        <v>134.10194602259935</v>
      </c>
      <c r="S22">
        <f t="shared" si="5"/>
        <v>1069.1720183073612</v>
      </c>
    </row>
    <row r="23" spans="1:19">
      <c r="A23">
        <v>2011</v>
      </c>
      <c r="B23">
        <v>4</v>
      </c>
      <c r="C23" t="s">
        <v>27</v>
      </c>
      <c r="D23" s="2">
        <v>0.16299999999999998</v>
      </c>
      <c r="E23" s="17">
        <f t="shared" si="1"/>
        <v>0.15972727289125233</v>
      </c>
      <c r="F23" s="17">
        <f t="shared" si="2"/>
        <v>3.2727271087476528E-3</v>
      </c>
      <c r="G23">
        <v>123.52971618875276</v>
      </c>
      <c r="H23">
        <v>7.9746741935483865</v>
      </c>
      <c r="I23">
        <v>985.10923982680299</v>
      </c>
      <c r="J23" s="18">
        <v>2729</v>
      </c>
      <c r="K23" s="19">
        <v>234262.614641455</v>
      </c>
      <c r="L23" s="84">
        <f t="shared" si="3"/>
        <v>0.18462238323992675</v>
      </c>
      <c r="M23" s="20">
        <v>0.19423364559211609</v>
      </c>
      <c r="N23" s="20">
        <v>0.17527993109388462</v>
      </c>
      <c r="O23" s="20">
        <v>6.8940735807412112E-2</v>
      </c>
      <c r="P23">
        <v>0.05</v>
      </c>
      <c r="Q23" s="20">
        <f t="shared" si="4"/>
        <v>1.8038796007059155E-2</v>
      </c>
      <c r="R23" s="79">
        <v>135.38441095513457</v>
      </c>
      <c r="S23">
        <f t="shared" si="5"/>
        <v>1079.6465682526612</v>
      </c>
    </row>
    <row r="24" spans="1:19">
      <c r="A24">
        <v>2011</v>
      </c>
      <c r="B24">
        <v>4</v>
      </c>
      <c r="C24" t="s">
        <v>28</v>
      </c>
      <c r="D24" s="2">
        <v>0.17299999999999996</v>
      </c>
      <c r="E24" s="17">
        <f t="shared" si="1"/>
        <v>0.10448408911700122</v>
      </c>
      <c r="F24" s="17">
        <f t="shared" si="2"/>
        <v>6.8515910882998743E-2</v>
      </c>
      <c r="G24">
        <v>119.12153054177698</v>
      </c>
      <c r="H24">
        <v>7.9839199999999986</v>
      </c>
      <c r="I24">
        <v>951.05677012310389</v>
      </c>
      <c r="J24" s="18">
        <v>2727</v>
      </c>
      <c r="K24" s="19">
        <v>232617.90219389502</v>
      </c>
      <c r="L24" s="84">
        <f t="shared" si="3"/>
        <v>8.8235554778997916E-2</v>
      </c>
      <c r="M24" s="20">
        <v>9.5939972852193467E-2</v>
      </c>
      <c r="N24" s="20">
        <v>0.15894602634934119</v>
      </c>
      <c r="O24" s="20">
        <v>6.3895610965198912E-2</v>
      </c>
      <c r="P24">
        <v>0.05</v>
      </c>
      <c r="Q24" s="20">
        <f t="shared" si="4"/>
        <v>1.3233915204951208E-2</v>
      </c>
      <c r="R24" s="79">
        <v>134.69683060915747</v>
      </c>
      <c r="S24">
        <f t="shared" si="5"/>
        <v>1075.4087198370644</v>
      </c>
    </row>
    <row r="25" spans="1:19">
      <c r="A25">
        <v>2011</v>
      </c>
      <c r="B25">
        <v>4</v>
      </c>
      <c r="C25" t="s">
        <v>29</v>
      </c>
      <c r="D25" s="2">
        <v>0.14200000000000002</v>
      </c>
      <c r="E25" s="17">
        <f t="shared" si="1"/>
        <v>7.788482674323019E-2</v>
      </c>
      <c r="F25" s="17">
        <f t="shared" si="2"/>
        <v>6.4115173256769825E-2</v>
      </c>
      <c r="G25">
        <v>117.74294497477651</v>
      </c>
      <c r="H25">
        <v>7.9897516129032251</v>
      </c>
      <c r="I25">
        <v>940.73688452019633</v>
      </c>
      <c r="J25" s="18">
        <v>3054</v>
      </c>
      <c r="K25" s="19">
        <v>235473.04022376001</v>
      </c>
      <c r="L25" s="84">
        <f t="shared" si="3"/>
        <v>2.3014818246763324E-2</v>
      </c>
      <c r="M25" s="20">
        <v>2.7393061570925026E-2</v>
      </c>
      <c r="N25" s="20">
        <v>0.16165842525675167</v>
      </c>
      <c r="O25" s="20">
        <v>6.6925062199366669E-2</v>
      </c>
      <c r="P25">
        <v>0.05</v>
      </c>
      <c r="Q25" s="20">
        <f t="shared" si="4"/>
        <v>1.6119106856539611E-2</v>
      </c>
      <c r="R25" s="79">
        <v>134.04074504781764</v>
      </c>
      <c r="S25">
        <f t="shared" si="5"/>
        <v>1070.952258940551</v>
      </c>
    </row>
    <row r="26" spans="1:19">
      <c r="A26">
        <v>2012</v>
      </c>
      <c r="B26">
        <v>1</v>
      </c>
      <c r="C26" t="s">
        <v>30</v>
      </c>
      <c r="D26" s="2">
        <v>0.11799999999999997</v>
      </c>
      <c r="E26" s="17">
        <f t="shared" si="1"/>
        <v>7.7044835266325162E-2</v>
      </c>
      <c r="F26" s="17">
        <f t="shared" si="2"/>
        <v>4.0955164733674804E-2</v>
      </c>
      <c r="G26">
        <v>120.61420690782263</v>
      </c>
      <c r="H26">
        <v>7.9897935483870981</v>
      </c>
      <c r="I26">
        <v>963.68261219594785</v>
      </c>
      <c r="J26" s="18">
        <v>2722</v>
      </c>
      <c r="K26" s="19">
        <v>234884.46835012001</v>
      </c>
      <c r="L26" s="84">
        <f t="shared" si="3"/>
        <v>-2.375519147704519E-2</v>
      </c>
      <c r="M26" s="20">
        <v>-1.8831196417002039E-2</v>
      </c>
      <c r="N26" s="20">
        <v>0.18502394427514157</v>
      </c>
      <c r="O26" s="20">
        <v>4.9870804173453909E-2</v>
      </c>
      <c r="P26">
        <v>2.5000000000000001E-2</v>
      </c>
      <c r="Q26" s="20">
        <f t="shared" si="4"/>
        <v>2.4264199193613667E-2</v>
      </c>
      <c r="R26" s="79">
        <v>135.47688819657321</v>
      </c>
      <c r="S26">
        <f t="shared" si="5"/>
        <v>1082.4323672685409</v>
      </c>
    </row>
    <row r="27" spans="1:19">
      <c r="A27">
        <v>2012</v>
      </c>
      <c r="B27">
        <v>1</v>
      </c>
      <c r="C27" t="s">
        <v>31</v>
      </c>
      <c r="D27" s="2">
        <v>7.4999999999999997E-2</v>
      </c>
      <c r="E27" s="17">
        <f t="shared" si="1"/>
        <v>7.8466687292636533E-2</v>
      </c>
      <c r="F27" s="17">
        <f t="shared" si="2"/>
        <v>-3.4666872926365361E-3</v>
      </c>
      <c r="G27">
        <v>122.32532582744703</v>
      </c>
      <c r="H27">
        <v>7.9884482758620718</v>
      </c>
      <c r="I27">
        <v>977.18953820053537</v>
      </c>
      <c r="J27" s="18">
        <v>2799</v>
      </c>
      <c r="K27" s="19">
        <v>229210.58093106499</v>
      </c>
      <c r="L27" s="84">
        <f t="shared" si="3"/>
        <v>-3.6379455342951283E-2</v>
      </c>
      <c r="M27" s="20">
        <v>-3.0596438285560024E-2</v>
      </c>
      <c r="N27" s="20">
        <v>0.19717707442258336</v>
      </c>
      <c r="O27" s="20">
        <v>4.376418904089352E-2</v>
      </c>
      <c r="P27">
        <v>2.5000000000000001E-2</v>
      </c>
      <c r="Q27" s="20">
        <f t="shared" si="4"/>
        <v>1.8306525893554637E-2</v>
      </c>
      <c r="R27" s="79">
        <v>137.45459749739962</v>
      </c>
      <c r="S27">
        <f t="shared" si="5"/>
        <v>1098.0489423874171</v>
      </c>
    </row>
    <row r="28" spans="1:19">
      <c r="A28">
        <v>2012</v>
      </c>
      <c r="B28">
        <v>1</v>
      </c>
      <c r="C28" t="s">
        <v>32</v>
      </c>
      <c r="D28" s="2">
        <v>6.5000000000000002E-2</v>
      </c>
      <c r="E28" s="17">
        <f t="shared" si="1"/>
        <v>7.3349516010900645E-2</v>
      </c>
      <c r="F28" s="17">
        <f t="shared" si="2"/>
        <v>-8.3495160109006428E-3</v>
      </c>
      <c r="G28">
        <v>126.84719037987325</v>
      </c>
      <c r="H28">
        <v>7.9862419354838741</v>
      </c>
      <c r="I28">
        <v>1013.0323512100505</v>
      </c>
      <c r="J28" s="18">
        <v>2923</v>
      </c>
      <c r="K28" s="19">
        <v>230832.769845865</v>
      </c>
      <c r="L28" s="84">
        <f t="shared" si="3"/>
        <v>1.8276258504088094E-2</v>
      </c>
      <c r="M28" s="20">
        <v>2.3695478631827527E-2</v>
      </c>
      <c r="N28" s="20">
        <v>0.1548794942710392</v>
      </c>
      <c r="O28" s="20">
        <v>4.6967958560070633E-2</v>
      </c>
      <c r="P28">
        <v>2.5000000000000001E-2</v>
      </c>
      <c r="Q28" s="20">
        <f t="shared" si="4"/>
        <v>2.1432154692751837E-2</v>
      </c>
      <c r="R28" s="79">
        <v>144.53817824090811</v>
      </c>
      <c r="S28">
        <f t="shared" si="5"/>
        <v>1154.3168603459831</v>
      </c>
    </row>
    <row r="29" spans="1:19">
      <c r="A29">
        <v>2012</v>
      </c>
      <c r="B29">
        <v>2</v>
      </c>
      <c r="C29" t="s">
        <v>33</v>
      </c>
      <c r="D29" s="2">
        <v>6.9000000000000061E-2</v>
      </c>
      <c r="E29" s="17">
        <f t="shared" si="1"/>
        <v>4.5137855828881468E-2</v>
      </c>
      <c r="F29" s="17">
        <f t="shared" si="2"/>
        <v>2.3862144171118593E-2</v>
      </c>
      <c r="G29">
        <v>126.61405100639247</v>
      </c>
      <c r="H29">
        <v>7.9867200000000009</v>
      </c>
      <c r="I29">
        <v>1011.2309734537751</v>
      </c>
      <c r="J29" s="18">
        <v>2942</v>
      </c>
      <c r="K29" s="19">
        <v>234965.39075044999</v>
      </c>
      <c r="L29" s="84">
        <f t="shared" si="3"/>
        <v>-4.324324241180677E-2</v>
      </c>
      <c r="M29" s="20">
        <v>-4.0628210978753243E-2</v>
      </c>
      <c r="N29" s="20">
        <v>0.16146861429135417</v>
      </c>
      <c r="O29" s="20">
        <v>3.7216198456712535E-2</v>
      </c>
      <c r="P29">
        <v>3.1E-2</v>
      </c>
      <c r="Q29" s="20">
        <f t="shared" si="4"/>
        <v>6.0292904526795255E-3</v>
      </c>
      <c r="R29" s="79">
        <v>138.91901347317395</v>
      </c>
      <c r="S29">
        <f t="shared" si="5"/>
        <v>1109.5072632864681</v>
      </c>
    </row>
    <row r="30" spans="1:19">
      <c r="A30">
        <v>2012</v>
      </c>
      <c r="B30">
        <v>2</v>
      </c>
      <c r="C30" t="s">
        <v>34</v>
      </c>
      <c r="D30" s="2">
        <v>4.2999999999999969E-2</v>
      </c>
      <c r="E30" s="17">
        <f t="shared" si="1"/>
        <v>4.8937463773407283E-2</v>
      </c>
      <c r="F30" s="17">
        <f t="shared" si="2"/>
        <v>-5.9374637734073143E-3</v>
      </c>
      <c r="G30">
        <v>122.14897277114676</v>
      </c>
      <c r="H30">
        <v>7.9907774193548411</v>
      </c>
      <c r="I30">
        <v>976.0652534170689</v>
      </c>
      <c r="J30" s="18">
        <v>3015</v>
      </c>
      <c r="K30" s="19">
        <v>236920.87836192996</v>
      </c>
      <c r="L30" s="84">
        <f t="shared" si="3"/>
        <v>-4.9372748632151908E-2</v>
      </c>
      <c r="M30" s="20">
        <v>-4.7443903491690809E-2</v>
      </c>
      <c r="N30" s="20">
        <v>0.17178390983287994</v>
      </c>
      <c r="O30" s="20">
        <v>3.5786437522671521E-2</v>
      </c>
      <c r="P30">
        <v>3.1E-2</v>
      </c>
      <c r="Q30" s="20">
        <f t="shared" si="4"/>
        <v>4.6425194206320963E-3</v>
      </c>
      <c r="R30" s="79">
        <v>134.29792187438434</v>
      </c>
      <c r="S30">
        <f t="shared" si="5"/>
        <v>1073.1448015801109</v>
      </c>
    </row>
    <row r="31" spans="1:19">
      <c r="A31">
        <v>2012</v>
      </c>
      <c r="B31">
        <v>2</v>
      </c>
      <c r="C31" t="s">
        <v>35</v>
      </c>
      <c r="D31" s="2">
        <v>4.4999999999999998E-2</v>
      </c>
      <c r="E31" s="17">
        <f t="shared" si="1"/>
        <v>1.7463206005631005E-2</v>
      </c>
      <c r="F31" s="17">
        <f t="shared" si="2"/>
        <v>2.7536793994368994E-2</v>
      </c>
      <c r="G31">
        <v>116.76760654489765</v>
      </c>
      <c r="H31">
        <v>7.992500000000005</v>
      </c>
      <c r="I31">
        <v>933.26509531009503</v>
      </c>
      <c r="J31" s="18">
        <v>3109</v>
      </c>
      <c r="K31" s="19">
        <v>240131.486245045</v>
      </c>
      <c r="L31" s="84">
        <f t="shared" si="3"/>
        <v>-9.746878207832077E-2</v>
      </c>
      <c r="M31" s="20">
        <v>-9.5289780297993398E-2</v>
      </c>
      <c r="N31" s="20">
        <v>0.14807976366322007</v>
      </c>
      <c r="O31" s="20">
        <v>5.3064225399737985E-2</v>
      </c>
      <c r="P31">
        <v>3.1E-2</v>
      </c>
      <c r="Q31" s="20">
        <f t="shared" si="4"/>
        <v>2.1400800581705237E-2</v>
      </c>
      <c r="R31" s="79">
        <v>125.03931059239835</v>
      </c>
      <c r="S31">
        <f t="shared" si="5"/>
        <v>999.37668990974441</v>
      </c>
    </row>
    <row r="32" spans="1:19">
      <c r="A32">
        <v>2012</v>
      </c>
      <c r="B32">
        <v>3</v>
      </c>
      <c r="C32" t="s">
        <v>36</v>
      </c>
      <c r="D32" s="2">
        <v>1.4000000000000058E-2</v>
      </c>
      <c r="E32" s="17">
        <f t="shared" si="1"/>
        <v>3.3163342068861013E-2</v>
      </c>
      <c r="F32" s="17">
        <f t="shared" si="2"/>
        <v>-1.9163342068860955E-2</v>
      </c>
      <c r="G32">
        <v>119.52372492832835</v>
      </c>
      <c r="H32">
        <v>7.9928709677419318</v>
      </c>
      <c r="I32">
        <v>955.33771093600831</v>
      </c>
      <c r="J32" s="18">
        <v>3151</v>
      </c>
      <c r="K32" s="19">
        <v>244128.81661238999</v>
      </c>
      <c r="L32" s="84">
        <f t="shared" si="3"/>
        <v>-9.3204247737795787E-2</v>
      </c>
      <c r="M32" s="20">
        <v>-9.0739348049302837E-2</v>
      </c>
      <c r="N32" s="20">
        <v>0.14623499454347044</v>
      </c>
      <c r="O32" s="20">
        <v>5.2376917830883496E-2</v>
      </c>
      <c r="P32">
        <v>-1.3000000000000001E-2</v>
      </c>
      <c r="Q32" s="20">
        <f t="shared" si="4"/>
        <v>6.6238011986710754E-2</v>
      </c>
      <c r="R32" s="79">
        <v>126.84578089207378</v>
      </c>
      <c r="S32">
        <f t="shared" si="5"/>
        <v>1013.8619594728108</v>
      </c>
    </row>
    <row r="33" spans="1:19">
      <c r="A33">
        <v>2012</v>
      </c>
      <c r="B33">
        <v>3</v>
      </c>
      <c r="C33" t="s">
        <v>37</v>
      </c>
      <c r="D33" s="2">
        <v>1.4000000000000058E-2</v>
      </c>
      <c r="E33" s="17">
        <f t="shared" si="1"/>
        <v>2.4751500700833012E-2</v>
      </c>
      <c r="F33" s="17">
        <f t="shared" si="2"/>
        <v>-1.0751500700832955E-2</v>
      </c>
      <c r="G33">
        <v>118.79234634315445</v>
      </c>
      <c r="H33">
        <v>7.9929999999999968</v>
      </c>
      <c r="I33">
        <v>949.50722432083307</v>
      </c>
      <c r="J33" s="18">
        <v>3073</v>
      </c>
      <c r="K33" s="19">
        <v>247403.86389133497</v>
      </c>
      <c r="L33" s="84">
        <f t="shared" si="3"/>
        <v>-9.414318855882664E-2</v>
      </c>
      <c r="M33" s="20">
        <v>-9.1656988009426787E-2</v>
      </c>
      <c r="N33" s="20">
        <v>0.14068299925760952</v>
      </c>
      <c r="O33" s="20">
        <v>4.0171166712167361E-2</v>
      </c>
      <c r="P33">
        <v>-1.3000000000000001E-2</v>
      </c>
      <c r="Q33" s="20">
        <f t="shared" si="4"/>
        <v>5.3871496162277044E-2</v>
      </c>
      <c r="R33" s="79">
        <v>132.23349492712089</v>
      </c>
      <c r="S33">
        <f t="shared" si="5"/>
        <v>1056.9423249524768</v>
      </c>
    </row>
    <row r="34" spans="1:19">
      <c r="A34">
        <v>2012</v>
      </c>
      <c r="B34">
        <v>3</v>
      </c>
      <c r="C34" t="s">
        <v>38</v>
      </c>
      <c r="D34" s="2">
        <v>2.9999999999999714E-3</v>
      </c>
      <c r="E34" s="17">
        <f t="shared" si="1"/>
        <v>5.127338510165183E-3</v>
      </c>
      <c r="F34" s="17">
        <f t="shared" si="2"/>
        <v>-2.1273385101652116E-3</v>
      </c>
      <c r="G34">
        <v>116.23428230616099</v>
      </c>
      <c r="H34">
        <v>7.9929999999999968</v>
      </c>
      <c r="I34">
        <v>929.06061847314447</v>
      </c>
      <c r="J34" s="18">
        <v>3064</v>
      </c>
      <c r="K34" s="19">
        <v>248849.02702901</v>
      </c>
      <c r="L34" s="84">
        <f t="shared" si="3"/>
        <v>-0.11250164096382009</v>
      </c>
      <c r="M34" s="20">
        <v>-0.11025641036166811</v>
      </c>
      <c r="N34" s="20">
        <v>0.1194738765071246</v>
      </c>
      <c r="O34" s="20">
        <v>4.9473271150392018E-2</v>
      </c>
      <c r="P34">
        <v>-1.3000000000000001E-2</v>
      </c>
      <c r="Q34" s="20">
        <f t="shared" si="4"/>
        <v>6.3296120719748661E-2</v>
      </c>
      <c r="R34" s="79">
        <v>131.15498316343181</v>
      </c>
      <c r="S34">
        <f t="shared" si="5"/>
        <v>1048.32178042531</v>
      </c>
    </row>
    <row r="35" spans="1:19">
      <c r="A35">
        <v>2012</v>
      </c>
      <c r="B35">
        <v>4</v>
      </c>
      <c r="C35" t="s">
        <v>39</v>
      </c>
      <c r="D35" s="2">
        <v>5.9999999999999429E-3</v>
      </c>
      <c r="E35" s="17">
        <f t="shared" si="1"/>
        <v>5.5992467847837651E-2</v>
      </c>
      <c r="F35" s="17">
        <f t="shared" si="2"/>
        <v>-4.9992467847837709E-2</v>
      </c>
      <c r="G35">
        <v>118.78378683362817</v>
      </c>
      <c r="H35">
        <v>7.9929999999999968</v>
      </c>
      <c r="I35">
        <v>949.43880816118963</v>
      </c>
      <c r="J35" s="18">
        <v>3110</v>
      </c>
      <c r="K35" s="19">
        <v>246775.18956694502</v>
      </c>
      <c r="L35" s="84">
        <f t="shared" si="3"/>
        <v>-3.8419333432878844E-2</v>
      </c>
      <c r="M35" s="20">
        <v>-3.6209620439541013E-2</v>
      </c>
      <c r="N35" s="20">
        <v>0.13961157933308899</v>
      </c>
      <c r="O35" s="20">
        <v>5.3412598269855449E-2</v>
      </c>
      <c r="P35">
        <v>-2.3E-2</v>
      </c>
      <c r="Q35" s="20">
        <f t="shared" si="4"/>
        <v>7.8211461893403778E-2</v>
      </c>
      <c r="R35" s="79">
        <v>132.900400157398</v>
      </c>
      <c r="S35">
        <f t="shared" si="5"/>
        <v>1062.2728984580817</v>
      </c>
    </row>
    <row r="36" spans="1:19">
      <c r="A36">
        <v>2012</v>
      </c>
      <c r="B36">
        <v>4</v>
      </c>
      <c r="C36" t="s">
        <v>40</v>
      </c>
      <c r="D36" s="2">
        <v>0</v>
      </c>
      <c r="E36" s="17">
        <f t="shared" si="1"/>
        <v>7.1673918313767029E-2</v>
      </c>
      <c r="F36" s="17">
        <f t="shared" si="2"/>
        <v>-7.1673918313767029E-2</v>
      </c>
      <c r="G36">
        <v>120.89698384331992</v>
      </c>
      <c r="H36">
        <v>7.9929999999999968</v>
      </c>
      <c r="I36">
        <v>966.32959185965569</v>
      </c>
      <c r="J36" s="18">
        <v>3098</v>
      </c>
      <c r="K36" s="19">
        <v>242130.89166552501</v>
      </c>
      <c r="L36" s="84">
        <f t="shared" si="3"/>
        <v>1.4904554142882498E-2</v>
      </c>
      <c r="M36" s="20">
        <v>1.6058790827570668E-2</v>
      </c>
      <c r="N36" s="20">
        <v>0.13604693802713608</v>
      </c>
      <c r="O36" s="20">
        <v>4.089534546528828E-2</v>
      </c>
      <c r="P36">
        <v>-2.3E-2</v>
      </c>
      <c r="Q36" s="20">
        <f t="shared" si="4"/>
        <v>6.5399534764880585E-2</v>
      </c>
      <c r="R36" s="79">
        <v>133.74208082739307</v>
      </c>
      <c r="S36">
        <f t="shared" si="5"/>
        <v>1069.0004520533523</v>
      </c>
    </row>
    <row r="37" spans="1:19">
      <c r="A37">
        <v>2012</v>
      </c>
      <c r="B37">
        <v>4</v>
      </c>
      <c r="C37" t="s">
        <v>41</v>
      </c>
      <c r="D37" s="2">
        <v>2.9999999999999714E-3</v>
      </c>
      <c r="E37" s="17">
        <f t="shared" si="1"/>
        <v>6.092229096307239E-2</v>
      </c>
      <c r="F37" s="17">
        <f t="shared" si="2"/>
        <v>-5.7922290963072415E-2</v>
      </c>
      <c r="G37">
        <v>121.68343731102517</v>
      </c>
      <c r="H37">
        <v>7.9929999999999968</v>
      </c>
      <c r="I37">
        <v>972.61571442702382</v>
      </c>
      <c r="J37" s="18">
        <v>3377</v>
      </c>
      <c r="K37" s="19">
        <v>246959.60933522001</v>
      </c>
      <c r="L37" s="84">
        <f t="shared" si="3"/>
        <v>3.3466908247392846E-2</v>
      </c>
      <c r="M37" s="20">
        <v>3.3887084084182284E-2</v>
      </c>
      <c r="N37" s="20">
        <v>0.10576293385723634</v>
      </c>
      <c r="O37" s="20">
        <v>4.8780824762549413E-2</v>
      </c>
      <c r="P37">
        <v>-2.3E-2</v>
      </c>
      <c r="Q37" s="20">
        <f t="shared" si="4"/>
        <v>7.3470649705782431E-2</v>
      </c>
      <c r="R37" s="79">
        <v>133.98500104683589</v>
      </c>
      <c r="S37">
        <f t="shared" si="5"/>
        <v>1070.9421133673588</v>
      </c>
    </row>
    <row r="38" spans="1:19">
      <c r="A38">
        <v>2013</v>
      </c>
      <c r="B38">
        <v>1</v>
      </c>
      <c r="C38" t="s">
        <v>42</v>
      </c>
      <c r="D38" s="2">
        <v>1.4999999999999999E-2</v>
      </c>
      <c r="E38" s="17">
        <f t="shared" si="1"/>
        <v>6.9579530125252628E-2</v>
      </c>
      <c r="F38" s="17">
        <f t="shared" si="2"/>
        <v>-5.4579530125252629E-2</v>
      </c>
      <c r="G38">
        <v>126.00598058846792</v>
      </c>
      <c r="H38">
        <v>7.9929999999999968</v>
      </c>
      <c r="I38">
        <v>1007.1658028436237</v>
      </c>
      <c r="J38" s="18">
        <v>3000</v>
      </c>
      <c r="K38" s="19">
        <v>253519.96098072501</v>
      </c>
      <c r="L38" s="84">
        <f t="shared" si="3"/>
        <v>4.4702641744067906E-2</v>
      </c>
      <c r="M38" s="20">
        <v>4.5121900195532749E-2</v>
      </c>
      <c r="N38" s="20">
        <v>0.10213078618662741</v>
      </c>
      <c r="O38" s="20">
        <v>7.9338973587758987E-2</v>
      </c>
      <c r="P38">
        <v>-1.2E-2</v>
      </c>
      <c r="Q38" s="20">
        <f t="shared" si="4"/>
        <v>9.2448353833764152E-2</v>
      </c>
      <c r="R38" s="79">
        <v>135.77145178775672</v>
      </c>
      <c r="S38">
        <f t="shared" si="5"/>
        <v>1085.2212141395389</v>
      </c>
    </row>
    <row r="39" spans="1:19">
      <c r="A39">
        <v>2013</v>
      </c>
      <c r="B39">
        <v>1</v>
      </c>
      <c r="C39" t="s">
        <v>43</v>
      </c>
      <c r="D39" s="2">
        <v>-9.0000000000000566E-3</v>
      </c>
      <c r="E39" s="17">
        <f t="shared" si="1"/>
        <v>6.7214526345157261E-2</v>
      </c>
      <c r="F39" s="17">
        <f t="shared" si="2"/>
        <v>-7.6214526345157324E-2</v>
      </c>
      <c r="G39">
        <v>127.4815865562685</v>
      </c>
      <c r="H39">
        <v>7.9929999999999968</v>
      </c>
      <c r="I39">
        <v>1018.9603213442537</v>
      </c>
      <c r="J39" s="18">
        <v>3044</v>
      </c>
      <c r="K39" s="19">
        <v>253365.73957723999</v>
      </c>
      <c r="L39" s="84">
        <f t="shared" si="3"/>
        <v>4.2152029385108092E-2</v>
      </c>
      <c r="M39" s="20">
        <v>4.2745835388944053E-2</v>
      </c>
      <c r="N39" s="20">
        <v>8.7531261164701668E-2</v>
      </c>
      <c r="O39" s="20">
        <v>0.10538413431027283</v>
      </c>
      <c r="P39">
        <v>-1.2E-2</v>
      </c>
      <c r="Q39" s="20">
        <f t="shared" si="4"/>
        <v>0.11880985254076193</v>
      </c>
      <c r="R39" s="79">
        <v>136.51696941194118</v>
      </c>
      <c r="S39">
        <f t="shared" si="5"/>
        <v>1091.1801365096453</v>
      </c>
    </row>
    <row r="40" spans="1:19">
      <c r="A40">
        <v>2013</v>
      </c>
      <c r="B40">
        <v>1</v>
      </c>
      <c r="C40" t="s">
        <v>44</v>
      </c>
      <c r="D40" s="2">
        <v>2.0000000000000282E-3</v>
      </c>
      <c r="E40" s="17">
        <f t="shared" si="1"/>
        <v>4.2677693491576921E-2</v>
      </c>
      <c r="F40" s="17">
        <f t="shared" si="2"/>
        <v>-4.0677693491576891E-2</v>
      </c>
      <c r="G40">
        <v>122.41481743523046</v>
      </c>
      <c r="H40">
        <v>7.9929999999999968</v>
      </c>
      <c r="I40">
        <v>978.46163575979665</v>
      </c>
      <c r="J40" s="18">
        <v>3212</v>
      </c>
      <c r="K40" s="19">
        <v>255560.8297231</v>
      </c>
      <c r="L40" s="84">
        <f t="shared" si="3"/>
        <v>-3.4942618211479703E-2</v>
      </c>
      <c r="M40" s="20">
        <v>-3.4125973774637774E-2</v>
      </c>
      <c r="N40" s="20">
        <v>9.8871022921655838E-2</v>
      </c>
      <c r="O40" s="20">
        <v>0.10712543064724644</v>
      </c>
      <c r="P40">
        <v>-1.2E-2</v>
      </c>
      <c r="Q40" s="20">
        <f t="shared" si="4"/>
        <v>0.12057229822595805</v>
      </c>
      <c r="R40" s="79">
        <v>133.64700509154099</v>
      </c>
      <c r="S40">
        <f t="shared" si="5"/>
        <v>1068.2405116966868</v>
      </c>
    </row>
    <row r="41" spans="1:19">
      <c r="A41">
        <v>2013</v>
      </c>
      <c r="B41">
        <v>2</v>
      </c>
      <c r="C41" t="s">
        <v>45</v>
      </c>
      <c r="D41" s="2">
        <v>-0.01</v>
      </c>
      <c r="E41" s="17">
        <f t="shared" si="1"/>
        <v>4.0704429570466993E-2</v>
      </c>
      <c r="F41" s="17">
        <f t="shared" si="2"/>
        <v>-5.0704429570466995E-2</v>
      </c>
      <c r="G41">
        <v>120.84468805869196</v>
      </c>
      <c r="H41">
        <v>7.9929999999999968</v>
      </c>
      <c r="I41">
        <v>965.91159165312445</v>
      </c>
      <c r="J41" s="18">
        <v>3233</v>
      </c>
      <c r="K41" s="19">
        <v>261665.96983488501</v>
      </c>
      <c r="L41" s="84">
        <f t="shared" si="3"/>
        <v>-4.5566529953371737E-2</v>
      </c>
      <c r="M41" s="20">
        <v>-4.4816053889118912E-2</v>
      </c>
      <c r="N41" s="20">
        <v>9.8912304554724662E-2</v>
      </c>
      <c r="O41" s="20">
        <v>0.11363622105858528</v>
      </c>
      <c r="P41">
        <v>-1.3000000000000001E-2</v>
      </c>
      <c r="Q41" s="20">
        <f t="shared" si="4"/>
        <v>0.128304175337979</v>
      </c>
      <c r="R41" s="79">
        <v>137.08481586964456</v>
      </c>
      <c r="S41">
        <f t="shared" si="5"/>
        <v>1095.7189332460684</v>
      </c>
    </row>
    <row r="42" spans="1:19">
      <c r="A42">
        <v>2013</v>
      </c>
      <c r="B42">
        <v>2</v>
      </c>
      <c r="C42" t="s">
        <v>46</v>
      </c>
      <c r="D42" s="2">
        <v>1.9000000000000059E-2</v>
      </c>
      <c r="E42" s="17">
        <f t="shared" si="1"/>
        <v>3.4904702659168702E-2</v>
      </c>
      <c r="F42" s="17">
        <f t="shared" si="2"/>
        <v>-1.5904702659168643E-2</v>
      </c>
      <c r="G42">
        <v>116.85988523673052</v>
      </c>
      <c r="H42">
        <v>7.9929999999999968</v>
      </c>
      <c r="I42">
        <v>934.06106269718668</v>
      </c>
      <c r="J42" s="18">
        <v>3253</v>
      </c>
      <c r="K42" s="19">
        <v>268980.006681845</v>
      </c>
      <c r="L42" s="84">
        <f t="shared" si="3"/>
        <v>-4.3300303018721675E-2</v>
      </c>
      <c r="M42" s="20">
        <v>-4.3034203474441313E-2</v>
      </c>
      <c r="N42" s="20">
        <v>7.8938640132669935E-2</v>
      </c>
      <c r="O42" s="20">
        <v>0.13531575833067877</v>
      </c>
      <c r="P42">
        <v>-1.3000000000000001E-2</v>
      </c>
      <c r="Q42" s="20">
        <f t="shared" si="4"/>
        <v>0.15026925869369689</v>
      </c>
      <c r="R42" s="79">
        <v>133.44116771806961</v>
      </c>
      <c r="S42">
        <f t="shared" si="5"/>
        <v>1066.5952535705298</v>
      </c>
    </row>
    <row r="43" spans="1:19">
      <c r="A43">
        <v>2013</v>
      </c>
      <c r="B43">
        <v>2</v>
      </c>
      <c r="C43" t="s">
        <v>47</v>
      </c>
      <c r="D43" s="2">
        <v>-1.5999999999999945E-2</v>
      </c>
      <c r="E43" s="17">
        <f t="shared" si="1"/>
        <v>4.7308040764995549E-2</v>
      </c>
      <c r="F43" s="17">
        <f t="shared" si="2"/>
        <v>-6.3308040764995493E-2</v>
      </c>
      <c r="G43">
        <v>113.30275362635314</v>
      </c>
      <c r="H43">
        <v>7.9929999999999968</v>
      </c>
      <c r="I43">
        <v>905.62890973544029</v>
      </c>
      <c r="J43" s="18">
        <v>3380</v>
      </c>
      <c r="K43" s="19">
        <v>273259.66609833</v>
      </c>
      <c r="L43" s="84">
        <f t="shared" si="3"/>
        <v>-2.9673066195908149E-2</v>
      </c>
      <c r="M43" s="20">
        <v>-2.9612363854100932E-2</v>
      </c>
      <c r="N43" s="20">
        <v>8.7166291412029695E-2</v>
      </c>
      <c r="O43" s="20">
        <v>0.13795850086680828</v>
      </c>
      <c r="P43">
        <v>-1.3000000000000001E-2</v>
      </c>
      <c r="Q43" s="20">
        <f t="shared" si="4"/>
        <v>0.15294680938886351</v>
      </c>
      <c r="R43" s="79">
        <v>130.4758763331964</v>
      </c>
      <c r="S43">
        <f t="shared" si="5"/>
        <v>1042.8936795312384</v>
      </c>
    </row>
    <row r="44" spans="1:19">
      <c r="A44">
        <v>2013</v>
      </c>
      <c r="B44">
        <v>3</v>
      </c>
      <c r="C44" t="s">
        <v>48</v>
      </c>
      <c r="D44" s="2">
        <v>-1.5999999999999945E-2</v>
      </c>
      <c r="E44" s="17">
        <f t="shared" si="1"/>
        <v>4.1237351504943842E-2</v>
      </c>
      <c r="F44" s="17">
        <f t="shared" si="2"/>
        <v>-5.7237351504943787E-2</v>
      </c>
      <c r="G44">
        <v>114.38741512758799</v>
      </c>
      <c r="H44">
        <v>7.9929999999999968</v>
      </c>
      <c r="I44">
        <v>914.29860911481035</v>
      </c>
      <c r="J44" s="18">
        <v>3429</v>
      </c>
      <c r="K44" s="19">
        <v>277316.82655808004</v>
      </c>
      <c r="L44" s="84">
        <f t="shared" si="3"/>
        <v>-4.2973140301813095E-2</v>
      </c>
      <c r="M44" s="20">
        <v>-4.2957690617058564E-2</v>
      </c>
      <c r="N44" s="20">
        <v>8.8225960012694449E-2</v>
      </c>
      <c r="O44" s="20">
        <v>0.13594466399426963</v>
      </c>
      <c r="P44">
        <v>-1.2E-2</v>
      </c>
      <c r="Q44" s="20">
        <f t="shared" si="4"/>
        <v>0.14974156274723649</v>
      </c>
      <c r="R44" s="79">
        <v>129.74208528142924</v>
      </c>
      <c r="S44">
        <f t="shared" si="5"/>
        <v>1037.0284876544636</v>
      </c>
    </row>
    <row r="45" spans="1:19">
      <c r="A45">
        <v>2013</v>
      </c>
      <c r="B45">
        <v>3</v>
      </c>
      <c r="C45" t="s">
        <v>49</v>
      </c>
      <c r="D45" s="2">
        <v>-9.0000000000000566E-3</v>
      </c>
      <c r="E45" s="17">
        <f t="shared" si="1"/>
        <v>3.5729389689956703E-2</v>
      </c>
      <c r="F45" s="17">
        <f t="shared" si="2"/>
        <v>-4.472938968995676E-2</v>
      </c>
      <c r="G45">
        <v>114.59061164337074</v>
      </c>
      <c r="H45">
        <v>7.9929999999999968</v>
      </c>
      <c r="I45">
        <v>915.9227588654619</v>
      </c>
      <c r="J45" s="18">
        <v>3304</v>
      </c>
      <c r="K45" s="19">
        <v>281281.81099551998</v>
      </c>
      <c r="L45" s="84">
        <f t="shared" si="3"/>
        <v>-3.5370415932741928E-2</v>
      </c>
      <c r="M45" s="20">
        <v>-3.5370415932741928E-2</v>
      </c>
      <c r="N45" s="20">
        <v>7.5170842824601403E-2</v>
      </c>
      <c r="O45" s="20">
        <v>0.13693378337480167</v>
      </c>
      <c r="P45">
        <v>-1.2E-2</v>
      </c>
      <c r="Q45" s="20">
        <f t="shared" si="4"/>
        <v>0.15074269572348342</v>
      </c>
      <c r="R45" s="79">
        <v>131.42806323217764</v>
      </c>
      <c r="S45">
        <f t="shared" si="5"/>
        <v>1050.5045094147954</v>
      </c>
    </row>
    <row r="46" spans="1:19">
      <c r="A46">
        <v>2013</v>
      </c>
      <c r="B46">
        <v>3</v>
      </c>
      <c r="C46" t="s">
        <v>50</v>
      </c>
      <c r="D46" s="2">
        <v>-9.0000000000000566E-3</v>
      </c>
      <c r="E46" s="17">
        <f t="shared" si="1"/>
        <v>2.6778205587576695E-2</v>
      </c>
      <c r="F46" s="17">
        <f t="shared" si="2"/>
        <v>-3.5778205587576752E-2</v>
      </c>
      <c r="G46">
        <v>111.31289378210467</v>
      </c>
      <c r="H46">
        <v>7.9929999999999968</v>
      </c>
      <c r="I46">
        <v>889.72396000036224</v>
      </c>
      <c r="J46" s="18">
        <v>3261</v>
      </c>
      <c r="K46" s="19">
        <v>284119.22944967996</v>
      </c>
      <c r="L46" s="84">
        <f t="shared" si="3"/>
        <v>-4.2340249592571988E-2</v>
      </c>
      <c r="M46" s="20">
        <v>-4.2340249592571988E-2</v>
      </c>
      <c r="N46" s="20">
        <v>6.4295039164490753E-2</v>
      </c>
      <c r="O46" s="20">
        <v>0.14173333463167714</v>
      </c>
      <c r="P46">
        <v>-1.2E-2</v>
      </c>
      <c r="Q46" s="20">
        <f t="shared" si="4"/>
        <v>0.15560054112517929</v>
      </c>
      <c r="R46" s="79">
        <v>129.31099711301957</v>
      </c>
      <c r="S46">
        <f t="shared" si="5"/>
        <v>1033.582799924365</v>
      </c>
    </row>
    <row r="47" spans="1:19">
      <c r="A47">
        <v>2013</v>
      </c>
      <c r="B47">
        <v>4</v>
      </c>
      <c r="C47" t="s">
        <v>51</v>
      </c>
      <c r="D47" s="2">
        <v>7.9999999999999724E-3</v>
      </c>
      <c r="E47" s="17">
        <f t="shared" si="1"/>
        <v>1.8303823528629248E-3</v>
      </c>
      <c r="F47" s="17">
        <f t="shared" si="2"/>
        <v>6.1696176471370476E-3</v>
      </c>
      <c r="G47">
        <v>111.5220405778533</v>
      </c>
      <c r="H47">
        <v>7.9929999999999968</v>
      </c>
      <c r="I47">
        <v>891.39567033878109</v>
      </c>
      <c r="J47" s="18">
        <v>3283</v>
      </c>
      <c r="K47" s="19">
        <v>286351.75427067</v>
      </c>
      <c r="L47" s="84">
        <f t="shared" si="3"/>
        <v>-6.1134153484649123E-2</v>
      </c>
      <c r="M47" s="20">
        <v>-6.1134153484649123E-2</v>
      </c>
      <c r="N47" s="20">
        <v>5.5627009646302294E-2</v>
      </c>
      <c r="O47" s="20">
        <v>0.16037497437718984</v>
      </c>
      <c r="P47">
        <v>3.3000000000000002E-2</v>
      </c>
      <c r="Q47" s="20">
        <f t="shared" si="4"/>
        <v>0.1233058803264182</v>
      </c>
      <c r="R47" s="79">
        <v>130.30780650398901</v>
      </c>
      <c r="S47">
        <f t="shared" si="5"/>
        <v>1041.5502973863838</v>
      </c>
    </row>
    <row r="48" spans="1:19">
      <c r="A48">
        <v>2013</v>
      </c>
      <c r="B48">
        <v>4</v>
      </c>
      <c r="C48" t="s">
        <v>52</v>
      </c>
      <c r="D48" s="2">
        <v>-5.0000000000000001E-3</v>
      </c>
      <c r="E48" s="17">
        <f t="shared" si="1"/>
        <v>6.5546596372637808E-3</v>
      </c>
      <c r="F48" s="17">
        <f t="shared" si="2"/>
        <v>-1.1554659637263782E-2</v>
      </c>
      <c r="G48">
        <v>112.19233906782081</v>
      </c>
      <c r="H48">
        <v>7.9929999999999968</v>
      </c>
      <c r="I48">
        <v>896.75336616909135</v>
      </c>
      <c r="J48" s="18">
        <v>3268</v>
      </c>
      <c r="K48" s="19">
        <v>288363.33373174502</v>
      </c>
      <c r="L48" s="84">
        <f t="shared" si="3"/>
        <v>-7.2000512326925836E-2</v>
      </c>
      <c r="M48" s="20">
        <v>-7.2000512326925836E-2</v>
      </c>
      <c r="N48" s="20">
        <v>5.4874112330535851E-2</v>
      </c>
      <c r="O48" s="20">
        <v>0.19093987449600047</v>
      </c>
      <c r="P48">
        <v>3.3000000000000002E-2</v>
      </c>
      <c r="Q48" s="20">
        <f t="shared" si="4"/>
        <v>0.152894360596322</v>
      </c>
      <c r="R48" s="79">
        <v>130.50803530381367</v>
      </c>
      <c r="S48">
        <f t="shared" si="5"/>
        <v>1043.1507261833822</v>
      </c>
    </row>
    <row r="49" spans="1:19">
      <c r="A49">
        <v>2013</v>
      </c>
      <c r="B49">
        <v>4</v>
      </c>
      <c r="C49" t="s">
        <v>53</v>
      </c>
      <c r="D49" s="2">
        <v>1.7000000000000029E-2</v>
      </c>
      <c r="E49" s="17">
        <f t="shared" si="1"/>
        <v>2.2248547783158767E-2</v>
      </c>
      <c r="F49" s="17">
        <f t="shared" si="2"/>
        <v>-5.2485477831587385E-3</v>
      </c>
      <c r="G49">
        <v>112.65620994920626</v>
      </c>
      <c r="H49">
        <v>7.9929999999999968</v>
      </c>
      <c r="I49">
        <v>900.46108612400531</v>
      </c>
      <c r="J49" s="18">
        <v>3619</v>
      </c>
      <c r="K49" s="19">
        <v>297862.94055798498</v>
      </c>
      <c r="L49" s="84">
        <f t="shared" si="3"/>
        <v>-7.4186163386765203E-2</v>
      </c>
      <c r="M49" s="20">
        <v>-7.4186163386765203E-2</v>
      </c>
      <c r="N49" s="20">
        <v>7.1661237785016318E-2</v>
      </c>
      <c r="O49" s="20">
        <v>0.20612006700119689</v>
      </c>
      <c r="P49">
        <v>3.3000000000000002E-2</v>
      </c>
      <c r="Q49" s="20">
        <f t="shared" si="4"/>
        <v>0.1675896098753118</v>
      </c>
      <c r="R49" s="79">
        <v>132.55671465703986</v>
      </c>
      <c r="S49">
        <f t="shared" si="5"/>
        <v>1059.5258202537193</v>
      </c>
    </row>
    <row r="50" spans="1:19">
      <c r="A50">
        <v>2014</v>
      </c>
      <c r="B50">
        <v>1</v>
      </c>
      <c r="C50" t="s">
        <v>54</v>
      </c>
      <c r="D50" s="2">
        <v>0.02</v>
      </c>
      <c r="E50" s="17">
        <f t="shared" si="1"/>
        <v>-1.3909151668579152E-2</v>
      </c>
      <c r="F50" s="17">
        <f t="shared" si="2"/>
        <v>3.3909151668579149E-2</v>
      </c>
      <c r="G50">
        <v>106.2911991336087</v>
      </c>
      <c r="H50">
        <v>7.9929999999999968</v>
      </c>
      <c r="I50">
        <v>849.58555467493397</v>
      </c>
      <c r="J50" s="18">
        <v>3167</v>
      </c>
      <c r="K50" s="3">
        <v>300798.40161085001</v>
      </c>
      <c r="L50" s="84">
        <f t="shared" si="3"/>
        <v>-0.1564590931540556</v>
      </c>
      <c r="M50" s="20">
        <v>-0.1564590931540556</v>
      </c>
      <c r="N50" s="20">
        <v>5.5666666666666753E-2</v>
      </c>
      <c r="O50" s="20">
        <v>0.18648804002348185</v>
      </c>
      <c r="P50">
        <v>-0.01</v>
      </c>
      <c r="Q50" s="20">
        <f t="shared" si="4"/>
        <v>0.19847276770048672</v>
      </c>
      <c r="R50" s="79">
        <v>127.69921883761825</v>
      </c>
      <c r="S50">
        <f t="shared" si="5"/>
        <v>1020.6998561690822</v>
      </c>
    </row>
    <row r="51" spans="1:19">
      <c r="A51">
        <v>2014</v>
      </c>
      <c r="B51">
        <v>1</v>
      </c>
      <c r="C51" t="s">
        <v>55</v>
      </c>
      <c r="D51" s="2">
        <v>3.2999999999999974E-2</v>
      </c>
      <c r="E51" s="17">
        <f t="shared" si="1"/>
        <v>8.471579196036208E-3</v>
      </c>
      <c r="F51" s="17">
        <f t="shared" si="2"/>
        <v>2.4528420803963766E-2</v>
      </c>
      <c r="G51">
        <v>105.42003213178978</v>
      </c>
      <c r="H51">
        <v>8.6548821428571419</v>
      </c>
      <c r="I51">
        <v>912.39795359685354</v>
      </c>
      <c r="J51" s="18">
        <v>3209</v>
      </c>
      <c r="K51" s="3">
        <v>301442.06663184497</v>
      </c>
      <c r="L51" s="84">
        <f t="shared" si="3"/>
        <v>-0.17305679212535585</v>
      </c>
      <c r="M51" s="20">
        <v>-0.10457950669444982</v>
      </c>
      <c r="N51" s="20">
        <v>5.4204993429697756E-2</v>
      </c>
      <c r="O51" s="20">
        <v>0.18975070242260839</v>
      </c>
      <c r="P51">
        <v>-0.01</v>
      </c>
      <c r="Q51" s="20">
        <f t="shared" si="4"/>
        <v>0.20176838628546312</v>
      </c>
      <c r="R51" s="79">
        <v>126.43126557691991</v>
      </c>
      <c r="S51">
        <f t="shared" si="5"/>
        <v>1094.247702740513</v>
      </c>
    </row>
    <row r="52" spans="1:19">
      <c r="A52">
        <v>2014</v>
      </c>
      <c r="B52">
        <v>1</v>
      </c>
      <c r="C52" t="s">
        <v>56</v>
      </c>
      <c r="D52" s="2">
        <v>3.9000000000000055E-2</v>
      </c>
      <c r="E52" s="17">
        <f t="shared" si="1"/>
        <v>0.10188125452371599</v>
      </c>
      <c r="F52" s="17">
        <f t="shared" si="2"/>
        <v>-6.2881254523715929E-2</v>
      </c>
      <c r="G52">
        <v>103.85161526713333</v>
      </c>
      <c r="H52">
        <v>9.9200290322580607</v>
      </c>
      <c r="I52">
        <v>1030.2110384968571</v>
      </c>
      <c r="J52" s="18">
        <v>3415</v>
      </c>
      <c r="K52" s="3">
        <v>318743.77602432499</v>
      </c>
      <c r="L52" s="84">
        <f t="shared" si="3"/>
        <v>-0.15164179105947617</v>
      </c>
      <c r="M52" s="20">
        <v>5.2888535273921011E-2</v>
      </c>
      <c r="N52" s="20">
        <v>6.3200498132004901E-2</v>
      </c>
      <c r="O52" s="20">
        <v>0.2472325135651019</v>
      </c>
      <c r="P52">
        <v>-0.01</v>
      </c>
      <c r="Q52" s="20">
        <f t="shared" si="4"/>
        <v>0.25983082178293126</v>
      </c>
      <c r="R52" s="79">
        <v>123.39557322845533</v>
      </c>
      <c r="S52">
        <f t="shared" si="5"/>
        <v>1224.0876688784024</v>
      </c>
    </row>
    <row r="53" spans="1:19">
      <c r="A53">
        <v>2014</v>
      </c>
      <c r="B53">
        <v>2</v>
      </c>
      <c r="C53" t="s">
        <v>57</v>
      </c>
      <c r="D53" s="2">
        <v>7.4999999999999997E-2</v>
      </c>
      <c r="E53" s="17">
        <f t="shared" si="1"/>
        <v>0.26061933463241138</v>
      </c>
      <c r="F53" s="17">
        <f t="shared" si="2"/>
        <v>-0.18561933463241137</v>
      </c>
      <c r="G53">
        <v>103.51039725716863</v>
      </c>
      <c r="H53">
        <v>12.759447166666666</v>
      </c>
      <c r="I53">
        <v>1320.7354450035214</v>
      </c>
      <c r="J53" s="18">
        <v>3432</v>
      </c>
      <c r="K53" s="3">
        <v>333966.73129959498</v>
      </c>
      <c r="L53" s="84">
        <f t="shared" si="3"/>
        <v>-0.14344272040409745</v>
      </c>
      <c r="M53" s="20">
        <v>0.36734609711343058</v>
      </c>
      <c r="N53" s="20">
        <v>6.1552737395607737E-2</v>
      </c>
      <c r="O53" s="20">
        <v>0.27630937836636837</v>
      </c>
      <c r="P53">
        <v>-4.2999999999999997E-2</v>
      </c>
      <c r="Q53" s="20">
        <f t="shared" si="4"/>
        <v>0.33365661271302871</v>
      </c>
      <c r="R53" s="79">
        <v>123.20968559056922</v>
      </c>
      <c r="S53">
        <f t="shared" si="5"/>
        <v>1572.0874737144793</v>
      </c>
    </row>
    <row r="54" spans="1:19">
      <c r="A54">
        <v>2014</v>
      </c>
      <c r="B54">
        <v>2</v>
      </c>
      <c r="C54" t="s">
        <v>58</v>
      </c>
      <c r="D54" s="2">
        <v>8.7999999999999967E-2</v>
      </c>
      <c r="E54" s="17">
        <f t="shared" si="1"/>
        <v>0.19658383614667194</v>
      </c>
      <c r="F54" s="17">
        <f t="shared" si="2"/>
        <v>-0.10858383614667197</v>
      </c>
      <c r="G54">
        <v>99.244216376840569</v>
      </c>
      <c r="H54">
        <v>11.643625741935482</v>
      </c>
      <c r="I54">
        <v>1155.5625125435959</v>
      </c>
      <c r="J54" s="18">
        <v>3430</v>
      </c>
      <c r="K54" s="3">
        <v>340922.54735220497</v>
      </c>
      <c r="L54" s="84">
        <f t="shared" si="3"/>
        <v>-0.1507417949641553</v>
      </c>
      <c r="M54" s="20">
        <v>0.23713808303581718</v>
      </c>
      <c r="N54" s="20">
        <v>5.4411312634491171E-2</v>
      </c>
      <c r="O54" s="20">
        <v>0.2674642682846502</v>
      </c>
      <c r="P54">
        <v>-4.2999999999999997E-2</v>
      </c>
      <c r="Q54" s="20">
        <f t="shared" si="4"/>
        <v>0.32441407344268569</v>
      </c>
      <c r="R54" s="79">
        <v>122.68847516228691</v>
      </c>
      <c r="S54">
        <f t="shared" si="5"/>
        <v>1428.5386876384159</v>
      </c>
    </row>
    <row r="55" spans="1:19">
      <c r="A55">
        <v>2014</v>
      </c>
      <c r="B55">
        <v>2</v>
      </c>
      <c r="C55" t="s">
        <v>59</v>
      </c>
      <c r="D55" s="2">
        <v>0.15900000000000006</v>
      </c>
      <c r="E55" s="17">
        <f t="shared" si="1"/>
        <v>0.20385990642949456</v>
      </c>
      <c r="F55" s="17">
        <f t="shared" si="2"/>
        <v>-4.48599064294945E-2</v>
      </c>
      <c r="G55">
        <v>94.668134995565197</v>
      </c>
      <c r="H55">
        <v>11.809525100000002</v>
      </c>
      <c r="I55">
        <v>1117.9857164003158</v>
      </c>
      <c r="J55" s="18">
        <v>3601</v>
      </c>
      <c r="K55" s="3">
        <v>346942.54146475496</v>
      </c>
      <c r="L55" s="84">
        <f t="shared" si="3"/>
        <v>-0.16446748233710806</v>
      </c>
      <c r="M55" s="20">
        <v>0.2344854546736046</v>
      </c>
      <c r="N55" s="20">
        <v>6.5384615384615374E-2</v>
      </c>
      <c r="O55" s="20">
        <v>0.2696441681953563</v>
      </c>
      <c r="P55">
        <v>-4.2999999999999997E-2</v>
      </c>
      <c r="Q55" s="20">
        <f t="shared" si="4"/>
        <v>0.32669192078929599</v>
      </c>
      <c r="R55" s="79">
        <v>122.20279145191265</v>
      </c>
      <c r="S55">
        <f t="shared" si="5"/>
        <v>1443.1569329414281</v>
      </c>
    </row>
    <row r="56" spans="1:19">
      <c r="A56">
        <v>2014</v>
      </c>
      <c r="B56">
        <v>3</v>
      </c>
      <c r="C56" t="s">
        <v>60</v>
      </c>
      <c r="D56" s="2">
        <v>0.22500000000000001</v>
      </c>
      <c r="E56" s="17">
        <f t="shared" si="1"/>
        <v>0.15726681582933935</v>
      </c>
      <c r="F56" s="17">
        <f t="shared" si="2"/>
        <v>6.7733184170660654E-2</v>
      </c>
      <c r="G56">
        <v>91.499477575907306</v>
      </c>
      <c r="H56">
        <v>11.758699838709674</v>
      </c>
      <c r="I56">
        <v>1075.9148922138406</v>
      </c>
      <c r="J56" s="18">
        <v>3537</v>
      </c>
      <c r="K56" s="3">
        <v>349859.80596984003</v>
      </c>
      <c r="L56" s="84">
        <f t="shared" si="3"/>
        <v>-0.20009139577244073</v>
      </c>
      <c r="M56" s="20">
        <v>0.17676531659115291</v>
      </c>
      <c r="N56" s="20">
        <v>3.1496062992125928E-2</v>
      </c>
      <c r="O56" s="20">
        <v>0.26158881273858414</v>
      </c>
      <c r="P56">
        <v>-5.2999999999999999E-2</v>
      </c>
      <c r="Q56" s="20">
        <f t="shared" si="4"/>
        <v>0.33219515600695271</v>
      </c>
      <c r="R56" s="79">
        <v>116.72680586254306</v>
      </c>
      <c r="S56">
        <f t="shared" si="5"/>
        <v>1372.5554732689804</v>
      </c>
    </row>
    <row r="57" spans="1:19">
      <c r="A57">
        <v>2014</v>
      </c>
      <c r="B57">
        <v>3</v>
      </c>
      <c r="C57" t="s">
        <v>61</v>
      </c>
      <c r="D57" s="2">
        <v>0.24200000000000002</v>
      </c>
      <c r="E57" s="17">
        <f t="shared" si="1"/>
        <v>0.17067998991343866</v>
      </c>
      <c r="F57" s="17">
        <f t="shared" si="2"/>
        <v>7.1320010086561358E-2</v>
      </c>
      <c r="G57">
        <v>88.611951187382928</v>
      </c>
      <c r="H57">
        <v>12.974419322580642</v>
      </c>
      <c r="I57">
        <v>1149.6886116971536</v>
      </c>
      <c r="J57" s="18">
        <v>3370</v>
      </c>
      <c r="K57" s="3">
        <v>345111.83392211999</v>
      </c>
      <c r="L57" s="84">
        <f t="shared" si="3"/>
        <v>-0.22670845441368859</v>
      </c>
      <c r="M57" s="20">
        <v>0.25522441774593907</v>
      </c>
      <c r="N57" s="20">
        <v>1.9975786924939509E-2</v>
      </c>
      <c r="O57" s="20">
        <v>0.2269255260434051</v>
      </c>
      <c r="P57">
        <v>-5.2999999999999999E-2</v>
      </c>
      <c r="Q57" s="20">
        <f t="shared" si="4"/>
        <v>0.29559189656114593</v>
      </c>
      <c r="R57" s="79">
        <v>112.96852314125192</v>
      </c>
      <c r="S57">
        <f t="shared" si="5"/>
        <v>1465.7009894872574</v>
      </c>
    </row>
    <row r="58" spans="1:19">
      <c r="A58">
        <v>2014</v>
      </c>
      <c r="B58">
        <v>3</v>
      </c>
      <c r="C58" t="s">
        <v>62</v>
      </c>
      <c r="D58" s="2">
        <v>0.26900000000000007</v>
      </c>
      <c r="E58" s="17">
        <f t="shared" si="1"/>
        <v>0.18361955068525651</v>
      </c>
      <c r="F58" s="17">
        <f t="shared" si="2"/>
        <v>8.5380449314743562E-2</v>
      </c>
      <c r="G58">
        <v>83.045974113363698</v>
      </c>
      <c r="H58">
        <v>13.012378400000001</v>
      </c>
      <c r="I58">
        <v>1080.6256397596931</v>
      </c>
      <c r="J58" s="18">
        <v>3481</v>
      </c>
      <c r="K58" s="3">
        <v>346423.85484130995</v>
      </c>
      <c r="L58" s="84">
        <f t="shared" si="3"/>
        <v>-0.25394110878182319</v>
      </c>
      <c r="M58" s="20">
        <v>0.21456281761733509</v>
      </c>
      <c r="N58" s="20">
        <v>6.7463968107942307E-2</v>
      </c>
      <c r="O58" s="20">
        <v>0.21929042082899453</v>
      </c>
      <c r="P58">
        <v>-5.2999999999999999E-2</v>
      </c>
      <c r="Q58" s="20">
        <f t="shared" si="4"/>
        <v>0.28752948345194773</v>
      </c>
      <c r="R58" s="79">
        <v>109.68112556651531</v>
      </c>
      <c r="S58">
        <f t="shared" si="5"/>
        <v>1427.2123092094116</v>
      </c>
    </row>
    <row r="59" spans="1:19">
      <c r="A59">
        <v>2014</v>
      </c>
      <c r="B59">
        <v>4</v>
      </c>
      <c r="C59" t="s">
        <v>63</v>
      </c>
      <c r="D59" s="2">
        <v>0.25900000000000006</v>
      </c>
      <c r="E59" s="17">
        <f t="shared" si="1"/>
        <v>0.20975565458228815</v>
      </c>
      <c r="F59" s="17">
        <f t="shared" si="2"/>
        <v>4.9244345417711916E-2</v>
      </c>
      <c r="G59">
        <v>81.858140540730943</v>
      </c>
      <c r="H59">
        <v>12.949849741935488</v>
      </c>
      <c r="I59">
        <v>1060.0506201567034</v>
      </c>
      <c r="J59" s="18">
        <v>3509</v>
      </c>
      <c r="K59" s="3">
        <v>341972.79756451002</v>
      </c>
      <c r="L59" s="84">
        <f t="shared" si="3"/>
        <v>-0.26599136711826976</v>
      </c>
      <c r="M59" s="20">
        <v>0.18920324097358909</v>
      </c>
      <c r="N59" s="20">
        <v>6.883947608894303E-2</v>
      </c>
      <c r="O59" s="20">
        <v>0.19424027429308155</v>
      </c>
      <c r="P59">
        <v>-0.14400000000000002</v>
      </c>
      <c r="Q59" s="20">
        <f t="shared" si="4"/>
        <v>0.3951405073517309</v>
      </c>
      <c r="R59" s="79">
        <v>104.66257600964258</v>
      </c>
      <c r="S59">
        <f t="shared" si="5"/>
        <v>1355.3646329287733</v>
      </c>
    </row>
    <row r="60" spans="1:19">
      <c r="A60">
        <v>2014</v>
      </c>
      <c r="B60">
        <v>4</v>
      </c>
      <c r="C60" t="s">
        <v>64</v>
      </c>
      <c r="D60" s="2">
        <v>0.32800000000000012</v>
      </c>
      <c r="E60" s="17">
        <f t="shared" si="1"/>
        <v>0.2451630814494862</v>
      </c>
      <c r="F60" s="17">
        <f t="shared" si="2"/>
        <v>8.2836918550513922E-2</v>
      </c>
      <c r="G60">
        <v>78.845210054320518</v>
      </c>
      <c r="H60">
        <v>14.731345500000002</v>
      </c>
      <c r="I60">
        <v>1161.4960303302694</v>
      </c>
      <c r="J60" s="18">
        <v>3534</v>
      </c>
      <c r="K60" s="3">
        <v>330450.83183212997</v>
      </c>
      <c r="L60" s="84">
        <f t="shared" si="3"/>
        <v>-0.2972317832979825</v>
      </c>
      <c r="M60" s="20">
        <v>0.29522349639137935</v>
      </c>
      <c r="N60" s="20">
        <v>8.1395348837209225E-2</v>
      </c>
      <c r="O60" s="20">
        <v>0.14595301543967287</v>
      </c>
      <c r="P60">
        <v>-0.14400000000000002</v>
      </c>
      <c r="Q60" s="20">
        <f t="shared" si="4"/>
        <v>0.33873015822391683</v>
      </c>
      <c r="R60" s="79">
        <v>95.891899512699027</v>
      </c>
      <c r="S60">
        <f t="shared" si="5"/>
        <v>1412.6167023728513</v>
      </c>
    </row>
    <row r="61" spans="1:19">
      <c r="A61">
        <v>2014</v>
      </c>
      <c r="B61">
        <v>4</v>
      </c>
      <c r="C61" t="s">
        <v>65</v>
      </c>
      <c r="D61" s="2">
        <v>0.31800000000000012</v>
      </c>
      <c r="E61" s="17">
        <f t="shared" si="1"/>
        <v>0.26045009923824869</v>
      </c>
      <c r="F61" s="17">
        <f t="shared" si="2"/>
        <v>5.7549900761751427E-2</v>
      </c>
      <c r="G61">
        <v>75.988589766329596</v>
      </c>
      <c r="H61">
        <v>15.629198419354838</v>
      </c>
      <c r="I61">
        <v>1187.6407470649217</v>
      </c>
      <c r="J61" s="18">
        <v>4012</v>
      </c>
      <c r="K61" s="3">
        <v>330790.97813041497</v>
      </c>
      <c r="L61" s="84">
        <f t="shared" si="3"/>
        <v>-0.32548245852944224</v>
      </c>
      <c r="M61" s="20">
        <v>0.31892512110330995</v>
      </c>
      <c r="N61" s="20">
        <v>0.10859353412544892</v>
      </c>
      <c r="O61" s="20">
        <v>0.11054761465372653</v>
      </c>
      <c r="P61">
        <v>-0.14400000000000002</v>
      </c>
      <c r="Q61" s="20">
        <f t="shared" si="4"/>
        <v>0.29736870870762444</v>
      </c>
      <c r="R61" s="79">
        <v>88.978590093254809</v>
      </c>
      <c r="S61">
        <f t="shared" si="5"/>
        <v>1390.66403964192</v>
      </c>
    </row>
    <row r="62" spans="1:19">
      <c r="A62">
        <v>2015</v>
      </c>
      <c r="B62">
        <v>1</v>
      </c>
      <c r="C62" t="s">
        <v>66</v>
      </c>
      <c r="D62" s="2">
        <v>0.34099999999999997</v>
      </c>
      <c r="E62" s="17">
        <f t="shared" si="1"/>
        <v>0.28416879404227602</v>
      </c>
      <c r="F62" s="17">
        <f t="shared" si="2"/>
        <v>5.6831205957723951E-2</v>
      </c>
      <c r="G62">
        <v>74.980630752607169</v>
      </c>
      <c r="H62">
        <v>15.818962580645165</v>
      </c>
      <c r="I62">
        <v>1186.1157921486649</v>
      </c>
      <c r="J62" s="18">
        <v>3455</v>
      </c>
      <c r="K62" s="3">
        <v>329963.04891961999</v>
      </c>
      <c r="L62" s="84">
        <f t="shared" si="3"/>
        <v>-0.29457347961277536</v>
      </c>
      <c r="M62" s="20">
        <v>0.39611106335546542</v>
      </c>
      <c r="N62" s="20">
        <v>9.0937796021471451E-2</v>
      </c>
      <c r="O62" s="20">
        <v>9.6957454403301613E-2</v>
      </c>
      <c r="P62">
        <v>-0.16</v>
      </c>
      <c r="Q62" s="20">
        <f t="shared" si="4"/>
        <v>0.30590173143250188</v>
      </c>
      <c r="R62" s="79">
        <v>80.736276841708175</v>
      </c>
      <c r="S62">
        <f t="shared" si="5"/>
        <v>1277.1641422595903</v>
      </c>
    </row>
    <row r="63" spans="1:19">
      <c r="A63">
        <v>2015</v>
      </c>
      <c r="B63">
        <v>1</v>
      </c>
      <c r="C63" t="s">
        <v>67</v>
      </c>
      <c r="D63" s="2">
        <v>0.41</v>
      </c>
      <c r="E63" s="17">
        <f t="shared" si="1"/>
        <v>0.56289808111836603</v>
      </c>
      <c r="F63" s="17">
        <f t="shared" si="2"/>
        <v>-0.15289808111836606</v>
      </c>
      <c r="G63">
        <v>73.269149501336713</v>
      </c>
      <c r="H63">
        <v>24.687130357142852</v>
      </c>
      <c r="I63">
        <v>1808.8050448964875</v>
      </c>
      <c r="J63" s="18">
        <v>3633</v>
      </c>
      <c r="K63" s="3">
        <v>329169.85037036997</v>
      </c>
      <c r="L63" s="84">
        <f t="shared" si="3"/>
        <v>-0.30497887337256713</v>
      </c>
      <c r="M63" s="20">
        <v>0.98247380736203938</v>
      </c>
      <c r="N63" s="20">
        <v>0.13212838890620127</v>
      </c>
      <c r="O63" s="20">
        <v>9.1983789947901684E-2</v>
      </c>
      <c r="P63">
        <v>-0.16</v>
      </c>
      <c r="Q63" s="20">
        <f t="shared" si="4"/>
        <v>0.2999807023189307</v>
      </c>
      <c r="R63" s="79">
        <v>82.278702598209577</v>
      </c>
      <c r="S63">
        <f t="shared" si="5"/>
        <v>2031.2250566585881</v>
      </c>
    </row>
    <row r="64" spans="1:19">
      <c r="A64">
        <v>2015</v>
      </c>
      <c r="B64">
        <v>1</v>
      </c>
      <c r="C64" t="s">
        <v>68</v>
      </c>
      <c r="D64" s="2">
        <v>0.5169999999999999</v>
      </c>
      <c r="E64" s="17">
        <f t="shared" si="1"/>
        <v>0.38030439616691947</v>
      </c>
      <c r="F64" s="17">
        <f t="shared" si="2"/>
        <v>0.13669560383308044</v>
      </c>
      <c r="G64">
        <v>71.379249515944906</v>
      </c>
      <c r="H64">
        <v>23.186529741935477</v>
      </c>
      <c r="I64">
        <v>1655.0370918584902</v>
      </c>
      <c r="J64" s="18">
        <v>3863</v>
      </c>
      <c r="K64" s="3">
        <v>331799.58214036003</v>
      </c>
      <c r="L64" s="84">
        <f t="shared" si="3"/>
        <v>-0.31268041106208178</v>
      </c>
      <c r="M64" s="20">
        <v>0.60650296882209065</v>
      </c>
      <c r="N64" s="20">
        <v>0.13118594436310405</v>
      </c>
      <c r="O64" s="20">
        <v>4.0960191533398582E-2</v>
      </c>
      <c r="P64">
        <v>-0.16</v>
      </c>
      <c r="Q64" s="20">
        <f t="shared" si="4"/>
        <v>0.23923832325404604</v>
      </c>
      <c r="R64" s="79">
        <v>80.35825869730003</v>
      </c>
      <c r="S64">
        <f t="shared" si="5"/>
        <v>1863.2291552950924</v>
      </c>
    </row>
    <row r="65" spans="1:19">
      <c r="A65">
        <v>2015</v>
      </c>
      <c r="B65">
        <v>2</v>
      </c>
      <c r="C65" t="s">
        <v>69</v>
      </c>
      <c r="D65" s="2">
        <v>0.48599999999999993</v>
      </c>
      <c r="E65" s="17">
        <f t="shared" si="1"/>
        <v>0.18663631593333435</v>
      </c>
      <c r="F65" s="17">
        <f t="shared" si="2"/>
        <v>0.29936368406666558</v>
      </c>
      <c r="G65">
        <v>67.641588907483467</v>
      </c>
      <c r="H65">
        <v>22.709472500000004</v>
      </c>
      <c r="I65">
        <v>1536.104803150801</v>
      </c>
      <c r="J65" s="18">
        <v>3998</v>
      </c>
      <c r="K65" s="3">
        <v>331175.20960626996</v>
      </c>
      <c r="L65" s="84">
        <f t="shared" si="3"/>
        <v>-0.34652372418753385</v>
      </c>
      <c r="M65" s="20">
        <v>0.1630677505945981</v>
      </c>
      <c r="N65" s="20">
        <v>0.16491841491841486</v>
      </c>
      <c r="O65" s="20">
        <v>-8.3586819635060872E-3</v>
      </c>
      <c r="P65">
        <v>-0.14499999999999999</v>
      </c>
      <c r="Q65" s="20">
        <f t="shared" si="4"/>
        <v>0.15981440706022676</v>
      </c>
      <c r="R65" s="79">
        <v>75.13351394713257</v>
      </c>
      <c r="S65">
        <f t="shared" si="5"/>
        <v>1706.2424688107737</v>
      </c>
    </row>
    <row r="66" spans="1:19">
      <c r="A66">
        <v>2015</v>
      </c>
      <c r="B66">
        <v>2</v>
      </c>
      <c r="C66" t="s">
        <v>70</v>
      </c>
      <c r="D66" s="2">
        <v>0.42</v>
      </c>
      <c r="E66" s="17">
        <f t="shared" si="1"/>
        <v>0.22914047872919777</v>
      </c>
      <c r="F66" s="17">
        <f t="shared" si="2"/>
        <v>0.19085952127080222</v>
      </c>
      <c r="G66">
        <v>69.707843479219534</v>
      </c>
      <c r="H66">
        <v>20.91525567741936</v>
      </c>
      <c r="I66">
        <v>1457.9573690894065</v>
      </c>
      <c r="J66" s="18">
        <v>4042</v>
      </c>
      <c r="K66" s="3">
        <v>329989.44214850001</v>
      </c>
      <c r="L66" s="84">
        <f t="shared" si="3"/>
        <v>-0.29761303958981722</v>
      </c>
      <c r="M66" s="20">
        <v>0.26168628115166737</v>
      </c>
      <c r="N66" s="20">
        <v>0.17842565597667637</v>
      </c>
      <c r="O66" s="20">
        <v>-3.2069176088872942E-2</v>
      </c>
      <c r="P66">
        <v>-0.14499999999999999</v>
      </c>
      <c r="Q66" s="20">
        <f t="shared" si="4"/>
        <v>0.13208283498377438</v>
      </c>
      <c r="R66" s="79">
        <v>77.993025958055327</v>
      </c>
      <c r="S66">
        <f t="shared" si="5"/>
        <v>1631.2440789683321</v>
      </c>
    </row>
    <row r="67" spans="1:19">
      <c r="A67">
        <v>2015</v>
      </c>
      <c r="B67">
        <v>2</v>
      </c>
      <c r="C67" t="s">
        <v>71</v>
      </c>
      <c r="D67" s="2">
        <v>0.37900000000000006</v>
      </c>
      <c r="E67" s="17">
        <f t="shared" si="1"/>
        <v>0.2642445904063524</v>
      </c>
      <c r="F67" s="17">
        <f t="shared" si="2"/>
        <v>0.11475540959364766</v>
      </c>
      <c r="G67">
        <v>70.222201221220885</v>
      </c>
      <c r="H67">
        <v>21.232832466666661</v>
      </c>
      <c r="I67">
        <v>1491.0162339707381</v>
      </c>
      <c r="J67" s="18">
        <v>4299</v>
      </c>
      <c r="K67" s="3">
        <v>329999.43896086002</v>
      </c>
      <c r="L67" s="84">
        <f t="shared" si="3"/>
        <v>-0.25822768955456343</v>
      </c>
      <c r="M67" s="20">
        <v>0.33366304425740245</v>
      </c>
      <c r="N67" s="20">
        <v>0.19383504582060529</v>
      </c>
      <c r="O67" s="20">
        <v>-4.8835471234985883E-2</v>
      </c>
      <c r="P67">
        <v>-0.14499999999999999</v>
      </c>
      <c r="Q67" s="20">
        <f t="shared" si="4"/>
        <v>0.11247313305849604</v>
      </c>
      <c r="R67" s="79">
        <v>76.561389522503617</v>
      </c>
      <c r="S67">
        <f t="shared" si="5"/>
        <v>1625.6151571465275</v>
      </c>
    </row>
    <row r="68" spans="1:19">
      <c r="A68">
        <v>2015</v>
      </c>
      <c r="B68">
        <v>3</v>
      </c>
      <c r="C68" t="s">
        <v>72</v>
      </c>
      <c r="D68" s="2">
        <v>0.37</v>
      </c>
      <c r="E68" s="17">
        <f t="shared" si="1"/>
        <v>0.28300082071985422</v>
      </c>
      <c r="F68" s="17">
        <f t="shared" si="2"/>
        <v>8.6999179280145778E-2</v>
      </c>
      <c r="G68">
        <v>67.939974100444658</v>
      </c>
      <c r="H68">
        <v>21.757373225806454</v>
      </c>
      <c r="I68">
        <v>1478.1953734549986</v>
      </c>
      <c r="J68" s="18">
        <v>4390</v>
      </c>
      <c r="K68" s="3">
        <v>331353.08380455</v>
      </c>
      <c r="L68" s="84">
        <f t="shared" si="3"/>
        <v>-0.257482382409428</v>
      </c>
      <c r="M68" s="20">
        <v>0.37389619211740022</v>
      </c>
      <c r="N68" s="20">
        <v>0.24116482895108859</v>
      </c>
      <c r="O68" s="20">
        <v>-5.2897537383546744E-2</v>
      </c>
      <c r="P68">
        <v>-7.0000000000000007E-2</v>
      </c>
      <c r="Q68" s="20">
        <f t="shared" si="4"/>
        <v>1.8389744748874559E-2</v>
      </c>
      <c r="R68" s="79">
        <v>72.714958224999265</v>
      </c>
      <c r="S68">
        <f t="shared" si="5"/>
        <v>1582.0864852002337</v>
      </c>
    </row>
    <row r="69" spans="1:19">
      <c r="A69">
        <v>2015</v>
      </c>
      <c r="B69">
        <v>3</v>
      </c>
      <c r="C69" t="s">
        <v>73</v>
      </c>
      <c r="D69" s="2">
        <v>0.33</v>
      </c>
      <c r="E69" s="17">
        <f t="shared" si="1"/>
        <v>0.2195707788234508</v>
      </c>
      <c r="F69" s="17">
        <f t="shared" si="2"/>
        <v>0.11042922117654921</v>
      </c>
      <c r="G69">
        <v>64.142680132771972</v>
      </c>
      <c r="H69">
        <v>21.626867290322579</v>
      </c>
      <c r="I69">
        <v>1387.2052308770701</v>
      </c>
      <c r="J69" s="18">
        <v>4205</v>
      </c>
      <c r="K69" s="3">
        <v>330551.32936924999</v>
      </c>
      <c r="L69" s="84">
        <f t="shared" si="3"/>
        <v>-0.27613962593902375</v>
      </c>
      <c r="M69" s="20">
        <v>0.20659213004580246</v>
      </c>
      <c r="N69" s="20">
        <v>0.24777448071216623</v>
      </c>
      <c r="O69" s="20">
        <v>-4.2190684646750798E-2</v>
      </c>
      <c r="P69">
        <v>-7.0000000000000007E-2</v>
      </c>
      <c r="Q69" s="20">
        <f t="shared" si="4"/>
        <v>2.9902489627149809E-2</v>
      </c>
      <c r="R69" s="79">
        <v>65.894071584500878</v>
      </c>
      <c r="S69">
        <f t="shared" si="5"/>
        <v>1425.0823413770165</v>
      </c>
    </row>
    <row r="70" spans="1:19">
      <c r="A70">
        <v>2015</v>
      </c>
      <c r="B70">
        <v>3</v>
      </c>
      <c r="C70" t="s">
        <v>74</v>
      </c>
      <c r="D70" s="2">
        <v>0.32500000000000001</v>
      </c>
      <c r="E70" s="17">
        <f t="shared" si="1"/>
        <v>0.25175881007865053</v>
      </c>
      <c r="F70" s="17">
        <f t="shared" si="2"/>
        <v>7.3241189921349481E-2</v>
      </c>
      <c r="G70">
        <v>64.402304078821658</v>
      </c>
      <c r="H70">
        <v>21.783419200000001</v>
      </c>
      <c r="I70">
        <v>1402.902387194842</v>
      </c>
      <c r="J70" s="18">
        <v>4343</v>
      </c>
      <c r="K70" s="3">
        <v>324991.11653649999</v>
      </c>
      <c r="L70" s="84">
        <f t="shared" si="3"/>
        <v>-0.22449817987675236</v>
      </c>
      <c r="M70" s="20">
        <v>0.29823163136015918</v>
      </c>
      <c r="N70" s="20">
        <v>0.24762999138178676</v>
      </c>
      <c r="O70" s="20">
        <v>-6.1868540532891036E-2</v>
      </c>
      <c r="P70">
        <v>-7.0000000000000007E-2</v>
      </c>
      <c r="Q70" s="20">
        <f t="shared" si="4"/>
        <v>8.7435048033430718E-3</v>
      </c>
      <c r="R70" s="79">
        <v>64.875731611506183</v>
      </c>
      <c r="S70">
        <f t="shared" si="5"/>
        <v>1413.2152576001308</v>
      </c>
    </row>
    <row r="71" spans="1:19">
      <c r="A71">
        <v>2015</v>
      </c>
      <c r="B71">
        <v>4</v>
      </c>
      <c r="C71" t="s">
        <v>75</v>
      </c>
      <c r="D71" s="2">
        <v>0.30199999999999988</v>
      </c>
      <c r="E71" s="17">
        <f t="shared" si="1"/>
        <v>0.27620739312400577</v>
      </c>
      <c r="F71" s="17">
        <f t="shared" si="2"/>
        <v>2.5792606875994106E-2</v>
      </c>
      <c r="G71">
        <v>64.228968716784223</v>
      </c>
      <c r="H71">
        <v>21.841307419354834</v>
      </c>
      <c r="I71">
        <v>1402.8446509714088</v>
      </c>
      <c r="J71" s="18">
        <v>4532</v>
      </c>
      <c r="K71" s="6">
        <v>319782.74367385497</v>
      </c>
      <c r="L71" s="84">
        <f t="shared" si="3"/>
        <v>-0.21536247595527536</v>
      </c>
      <c r="M71" s="20">
        <v>0.3233751523715267</v>
      </c>
      <c r="N71" s="20">
        <v>0.29153605015673989</v>
      </c>
      <c r="O71" s="20">
        <v>-6.488835968442519E-2</v>
      </c>
      <c r="P71">
        <v>-2.4E-2</v>
      </c>
      <c r="Q71" s="20">
        <f t="shared" si="4"/>
        <v>-4.1893811152075022E-2</v>
      </c>
      <c r="R71" s="79">
        <v>63.881719266640872</v>
      </c>
      <c r="S71">
        <f t="shared" si="5"/>
        <v>1395.2602689796258</v>
      </c>
    </row>
    <row r="72" spans="1:19">
      <c r="A72">
        <v>2015</v>
      </c>
      <c r="B72">
        <v>4</v>
      </c>
      <c r="C72" t="s">
        <v>76</v>
      </c>
      <c r="D72" s="2">
        <v>0.25099999999999995</v>
      </c>
      <c r="E72" s="17">
        <f t="shared" si="1"/>
        <v>0.23282381115924658</v>
      </c>
      <c r="F72" s="17">
        <f t="shared" si="2"/>
        <v>1.8176188840753366E-2</v>
      </c>
      <c r="G72">
        <v>61.121268080623636</v>
      </c>
      <c r="H72">
        <v>23.312625100000002</v>
      </c>
      <c r="I72">
        <v>1424.8972084001755</v>
      </c>
      <c r="J72" s="18">
        <v>4498</v>
      </c>
      <c r="K72" s="6">
        <v>319793.17031257</v>
      </c>
      <c r="L72" s="84">
        <f t="shared" si="3"/>
        <v>-0.2247941499741829</v>
      </c>
      <c r="M72" s="20">
        <v>0.22677751037600058</v>
      </c>
      <c r="N72" s="20">
        <v>0.27277872099603839</v>
      </c>
      <c r="O72" s="20">
        <v>-3.2251882860970027E-2</v>
      </c>
      <c r="P72">
        <v>-2.4E-2</v>
      </c>
      <c r="Q72" s="20">
        <f t="shared" si="4"/>
        <v>-8.4547980132889666E-3</v>
      </c>
      <c r="R72" s="79">
        <v>60.316519694673175</v>
      </c>
      <c r="S72">
        <f t="shared" si="5"/>
        <v>1406.1364109786823</v>
      </c>
    </row>
    <row r="73" spans="1:19">
      <c r="A73">
        <v>2015</v>
      </c>
      <c r="B73">
        <v>4</v>
      </c>
      <c r="C73" t="s">
        <v>77</v>
      </c>
      <c r="D73" s="2">
        <v>0.25400000000000006</v>
      </c>
      <c r="E73" s="17">
        <f t="shared" si="1"/>
        <v>0.21955497288754058</v>
      </c>
      <c r="F73" s="17">
        <f t="shared" si="2"/>
        <v>3.4445027112459475E-2</v>
      </c>
      <c r="G73">
        <v>57.097354096016844</v>
      </c>
      <c r="H73">
        <v>23.408386193548385</v>
      </c>
      <c r="I73">
        <v>1336.556915309344</v>
      </c>
      <c r="J73" s="18">
        <v>5230</v>
      </c>
      <c r="K73" s="6">
        <v>328613.57709758001</v>
      </c>
      <c r="L73" s="84">
        <f t="shared" si="3"/>
        <v>-0.24860621480678435</v>
      </c>
      <c r="M73" s="20">
        <v>0.12538822755319456</v>
      </c>
      <c r="N73" s="20">
        <v>0.30358923230309065</v>
      </c>
      <c r="O73" s="20">
        <v>-6.582407552773395E-3</v>
      </c>
      <c r="P73">
        <v>-2.4E-2</v>
      </c>
      <c r="Q73" s="20">
        <f t="shared" si="4"/>
        <v>1.784589390084701E-2</v>
      </c>
      <c r="R73" s="79">
        <v>53.951756468225774</v>
      </c>
      <c r="S73">
        <f t="shared" si="5"/>
        <v>1262.9235512285009</v>
      </c>
    </row>
    <row r="74" spans="1:19">
      <c r="A74">
        <v>2016</v>
      </c>
      <c r="B74">
        <v>1</v>
      </c>
      <c r="C74" t="s">
        <v>78</v>
      </c>
      <c r="D74" s="2">
        <v>0.21200000000000002</v>
      </c>
      <c r="E74" s="17">
        <f t="shared" si="1"/>
        <v>0.20262571059213866</v>
      </c>
      <c r="F74" s="17">
        <f t="shared" si="2"/>
        <v>9.3742894078613637E-3</v>
      </c>
      <c r="G74">
        <v>56.430306374738414</v>
      </c>
      <c r="H74">
        <v>24.259692548387093</v>
      </c>
      <c r="I74">
        <v>1368.9818830624422</v>
      </c>
      <c r="J74" s="18">
        <v>4362</v>
      </c>
      <c r="K74" s="6">
        <v>335539.56912101503</v>
      </c>
      <c r="L74" s="84">
        <f t="shared" si="3"/>
        <v>-0.24740155146299214</v>
      </c>
      <c r="M74" s="20">
        <v>0.15417220824833033</v>
      </c>
      <c r="N74" s="20">
        <v>0.2625180897250361</v>
      </c>
      <c r="O74" s="20">
        <v>1.6900438457136069E-2</v>
      </c>
      <c r="P74">
        <v>1E-3</v>
      </c>
      <c r="Q74" s="20">
        <f t="shared" si="4"/>
        <v>1.5884553903232845E-2</v>
      </c>
      <c r="R74" s="79">
        <v>46.467201654731852</v>
      </c>
      <c r="S74">
        <f t="shared" si="5"/>
        <v>1127.2800257276988</v>
      </c>
    </row>
    <row r="75" spans="1:19">
      <c r="A75">
        <v>2016</v>
      </c>
      <c r="B75">
        <v>1</v>
      </c>
      <c r="C75" t="s">
        <v>79</v>
      </c>
      <c r="D75" s="2">
        <v>0.17400000000000004</v>
      </c>
      <c r="E75" s="17">
        <f t="shared" si="1"/>
        <v>6.0018740507602766E-2</v>
      </c>
      <c r="F75" s="17">
        <f t="shared" si="2"/>
        <v>0.11398125949239728</v>
      </c>
      <c r="G75">
        <v>56.887064714544906</v>
      </c>
      <c r="H75">
        <v>26.393052206896552</v>
      </c>
      <c r="I75">
        <v>1501.4232689080864</v>
      </c>
      <c r="J75" s="18">
        <v>4585</v>
      </c>
      <c r="K75" s="6">
        <v>331794.49933681497</v>
      </c>
      <c r="L75" s="84">
        <f t="shared" si="3"/>
        <v>-0.22358775689750476</v>
      </c>
      <c r="M75" s="20">
        <v>-0.1699363769775375</v>
      </c>
      <c r="N75" s="20">
        <v>0.26204238921001921</v>
      </c>
      <c r="O75" s="20">
        <v>7.973539993082035E-3</v>
      </c>
      <c r="P75">
        <v>1E-3</v>
      </c>
      <c r="Q75" s="20">
        <f t="shared" si="4"/>
        <v>6.9665734196624474E-3</v>
      </c>
      <c r="R75" s="79">
        <v>46.66033119990427</v>
      </c>
      <c r="S75">
        <f t="shared" si="5"/>
        <v>1231.5085573501574</v>
      </c>
    </row>
    <row r="76" spans="1:19">
      <c r="A76">
        <v>2016</v>
      </c>
      <c r="B76">
        <v>1</v>
      </c>
      <c r="C76" t="s">
        <v>80</v>
      </c>
      <c r="D76" s="2">
        <v>0.105</v>
      </c>
      <c r="E76" s="17">
        <f t="shared" si="1"/>
        <v>0.1144239252584334</v>
      </c>
      <c r="F76" s="17">
        <f t="shared" si="2"/>
        <v>-9.4239252584333993E-3</v>
      </c>
      <c r="G76">
        <v>59.864221689030884</v>
      </c>
      <c r="H76">
        <v>26.356162161290321</v>
      </c>
      <c r="I76">
        <v>1577.7911344955312</v>
      </c>
      <c r="J76" s="18">
        <v>4920</v>
      </c>
      <c r="K76" s="6">
        <v>327864.68493654998</v>
      </c>
      <c r="L76" s="84">
        <f t="shared" si="3"/>
        <v>-0.1613217833614482</v>
      </c>
      <c r="M76" s="20">
        <v>-4.6673248438327875E-2</v>
      </c>
      <c r="N76" s="20">
        <v>0.27362153766502728</v>
      </c>
      <c r="O76" s="20">
        <v>-1.1859259069667782E-2</v>
      </c>
      <c r="P76">
        <v>1E-3</v>
      </c>
      <c r="Q76" s="20">
        <f t="shared" si="4"/>
        <v>-1.2846412657010697E-2</v>
      </c>
      <c r="R76" s="79">
        <v>50.474608389488075</v>
      </c>
      <c r="S76">
        <f t="shared" si="5"/>
        <v>1330.3169637409726</v>
      </c>
    </row>
    <row r="77" spans="1:19">
      <c r="A77">
        <v>2016</v>
      </c>
      <c r="B77">
        <v>2</v>
      </c>
      <c r="C77" t="s">
        <v>81</v>
      </c>
      <c r="D77" s="2">
        <v>0.10099999999999994</v>
      </c>
      <c r="E77" s="17">
        <f t="shared" si="1"/>
        <v>0.11618324026164359</v>
      </c>
      <c r="F77" s="17">
        <f t="shared" si="2"/>
        <v>-1.5183240261643652E-2</v>
      </c>
      <c r="G77">
        <v>62.303454672371593</v>
      </c>
      <c r="H77">
        <v>25.629497566666668</v>
      </c>
      <c r="I77">
        <v>1596.8062399204748</v>
      </c>
      <c r="J77" s="18">
        <v>4895</v>
      </c>
      <c r="K77" s="6">
        <v>331545.25451689999</v>
      </c>
      <c r="L77" s="84">
        <f t="shared" si="3"/>
        <v>-7.8917930837093198E-2</v>
      </c>
      <c r="M77" s="20">
        <v>3.9516468306827202E-2</v>
      </c>
      <c r="N77" s="20">
        <v>0.22436218109054518</v>
      </c>
      <c r="O77" s="20">
        <v>1.117368993500456E-3</v>
      </c>
      <c r="P77">
        <v>1.7000000000000001E-2</v>
      </c>
      <c r="Q77" s="20">
        <f t="shared" si="4"/>
        <v>-1.5617139632742805E-2</v>
      </c>
      <c r="R77" s="79">
        <v>52.496850016215177</v>
      </c>
      <c r="S77">
        <f t="shared" si="5"/>
        <v>1345.467889748252</v>
      </c>
    </row>
    <row r="78" spans="1:19">
      <c r="A78">
        <v>2016</v>
      </c>
      <c r="B78">
        <v>2</v>
      </c>
      <c r="C78" t="s">
        <v>82</v>
      </c>
      <c r="D78" s="2">
        <v>0.16400000000000006</v>
      </c>
      <c r="E78" s="17">
        <f t="shared" si="1"/>
        <v>0.15026258322911015</v>
      </c>
      <c r="F78" s="17">
        <f t="shared" si="2"/>
        <v>1.373741677088991E-2</v>
      </c>
      <c r="G78">
        <v>63.053234123613819</v>
      </c>
      <c r="H78">
        <v>25.206477483870973</v>
      </c>
      <c r="I78">
        <v>1589.3499262221167</v>
      </c>
      <c r="J78" s="18">
        <v>4984</v>
      </c>
      <c r="K78" s="6">
        <v>336636.35832628503</v>
      </c>
      <c r="L78" s="84">
        <f t="shared" si="3"/>
        <v>-9.5464283837578545E-2</v>
      </c>
      <c r="M78" s="20">
        <v>9.0120987018141641E-2</v>
      </c>
      <c r="N78" s="20">
        <v>0.23305294408708566</v>
      </c>
      <c r="O78" s="20">
        <v>2.0142814674639853E-2</v>
      </c>
      <c r="P78">
        <v>1.7000000000000001E-2</v>
      </c>
      <c r="Q78" s="20">
        <f t="shared" si="4"/>
        <v>3.0902799160668071E-3</v>
      </c>
      <c r="R78" s="79">
        <v>57.130511622197979</v>
      </c>
      <c r="S78">
        <f t="shared" si="5"/>
        <v>1440.0589548469623</v>
      </c>
    </row>
    <row r="79" spans="1:19">
      <c r="A79">
        <v>2016</v>
      </c>
      <c r="B79">
        <v>2</v>
      </c>
      <c r="C79" t="s">
        <v>83</v>
      </c>
      <c r="D79" s="2">
        <v>0.15700000000000003</v>
      </c>
      <c r="E79" s="17">
        <f t="shared" ref="E79:E133" si="6">0.4297498*M79+0.697367*N79+0.3352365*Q79-0.0520263</f>
        <v>0.1544098793056333</v>
      </c>
      <c r="F79" s="17">
        <f t="shared" ref="F79:F121" si="7">D79-E79</f>
        <v>2.5901206943667321E-3</v>
      </c>
      <c r="G79">
        <v>63.740777933992241</v>
      </c>
      <c r="H79">
        <v>24.951341333333339</v>
      </c>
      <c r="I79">
        <v>1590.4179070832422</v>
      </c>
      <c r="J79" s="18">
        <v>5337</v>
      </c>
      <c r="K79" s="6">
        <v>345025.60658296</v>
      </c>
      <c r="L79" s="84">
        <f t="shared" ref="L79:L121" si="8">G79/G67-1</f>
        <v>-9.2298776946769689E-2</v>
      </c>
      <c r="M79" s="20">
        <v>6.6667062938534638E-2</v>
      </c>
      <c r="N79" s="20">
        <v>0.24145150034891838</v>
      </c>
      <c r="O79" s="20">
        <v>4.5533918692153286E-2</v>
      </c>
      <c r="P79">
        <v>1.7000000000000001E-2</v>
      </c>
      <c r="Q79" s="20">
        <f t="shared" ref="Q79:Q115" si="9">(1+O79)/(1+P79)-1</f>
        <v>2.8056950533090763E-2</v>
      </c>
      <c r="R79" s="79">
        <v>60.570517992223962</v>
      </c>
      <c r="S79">
        <f t="shared" ref="S79:S121" si="10">R79*H79</f>
        <v>1511.3156691607885</v>
      </c>
    </row>
    <row r="80" spans="1:19">
      <c r="A80">
        <v>2016</v>
      </c>
      <c r="B80">
        <v>3</v>
      </c>
      <c r="C80" t="s">
        <v>84</v>
      </c>
      <c r="D80" s="2">
        <v>0.18299999999999997</v>
      </c>
      <c r="E80" s="17">
        <f t="shared" si="6"/>
        <v>0.13441751532098631</v>
      </c>
      <c r="F80" s="17">
        <f t="shared" si="7"/>
        <v>4.858248467901366E-2</v>
      </c>
      <c r="G80">
        <v>61.916828247367505</v>
      </c>
      <c r="H80">
        <v>24.816780999999999</v>
      </c>
      <c r="I80">
        <v>1536.5763668295331</v>
      </c>
      <c r="J80" s="18">
        <v>5374</v>
      </c>
      <c r="K80" s="6">
        <v>353657.42956511001</v>
      </c>
      <c r="L80" s="84">
        <f t="shared" si="8"/>
        <v>-8.8653932133861857E-2</v>
      </c>
      <c r="M80" s="20">
        <v>3.9494774792915299E-2</v>
      </c>
      <c r="N80" s="20">
        <v>0.22414578587699308</v>
      </c>
      <c r="O80" s="20">
        <v>6.7312926454356825E-2</v>
      </c>
      <c r="P80">
        <v>2.7000000000000003E-2</v>
      </c>
      <c r="Q80" s="20">
        <f t="shared" si="9"/>
        <v>3.9253092944846024E-2</v>
      </c>
      <c r="R80" s="79">
        <v>59.26368135182372</v>
      </c>
      <c r="S80">
        <f t="shared" si="10"/>
        <v>1470.7338013619931</v>
      </c>
    </row>
    <row r="81" spans="1:19">
      <c r="A81">
        <v>2016</v>
      </c>
      <c r="B81">
        <v>3</v>
      </c>
      <c r="C81" t="s">
        <v>85</v>
      </c>
      <c r="D81" s="2">
        <v>0.18900000000000006</v>
      </c>
      <c r="E81" s="17">
        <f t="shared" si="6"/>
        <v>0.17207860916605028</v>
      </c>
      <c r="F81" s="17">
        <f t="shared" si="7"/>
        <v>1.6921390833949779E-2</v>
      </c>
      <c r="G81">
        <v>60.790848158814363</v>
      </c>
      <c r="H81">
        <v>25.064809193548385</v>
      </c>
      <c r="I81">
        <v>1523.7110098146541</v>
      </c>
      <c r="J81" s="18">
        <v>5202</v>
      </c>
      <c r="K81" s="6">
        <v>356155.76920440001</v>
      </c>
      <c r="L81" s="84">
        <f t="shared" si="8"/>
        <v>-5.2255876539918367E-2</v>
      </c>
      <c r="M81" s="20">
        <v>9.8403448818656258E-2</v>
      </c>
      <c r="N81" s="20">
        <v>0.23709869203329359</v>
      </c>
      <c r="O81" s="20">
        <v>7.7459799916726357E-2</v>
      </c>
      <c r="P81">
        <v>2.7000000000000003E-2</v>
      </c>
      <c r="Q81" s="20">
        <f t="shared" si="9"/>
        <v>4.9133203424271077E-2</v>
      </c>
      <c r="R81" s="79">
        <v>58.67219075231538</v>
      </c>
      <c r="S81">
        <f t="shared" si="10"/>
        <v>1470.6072661742592</v>
      </c>
    </row>
    <row r="82" spans="1:19">
      <c r="A82">
        <v>2016</v>
      </c>
      <c r="B82">
        <v>3</v>
      </c>
      <c r="C82" t="s">
        <v>86</v>
      </c>
      <c r="D82" s="2">
        <v>0.19599999999999995</v>
      </c>
      <c r="E82" s="17">
        <f t="shared" si="6"/>
        <v>0.18623386556389238</v>
      </c>
      <c r="F82" s="17">
        <f t="shared" si="7"/>
        <v>9.7661344361075764E-3</v>
      </c>
      <c r="G82">
        <v>59.91797087591997</v>
      </c>
      <c r="H82">
        <v>26.2754622</v>
      </c>
      <c r="I82">
        <v>1574.372378850936</v>
      </c>
      <c r="J82" s="18">
        <v>5358</v>
      </c>
      <c r="K82" s="6">
        <v>356418.74982934003</v>
      </c>
      <c r="L82" s="84">
        <f t="shared" si="8"/>
        <v>-6.9630011954437743E-2</v>
      </c>
      <c r="M82" s="20">
        <v>0.12222517633529373</v>
      </c>
      <c r="N82" s="20">
        <v>0.23370941745337315</v>
      </c>
      <c r="O82" s="20">
        <v>9.6703053387338977E-2</v>
      </c>
      <c r="P82">
        <v>2.7000000000000003E-2</v>
      </c>
      <c r="Q82" s="20">
        <f t="shared" si="9"/>
        <v>6.7870548575792666E-2</v>
      </c>
      <c r="R82" s="79">
        <v>59.952271693170076</v>
      </c>
      <c r="S82">
        <f t="shared" si="10"/>
        <v>1575.2736486780202</v>
      </c>
    </row>
    <row r="83" spans="1:19">
      <c r="A83">
        <v>2016</v>
      </c>
      <c r="B83">
        <v>4</v>
      </c>
      <c r="C83" t="s">
        <v>87</v>
      </c>
      <c r="D83" s="2">
        <v>0.29199999999999987</v>
      </c>
      <c r="E83" s="17">
        <f t="shared" si="6"/>
        <v>0.16406926133394104</v>
      </c>
      <c r="F83" s="17">
        <f t="shared" si="7"/>
        <v>0.12793073866605884</v>
      </c>
      <c r="G83">
        <v>63.304259847900774</v>
      </c>
      <c r="H83">
        <v>25.757272387096773</v>
      </c>
      <c r="I83">
        <v>1630.5450641659336</v>
      </c>
      <c r="J83" s="18">
        <v>5350</v>
      </c>
      <c r="K83" s="6">
        <v>354918.02336845</v>
      </c>
      <c r="L83" s="84">
        <f t="shared" si="8"/>
        <v>-1.4397068602501228E-2</v>
      </c>
      <c r="M83" s="20">
        <v>0.16231334883506321</v>
      </c>
      <c r="N83" s="20">
        <v>0.18049426301853488</v>
      </c>
      <c r="O83" s="20">
        <v>0.10987234423890402</v>
      </c>
      <c r="P83">
        <v>4.5999999999999999E-2</v>
      </c>
      <c r="Q83" s="20">
        <f t="shared" si="9"/>
        <v>6.1063426614631044E-2</v>
      </c>
      <c r="R83" s="79">
        <v>69.894848172830535</v>
      </c>
      <c r="S83">
        <f t="shared" si="10"/>
        <v>1800.3006428423694</v>
      </c>
    </row>
    <row r="84" spans="1:19">
      <c r="A84">
        <v>2016</v>
      </c>
      <c r="B84">
        <v>4</v>
      </c>
      <c r="C84" t="s">
        <v>88</v>
      </c>
      <c r="D84" s="2">
        <v>0.32</v>
      </c>
      <c r="E84" s="17">
        <f t="shared" si="6"/>
        <v>0.19880392661745225</v>
      </c>
      <c r="F84" s="17">
        <f t="shared" si="7"/>
        <v>0.12119607338254776</v>
      </c>
      <c r="G84">
        <v>66.845120172406823</v>
      </c>
      <c r="H84">
        <v>25.700937800000002</v>
      </c>
      <c r="I84">
        <v>1717.9822757845532</v>
      </c>
      <c r="J84" s="18">
        <v>5406</v>
      </c>
      <c r="K84" s="6">
        <v>356116.18136723002</v>
      </c>
      <c r="L84" s="84">
        <f t="shared" si="8"/>
        <v>9.3647469555654395E-2</v>
      </c>
      <c r="M84" s="20">
        <v>0.2056885687308232</v>
      </c>
      <c r="N84" s="20">
        <v>0.20186749666518455</v>
      </c>
      <c r="O84" s="20">
        <v>0.11358282298260924</v>
      </c>
      <c r="P84">
        <v>4.5999999999999999E-2</v>
      </c>
      <c r="Q84" s="20">
        <f t="shared" si="9"/>
        <v>6.4610729428880687E-2</v>
      </c>
      <c r="R84" s="79">
        <v>70.623832123186205</v>
      </c>
      <c r="S84">
        <f t="shared" si="10"/>
        <v>1815.0987165956508</v>
      </c>
    </row>
    <row r="85" spans="1:19">
      <c r="A85">
        <v>2016</v>
      </c>
      <c r="B85">
        <v>4</v>
      </c>
      <c r="C85" t="s">
        <v>89</v>
      </c>
      <c r="D85" s="2">
        <v>0.35699999999999987</v>
      </c>
      <c r="E85" s="17">
        <f t="shared" si="6"/>
        <v>0.28705490938873446</v>
      </c>
      <c r="F85" s="17">
        <f t="shared" si="7"/>
        <v>6.9945090611265415E-2</v>
      </c>
      <c r="G85">
        <v>68.553567846997993</v>
      </c>
      <c r="H85">
        <v>26.204524935483875</v>
      </c>
      <c r="I85">
        <v>1796.4136780630445</v>
      </c>
      <c r="J85" s="18">
        <v>6475</v>
      </c>
      <c r="K85" s="6">
        <v>369581.74383797997</v>
      </c>
      <c r="L85" s="84">
        <f t="shared" si="8"/>
        <v>0.20064351373823719</v>
      </c>
      <c r="M85" s="20">
        <v>0.34406074106261864</v>
      </c>
      <c r="N85" s="20">
        <v>0.23804971319311674</v>
      </c>
      <c r="O85" s="20">
        <v>0.124669732462803</v>
      </c>
      <c r="P85">
        <v>4.5999999999999999E-2</v>
      </c>
      <c r="Q85" s="20">
        <f t="shared" si="9"/>
        <v>7.5210069276102187E-2</v>
      </c>
      <c r="R85" s="79">
        <v>71.819235330744888</v>
      </c>
      <c r="S85">
        <f t="shared" si="10"/>
        <v>1881.9889430718888</v>
      </c>
    </row>
    <row r="86" spans="1:19">
      <c r="A86">
        <v>2017</v>
      </c>
      <c r="B86">
        <v>1</v>
      </c>
      <c r="C86" t="s">
        <v>90</v>
      </c>
      <c r="D86" s="2">
        <v>0.3680000000000001</v>
      </c>
      <c r="E86" s="17">
        <f t="shared" si="6"/>
        <v>0.41805706084840688</v>
      </c>
      <c r="F86" s="17">
        <f t="shared" si="7"/>
        <v>-5.0057060848406776E-2</v>
      </c>
      <c r="G86">
        <v>71.638592701093856</v>
      </c>
      <c r="H86">
        <v>27.150611903225798</v>
      </c>
      <c r="I86">
        <v>1945.0316277206637</v>
      </c>
      <c r="J86" s="18">
        <v>6008</v>
      </c>
      <c r="K86" s="6">
        <v>371788.61919610004</v>
      </c>
      <c r="L86" s="84">
        <f t="shared" si="8"/>
        <v>0.26950564870871552</v>
      </c>
      <c r="M86" s="20">
        <v>0.42078697445548774</v>
      </c>
      <c r="N86" s="20">
        <v>0.37734983952315448</v>
      </c>
      <c r="O86" s="20">
        <v>0.10803211725533179</v>
      </c>
      <c r="P86">
        <v>2.7999999999999997E-2</v>
      </c>
      <c r="Q86" s="20">
        <f t="shared" si="9"/>
        <v>7.7852254139427757E-2</v>
      </c>
      <c r="R86" s="79">
        <v>77.572144378325731</v>
      </c>
      <c r="S86">
        <f t="shared" si="10"/>
        <v>2106.1311865169209</v>
      </c>
    </row>
    <row r="87" spans="1:19">
      <c r="A87">
        <v>2017</v>
      </c>
      <c r="B87">
        <v>1</v>
      </c>
      <c r="C87" t="s">
        <v>91</v>
      </c>
      <c r="D87" s="2">
        <v>0.38900000000000007</v>
      </c>
      <c r="E87" s="17">
        <f t="shared" si="6"/>
        <v>0.35491762730774623</v>
      </c>
      <c r="F87" s="17">
        <f t="shared" si="7"/>
        <v>3.4082372692253837E-2</v>
      </c>
      <c r="G87">
        <v>73.600771913557267</v>
      </c>
      <c r="H87">
        <v>27.027771071428578</v>
      </c>
      <c r="I87">
        <v>1989.264813960056</v>
      </c>
      <c r="J87" s="18">
        <v>6209</v>
      </c>
      <c r="K87" s="6">
        <v>361742.49769675999</v>
      </c>
      <c r="L87" s="84">
        <f t="shared" si="8"/>
        <v>0.29380505538263413</v>
      </c>
      <c r="M87" s="20">
        <v>0.32491939824987104</v>
      </c>
      <c r="N87" s="20">
        <v>0.35419847328244281</v>
      </c>
      <c r="O87" s="20">
        <v>9.026068370574114E-2</v>
      </c>
      <c r="P87">
        <v>2.7999999999999997E-2</v>
      </c>
      <c r="Q87" s="20">
        <f t="shared" si="9"/>
        <v>6.0564867418036128E-2</v>
      </c>
      <c r="R87" s="79">
        <v>76.662321244039603</v>
      </c>
      <c r="S87">
        <f t="shared" si="10"/>
        <v>2072.0116683882179</v>
      </c>
    </row>
    <row r="88" spans="1:19">
      <c r="A88">
        <v>2017</v>
      </c>
      <c r="B88">
        <v>1</v>
      </c>
      <c r="C88" t="s">
        <v>92</v>
      </c>
      <c r="D88" s="2">
        <v>0.38300000000000012</v>
      </c>
      <c r="E88" s="17">
        <f t="shared" si="6"/>
        <v>0.31842288707577437</v>
      </c>
      <c r="F88" s="17">
        <f t="shared" si="7"/>
        <v>6.4577112924225744E-2</v>
      </c>
      <c r="G88">
        <v>70.499952995537953</v>
      </c>
      <c r="H88">
        <v>27.001562419354837</v>
      </c>
      <c r="I88">
        <v>1903.6088813706001</v>
      </c>
      <c r="J88" s="18">
        <v>6752</v>
      </c>
      <c r="K88" s="6">
        <v>359198.56904437498</v>
      </c>
      <c r="L88" s="84">
        <f t="shared" si="8"/>
        <v>0.17766423761015648</v>
      </c>
      <c r="M88" s="20">
        <v>0.20650245761410169</v>
      </c>
      <c r="N88" s="20">
        <v>0.37235772357723573</v>
      </c>
      <c r="O88" s="20">
        <v>9.556956130816241E-2</v>
      </c>
      <c r="P88">
        <v>2.7999999999999997E-2</v>
      </c>
      <c r="Q88" s="20">
        <f t="shared" si="9"/>
        <v>6.5729145241403053E-2</v>
      </c>
      <c r="R88" s="79">
        <v>69.51735864779711</v>
      </c>
      <c r="S88">
        <f t="shared" si="10"/>
        <v>1877.0772987571704</v>
      </c>
    </row>
    <row r="89" spans="1:19">
      <c r="A89">
        <v>2017</v>
      </c>
      <c r="B89">
        <v>2</v>
      </c>
      <c r="C89" t="s">
        <v>93</v>
      </c>
      <c r="D89" s="2">
        <v>0.35599999999999993</v>
      </c>
      <c r="E89" s="17">
        <f t="shared" si="6"/>
        <v>0.26976811186836402</v>
      </c>
      <c r="F89" s="17">
        <f t="shared" si="7"/>
        <v>8.6231888131635903E-2</v>
      </c>
      <c r="G89">
        <v>66.144299990556377</v>
      </c>
      <c r="H89">
        <v>26.856827100000014</v>
      </c>
      <c r="I89">
        <v>1776.4260284969052</v>
      </c>
      <c r="J89" s="18">
        <v>6659</v>
      </c>
      <c r="K89" s="6">
        <v>362635.65076933999</v>
      </c>
      <c r="L89" s="84">
        <f t="shared" si="8"/>
        <v>6.1647389191854973E-2</v>
      </c>
      <c r="M89" s="20">
        <v>0.11248690297288411</v>
      </c>
      <c r="N89" s="20">
        <v>0.36036772216547508</v>
      </c>
      <c r="O89" s="20">
        <v>9.3774215823846818E-2</v>
      </c>
      <c r="P89">
        <v>2.6000000000000002E-2</v>
      </c>
      <c r="Q89" s="20">
        <f t="shared" si="9"/>
        <v>6.6056740569051531E-2</v>
      </c>
      <c r="R89" s="79">
        <v>70.010136751826906</v>
      </c>
      <c r="S89">
        <f t="shared" si="10"/>
        <v>1880.2501379911719</v>
      </c>
    </row>
    <row r="90" spans="1:19">
      <c r="A90">
        <v>2017</v>
      </c>
      <c r="B90">
        <v>2</v>
      </c>
      <c r="C90" t="s">
        <v>94</v>
      </c>
      <c r="D90" s="2">
        <v>0.27099999999999996</v>
      </c>
      <c r="E90" s="17">
        <f t="shared" si="6"/>
        <v>0.25635497161055587</v>
      </c>
      <c r="F90" s="17">
        <f t="shared" si="7"/>
        <v>1.4645028389444092E-2</v>
      </c>
      <c r="G90">
        <v>63.849915674179613</v>
      </c>
      <c r="H90">
        <v>26.423692999999993</v>
      </c>
      <c r="I90">
        <v>1687.1505698504097</v>
      </c>
      <c r="J90" s="18">
        <v>6840</v>
      </c>
      <c r="K90" s="6">
        <v>368305.48513058503</v>
      </c>
      <c r="L90" s="84">
        <f t="shared" si="8"/>
        <v>1.2635062445867984E-2</v>
      </c>
      <c r="M90" s="20">
        <v>6.1534997431789584E-2</v>
      </c>
      <c r="N90" s="20">
        <v>0.37239165329052959</v>
      </c>
      <c r="O90" s="20">
        <v>9.4075182377076016E-2</v>
      </c>
      <c r="P90">
        <v>2.6000000000000002E-2</v>
      </c>
      <c r="Q90" s="20">
        <f t="shared" si="9"/>
        <v>6.6350080289547808E-2</v>
      </c>
      <c r="R90" s="79">
        <v>67.756162635302644</v>
      </c>
      <c r="S90">
        <f t="shared" si="10"/>
        <v>1790.3680403333076</v>
      </c>
    </row>
    <row r="91" spans="1:19">
      <c r="A91">
        <v>2017</v>
      </c>
      <c r="B91">
        <v>2</v>
      </c>
      <c r="C91" t="s">
        <v>95</v>
      </c>
      <c r="D91" s="2">
        <v>0.26299999999999996</v>
      </c>
      <c r="E91" s="17">
        <f t="shared" si="6"/>
        <v>0.24424194981051525</v>
      </c>
      <c r="F91" s="17">
        <f t="shared" si="7"/>
        <v>1.8758050189484704E-2</v>
      </c>
      <c r="G91">
        <v>62.620676804698512</v>
      </c>
      <c r="H91">
        <v>26.108858166666668</v>
      </c>
      <c r="I91">
        <v>1634.9543689945467</v>
      </c>
      <c r="J91" s="18">
        <v>7360</v>
      </c>
      <c r="K91" s="6">
        <v>375005.31244599004</v>
      </c>
      <c r="L91" s="84">
        <f t="shared" si="8"/>
        <v>-1.7572755865227552E-2</v>
      </c>
      <c r="M91" s="20">
        <v>2.8002993246587948E-2</v>
      </c>
      <c r="N91" s="20">
        <v>0.37905190181750048</v>
      </c>
      <c r="O91" s="20">
        <v>8.6891248913206542E-2</v>
      </c>
      <c r="P91">
        <v>2.6000000000000002E-2</v>
      </c>
      <c r="Q91" s="20">
        <f t="shared" si="9"/>
        <v>5.9348195821838701E-2</v>
      </c>
      <c r="R91" s="79">
        <v>66.490930266103305</v>
      </c>
      <c r="S91">
        <f t="shared" si="10"/>
        <v>1736.0022676874153</v>
      </c>
    </row>
    <row r="92" spans="1:19">
      <c r="A92">
        <v>2017</v>
      </c>
      <c r="B92">
        <v>3</v>
      </c>
      <c r="C92" t="s">
        <v>96</v>
      </c>
      <c r="D92" s="2">
        <v>0.23299999999999998</v>
      </c>
      <c r="E92" s="17">
        <f t="shared" si="6"/>
        <v>0.27384985904471548</v>
      </c>
      <c r="F92" s="17">
        <f t="shared" si="7"/>
        <v>-4.0849859044715497E-2</v>
      </c>
      <c r="G92">
        <v>66.569275869669369</v>
      </c>
      <c r="H92">
        <v>25.969315225806444</v>
      </c>
      <c r="I92">
        <v>1728.7585094131143</v>
      </c>
      <c r="J92" s="18">
        <v>7339</v>
      </c>
      <c r="K92" s="6">
        <v>380655.38214676001</v>
      </c>
      <c r="L92" s="84">
        <f t="shared" si="8"/>
        <v>7.5140276948854723E-2</v>
      </c>
      <c r="M92" s="20">
        <v>0.12507165067240811</v>
      </c>
      <c r="N92" s="20">
        <v>0.3656494231484928</v>
      </c>
      <c r="O92" s="20">
        <v>7.6339277291160412E-2</v>
      </c>
      <c r="P92">
        <v>2.4E-2</v>
      </c>
      <c r="Q92" s="20">
        <f t="shared" si="9"/>
        <v>5.111257547964887E-2</v>
      </c>
      <c r="R92" s="79">
        <v>68.61123445607997</v>
      </c>
      <c r="S92">
        <f t="shared" si="10"/>
        <v>1781.7867756216533</v>
      </c>
    </row>
    <row r="93" spans="1:19">
      <c r="A93">
        <v>2017</v>
      </c>
      <c r="B93">
        <v>3</v>
      </c>
      <c r="C93" t="s">
        <v>97</v>
      </c>
      <c r="D93" s="2">
        <v>0.23599999999999993</v>
      </c>
      <c r="E93" s="17">
        <f t="shared" si="6"/>
        <v>0.27999451061002867</v>
      </c>
      <c r="F93" s="17">
        <f t="shared" si="7"/>
        <v>-4.3994510610028736E-2</v>
      </c>
      <c r="G93">
        <v>68.055105835081804</v>
      </c>
      <c r="H93">
        <v>25.635271419354826</v>
      </c>
      <c r="I93">
        <v>1744.6111095552403</v>
      </c>
      <c r="J93" s="18">
        <v>7114</v>
      </c>
      <c r="K93" s="6">
        <v>379281.25692618499</v>
      </c>
      <c r="L93" s="84">
        <f t="shared" si="8"/>
        <v>0.11949590927387255</v>
      </c>
      <c r="M93" s="20">
        <v>0.14497506306491603</v>
      </c>
      <c r="N93" s="20">
        <v>0.36755094194540572</v>
      </c>
      <c r="O93" s="20">
        <v>6.4930824435173173E-2</v>
      </c>
      <c r="P93">
        <v>2.4E-2</v>
      </c>
      <c r="Q93" s="20">
        <f t="shared" si="9"/>
        <v>3.9971508237473863E-2</v>
      </c>
      <c r="R93" s="79">
        <v>73.631675413883968</v>
      </c>
      <c r="S93">
        <f t="shared" si="10"/>
        <v>1887.5679842967511</v>
      </c>
    </row>
    <row r="94" spans="1:19">
      <c r="A94">
        <v>2017</v>
      </c>
      <c r="B94">
        <v>3</v>
      </c>
      <c r="C94" t="s">
        <v>98</v>
      </c>
      <c r="D94" s="2">
        <v>0.22400000000000006</v>
      </c>
      <c r="E94" s="17">
        <f t="shared" si="6"/>
        <v>0.27958933436636291</v>
      </c>
      <c r="F94" s="17">
        <f t="shared" si="7"/>
        <v>-5.5589334366362847E-2</v>
      </c>
      <c r="G94">
        <v>68.98665522806246</v>
      </c>
      <c r="H94">
        <v>26.10860709999999</v>
      </c>
      <c r="I94">
        <v>1801.145476492643</v>
      </c>
      <c r="J94" s="18">
        <v>7351</v>
      </c>
      <c r="K94" s="6">
        <v>376204.63798137999</v>
      </c>
      <c r="L94" s="84">
        <f t="shared" si="8"/>
        <v>0.1513516599372533</v>
      </c>
      <c r="M94" s="20">
        <v>0.14404031770883741</v>
      </c>
      <c r="N94" s="20">
        <v>0.37196715192235907</v>
      </c>
      <c r="O94" s="20">
        <v>5.551303953990594E-2</v>
      </c>
      <c r="P94">
        <v>2.4E-2</v>
      </c>
      <c r="Q94" s="20">
        <f t="shared" si="9"/>
        <v>3.0774452675689457E-2</v>
      </c>
      <c r="R94" s="79">
        <v>78.750202848157116</v>
      </c>
      <c r="S94">
        <f t="shared" si="10"/>
        <v>2056.0581052078342</v>
      </c>
    </row>
    <row r="95" spans="1:19">
      <c r="A95">
        <v>2017</v>
      </c>
      <c r="B95">
        <v>4</v>
      </c>
      <c r="C95" t="s">
        <v>99</v>
      </c>
      <c r="D95" s="2">
        <v>0.18799999999999997</v>
      </c>
      <c r="E95" s="17">
        <f t="shared" si="6"/>
        <v>0.26922491236966417</v>
      </c>
      <c r="F95" s="17">
        <f t="shared" si="7"/>
        <v>-8.1224912369664198E-2</v>
      </c>
      <c r="G95">
        <v>67.674845544154323</v>
      </c>
      <c r="H95">
        <v>26.654977096774203</v>
      </c>
      <c r="I95">
        <v>1803.8714580071653</v>
      </c>
      <c r="J95" s="18">
        <v>7377</v>
      </c>
      <c r="K95" s="6">
        <v>375008.647536395</v>
      </c>
      <c r="L95" s="84">
        <f t="shared" si="8"/>
        <v>6.9040941427237712E-2</v>
      </c>
      <c r="M95" s="20">
        <v>0.10629966484851039</v>
      </c>
      <c r="N95" s="20">
        <v>0.3788785046728973</v>
      </c>
      <c r="O95" s="20">
        <v>5.6606379065422541E-2</v>
      </c>
      <c r="P95">
        <v>2.2000000000000002E-2</v>
      </c>
      <c r="Q95" s="20">
        <f t="shared" si="9"/>
        <v>3.386142765696909E-2</v>
      </c>
      <c r="R95" s="79">
        <v>80.585306726205843</v>
      </c>
      <c r="S95">
        <f t="shared" si="10"/>
        <v>2147.999505123541</v>
      </c>
    </row>
    <row r="96" spans="1:19">
      <c r="A96">
        <v>2017</v>
      </c>
      <c r="B96">
        <v>4</v>
      </c>
      <c r="C96" t="s">
        <v>100</v>
      </c>
      <c r="D96" s="2">
        <v>0.18400000000000005</v>
      </c>
      <c r="E96" s="17">
        <f t="shared" si="6"/>
        <v>0.26583699912854908</v>
      </c>
      <c r="F96" s="17">
        <f t="shared" si="7"/>
        <v>-8.1836999128549026E-2</v>
      </c>
      <c r="G96">
        <v>69.989866499831535</v>
      </c>
      <c r="H96">
        <v>26.705274633333335</v>
      </c>
      <c r="I96">
        <v>1869.0986064283377</v>
      </c>
      <c r="J96" s="18">
        <v>7479</v>
      </c>
      <c r="K96" s="6">
        <v>377681.583605355</v>
      </c>
      <c r="L96" s="84">
        <f t="shared" si="8"/>
        <v>4.704526402695941E-2</v>
      </c>
      <c r="M96" s="20">
        <v>8.7961519029510438E-2</v>
      </c>
      <c r="N96" s="20">
        <v>0.3834628190899001</v>
      </c>
      <c r="O96" s="20">
        <v>6.0557209603139484E-2</v>
      </c>
      <c r="P96">
        <v>2.2000000000000002E-2</v>
      </c>
      <c r="Q96" s="20">
        <f t="shared" si="9"/>
        <v>3.7727210961975954E-2</v>
      </c>
      <c r="R96" s="79">
        <v>85.090673043249751</v>
      </c>
      <c r="S96">
        <f t="shared" si="10"/>
        <v>2272.3697923551581</v>
      </c>
    </row>
    <row r="97" spans="1:19">
      <c r="A97">
        <v>2017</v>
      </c>
      <c r="B97">
        <v>4</v>
      </c>
      <c r="C97" t="s">
        <v>101</v>
      </c>
      <c r="D97" s="2">
        <v>0.16500000000000001</v>
      </c>
      <c r="E97" s="17">
        <f t="shared" si="6"/>
        <v>0.25386484845664903</v>
      </c>
      <c r="F97" s="17">
        <f t="shared" si="7"/>
        <v>-8.886484845664902E-2</v>
      </c>
      <c r="G97">
        <v>72.58161678329266</v>
      </c>
      <c r="H97">
        <v>27.516507935483883</v>
      </c>
      <c r="I97">
        <v>1997.1926341877227</v>
      </c>
      <c r="J97" s="18">
        <v>8777</v>
      </c>
      <c r="K97" s="6">
        <v>388901.53028718499</v>
      </c>
      <c r="L97" s="84">
        <f t="shared" si="8"/>
        <v>5.8757684870387905E-2</v>
      </c>
      <c r="M97" s="20">
        <v>0.11176654830482313</v>
      </c>
      <c r="N97" s="20">
        <v>0.3555212355212356</v>
      </c>
      <c r="O97" s="20">
        <v>5.2274731561617882E-2</v>
      </c>
      <c r="P97">
        <v>2.2000000000000002E-2</v>
      </c>
      <c r="Q97" s="20">
        <f t="shared" si="9"/>
        <v>2.9623025011367821E-2</v>
      </c>
      <c r="R97" s="79">
        <v>88.84850901471745</v>
      </c>
      <c r="S97">
        <f t="shared" si="10"/>
        <v>2444.800703359384</v>
      </c>
    </row>
    <row r="98" spans="1:19">
      <c r="A98">
        <v>2018</v>
      </c>
      <c r="B98">
        <v>1</v>
      </c>
      <c r="C98" t="s">
        <v>102</v>
      </c>
      <c r="D98" s="2">
        <v>0.22</v>
      </c>
      <c r="E98" s="17">
        <f t="shared" si="6"/>
        <v>0.19441564494904723</v>
      </c>
      <c r="F98" s="17">
        <f t="shared" si="7"/>
        <v>2.5584355050952773E-2</v>
      </c>
      <c r="G98">
        <v>74.43535414266502</v>
      </c>
      <c r="H98">
        <v>28.434328612903219</v>
      </c>
      <c r="I98">
        <v>2116.5193201103639</v>
      </c>
      <c r="J98" s="18">
        <v>7711.47</v>
      </c>
      <c r="K98" s="6">
        <v>395691.731361265</v>
      </c>
      <c r="L98" s="84">
        <f t="shared" si="8"/>
        <v>3.9039871333603982E-2</v>
      </c>
      <c r="M98" s="20">
        <v>8.816704568997813E-2</v>
      </c>
      <c r="N98" s="20">
        <v>0.28353362183754993</v>
      </c>
      <c r="O98" s="20">
        <v>6.4292210495440871E-2</v>
      </c>
      <c r="P98">
        <v>3.1E-2</v>
      </c>
      <c r="Q98" s="20">
        <f t="shared" si="9"/>
        <v>3.2291183797711787E-2</v>
      </c>
      <c r="R98" s="79">
        <v>89.59037503227384</v>
      </c>
      <c r="S98">
        <f t="shared" si="10"/>
        <v>2547.442164220914</v>
      </c>
    </row>
    <row r="99" spans="1:19">
      <c r="A99">
        <v>2018</v>
      </c>
      <c r="B99">
        <v>1</v>
      </c>
      <c r="C99" t="s">
        <v>103</v>
      </c>
      <c r="D99" s="2">
        <v>0.19599999999999995</v>
      </c>
      <c r="E99" s="17">
        <f t="shared" si="6"/>
        <v>0.1649334102805961</v>
      </c>
      <c r="F99" s="17">
        <f t="shared" si="7"/>
        <v>3.1066589719403848E-2</v>
      </c>
      <c r="G99">
        <v>75.269672509245652</v>
      </c>
      <c r="H99">
        <v>27.171049392857139</v>
      </c>
      <c r="I99">
        <v>2045.1559895328946</v>
      </c>
      <c r="J99" s="18">
        <v>7828.16</v>
      </c>
      <c r="K99" s="6">
        <v>398576.13637790002</v>
      </c>
      <c r="L99" s="84">
        <f t="shared" si="8"/>
        <v>2.2675042017880953E-2</v>
      </c>
      <c r="M99" s="20">
        <v>2.8096397815218666E-2</v>
      </c>
      <c r="N99" s="20">
        <v>0.26077629247866008</v>
      </c>
      <c r="O99" s="20">
        <v>0.10182281295579698</v>
      </c>
      <c r="P99">
        <v>3.1E-2</v>
      </c>
      <c r="Q99" s="20">
        <f t="shared" si="9"/>
        <v>6.8693320034720839E-2</v>
      </c>
      <c r="R99" s="79">
        <v>86.40414654180536</v>
      </c>
      <c r="S99">
        <f t="shared" si="10"/>
        <v>2347.6913334350597</v>
      </c>
    </row>
    <row r="100" spans="1:19">
      <c r="A100">
        <v>2018</v>
      </c>
      <c r="B100">
        <v>1</v>
      </c>
      <c r="C100" t="s">
        <v>104</v>
      </c>
      <c r="D100" s="2">
        <v>0.15900000000000006</v>
      </c>
      <c r="E100" s="17">
        <f t="shared" si="6"/>
        <v>0.15651052656757369</v>
      </c>
      <c r="F100" s="17">
        <f t="shared" si="7"/>
        <v>2.4894734324263645E-3</v>
      </c>
      <c r="G100">
        <v>74.657931138553849</v>
      </c>
      <c r="H100">
        <v>26.341204741935485</v>
      </c>
      <c r="I100">
        <v>1966.5798497299675</v>
      </c>
      <c r="J100" s="18">
        <v>8381.94</v>
      </c>
      <c r="K100" s="6">
        <v>399028.87744614005</v>
      </c>
      <c r="L100" s="84">
        <f t="shared" si="8"/>
        <v>5.89784526988133E-2</v>
      </c>
      <c r="M100" s="20">
        <v>3.3079782814434022E-2</v>
      </c>
      <c r="N100" s="20">
        <v>0.2414010663507109</v>
      </c>
      <c r="O100" s="20">
        <v>0.11088660098989567</v>
      </c>
      <c r="P100">
        <v>3.1E-2</v>
      </c>
      <c r="Q100" s="20">
        <f t="shared" si="9"/>
        <v>7.7484579039666102E-2</v>
      </c>
      <c r="R100" s="79">
        <v>86.109553417530037</v>
      </c>
      <c r="S100">
        <f t="shared" si="10"/>
        <v>2268.2293768077893</v>
      </c>
    </row>
    <row r="101" spans="1:19">
      <c r="A101">
        <v>2018</v>
      </c>
      <c r="B101">
        <v>2</v>
      </c>
      <c r="C101" t="s">
        <v>105</v>
      </c>
      <c r="D101" s="2">
        <v>0.14099999999999993</v>
      </c>
      <c r="E101" s="17">
        <f t="shared" si="6"/>
        <v>0.20939939007448652</v>
      </c>
      <c r="F101" s="17">
        <f t="shared" si="7"/>
        <v>-6.8399390074486588E-2</v>
      </c>
      <c r="G101">
        <v>75.396752957126495</v>
      </c>
      <c r="H101">
        <v>26.151748566666662</v>
      </c>
      <c r="I101">
        <v>1971.7569260778532</v>
      </c>
      <c r="J101" s="18">
        <v>8480.24</v>
      </c>
      <c r="K101" s="6">
        <v>402736.60908731003</v>
      </c>
      <c r="L101" s="84">
        <f t="shared" si="8"/>
        <v>0.13988284656260808</v>
      </c>
      <c r="M101" s="20">
        <v>0.10995723686070069</v>
      </c>
      <c r="N101" s="20">
        <v>0.27350052560444515</v>
      </c>
      <c r="O101" s="20">
        <v>0.11058195252699221</v>
      </c>
      <c r="P101">
        <v>3.7999999999999999E-2</v>
      </c>
      <c r="Q101" s="20">
        <f t="shared" si="9"/>
        <v>6.9924809756254591E-2</v>
      </c>
      <c r="R101" s="79">
        <v>90.725511543114777</v>
      </c>
      <c r="S101">
        <f t="shared" si="10"/>
        <v>2372.6307664577516</v>
      </c>
    </row>
    <row r="102" spans="1:19">
      <c r="A102">
        <v>2018</v>
      </c>
      <c r="B102">
        <v>2</v>
      </c>
      <c r="C102" t="s">
        <v>106</v>
      </c>
      <c r="D102" s="2">
        <v>0.16500000000000001</v>
      </c>
      <c r="E102" s="17">
        <f t="shared" si="6"/>
        <v>0.25703853353126138</v>
      </c>
      <c r="F102" s="17">
        <f t="shared" si="7"/>
        <v>-9.2038533531261374E-2</v>
      </c>
      <c r="G102">
        <v>78.363900522588381</v>
      </c>
      <c r="H102">
        <v>26.181224580645161</v>
      </c>
      <c r="I102">
        <v>2051.662878597223</v>
      </c>
      <c r="J102" s="18">
        <v>8724.75</v>
      </c>
      <c r="K102" s="6">
        <v>409736.94888907997</v>
      </c>
      <c r="L102" s="84">
        <f t="shared" si="8"/>
        <v>0.22731408013868548</v>
      </c>
      <c r="M102" s="20">
        <v>0.21605203190556521</v>
      </c>
      <c r="N102" s="20">
        <v>0.27554824561403501</v>
      </c>
      <c r="O102" s="20">
        <v>0.11249211709080353</v>
      </c>
      <c r="P102">
        <v>3.7999999999999999E-2</v>
      </c>
      <c r="Q102" s="20">
        <f t="shared" si="9"/>
        <v>7.176504536686279E-2</v>
      </c>
      <c r="R102" s="79">
        <v>98.151716489574156</v>
      </c>
      <c r="S102">
        <f t="shared" si="10"/>
        <v>2569.7321323893539</v>
      </c>
    </row>
    <row r="103" spans="1:19">
      <c r="A103">
        <v>2018</v>
      </c>
      <c r="B103">
        <v>2</v>
      </c>
      <c r="C103" t="s">
        <v>107</v>
      </c>
      <c r="D103" s="2">
        <v>0.18400000000000005</v>
      </c>
      <c r="E103" s="17">
        <f t="shared" si="6"/>
        <v>0.2344947305737631</v>
      </c>
      <c r="F103" s="17">
        <f t="shared" si="7"/>
        <v>-5.0494730573763053E-2</v>
      </c>
      <c r="G103">
        <v>76.451548015658631</v>
      </c>
      <c r="H103">
        <v>26.202170466666676</v>
      </c>
      <c r="I103">
        <v>2003.19649354684</v>
      </c>
      <c r="J103" s="18">
        <v>9141.17</v>
      </c>
      <c r="K103" s="6">
        <v>413593.61552715499</v>
      </c>
      <c r="L103" s="84">
        <f t="shared" si="8"/>
        <v>0.22086748206340645</v>
      </c>
      <c r="M103" s="20">
        <v>0.22523082694885987</v>
      </c>
      <c r="N103" s="20">
        <v>0.24200679347826082</v>
      </c>
      <c r="O103" s="20">
        <v>0.10290068380490647</v>
      </c>
      <c r="P103">
        <v>3.7999999999999999E-2</v>
      </c>
      <c r="Q103" s="20">
        <f t="shared" si="9"/>
        <v>6.2524743550006256E-2</v>
      </c>
      <c r="R103" s="79">
        <v>97.672240955351398</v>
      </c>
      <c r="S103">
        <f t="shared" si="10"/>
        <v>2559.2247073734598</v>
      </c>
    </row>
    <row r="104" spans="1:19">
      <c r="A104">
        <v>2018</v>
      </c>
      <c r="B104">
        <v>3</v>
      </c>
      <c r="C104" t="s">
        <v>108</v>
      </c>
      <c r="D104" s="2">
        <v>0.18099999999999994</v>
      </c>
      <c r="E104" s="17">
        <f t="shared" si="6"/>
        <v>0.21565093811427008</v>
      </c>
      <c r="F104" s="17">
        <f t="shared" si="7"/>
        <v>-3.4650938114270141E-2</v>
      </c>
      <c r="G104">
        <v>75.97280063106021</v>
      </c>
      <c r="H104">
        <v>26.400686419354855</v>
      </c>
      <c r="I104">
        <v>2005.7340858607852</v>
      </c>
      <c r="J104" s="18">
        <v>9170.2800000000007</v>
      </c>
      <c r="K104" s="6">
        <v>420276.45875314501</v>
      </c>
      <c r="L104" s="84">
        <f t="shared" si="8"/>
        <v>0.14125923165817889</v>
      </c>
      <c r="M104" s="20">
        <v>0.16021646455507499</v>
      </c>
      <c r="N104" s="20">
        <v>0.24952718353999193</v>
      </c>
      <c r="O104" s="20">
        <v>0.10408647418285888</v>
      </c>
      <c r="P104">
        <v>2.8000000000000001E-2</v>
      </c>
      <c r="Q104" s="20">
        <f t="shared" si="9"/>
        <v>7.4014079944415334E-2</v>
      </c>
      <c r="R104" s="79">
        <v>98.304713295377454</v>
      </c>
      <c r="S104">
        <f t="shared" si="10"/>
        <v>2595.3119092558441</v>
      </c>
    </row>
    <row r="105" spans="1:19">
      <c r="A105">
        <v>2018</v>
      </c>
      <c r="B105">
        <v>3</v>
      </c>
      <c r="C105" t="s">
        <v>109</v>
      </c>
      <c r="D105" s="2">
        <v>0.19299999999999998</v>
      </c>
      <c r="E105" s="17">
        <f t="shared" si="6"/>
        <v>0.24803459747909243</v>
      </c>
      <c r="F105" s="17">
        <f t="shared" si="7"/>
        <v>-5.5034597479092451E-2</v>
      </c>
      <c r="G105">
        <v>76.844156875346499</v>
      </c>
      <c r="H105">
        <v>27.482209032258066</v>
      </c>
      <c r="I105">
        <v>2111.8471821559033</v>
      </c>
      <c r="J105" s="18">
        <v>8977.2800000000007</v>
      </c>
      <c r="K105" s="6">
        <v>421242.39181953506</v>
      </c>
      <c r="L105" s="84">
        <f t="shared" si="8"/>
        <v>0.12914609319046888</v>
      </c>
      <c r="M105" s="20">
        <v>0.21049738282033736</v>
      </c>
      <c r="N105" s="20">
        <v>0.26191734607815587</v>
      </c>
      <c r="O105" s="20">
        <v>0.11063329422976587</v>
      </c>
      <c r="P105">
        <v>2.8000000000000001E-2</v>
      </c>
      <c r="Q105" s="20">
        <f t="shared" si="9"/>
        <v>8.0382581935569908E-2</v>
      </c>
      <c r="R105" s="79">
        <v>97.228157625044005</v>
      </c>
      <c r="S105">
        <f t="shared" si="10"/>
        <v>2672.0445516727955</v>
      </c>
    </row>
    <row r="106" spans="1:19">
      <c r="A106">
        <v>2018</v>
      </c>
      <c r="B106">
        <v>3</v>
      </c>
      <c r="C106" t="s">
        <v>110</v>
      </c>
      <c r="D106" s="2">
        <v>0.18900000000000006</v>
      </c>
      <c r="E106" s="17">
        <f t="shared" si="6"/>
        <v>0.23857182776424965</v>
      </c>
      <c r="F106" s="17">
        <f t="shared" si="7"/>
        <v>-4.9571827764249593E-2</v>
      </c>
      <c r="G106">
        <v>78.55485260238865</v>
      </c>
      <c r="H106">
        <v>28.191267433333341</v>
      </c>
      <c r="I106">
        <v>2214.56085790002</v>
      </c>
      <c r="J106" s="18">
        <v>9042</v>
      </c>
      <c r="K106" s="6">
        <v>423121.501683485</v>
      </c>
      <c r="L106" s="84">
        <f t="shared" si="8"/>
        <v>0.13869635138411573</v>
      </c>
      <c r="M106" s="20">
        <v>0.22952914509294264</v>
      </c>
      <c r="N106" s="20">
        <v>0.23003672969663991</v>
      </c>
      <c r="O106" s="20">
        <v>0.12471101885890934</v>
      </c>
      <c r="P106">
        <v>2.8000000000000001E-2</v>
      </c>
      <c r="Q106" s="20">
        <f t="shared" si="9"/>
        <v>9.4076866594269726E-2</v>
      </c>
      <c r="R106" s="79">
        <v>106.55716562480916</v>
      </c>
      <c r="S106">
        <f t="shared" si="10"/>
        <v>3003.9815530669894</v>
      </c>
    </row>
    <row r="107" spans="1:19">
      <c r="A107">
        <v>2018</v>
      </c>
      <c r="B107">
        <v>4</v>
      </c>
      <c r="C107" t="s">
        <v>111</v>
      </c>
      <c r="D107" s="7">
        <v>0.16600000000000001</v>
      </c>
      <c r="E107" s="17">
        <f t="shared" si="6"/>
        <v>0.25901150735701017</v>
      </c>
      <c r="F107" s="17">
        <f t="shared" si="7"/>
        <v>-9.3011507357010165E-2</v>
      </c>
      <c r="G107">
        <v>79.759937042523134</v>
      </c>
      <c r="H107">
        <v>28.127382419354841</v>
      </c>
      <c r="I107">
        <v>2243.4382509387142</v>
      </c>
      <c r="J107" s="18">
        <v>9218</v>
      </c>
      <c r="K107" s="6">
        <v>424687.53344728501</v>
      </c>
      <c r="L107" s="84">
        <f t="shared" si="8"/>
        <v>0.17857582682599427</v>
      </c>
      <c r="M107" s="20">
        <v>0.24367966518920481</v>
      </c>
      <c r="N107" s="20">
        <v>0.24955944150738801</v>
      </c>
      <c r="O107" s="20">
        <v>0.13247397423300389</v>
      </c>
      <c r="P107">
        <v>3.3000000000000002E-2</v>
      </c>
      <c r="Q107" s="20">
        <f t="shared" si="9"/>
        <v>9.629619964472802E-2</v>
      </c>
      <c r="R107" s="79">
        <v>104.51970516706746</v>
      </c>
      <c r="S107">
        <f t="shared" si="10"/>
        <v>2939.8657175923245</v>
      </c>
    </row>
    <row r="108" spans="1:19">
      <c r="A108">
        <v>2018</v>
      </c>
      <c r="B108">
        <v>4</v>
      </c>
      <c r="C108" t="s">
        <v>112</v>
      </c>
      <c r="D108" s="7">
        <v>0.16500000000000001</v>
      </c>
      <c r="E108" s="17">
        <f t="shared" si="6"/>
        <v>0.19462094034777999</v>
      </c>
      <c r="F108" s="17">
        <f t="shared" si="7"/>
        <v>-2.9620940347779984E-2</v>
      </c>
      <c r="G108">
        <v>75.728329709699693</v>
      </c>
      <c r="H108">
        <v>27.933498133333334</v>
      </c>
      <c r="I108">
        <v>2115.3571565863476</v>
      </c>
      <c r="J108" s="18">
        <v>9161</v>
      </c>
      <c r="K108" s="6">
        <v>428772.78269590996</v>
      </c>
      <c r="L108" s="84">
        <f t="shared" si="8"/>
        <v>8.1989915066947194E-2</v>
      </c>
      <c r="M108" s="20">
        <v>0.1317525727701363</v>
      </c>
      <c r="N108" s="20">
        <v>0.22489637652092531</v>
      </c>
      <c r="O108" s="20">
        <v>0.13527585486916638</v>
      </c>
      <c r="P108">
        <v>3.3000000000000002E-2</v>
      </c>
      <c r="Q108" s="20">
        <f t="shared" si="9"/>
        <v>9.9008571993384864E-2</v>
      </c>
      <c r="R108" s="79">
        <v>91.30763209322204</v>
      </c>
      <c r="S108">
        <f t="shared" si="10"/>
        <v>2550.5415706351046</v>
      </c>
    </row>
    <row r="109" spans="1:19">
      <c r="A109">
        <v>2018</v>
      </c>
      <c r="B109">
        <v>4</v>
      </c>
      <c r="C109" t="s">
        <v>113</v>
      </c>
      <c r="D109" s="7">
        <v>0.14199999999999999</v>
      </c>
      <c r="E109" s="17">
        <f t="shared" si="6"/>
        <v>0.12896818854386291</v>
      </c>
      <c r="F109" s="17">
        <f t="shared" si="7"/>
        <v>1.3031811456137077E-2</v>
      </c>
      <c r="G109">
        <v>73.748548142264482</v>
      </c>
      <c r="H109">
        <v>27.789138709677424</v>
      </c>
      <c r="I109">
        <v>2049.4086339627111</v>
      </c>
      <c r="J109" s="18">
        <v>10573</v>
      </c>
      <c r="K109" s="6">
        <v>434162.50218434003</v>
      </c>
      <c r="L109" s="84">
        <f t="shared" si="8"/>
        <v>1.6077505719608531E-2</v>
      </c>
      <c r="M109" s="20">
        <v>2.614469875422154E-2</v>
      </c>
      <c r="N109" s="20">
        <v>0.20462572633018117</v>
      </c>
      <c r="O109" s="20">
        <v>0.11638157315486009</v>
      </c>
      <c r="P109">
        <v>3.3000000000000002E-2</v>
      </c>
      <c r="Q109" s="20">
        <f t="shared" si="9"/>
        <v>8.0717883015353431E-2</v>
      </c>
      <c r="R109" s="79">
        <v>86.133421092704623</v>
      </c>
      <c r="S109">
        <f t="shared" si="10"/>
        <v>2393.5735862842239</v>
      </c>
    </row>
    <row r="110" spans="1:19">
      <c r="A110" s="67">
        <v>2019</v>
      </c>
      <c r="B110" s="67">
        <v>1</v>
      </c>
      <c r="C110" s="67" t="s">
        <v>114</v>
      </c>
      <c r="D110" s="68">
        <v>0.104</v>
      </c>
      <c r="E110" s="71">
        <f t="shared" si="6"/>
        <v>0.10103968051371465</v>
      </c>
      <c r="F110" s="17">
        <f t="shared" si="7"/>
        <v>2.9603194862853482E-3</v>
      </c>
      <c r="G110" s="67">
        <v>75.523339706502668</v>
      </c>
      <c r="H110">
        <v>27.879174999999993</v>
      </c>
      <c r="I110" s="67">
        <v>2088.1780919078979</v>
      </c>
      <c r="J110" s="72">
        <v>9223</v>
      </c>
      <c r="K110" s="69">
        <v>432356.91939646</v>
      </c>
      <c r="L110" s="84">
        <f t="shared" si="8"/>
        <v>1.461651625586935E-2</v>
      </c>
      <c r="M110" s="73">
        <v>-1.3390488777106101E-2</v>
      </c>
      <c r="N110" s="73">
        <f>J110/J98-1</f>
        <v>0.19601061794962571</v>
      </c>
      <c r="O110" s="73">
        <v>9.2660991193975306E-2</v>
      </c>
      <c r="P110" s="67">
        <v>2.5000000000000001E-2</v>
      </c>
      <c r="Q110" s="73">
        <f t="shared" si="9"/>
        <v>6.6010723116073589E-2</v>
      </c>
      <c r="R110" s="79">
        <v>83.919278160271006</v>
      </c>
      <c r="S110">
        <f t="shared" si="10"/>
        <v>2339.6002417038726</v>
      </c>
    </row>
    <row r="111" spans="1:19">
      <c r="A111">
        <v>2019</v>
      </c>
      <c r="B111">
        <v>1</v>
      </c>
      <c r="C111" t="s">
        <v>115</v>
      </c>
      <c r="D111" s="2">
        <v>0.10199999999999999</v>
      </c>
      <c r="E111" s="17">
        <f t="shared" si="6"/>
        <v>0.13174701200108765</v>
      </c>
      <c r="F111" s="17">
        <f t="shared" si="7"/>
        <v>-2.9747012001087661E-2</v>
      </c>
      <c r="G111">
        <v>77.688561933336899</v>
      </c>
      <c r="H111" s="48">
        <v>28.124344464285709</v>
      </c>
      <c r="I111">
        <v>2172.5704803939243</v>
      </c>
      <c r="J111" s="18">
        <v>9429</v>
      </c>
      <c r="K111" s="6">
        <v>426076.80296577001</v>
      </c>
      <c r="L111" s="84">
        <f t="shared" si="8"/>
        <v>3.2136308601503849E-2</v>
      </c>
      <c r="M111" s="20">
        <v>6.2300622306140419E-2</v>
      </c>
      <c r="N111" s="73">
        <f t="shared" ref="N111:N120" si="11">J111/J99-1</f>
        <v>0.20449760863344646</v>
      </c>
      <c r="O111" s="20">
        <v>6.8997273238144752E-2</v>
      </c>
      <c r="P111">
        <v>2.5000000000000001E-2</v>
      </c>
      <c r="Q111" s="20">
        <f t="shared" si="9"/>
        <v>4.2924169012824143E-2</v>
      </c>
      <c r="R111" s="79">
        <v>82.203526922893388</v>
      </c>
      <c r="S111">
        <f t="shared" si="10"/>
        <v>2311.9203073586377</v>
      </c>
    </row>
    <row r="112" spans="1:19">
      <c r="A112">
        <v>2019</v>
      </c>
      <c r="B112">
        <v>1</v>
      </c>
      <c r="C112" t="s">
        <v>116</v>
      </c>
      <c r="D112" s="2">
        <v>8.8999999999999996E-2</v>
      </c>
      <c r="E112" s="17">
        <f t="shared" si="6"/>
        <v>0.12602123572452148</v>
      </c>
      <c r="F112" s="17">
        <f t="shared" si="7"/>
        <v>-3.7021235724521484E-2</v>
      </c>
      <c r="G112">
        <v>75.592408474364589</v>
      </c>
      <c r="H112" s="48">
        <v>26.863534580645165</v>
      </c>
      <c r="I112">
        <v>2020.7942920956864</v>
      </c>
      <c r="J112" s="18">
        <v>10237</v>
      </c>
      <c r="K112" s="6">
        <v>423476.26525835495</v>
      </c>
      <c r="L112" s="84">
        <f t="shared" si="8"/>
        <v>1.2516785846589995E-2</v>
      </c>
      <c r="M112" s="20">
        <v>2.7567882571950086E-2</v>
      </c>
      <c r="N112" s="73">
        <f t="shared" si="11"/>
        <v>0.22131630624891119</v>
      </c>
      <c r="O112" s="20">
        <v>6.1267214464985065E-2</v>
      </c>
      <c r="P112">
        <v>2.5000000000000001E-2</v>
      </c>
      <c r="Q112" s="20">
        <f t="shared" si="9"/>
        <v>3.5382648258521998E-2</v>
      </c>
      <c r="R112" s="79">
        <v>80.256088550146728</v>
      </c>
      <c r="S112">
        <f t="shared" si="10"/>
        <v>2155.9622100741872</v>
      </c>
    </row>
    <row r="113" spans="1:19">
      <c r="A113">
        <v>2019</v>
      </c>
      <c r="B113">
        <v>2</v>
      </c>
      <c r="C113" t="s">
        <v>117</v>
      </c>
      <c r="D113" s="2">
        <v>7.2999999999999995E-2</v>
      </c>
      <c r="E113" s="17">
        <f t="shared" si="6"/>
        <v>0.1208401428914799</v>
      </c>
      <c r="F113" s="17">
        <f t="shared" si="7"/>
        <v>-4.7840142891479906E-2</v>
      </c>
      <c r="G113">
        <v>76.975359488463837</v>
      </c>
      <c r="H113" s="48">
        <v>26.811495299999994</v>
      </c>
      <c r="I113">
        <v>2056.7804980070155</v>
      </c>
      <c r="J113" s="18">
        <v>10269</v>
      </c>
      <c r="K113" s="6">
        <v>430357.62153219001</v>
      </c>
      <c r="L113" s="84">
        <f t="shared" si="8"/>
        <v>2.0937327794938287E-2</v>
      </c>
      <c r="M113" s="20">
        <v>4.3120716760096878E-2</v>
      </c>
      <c r="N113" s="73">
        <f t="shared" si="11"/>
        <v>0.21093270945161935</v>
      </c>
      <c r="O113" s="20">
        <v>6.8583316792270921E-2</v>
      </c>
      <c r="P113">
        <v>4.5999999999999999E-2</v>
      </c>
      <c r="Q113" s="20">
        <f t="shared" si="9"/>
        <v>2.1590169017467353E-2</v>
      </c>
      <c r="R113" s="79">
        <v>80.974171476013666</v>
      </c>
      <c r="S113">
        <f t="shared" si="10"/>
        <v>2171.038617950534</v>
      </c>
    </row>
    <row r="114" spans="1:19">
      <c r="A114">
        <v>2019</v>
      </c>
      <c r="B114">
        <v>2</v>
      </c>
      <c r="C114" t="s">
        <v>118</v>
      </c>
      <c r="D114" s="2">
        <v>8.5000000000000006E-2</v>
      </c>
      <c r="E114" s="17">
        <f t="shared" si="6"/>
        <v>7.6865815130995996E-2</v>
      </c>
      <c r="F114" s="17">
        <f t="shared" si="7"/>
        <v>8.1341848690040103E-3</v>
      </c>
      <c r="G114">
        <v>78.744158299450405</v>
      </c>
      <c r="H114" s="48">
        <v>26.378847709677427</v>
      </c>
      <c r="I114">
        <v>2073.2676416272943</v>
      </c>
      <c r="J114" s="18">
        <v>10239</v>
      </c>
      <c r="K114" s="6">
        <v>432846.04593996506</v>
      </c>
      <c r="L114" s="84">
        <f t="shared" si="8"/>
        <v>4.8524610736089269E-3</v>
      </c>
      <c r="M114" s="20">
        <v>1.053036697960974E-2</v>
      </c>
      <c r="N114" s="73">
        <f t="shared" si="11"/>
        <v>0.17355798160405733</v>
      </c>
      <c r="O114" s="20">
        <v>5.6399836806372505E-2</v>
      </c>
      <c r="P114">
        <v>4.5999999999999999E-2</v>
      </c>
      <c r="Q114" s="20">
        <f>(1+O114)/(1+P114)-1</f>
        <v>9.9424826064746785E-3</v>
      </c>
      <c r="R114" s="79">
        <v>78.139393862816121</v>
      </c>
      <c r="S114">
        <f t="shared" si="10"/>
        <v>2061.2271708337294</v>
      </c>
    </row>
    <row r="115" spans="1:19">
      <c r="A115">
        <v>2019</v>
      </c>
      <c r="B115">
        <v>2</v>
      </c>
      <c r="C115" t="s">
        <v>119</v>
      </c>
      <c r="D115" s="2">
        <v>4.4999999999999998E-2</v>
      </c>
      <c r="E115" s="17">
        <f t="shared" si="6"/>
        <v>0.11257026905965917</v>
      </c>
      <c r="F115" s="17">
        <f t="shared" si="7"/>
        <v>-6.7570269059659169E-2</v>
      </c>
      <c r="G115">
        <v>82.031319984812058</v>
      </c>
      <c r="H115" s="48">
        <v>26.500110633333332</v>
      </c>
      <c r="I115">
        <v>2171.1683035074861</v>
      </c>
      <c r="J115" s="18">
        <v>10783</v>
      </c>
      <c r="K115" s="6">
        <v>436888.291464095</v>
      </c>
      <c r="L115" s="84">
        <f t="shared" si="8"/>
        <v>7.2984421035014124E-2</v>
      </c>
      <c r="M115" s="20">
        <v>8.3851888969332711E-2</v>
      </c>
      <c r="N115" s="73">
        <f t="shared" si="11"/>
        <v>0.17960829959403446</v>
      </c>
      <c r="O115" s="20">
        <v>5.6322619746557834E-2</v>
      </c>
      <c r="P115">
        <v>4.5999999999999999E-2</v>
      </c>
      <c r="Q115" s="20">
        <f t="shared" si="9"/>
        <v>9.8686613255811739E-3</v>
      </c>
      <c r="R115" s="79">
        <v>69.769597740786963</v>
      </c>
      <c r="S115">
        <f t="shared" si="10"/>
        <v>1848.9020589740178</v>
      </c>
    </row>
    <row r="116" spans="1:19">
      <c r="A116">
        <v>2019</v>
      </c>
      <c r="B116">
        <v>3</v>
      </c>
      <c r="C116" t="s">
        <v>120</v>
      </c>
      <c r="D116" s="33">
        <v>6.7000000000000004E-2</v>
      </c>
      <c r="E116" s="17">
        <f t="shared" si="6"/>
        <v>0.11814408818980535</v>
      </c>
      <c r="F116" s="17">
        <f t="shared" si="7"/>
        <v>-5.1144088189805342E-2</v>
      </c>
      <c r="G116">
        <v>83.465963370722648</v>
      </c>
      <c r="H116" s="48">
        <v>25.751355387096769</v>
      </c>
      <c r="I116">
        <f>G116*H116</f>
        <v>2149.3616854858801</v>
      </c>
      <c r="J116">
        <v>10971</v>
      </c>
      <c r="K116">
        <v>440716.09829615499</v>
      </c>
      <c r="L116" s="84">
        <f t="shared" si="8"/>
        <v>9.8629544750506115E-2</v>
      </c>
      <c r="M116" s="20">
        <f>I116/I104-1</f>
        <v>7.1608495182677867E-2</v>
      </c>
      <c r="N116" s="73">
        <f t="shared" si="11"/>
        <v>0.19636477839280797</v>
      </c>
      <c r="O116" s="20">
        <f>K116/K104-1</f>
        <v>4.8633795962898407E-2</v>
      </c>
      <c r="P116">
        <v>4.1000000000000002E-2</v>
      </c>
      <c r="Q116" s="20">
        <f>(1+O116)/(1+P116)-1</f>
        <v>7.3331373322751414E-3</v>
      </c>
      <c r="R116" s="79">
        <v>71.18209804456265</v>
      </c>
      <c r="S116">
        <f t="shared" si="10"/>
        <v>1833.0355039446988</v>
      </c>
    </row>
    <row r="117" spans="1:19">
      <c r="A117">
        <v>2019</v>
      </c>
      <c r="B117">
        <v>3</v>
      </c>
      <c r="C117" t="s">
        <v>121</v>
      </c>
      <c r="D117" s="33">
        <v>4.4999999999999998E-2</v>
      </c>
      <c r="E117" s="17">
        <f t="shared" si="6"/>
        <v>1.9604049239638766E-2</v>
      </c>
      <c r="F117" s="17">
        <f>D117-E117</f>
        <v>2.5395950760361233E-2</v>
      </c>
      <c r="G117">
        <v>73.630942157457469</v>
      </c>
      <c r="H117" s="48">
        <v>25.246989612903228</v>
      </c>
      <c r="I117">
        <f>G117*H117</f>
        <v>1858.959631837607</v>
      </c>
      <c r="J117">
        <v>10537</v>
      </c>
      <c r="K117">
        <v>441038.58954311995</v>
      </c>
      <c r="L117" s="84">
        <f t="shared" si="8"/>
        <v>-4.1814691559455608E-2</v>
      </c>
      <c r="M117" s="20">
        <f t="shared" ref="M117:M133" si="12">I117/I105-1</f>
        <v>-0.11974708797827549</v>
      </c>
      <c r="N117" s="73">
        <f t="shared" si="11"/>
        <v>0.17374082127325874</v>
      </c>
      <c r="O117" s="20">
        <f t="shared" ref="O117:O133" si="13">K117/K105-1</f>
        <v>4.6994789954724725E-2</v>
      </c>
      <c r="P117">
        <v>4.1000000000000002E-2</v>
      </c>
      <c r="Q117" s="20">
        <f>(1+O117)/(1+P117)-1</f>
        <v>5.7586839142409474E-3</v>
      </c>
      <c r="R117" s="79">
        <v>66.479642578272831</v>
      </c>
      <c r="S117">
        <f t="shared" si="10"/>
        <v>1678.4108456431734</v>
      </c>
    </row>
    <row r="118" spans="1:19">
      <c r="A118">
        <v>2019</v>
      </c>
      <c r="B118">
        <v>3</v>
      </c>
      <c r="C118" t="s">
        <v>122</v>
      </c>
      <c r="D118" s="33">
        <v>1.7000000000000001E-2</v>
      </c>
      <c r="E118" s="17">
        <f t="shared" si="6"/>
        <v>2.1139880774298722E-3</v>
      </c>
      <c r="F118" s="17">
        <f t="shared" si="7"/>
        <v>1.4886011922570129E-2</v>
      </c>
      <c r="G118">
        <v>73.814696989851569</v>
      </c>
      <c r="H118" s="48">
        <v>24.769724166666666</v>
      </c>
      <c r="I118">
        <f>G118*H118</f>
        <v>1828.3696838847036</v>
      </c>
      <c r="J118">
        <v>10687.06</v>
      </c>
      <c r="K118">
        <v>443369.82757093501</v>
      </c>
      <c r="L118" s="84">
        <f t="shared" si="8"/>
        <v>-6.0341983410366007E-2</v>
      </c>
      <c r="M118" s="20">
        <f t="shared" si="12"/>
        <v>-0.17438724821566931</v>
      </c>
      <c r="N118" s="73">
        <f t="shared" si="11"/>
        <v>0.18193541251935397</v>
      </c>
      <c r="O118" s="20">
        <f t="shared" si="13"/>
        <v>4.7854637041340187E-2</v>
      </c>
      <c r="P118">
        <v>4.1000000000000002E-2</v>
      </c>
      <c r="Q118" s="20">
        <f>(1+O118)/(1+P118)-1</f>
        <v>6.5846657457639957E-3</v>
      </c>
      <c r="R118" s="79">
        <v>70.017268997936782</v>
      </c>
      <c r="S118">
        <f t="shared" si="10"/>
        <v>1734.3084399821955</v>
      </c>
    </row>
    <row r="119" spans="1:19">
      <c r="A119">
        <v>2019</v>
      </c>
      <c r="B119">
        <v>4</v>
      </c>
      <c r="C119" t="s">
        <v>123</v>
      </c>
      <c r="D119" s="33">
        <v>2E-3</v>
      </c>
      <c r="E119" s="17">
        <f>0.4297498*M119+0.697367*N119+0.3352365*Q119-0.0520263</f>
        <v>-3.9914146509387599E-3</v>
      </c>
      <c r="F119" s="17">
        <f t="shared" si="7"/>
        <v>5.99141465093876E-3</v>
      </c>
      <c r="G119">
        <v>74.814110313107975</v>
      </c>
      <c r="H119" s="32">
        <v>24.808206516129029</v>
      </c>
      <c r="I119">
        <f t="shared" ref="I119:I133" si="14">G119*H119</f>
        <v>1856.0038989680413</v>
      </c>
      <c r="J119">
        <v>10727.34</v>
      </c>
      <c r="K119" s="12">
        <v>441428.77420384996</v>
      </c>
      <c r="L119" s="84">
        <f t="shared" si="8"/>
        <v>-6.200890964568273E-2</v>
      </c>
      <c r="M119" s="20">
        <f t="shared" si="12"/>
        <v>-0.17269668635121116</v>
      </c>
      <c r="N119" s="73">
        <f t="shared" si="11"/>
        <v>0.16373833803428073</v>
      </c>
      <c r="O119" s="20">
        <f t="shared" si="13"/>
        <v>3.9420137013847611E-2</v>
      </c>
      <c r="P119" s="36">
        <v>1.4999999999999999E-2</v>
      </c>
      <c r="Q119" s="20">
        <f t="shared" ref="Q119:Q133" si="15">(1+O119)/(1+P119)-1</f>
        <v>2.4059248289505231E-2</v>
      </c>
      <c r="R119" s="79">
        <v>71.782959330845614</v>
      </c>
      <c r="S119">
        <f t="shared" si="10"/>
        <v>1780.8064794185093</v>
      </c>
    </row>
    <row r="120" spans="1:19">
      <c r="A120">
        <v>2019</v>
      </c>
      <c r="B120">
        <v>4</v>
      </c>
      <c r="C120" t="s">
        <v>124</v>
      </c>
      <c r="D120" s="33">
        <v>-4.4999999999999998E-2</v>
      </c>
      <c r="E120" s="17">
        <f t="shared" si="6"/>
        <v>1.4756838211986284E-2</v>
      </c>
      <c r="F120" s="17">
        <f t="shared" si="7"/>
        <v>-5.9756838211986282E-2</v>
      </c>
      <c r="G120">
        <v>75.543816625657186</v>
      </c>
      <c r="H120" s="8">
        <v>24.367518633333326</v>
      </c>
      <c r="I120">
        <f t="shared" si="14"/>
        <v>1840.8153592588174</v>
      </c>
      <c r="J120">
        <v>10679.14</v>
      </c>
      <c r="K120">
        <v>444281.63442717993</v>
      </c>
      <c r="L120" s="84">
        <f t="shared" si="8"/>
        <v>-2.4365133200457967E-3</v>
      </c>
      <c r="M120" s="20">
        <f t="shared" si="12"/>
        <v>-0.12978507977847642</v>
      </c>
      <c r="N120" s="73">
        <f t="shared" si="11"/>
        <v>0.16571771640650579</v>
      </c>
      <c r="O120" s="20">
        <f t="shared" si="13"/>
        <v>3.6170326935767827E-2</v>
      </c>
      <c r="P120" s="36">
        <v>1.4999999999999999E-2</v>
      </c>
      <c r="Q120" s="20">
        <f t="shared" si="15"/>
        <v>2.0857464961347771E-2</v>
      </c>
      <c r="R120" s="79">
        <v>76.141288692429185</v>
      </c>
      <c r="S120">
        <f t="shared" si="10"/>
        <v>1855.3742709787803</v>
      </c>
    </row>
    <row r="121" spans="1:19">
      <c r="A121">
        <v>2019</v>
      </c>
      <c r="B121">
        <v>4</v>
      </c>
      <c r="C121" t="s">
        <v>125</v>
      </c>
      <c r="D121" s="33">
        <v>-7.3999999999999996E-2</v>
      </c>
      <c r="E121" s="17">
        <f t="shared" si="6"/>
        <v>3.4602066929690659E-2</v>
      </c>
      <c r="F121" s="17">
        <f t="shared" si="7"/>
        <v>-0.10860206692969065</v>
      </c>
      <c r="G121" s="13">
        <v>78.486556001959741</v>
      </c>
      <c r="H121" s="14">
        <v>23.609435129032253</v>
      </c>
      <c r="I121">
        <f t="shared" si="14"/>
        <v>1853.0232524294256</v>
      </c>
      <c r="J121" s="78">
        <v>12263.61</v>
      </c>
      <c r="K121" s="13">
        <v>462103.13809027494</v>
      </c>
      <c r="L121" s="84">
        <f t="shared" si="8"/>
        <v>6.4245439117735836E-2</v>
      </c>
      <c r="M121" s="20">
        <f t="shared" si="12"/>
        <v>-9.5825389958252072E-2</v>
      </c>
      <c r="N121" s="73">
        <f>J121/J109-1</f>
        <v>0.15989879882720137</v>
      </c>
      <c r="O121" s="20">
        <f t="shared" si="13"/>
        <v>6.4355248934123033E-2</v>
      </c>
      <c r="P121" s="36">
        <v>1.4999999999999999E-2</v>
      </c>
      <c r="Q121" s="20">
        <f t="shared" si="15"/>
        <v>4.8625861018840588E-2</v>
      </c>
      <c r="R121" s="79">
        <v>77.784336504801374</v>
      </c>
      <c r="S121">
        <f t="shared" si="10"/>
        <v>1836.4442467649235</v>
      </c>
    </row>
    <row r="122" spans="1:19">
      <c r="A122">
        <v>2020</v>
      </c>
      <c r="B122">
        <v>1</v>
      </c>
      <c r="C122" t="s">
        <v>126</v>
      </c>
      <c r="E122" s="17">
        <f t="shared" si="6"/>
        <v>8.4811913335447048E-2</v>
      </c>
      <c r="F122" s="17"/>
      <c r="G122">
        <v>79.825683905912598</v>
      </c>
      <c r="H122">
        <v>23.804714285714283</v>
      </c>
      <c r="I122">
        <f t="shared" si="14"/>
        <v>1900.2275980419904</v>
      </c>
      <c r="J122" s="8">
        <v>11178.321459399915</v>
      </c>
      <c r="K122">
        <v>473624.23773241002</v>
      </c>
      <c r="L122" s="84">
        <f>G122/G110-1</f>
        <v>5.6967080853807861E-2</v>
      </c>
      <c r="M122" s="20">
        <f t="shared" si="12"/>
        <v>-9.0006927375712253E-2</v>
      </c>
      <c r="N122" s="73">
        <f t="shared" ref="N122:N133" si="16">J122/J110-1</f>
        <v>0.21200492891682909</v>
      </c>
      <c r="O122" s="20">
        <f t="shared" si="13"/>
        <v>9.544734103840935E-2</v>
      </c>
      <c r="P122" s="5">
        <v>1.1914806026298935E-2</v>
      </c>
      <c r="Q122" s="20">
        <f t="shared" si="15"/>
        <v>8.2548979928592336E-2</v>
      </c>
    </row>
    <row r="123" spans="1:19">
      <c r="A123">
        <v>2020</v>
      </c>
      <c r="B123">
        <v>1</v>
      </c>
      <c r="C123" t="s">
        <v>127</v>
      </c>
      <c r="E123" s="17">
        <f t="shared" si="6"/>
        <v>7.4749083114614812E-2</v>
      </c>
      <c r="F123" s="17"/>
      <c r="G123">
        <v>79.515483889180089</v>
      </c>
      <c r="H123">
        <v>24.5212601467437</v>
      </c>
      <c r="I123">
        <f t="shared" si="14"/>
        <v>1949.8198661407926</v>
      </c>
      <c r="J123" s="8">
        <v>11387.927316673949</v>
      </c>
      <c r="K123">
        <v>464534.78651261679</v>
      </c>
      <c r="L123" s="84">
        <f t="shared" ref="L123:L133" si="17">G123/G111-1</f>
        <v>2.3515970824776522E-2</v>
      </c>
      <c r="M123" s="20">
        <f t="shared" si="12"/>
        <v>-0.10252860206990533</v>
      </c>
      <c r="N123" s="73">
        <f t="shared" si="16"/>
        <v>0.2077555749998885</v>
      </c>
      <c r="O123" s="20">
        <f t="shared" si="13"/>
        <v>9.026068370574114E-2</v>
      </c>
      <c r="P123" s="5">
        <v>1.1914806026298935E-2</v>
      </c>
      <c r="Q123" s="20">
        <f t="shared" si="15"/>
        <v>7.7423392970302984E-2</v>
      </c>
    </row>
    <row r="124" spans="1:19">
      <c r="A124">
        <v>2020</v>
      </c>
      <c r="B124">
        <v>1</v>
      </c>
      <c r="C124" t="s">
        <v>128</v>
      </c>
      <c r="E124" s="17">
        <f t="shared" si="6"/>
        <v>8.9741368517744224E-2</v>
      </c>
      <c r="F124" s="17"/>
      <c r="G124">
        <v>79.185618332469517</v>
      </c>
      <c r="H124">
        <v>24.297506315340701</v>
      </c>
      <c r="I124">
        <f t="shared" si="14"/>
        <v>1924.0130615173366</v>
      </c>
      <c r="J124" s="8">
        <v>12279.374642365194</v>
      </c>
      <c r="K124">
        <v>458201.31900954008</v>
      </c>
      <c r="L124" s="84">
        <f t="shared" si="17"/>
        <v>4.7534004149682341E-2</v>
      </c>
      <c r="M124" s="20">
        <f t="shared" si="12"/>
        <v>-4.7892668223039059E-2</v>
      </c>
      <c r="N124" s="73">
        <f t="shared" si="16"/>
        <v>0.19950909859970634</v>
      </c>
      <c r="O124" s="20">
        <f t="shared" si="13"/>
        <v>8.2000000000000073E-2</v>
      </c>
      <c r="P124" s="5">
        <v>1.1914806026298935E-2</v>
      </c>
      <c r="Q124" s="20">
        <f t="shared" si="15"/>
        <v>6.925997480847168E-2</v>
      </c>
    </row>
    <row r="125" spans="1:19">
      <c r="A125">
        <v>2020</v>
      </c>
      <c r="B125">
        <v>2</v>
      </c>
      <c r="C125" t="s">
        <v>129</v>
      </c>
      <c r="E125" s="17">
        <f t="shared" si="6"/>
        <v>7.7426276478689077E-2</v>
      </c>
      <c r="F125" s="17"/>
      <c r="G125">
        <v>78.705190633073002</v>
      </c>
      <c r="H125">
        <v>23.896905355274082</v>
      </c>
      <c r="I125">
        <f t="shared" si="14"/>
        <v>1880.8104915273498</v>
      </c>
      <c r="J125" s="8">
        <v>12369.763078380154</v>
      </c>
      <c r="K125">
        <v>463064.80076863646</v>
      </c>
      <c r="L125" s="84">
        <f t="shared" si="17"/>
        <v>2.2472530899559029E-2</v>
      </c>
      <c r="M125" s="20">
        <f t="shared" si="12"/>
        <v>-8.5556045795930902E-2</v>
      </c>
      <c r="N125" s="73">
        <f t="shared" si="16"/>
        <v>0.20457328643296857</v>
      </c>
      <c r="O125" s="20">
        <f t="shared" si="13"/>
        <v>7.6000000000000068E-2</v>
      </c>
      <c r="P125" s="5">
        <v>5.3522700978052978E-3</v>
      </c>
      <c r="Q125" s="20">
        <f t="shared" si="15"/>
        <v>7.0271617226588479E-2</v>
      </c>
    </row>
    <row r="126" spans="1:19">
      <c r="A126">
        <v>2020</v>
      </c>
      <c r="B126">
        <v>2</v>
      </c>
      <c r="C126" t="s">
        <v>130</v>
      </c>
      <c r="E126" s="17">
        <f t="shared" si="6"/>
        <v>7.2880650043583295E-2</v>
      </c>
      <c r="F126" s="17"/>
      <c r="G126">
        <v>78.48871898380618</v>
      </c>
      <c r="H126">
        <v>23.185348570016483</v>
      </c>
      <c r="I126">
        <f t="shared" si="14"/>
        <v>1819.7883084536163</v>
      </c>
      <c r="J126" s="8">
        <v>12527.85805580856</v>
      </c>
      <c r="K126">
        <v>463145.26915576262</v>
      </c>
      <c r="L126" s="84">
        <f t="shared" si="17"/>
        <v>-3.2439144840793466E-3</v>
      </c>
      <c r="M126" s="20">
        <f t="shared" si="12"/>
        <v>-0.12226078682958841</v>
      </c>
      <c r="N126" s="73">
        <f t="shared" si="16"/>
        <v>0.22354312489584527</v>
      </c>
      <c r="O126" s="20">
        <f t="shared" si="13"/>
        <v>7.0000000000000062E-2</v>
      </c>
      <c r="P126" s="5">
        <v>5.3522700978052978E-3</v>
      </c>
      <c r="Q126" s="20">
        <f t="shared" si="15"/>
        <v>6.4303559881458749E-2</v>
      </c>
    </row>
    <row r="127" spans="1:19">
      <c r="A127">
        <v>2020</v>
      </c>
      <c r="B127">
        <v>2</v>
      </c>
      <c r="C127" t="s">
        <v>131</v>
      </c>
      <c r="E127" s="17">
        <f t="shared" si="6"/>
        <v>5.3725280768574885E-2</v>
      </c>
      <c r="F127" s="17"/>
      <c r="G127">
        <v>78.454325636860077</v>
      </c>
      <c r="H127">
        <v>23.263268938045417</v>
      </c>
      <c r="I127">
        <f t="shared" si="14"/>
        <v>1825.1040766432673</v>
      </c>
      <c r="J127" s="8">
        <v>13159.472821300966</v>
      </c>
      <c r="K127">
        <v>466159.80699218932</v>
      </c>
      <c r="L127" s="84">
        <f t="shared" si="17"/>
        <v>-4.3605227230456012E-2</v>
      </c>
      <c r="M127" s="20">
        <f t="shared" si="12"/>
        <v>-0.15939078804031814</v>
      </c>
      <c r="N127" s="73">
        <f t="shared" si="16"/>
        <v>0.22039069102299602</v>
      </c>
      <c r="O127" s="20">
        <f t="shared" si="13"/>
        <v>6.6999999999999948E-2</v>
      </c>
      <c r="P127" s="5">
        <v>5.3522700978052978E-3</v>
      </c>
      <c r="Q127" s="20">
        <f t="shared" si="15"/>
        <v>6.1319531208893885E-2</v>
      </c>
    </row>
    <row r="128" spans="1:19">
      <c r="A128">
        <v>2020</v>
      </c>
      <c r="B128">
        <v>3</v>
      </c>
      <c r="C128" t="s">
        <v>132</v>
      </c>
      <c r="E128" s="17">
        <f t="shared" si="6"/>
        <v>7.1702722037982253E-2</v>
      </c>
      <c r="F128" s="17"/>
      <c r="G128">
        <v>78.608696576686881</v>
      </c>
      <c r="H128">
        <v>24.523268938045415</v>
      </c>
      <c r="I128">
        <f t="shared" si="14"/>
        <v>1927.7422070193024</v>
      </c>
      <c r="J128" s="8">
        <v>13294.9474209417</v>
      </c>
      <c r="K128">
        <v>469362.64468540502</v>
      </c>
      <c r="L128" s="84">
        <f t="shared" si="17"/>
        <v>-5.8194581334450324E-2</v>
      </c>
      <c r="M128" s="20">
        <f t="shared" si="12"/>
        <v>-0.10310943940385675</v>
      </c>
      <c r="N128" s="73">
        <f t="shared" si="16"/>
        <v>0.21182639877328424</v>
      </c>
      <c r="O128" s="20">
        <f t="shared" si="13"/>
        <v>6.4999999999999947E-2</v>
      </c>
      <c r="P128" s="5">
        <v>4.1367029568183042E-3</v>
      </c>
      <c r="Q128" s="20">
        <f t="shared" si="15"/>
        <v>6.0612560883355204E-2</v>
      </c>
    </row>
    <row r="129" spans="1:17">
      <c r="A129">
        <v>2020</v>
      </c>
      <c r="B129">
        <v>3</v>
      </c>
      <c r="C129" t="s">
        <v>133</v>
      </c>
      <c r="E129" s="17">
        <f t="shared" si="6"/>
        <v>0.14306178108314785</v>
      </c>
      <c r="F129" s="17"/>
      <c r="G129">
        <v>78.432389510055501</v>
      </c>
      <c r="H129">
        <v>24.838268938045417</v>
      </c>
      <c r="I129">
        <f t="shared" si="14"/>
        <v>1948.1247841042907</v>
      </c>
      <c r="J129" s="8">
        <v>12891.46507049204</v>
      </c>
      <c r="K129">
        <v>467500.90491570719</v>
      </c>
      <c r="L129" s="84">
        <f t="shared" si="17"/>
        <v>6.5209641652150596E-2</v>
      </c>
      <c r="M129" s="20">
        <f t="shared" si="12"/>
        <v>4.7965082586835184E-2</v>
      </c>
      <c r="N129" s="73">
        <f t="shared" si="16"/>
        <v>0.22344738260340136</v>
      </c>
      <c r="O129" s="20">
        <f t="shared" si="13"/>
        <v>6.0000000000000053E-2</v>
      </c>
      <c r="P129" s="5">
        <v>4.1367029568183042E-3</v>
      </c>
      <c r="Q129" s="20">
        <f t="shared" si="15"/>
        <v>5.5633159189067305E-2</v>
      </c>
    </row>
    <row r="130" spans="1:17">
      <c r="A130">
        <v>2020</v>
      </c>
      <c r="B130">
        <v>3</v>
      </c>
      <c r="C130" t="s">
        <v>134</v>
      </c>
      <c r="E130" s="17">
        <f t="shared" si="6"/>
        <v>0.15753019237737578</v>
      </c>
      <c r="F130" s="17"/>
      <c r="G130">
        <v>78.363753884981136</v>
      </c>
      <c r="H130">
        <v>25.479096276646988</v>
      </c>
      <c r="I130">
        <f t="shared" si="14"/>
        <v>1996.6376298349039</v>
      </c>
      <c r="J130" s="8">
        <v>13029.522219927258</v>
      </c>
      <c r="K130">
        <v>467982.63433968159</v>
      </c>
      <c r="L130" s="84">
        <f t="shared" si="17"/>
        <v>6.1628064337309274E-2</v>
      </c>
      <c r="M130" s="20">
        <f t="shared" si="12"/>
        <v>9.2031686717034544E-2</v>
      </c>
      <c r="N130" s="73">
        <f t="shared" si="16"/>
        <v>0.21918677540195874</v>
      </c>
      <c r="O130" s="20">
        <f t="shared" si="13"/>
        <v>5.551303953990594E-2</v>
      </c>
      <c r="P130" s="5">
        <v>4.1367029568183042E-3</v>
      </c>
      <c r="Q130" s="20">
        <f t="shared" si="15"/>
        <v>5.1164683485628082E-2</v>
      </c>
    </row>
    <row r="131" spans="1:17">
      <c r="A131">
        <v>2020</v>
      </c>
      <c r="B131">
        <v>4</v>
      </c>
      <c r="C131" t="s">
        <v>135</v>
      </c>
      <c r="E131" s="17">
        <f t="shared" si="6"/>
        <v>0.16536758495354117</v>
      </c>
      <c r="F131" s="17"/>
      <c r="G131">
        <v>78.332153242161269</v>
      </c>
      <c r="H131">
        <v>26.074243567858311</v>
      </c>
      <c r="I131">
        <f t="shared" si="14"/>
        <v>2042.451642830915</v>
      </c>
      <c r="J131" s="8">
        <v>13180.996816676123</v>
      </c>
      <c r="K131">
        <v>463941.64168824628</v>
      </c>
      <c r="L131" s="84">
        <f t="shared" si="17"/>
        <v>4.7023788885943718E-2</v>
      </c>
      <c r="M131" s="20">
        <f t="shared" si="12"/>
        <v>0.10045654751401156</v>
      </c>
      <c r="N131" s="73">
        <f t="shared" si="16"/>
        <v>0.22872928579462593</v>
      </c>
      <c r="O131" s="20">
        <f t="shared" si="13"/>
        <v>5.0999999999999934E-2</v>
      </c>
      <c r="P131" s="5">
        <v>6.8084216096779698E-3</v>
      </c>
      <c r="Q131" s="20">
        <f t="shared" si="15"/>
        <v>4.3892738123573416E-2</v>
      </c>
    </row>
    <row r="132" spans="1:17">
      <c r="A132">
        <v>2020</v>
      </c>
      <c r="B132">
        <v>4</v>
      </c>
      <c r="C132" t="s">
        <v>136</v>
      </c>
      <c r="E132" s="17">
        <f t="shared" si="6"/>
        <v>0.17916537867411497</v>
      </c>
      <c r="F132" s="17"/>
      <c r="G132">
        <v>78.780463953399376</v>
      </c>
      <c r="H132">
        <v>26.576238129887486</v>
      </c>
      <c r="I132">
        <f t="shared" si="14"/>
        <v>2093.6883700085591</v>
      </c>
      <c r="J132" s="8">
        <v>13110.533094956219</v>
      </c>
      <c r="K132">
        <v>465162.87124525738</v>
      </c>
      <c r="L132" s="84">
        <f t="shared" si="17"/>
        <v>4.2844636031308392E-2</v>
      </c>
      <c r="M132" s="20">
        <f t="shared" si="12"/>
        <v>0.13737011128131726</v>
      </c>
      <c r="N132" s="73">
        <f t="shared" si="16"/>
        <v>0.22767686302045109</v>
      </c>
      <c r="O132" s="20">
        <f t="shared" si="13"/>
        <v>4.6999999999999931E-2</v>
      </c>
      <c r="P132" s="5">
        <v>6.8084216096779698E-3</v>
      </c>
      <c r="Q132" s="20">
        <f t="shared" si="15"/>
        <v>3.991978764546289E-2</v>
      </c>
    </row>
    <row r="133" spans="1:17">
      <c r="A133">
        <v>2020</v>
      </c>
      <c r="B133">
        <v>4</v>
      </c>
      <c r="C133" t="s">
        <v>137</v>
      </c>
      <c r="E133" s="17">
        <f t="shared" si="6"/>
        <v>0.20210102294923118</v>
      </c>
      <c r="F133" s="17"/>
      <c r="G133">
        <v>79.1706387354903</v>
      </c>
      <c r="H133">
        <v>27.824426276690122</v>
      </c>
      <c r="I133">
        <f t="shared" si="14"/>
        <v>2202.8776007741171</v>
      </c>
      <c r="J133" s="8">
        <v>15093.818003077946</v>
      </c>
      <c r="K133">
        <v>481973.57302815671</v>
      </c>
      <c r="L133" s="84">
        <f t="shared" si="17"/>
        <v>8.7159224251536216E-3</v>
      </c>
      <c r="M133" s="20">
        <f t="shared" si="12"/>
        <v>0.18880192025977616</v>
      </c>
      <c r="N133" s="73">
        <f t="shared" si="16"/>
        <v>0.23078098562152127</v>
      </c>
      <c r="O133" s="20">
        <f t="shared" si="13"/>
        <v>4.2999999999999927E-2</v>
      </c>
      <c r="P133" s="5">
        <v>6.8084216096779698E-3</v>
      </c>
      <c r="Q133" s="20">
        <f t="shared" si="15"/>
        <v>3.5946837167352141E-2</v>
      </c>
    </row>
    <row r="134" spans="1:17">
      <c r="F134" s="83"/>
    </row>
    <row r="135" spans="1:17">
      <c r="F135" s="83"/>
    </row>
    <row r="136" spans="1:17">
      <c r="F136" s="83"/>
    </row>
    <row r="137" spans="1:17">
      <c r="F137" s="83"/>
    </row>
    <row r="138" spans="1:17">
      <c r="F138" s="83"/>
    </row>
    <row r="139" spans="1:17">
      <c r="F139" s="83"/>
    </row>
    <row r="140" spans="1:17">
      <c r="F140" s="83"/>
    </row>
    <row r="141" spans="1:17">
      <c r="F141" s="83"/>
    </row>
    <row r="142" spans="1:17">
      <c r="F142" s="83"/>
    </row>
    <row r="143" spans="1:17">
      <c r="F143" s="83"/>
    </row>
    <row r="144" spans="1:17">
      <c r="F144" s="83"/>
    </row>
    <row r="145" spans="6:6">
      <c r="F145" s="83"/>
    </row>
  </sheetData>
  <pageMargins left="0.7" right="0.7" top="0.75" bottom="0.75" header="0.3" footer="0.3"/>
  <pageSetup paperSize="9" orientation="portrait" horizontalDpi="4294967295" verticalDpi="4294967295"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29</vt:i4>
      </vt:variant>
      <vt:variant>
        <vt:lpstr>Іменовані діапазони</vt:lpstr>
      </vt:variant>
      <vt:variant>
        <vt:i4>4</vt:i4>
      </vt:variant>
    </vt:vector>
  </HeadingPairs>
  <TitlesOfParts>
    <vt:vector size="33" baseType="lpstr">
      <vt:lpstr>Чарти 5-7</vt:lpstr>
      <vt:lpstr>charts_data_all</vt:lpstr>
      <vt:lpstr>Таблиці 2-3</vt:lpstr>
      <vt:lpstr>Прогноз Зарплати 2023</vt:lpstr>
      <vt:lpstr>Ворк юа (зп)</vt:lpstr>
      <vt:lpstr>Ворк юа (вакансії)</vt:lpstr>
      <vt:lpstr>Беробіття </vt:lpstr>
      <vt:lpstr>Очікування по безробіттю</vt:lpstr>
      <vt:lpstr>Статус тих хто мав роботу</vt:lpstr>
      <vt:lpstr>REER</vt:lpstr>
      <vt:lpstr>ЗВР-інт 2022-2023</vt:lpstr>
      <vt:lpstr>Місячна сезонність</vt:lpstr>
      <vt:lpstr>Повернення до таргету 2023</vt:lpstr>
      <vt:lpstr>ІСЦ (Стрим Інфл) (всяке)</vt:lpstr>
      <vt:lpstr>ІЦВ (Стрим Інфл)+</vt:lpstr>
      <vt:lpstr>ІСЦ (Стрим Інфл)</vt:lpstr>
      <vt:lpstr>Дефлятор модель (CPI-PPI) (С-1)</vt:lpstr>
      <vt:lpstr>Дефлятор модель (CPI-PPI) (С-2)</vt:lpstr>
      <vt:lpstr>Області</vt:lpstr>
      <vt:lpstr>Прогноз Зарплати 2021</vt:lpstr>
      <vt:lpstr>Прогноз Зарплати 2022</vt:lpstr>
      <vt:lpstr>структура</vt:lpstr>
      <vt:lpstr>Дефлятор модель (CPI-PPI) Інфл</vt:lpstr>
      <vt:lpstr>К-сть штатних прац</vt:lpstr>
      <vt:lpstr>Штатые сотрудники</vt:lpstr>
      <vt:lpstr>Others</vt:lpstr>
      <vt:lpstr>Дефлятор (UACPI)</vt:lpstr>
      <vt:lpstr>Прогноз курса</vt:lpstr>
      <vt:lpstr>ІЦВ (Obs-102)</vt:lpstr>
      <vt:lpstr>структура!Заголовки_для_друку</vt:lpstr>
      <vt:lpstr>'Прогноз Зарплати 2021'!Область_друку</vt:lpstr>
      <vt:lpstr>'Прогноз Зарплати 2022'!Область_друку</vt:lpstr>
      <vt:lpstr>'Прогноз Зарплати 2023'!Область_друку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Master of Puppets</dc:creator>
  <cp:lastModifiedBy>Саша Любченко</cp:lastModifiedBy>
  <dcterms:created xsi:type="dcterms:W3CDTF">2015-06-05T18:19:34Z</dcterms:created>
  <dcterms:modified xsi:type="dcterms:W3CDTF">2024-01-22T17:42:11Z</dcterms:modified>
</cp:coreProperties>
</file>